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x WA Reg\2023 WA Rate Case\Exhibits and Workpapers\Meredith\"/>
    </mc:Choice>
  </mc:AlternateContent>
  <xr:revisionPtr revIDLastSave="0" documentId="13_ncr:1_{3EABCDF7-88AD-48C7-8DF6-CD0FFE3EDC16}" xr6:coauthVersionLast="47" xr6:coauthVersionMax="47" xr10:uidLastSave="{00000000-0000-0000-0000-000000000000}"/>
  <bookViews>
    <workbookView xWindow="-120" yWindow="-120" windowWidth="24240" windowHeight="13140" tabRatio="831" xr2:uid="{00000000-000D-0000-FFFF-FFFF00000000}"/>
  </bookViews>
  <sheets>
    <sheet name="TOTAL FUNCFAC" sheetId="1" r:id="rId1"/>
    <sheet name="TAX DEPR" sheetId="7" r:id="rId2"/>
    <sheet name="GROSS PLANT" sheetId="4" r:id="rId3"/>
    <sheet name="FORM 1" sheetId="2" r:id="rId4"/>
    <sheet name="BOOKDPR" sheetId="3" r:id="rId5"/>
    <sheet name="ELEC OPS" sheetId="12" r:id="rId6"/>
    <sheet name="GP" sheetId="9" r:id="rId7"/>
    <sheet name="IP" sheetId="5" r:id="rId8"/>
    <sheet name="SCH M" sheetId="13" r:id="rId9"/>
    <sheet name="REGASSETS&amp;DDS" sheetId="8" r:id="rId10"/>
    <sheet name="ACCUMDIT" sheetId="17" r:id="rId11"/>
    <sheet name="data&gt;" sheetId="34" r:id="rId12"/>
    <sheet name="BOOKDEPR Jun22data" sheetId="25" r:id="rId13"/>
    <sheet name="BOOKDEPR Lookup" sheetId="33" r:id="rId14"/>
    <sheet name="GP Jun22data" sheetId="23" r:id="rId15"/>
    <sheet name="GP Lookup" sheetId="30" r:id="rId16"/>
    <sheet name="IP Jun22data" sheetId="22" r:id="rId17"/>
    <sheet name="IP Lookup" sheetId="29" r:id="rId18"/>
    <sheet name="SCH M Jun22data" sheetId="19" r:id="rId19"/>
    <sheet name="SCH M Lookup" sheetId="28" r:id="rId20"/>
    <sheet name="ELEC OPS Jun22data" sheetId="24" r:id="rId21"/>
    <sheet name="ELEC OPS Lookup" sheetId="31" r:id="rId22"/>
    <sheet name="REGASSET Jun22data" sheetId="21" r:id="rId23"/>
    <sheet name="REGASSET Lookup" sheetId="27" r:id="rId24"/>
    <sheet name="DDS Jun22data" sheetId="20" r:id="rId25"/>
    <sheet name="DDS Lookup" sheetId="26" r:id="rId26"/>
  </sheets>
  <definedNames>
    <definedName name="_xlnm._FilterDatabase" localSheetId="12" hidden="1">'BOOKDEPR Jun22data'!$A$1:$J$346</definedName>
    <definedName name="_xlnm._FilterDatabase" localSheetId="13" hidden="1">'BOOKDEPR Lookup'!$A$1:$I$168</definedName>
    <definedName name="_xlnm._FilterDatabase" localSheetId="24" hidden="1">'DDS Jun22data'!$A$1:$J$40</definedName>
    <definedName name="_xlnm._FilterDatabase" localSheetId="25" hidden="1">'DDS Lookup'!$A$1:$I$1</definedName>
    <definedName name="_xlnm._FilterDatabase" localSheetId="20" hidden="1">'ELEC OPS Jun22data'!$A$1:$J$65</definedName>
    <definedName name="_xlnm._FilterDatabase" localSheetId="21" hidden="1">'ELEC OPS Lookup'!$A$1:$I$89</definedName>
    <definedName name="_xlnm._FilterDatabase" localSheetId="14" hidden="1">'GP Jun22data'!$A$1:$J$306</definedName>
    <definedName name="_xlnm._FilterDatabase" localSheetId="17" hidden="1">'IP Lookup'!$A$1:$I$84</definedName>
    <definedName name="_xlnm._FilterDatabase" localSheetId="22" hidden="1">'REGASSET Jun22data'!$A$1:$J$882</definedName>
    <definedName name="_xlnm._FilterDatabase" localSheetId="23" hidden="1">'REGASSET Lookup'!$A$1:$I$1201</definedName>
    <definedName name="_xlnm._FilterDatabase" localSheetId="18" hidden="1">'SCH M Jun22data'!$A$1:$J$533</definedName>
    <definedName name="_xlnm._FilterDatabase" localSheetId="19" hidden="1">'SCH M Lookup'!$A$1:$I$281</definedName>
    <definedName name="_xlnm.Print_Area" localSheetId="10">ACCUMDIT!$A$1:$H$78</definedName>
    <definedName name="_xlnm.Print_Area" localSheetId="4">BOOKDPR!$A$1:$G$22</definedName>
    <definedName name="_xlnm.Print_Area" localSheetId="5">'ELEC OPS'!$A$1:$I$41</definedName>
    <definedName name="_xlnm.Print_Area" localSheetId="3">'FORM 1'!$A$1:$G$57</definedName>
    <definedName name="_xlnm.Print_Area" localSheetId="6">GP!$A$1:$I$50</definedName>
    <definedName name="_xlnm.Print_Area" localSheetId="2">'GROSS PLANT'!$A$1:$I$52</definedName>
    <definedName name="_xlnm.Print_Area" localSheetId="7">IP!$A$1:$H$46</definedName>
    <definedName name="_xlnm.Print_Area" localSheetId="9">'REGASSETS&amp;DDS'!$A$1:$J$84</definedName>
    <definedName name="_xlnm.Print_Area" localSheetId="8">'SCH M'!$A$1:$J$155</definedName>
    <definedName name="_xlnm.Print_Area" localSheetId="1">'TAX DEPR'!$A$1:$G$25</definedName>
    <definedName name="Z_20A63875_964B_11D5_AAED_0004762A99E9_.wvu.PrintArea" localSheetId="5" hidden="1">'ELEC OPS'!$A$7:$I$38</definedName>
    <definedName name="Z_20A63875_964B_11D5_AAED_0004762A99E9_.wvu.PrintArea" localSheetId="9" hidden="1">'REGASSETS&amp;DDS'!$B$6:$J$83</definedName>
    <definedName name="Z_20A63875_964B_11D5_AAED_0004762A99E9_.wvu.PrintArea" localSheetId="8" hidden="1">'SCH M'!$B$6:$J$155</definedName>
    <definedName name="Z_20A63875_964B_11D5_AAED_0004762A99E9_.wvu.PrintArea" localSheetId="0" hidden="1">'TOTAL FUNCFAC'!$A$7:$H$63</definedName>
    <definedName name="Z_20A63875_964B_11D5_AAED_0004762A99E9_.wvu.PrintTitles" localSheetId="5" hidden="1">'ELEC OPS'!$1:$6</definedName>
    <definedName name="Z_20A63875_964B_11D5_AAED_0004762A99E9_.wvu.PrintTitles" localSheetId="9" hidden="1">'REGASSETS&amp;DDS'!$1:$5</definedName>
    <definedName name="Z_20A63875_964B_11D5_AAED_0004762A99E9_.wvu.PrintTitles" localSheetId="8" hidden="1">'SCH M'!$1:$5</definedName>
    <definedName name="Z_20A63875_964B_11D5_AAED_0004762A99E9_.wvu.PrintTitles" localSheetId="0" hidden="1">'TOTAL FUNCFAC'!$1:$6</definedName>
  </definedNames>
  <calcPr calcId="191029" iterate="1"/>
  <customWorkbookViews>
    <customWorkbookView name="PacifiCorp - Personal View" guid="{20A63875-964B-11D5-AAED-0004762A99E9}" mergeInterval="0" personalView="1" xWindow="1" yWindow="21" windowWidth="796" windowHeight="195" tabRatio="81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C17" i="1"/>
  <c r="D17" i="1"/>
  <c r="E17" i="1"/>
  <c r="F17" i="1"/>
  <c r="G17" i="1"/>
  <c r="C19" i="1"/>
  <c r="D19" i="1"/>
  <c r="E19" i="1"/>
  <c r="F19" i="1"/>
  <c r="G19" i="1"/>
  <c r="C20" i="1"/>
  <c r="D20" i="1"/>
  <c r="E20" i="1"/>
  <c r="F20" i="1"/>
  <c r="G20" i="1"/>
  <c r="C21" i="1"/>
  <c r="C22" i="1" s="1"/>
  <c r="D21" i="1"/>
  <c r="E21" i="1"/>
  <c r="E22" i="1" s="1"/>
  <c r="F21" i="1"/>
  <c r="G21" i="1"/>
  <c r="D22" i="1"/>
  <c r="F22" i="1"/>
  <c r="G22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31" i="1"/>
  <c r="D31" i="1"/>
  <c r="E31" i="1"/>
  <c r="F31" i="1"/>
  <c r="G31" i="1"/>
  <c r="C32" i="1"/>
  <c r="D32" i="1"/>
  <c r="E32" i="1"/>
  <c r="F32" i="1"/>
  <c r="G32" i="1"/>
  <c r="C40" i="1"/>
  <c r="D40" i="1"/>
  <c r="E40" i="1"/>
  <c r="F40" i="1"/>
  <c r="G40" i="1"/>
  <c r="C61" i="1"/>
  <c r="D61" i="1"/>
  <c r="E61" i="1"/>
  <c r="F61" i="1"/>
  <c r="G61" i="1"/>
  <c r="C63" i="1"/>
  <c r="D63" i="1"/>
  <c r="E63" i="1"/>
  <c r="F63" i="1"/>
  <c r="G63" i="1"/>
  <c r="D12" i="4" l="1"/>
  <c r="H346" i="25" l="1"/>
  <c r="H345" i="25"/>
  <c r="H344" i="25"/>
  <c r="H343" i="25"/>
  <c r="H342" i="25"/>
  <c r="H341" i="25"/>
  <c r="H340" i="25"/>
  <c r="H339" i="25"/>
  <c r="H338" i="25"/>
  <c r="H337" i="25"/>
  <c r="H336" i="25"/>
  <c r="H335" i="25"/>
  <c r="H334" i="25"/>
  <c r="H333" i="25"/>
  <c r="H332" i="25"/>
  <c r="H331" i="25"/>
  <c r="H330" i="25"/>
  <c r="H329" i="25"/>
  <c r="H328" i="25"/>
  <c r="H327" i="25"/>
  <c r="H326" i="25"/>
  <c r="H325" i="25"/>
  <c r="H324" i="25"/>
  <c r="H323" i="25"/>
  <c r="H322" i="25"/>
  <c r="H321" i="25"/>
  <c r="H320" i="25"/>
  <c r="H319" i="25"/>
  <c r="H318" i="25"/>
  <c r="H317" i="25"/>
  <c r="H316" i="25"/>
  <c r="H315" i="25"/>
  <c r="H314" i="25"/>
  <c r="H313" i="25"/>
  <c r="H312" i="25"/>
  <c r="H311" i="25"/>
  <c r="H310" i="25"/>
  <c r="H309" i="25"/>
  <c r="H308" i="25"/>
  <c r="H307" i="25"/>
  <c r="H306" i="25"/>
  <c r="H305" i="25"/>
  <c r="H304" i="25"/>
  <c r="H303" i="25"/>
  <c r="H302" i="25"/>
  <c r="H301" i="25"/>
  <c r="H300" i="25"/>
  <c r="H299" i="25"/>
  <c r="H298" i="25"/>
  <c r="H297" i="25"/>
  <c r="H296" i="25"/>
  <c r="H295" i="25"/>
  <c r="H294" i="25"/>
  <c r="H293" i="25"/>
  <c r="H292" i="25"/>
  <c r="H291" i="25"/>
  <c r="H290" i="25"/>
  <c r="H289" i="25"/>
  <c r="H288" i="25"/>
  <c r="H287" i="25"/>
  <c r="H286" i="25"/>
  <c r="H285" i="25"/>
  <c r="H284" i="25"/>
  <c r="H283" i="25"/>
  <c r="H282" i="25"/>
  <c r="H281" i="25"/>
  <c r="H280" i="25"/>
  <c r="H279" i="25"/>
  <c r="H278" i="25"/>
  <c r="H277" i="25"/>
  <c r="H276" i="25"/>
  <c r="H275" i="25"/>
  <c r="H274" i="25"/>
  <c r="H273" i="25"/>
  <c r="H272" i="25"/>
  <c r="H271" i="25"/>
  <c r="H270" i="25"/>
  <c r="H269" i="25"/>
  <c r="H268" i="25"/>
  <c r="H267" i="25"/>
  <c r="H266" i="25"/>
  <c r="H265" i="25"/>
  <c r="H264" i="25"/>
  <c r="H263" i="25"/>
  <c r="H262" i="25"/>
  <c r="H261" i="25"/>
  <c r="H260" i="25"/>
  <c r="H259" i="25"/>
  <c r="H258" i="25"/>
  <c r="H257" i="25"/>
  <c r="H256" i="25"/>
  <c r="H255" i="25"/>
  <c r="H254" i="25"/>
  <c r="H253" i="25"/>
  <c r="H252" i="25"/>
  <c r="H251" i="25"/>
  <c r="H250" i="25"/>
  <c r="H249" i="25"/>
  <c r="H248" i="25"/>
  <c r="H247" i="25"/>
  <c r="H246" i="25"/>
  <c r="H245" i="25"/>
  <c r="H244" i="25"/>
  <c r="H243" i="25"/>
  <c r="H242" i="25"/>
  <c r="H241" i="25"/>
  <c r="H240" i="25"/>
  <c r="H239" i="25"/>
  <c r="H238" i="25"/>
  <c r="H237" i="25"/>
  <c r="H236" i="25"/>
  <c r="H235" i="25"/>
  <c r="H234" i="25"/>
  <c r="H233" i="25"/>
  <c r="H232" i="25"/>
  <c r="H231" i="25"/>
  <c r="H230" i="25"/>
  <c r="H229" i="25"/>
  <c r="H228" i="25"/>
  <c r="H227" i="25"/>
  <c r="H226" i="25"/>
  <c r="H225" i="25"/>
  <c r="H224" i="25"/>
  <c r="H223" i="25"/>
  <c r="H222" i="25"/>
  <c r="H221" i="25"/>
  <c r="H220" i="25"/>
  <c r="H219" i="25"/>
  <c r="H218" i="25"/>
  <c r="H217" i="25"/>
  <c r="H216" i="25"/>
  <c r="H215" i="25"/>
  <c r="H214" i="25"/>
  <c r="H213" i="25"/>
  <c r="H212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191" i="25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H3" i="25"/>
  <c r="H2" i="25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90" i="23"/>
  <c r="H289" i="23"/>
  <c r="H288" i="23"/>
  <c r="H287" i="23"/>
  <c r="H286" i="23"/>
  <c r="H285" i="23"/>
  <c r="H284" i="23"/>
  <c r="H283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225" i="23"/>
  <c r="H224" i="23"/>
  <c r="H223" i="23"/>
  <c r="H222" i="23"/>
  <c r="H221" i="23"/>
  <c r="H220" i="23"/>
  <c r="H219" i="23"/>
  <c r="H218" i="23"/>
  <c r="H217" i="23"/>
  <c r="H216" i="23"/>
  <c r="H215" i="23"/>
  <c r="H214" i="23"/>
  <c r="H213" i="23"/>
  <c r="H212" i="23"/>
  <c r="H211" i="23"/>
  <c r="H210" i="23"/>
  <c r="H209" i="23"/>
  <c r="H208" i="23"/>
  <c r="H207" i="23"/>
  <c r="H206" i="23"/>
  <c r="H205" i="23"/>
  <c r="H204" i="23"/>
  <c r="H203" i="23"/>
  <c r="H202" i="23"/>
  <c r="H201" i="23"/>
  <c r="H200" i="23"/>
  <c r="H199" i="23"/>
  <c r="H198" i="23"/>
  <c r="H197" i="23"/>
  <c r="H196" i="23"/>
  <c r="H195" i="23"/>
  <c r="H194" i="23"/>
  <c r="H193" i="23"/>
  <c r="H192" i="23"/>
  <c r="H191" i="23"/>
  <c r="H190" i="23"/>
  <c r="H189" i="23"/>
  <c r="H188" i="23"/>
  <c r="H187" i="23"/>
  <c r="H186" i="23"/>
  <c r="H185" i="23"/>
  <c r="H184" i="23"/>
  <c r="H183" i="23"/>
  <c r="H182" i="23"/>
  <c r="H181" i="23"/>
  <c r="H180" i="23"/>
  <c r="H179" i="23"/>
  <c r="H178" i="23"/>
  <c r="H177" i="23"/>
  <c r="H176" i="23"/>
  <c r="H175" i="23"/>
  <c r="H174" i="23"/>
  <c r="H173" i="23"/>
  <c r="H172" i="23"/>
  <c r="H171" i="23"/>
  <c r="H170" i="23"/>
  <c r="H169" i="23"/>
  <c r="H168" i="23"/>
  <c r="H167" i="23"/>
  <c r="H166" i="23"/>
  <c r="H165" i="23"/>
  <c r="H164" i="23"/>
  <c r="H163" i="23"/>
  <c r="H162" i="23"/>
  <c r="H161" i="23"/>
  <c r="H160" i="23"/>
  <c r="H159" i="23"/>
  <c r="H158" i="23"/>
  <c r="H157" i="23"/>
  <c r="H156" i="23"/>
  <c r="H155" i="23"/>
  <c r="H154" i="23"/>
  <c r="H153" i="23"/>
  <c r="H152" i="23"/>
  <c r="H151" i="23"/>
  <c r="H150" i="23"/>
  <c r="H149" i="23"/>
  <c r="H148" i="23"/>
  <c r="H147" i="23"/>
  <c r="H146" i="23"/>
  <c r="H145" i="23"/>
  <c r="H144" i="23"/>
  <c r="H143" i="23"/>
  <c r="H142" i="23"/>
  <c r="H141" i="23"/>
  <c r="H140" i="23"/>
  <c r="H139" i="23"/>
  <c r="H138" i="23"/>
  <c r="H137" i="23"/>
  <c r="H136" i="23"/>
  <c r="H135" i="23"/>
  <c r="H134" i="23"/>
  <c r="H133" i="23"/>
  <c r="H132" i="23"/>
  <c r="H131" i="23"/>
  <c r="H130" i="23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4" i="23"/>
  <c r="H93" i="23"/>
  <c r="H92" i="23"/>
  <c r="H91" i="23"/>
  <c r="H90" i="23"/>
  <c r="H89" i="23"/>
  <c r="H88" i="23"/>
  <c r="H87" i="23"/>
  <c r="H86" i="23"/>
  <c r="H85" i="23"/>
  <c r="H84" i="23"/>
  <c r="H83" i="23"/>
  <c r="H82" i="23"/>
  <c r="H81" i="23"/>
  <c r="H80" i="23"/>
  <c r="H79" i="23"/>
  <c r="H78" i="23"/>
  <c r="H77" i="23"/>
  <c r="H76" i="23"/>
  <c r="H75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H2" i="23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H4" i="22"/>
  <c r="H3" i="22"/>
  <c r="H2" i="22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H464" i="19"/>
  <c r="H463" i="19"/>
  <c r="H462" i="19"/>
  <c r="H461" i="19"/>
  <c r="H460" i="19"/>
  <c r="H459" i="19"/>
  <c r="H458" i="19"/>
  <c r="H457" i="19"/>
  <c r="H456" i="19"/>
  <c r="H455" i="19"/>
  <c r="H454" i="19"/>
  <c r="H453" i="19"/>
  <c r="H452" i="19"/>
  <c r="H451" i="19"/>
  <c r="H450" i="19"/>
  <c r="H449" i="19"/>
  <c r="H448" i="19"/>
  <c r="H447" i="19"/>
  <c r="H446" i="19"/>
  <c r="H445" i="19"/>
  <c r="H444" i="19"/>
  <c r="H443" i="19"/>
  <c r="H442" i="19"/>
  <c r="H441" i="19"/>
  <c r="H440" i="19"/>
  <c r="H439" i="19"/>
  <c r="H438" i="19"/>
  <c r="H437" i="19"/>
  <c r="H436" i="19"/>
  <c r="H435" i="19"/>
  <c r="H434" i="19"/>
  <c r="H433" i="19"/>
  <c r="H432" i="19"/>
  <c r="H431" i="19"/>
  <c r="H430" i="19"/>
  <c r="H429" i="19"/>
  <c r="H428" i="19"/>
  <c r="H427" i="19"/>
  <c r="H426" i="19"/>
  <c r="H425" i="19"/>
  <c r="H424" i="19"/>
  <c r="H423" i="19"/>
  <c r="H422" i="19"/>
  <c r="H421" i="19"/>
  <c r="H420" i="19"/>
  <c r="H419" i="19"/>
  <c r="H418" i="19"/>
  <c r="H417" i="19"/>
  <c r="H416" i="19"/>
  <c r="H415" i="19"/>
  <c r="H414" i="19"/>
  <c r="H413" i="19"/>
  <c r="H412" i="19"/>
  <c r="H411" i="19"/>
  <c r="H410" i="19"/>
  <c r="H409" i="19"/>
  <c r="H408" i="19"/>
  <c r="H407" i="19"/>
  <c r="H406" i="19"/>
  <c r="H405" i="19"/>
  <c r="H404" i="19"/>
  <c r="H403" i="19"/>
  <c r="H402" i="19"/>
  <c r="H401" i="19"/>
  <c r="H400" i="19"/>
  <c r="H399" i="19"/>
  <c r="H398" i="19"/>
  <c r="H397" i="19"/>
  <c r="H396" i="19"/>
  <c r="H395" i="19"/>
  <c r="H394" i="19"/>
  <c r="H393" i="19"/>
  <c r="H392" i="19"/>
  <c r="H391" i="19"/>
  <c r="H390" i="19"/>
  <c r="H389" i="19"/>
  <c r="H388" i="19"/>
  <c r="H387" i="19"/>
  <c r="H386" i="19"/>
  <c r="H385" i="19"/>
  <c r="H384" i="19"/>
  <c r="H383" i="19"/>
  <c r="H382" i="19"/>
  <c r="H381" i="19"/>
  <c r="H380" i="19"/>
  <c r="H379" i="19"/>
  <c r="H378" i="19"/>
  <c r="H377" i="19"/>
  <c r="H376" i="19"/>
  <c r="H375" i="19"/>
  <c r="H374" i="19"/>
  <c r="H373" i="19"/>
  <c r="H372" i="19"/>
  <c r="H371" i="19"/>
  <c r="H370" i="19"/>
  <c r="H369" i="19"/>
  <c r="H368" i="19"/>
  <c r="H367" i="19"/>
  <c r="H366" i="19"/>
  <c r="H365" i="19"/>
  <c r="H364" i="19"/>
  <c r="H363" i="19"/>
  <c r="H362" i="19"/>
  <c r="H361" i="19"/>
  <c r="H360" i="19"/>
  <c r="H359" i="19"/>
  <c r="H358" i="19"/>
  <c r="H357" i="19"/>
  <c r="H356" i="19"/>
  <c r="H355" i="19"/>
  <c r="H354" i="19"/>
  <c r="H353" i="19"/>
  <c r="H352" i="19"/>
  <c r="H351" i="19"/>
  <c r="H350" i="19"/>
  <c r="H349" i="19"/>
  <c r="H348" i="19"/>
  <c r="H347" i="19"/>
  <c r="H346" i="19"/>
  <c r="H345" i="19"/>
  <c r="H344" i="19"/>
  <c r="H343" i="19"/>
  <c r="H342" i="19"/>
  <c r="H341" i="19"/>
  <c r="H340" i="19"/>
  <c r="H339" i="19"/>
  <c r="H338" i="19"/>
  <c r="H337" i="19"/>
  <c r="H336" i="19"/>
  <c r="H335" i="19"/>
  <c r="H334" i="19"/>
  <c r="H333" i="19"/>
  <c r="H332" i="19"/>
  <c r="H331" i="19"/>
  <c r="H330" i="19"/>
  <c r="H329" i="19"/>
  <c r="H328" i="19"/>
  <c r="H327" i="19"/>
  <c r="H326" i="19"/>
  <c r="H325" i="19"/>
  <c r="H324" i="19"/>
  <c r="H323" i="19"/>
  <c r="H322" i="19"/>
  <c r="H321" i="19"/>
  <c r="H320" i="19"/>
  <c r="H319" i="19"/>
  <c r="H318" i="19"/>
  <c r="H317" i="19"/>
  <c r="H316" i="19"/>
  <c r="H315" i="19"/>
  <c r="H314" i="19"/>
  <c r="H313" i="19"/>
  <c r="H312" i="19"/>
  <c r="H311" i="19"/>
  <c r="H310" i="19"/>
  <c r="H309" i="19"/>
  <c r="H308" i="19"/>
  <c r="H307" i="19"/>
  <c r="H306" i="19"/>
  <c r="H305" i="19"/>
  <c r="H304" i="19"/>
  <c r="H303" i="19"/>
  <c r="H302" i="19"/>
  <c r="H301" i="19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H210" i="19"/>
  <c r="H209" i="19"/>
  <c r="H208" i="19"/>
  <c r="H207" i="19"/>
  <c r="H206" i="19"/>
  <c r="H205" i="19"/>
  <c r="H204" i="19"/>
  <c r="H203" i="19"/>
  <c r="H202" i="19"/>
  <c r="H201" i="19"/>
  <c r="H200" i="19"/>
  <c r="H199" i="19"/>
  <c r="H198" i="19"/>
  <c r="H197" i="19"/>
  <c r="H196" i="19"/>
  <c r="H195" i="19"/>
  <c r="H194" i="19"/>
  <c r="H193" i="19"/>
  <c r="H192" i="19"/>
  <c r="H191" i="19"/>
  <c r="H190" i="19"/>
  <c r="H189" i="19"/>
  <c r="H188" i="19"/>
  <c r="H187" i="19"/>
  <c r="H186" i="19"/>
  <c r="H185" i="19"/>
  <c r="H184" i="19"/>
  <c r="H183" i="19"/>
  <c r="H182" i="19"/>
  <c r="H181" i="19"/>
  <c r="H180" i="19"/>
  <c r="H179" i="19"/>
  <c r="H178" i="19"/>
  <c r="H177" i="19"/>
  <c r="H176" i="19"/>
  <c r="H175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H158" i="19"/>
  <c r="H157" i="19"/>
  <c r="H156" i="19"/>
  <c r="H155" i="19"/>
  <c r="H154" i="19"/>
  <c r="H153" i="19"/>
  <c r="H152" i="19"/>
  <c r="H151" i="19"/>
  <c r="H150" i="19"/>
  <c r="H149" i="19"/>
  <c r="H148" i="19"/>
  <c r="H147" i="19"/>
  <c r="H146" i="19"/>
  <c r="H145" i="19"/>
  <c r="H144" i="19"/>
  <c r="H143" i="19"/>
  <c r="H142" i="19"/>
  <c r="H141" i="19"/>
  <c r="H140" i="19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2" i="19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" i="24"/>
  <c r="H2" i="24"/>
  <c r="I17" i="9"/>
  <c r="H17" i="9"/>
  <c r="G17" i="9"/>
  <c r="F17" i="9"/>
  <c r="E17" i="9"/>
  <c r="H19" i="5"/>
  <c r="G19" i="5"/>
  <c r="F19" i="5"/>
  <c r="E19" i="5"/>
  <c r="D19" i="5"/>
  <c r="G133" i="13"/>
  <c r="H133" i="13"/>
  <c r="I133" i="13"/>
  <c r="J133" i="13"/>
  <c r="E134" i="13"/>
  <c r="F134" i="13"/>
  <c r="G134" i="13"/>
  <c r="H134" i="13"/>
  <c r="I134" i="13"/>
  <c r="J134" i="13"/>
  <c r="J62" i="13"/>
  <c r="I62" i="13"/>
  <c r="H62" i="13"/>
  <c r="G62" i="13"/>
  <c r="J61" i="13"/>
  <c r="I61" i="13"/>
  <c r="H61" i="13"/>
  <c r="G61" i="13"/>
  <c r="E39" i="13" l="1"/>
  <c r="E27" i="13"/>
  <c r="G39" i="13"/>
  <c r="H39" i="13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" i="20"/>
  <c r="H2" i="20"/>
  <c r="H882" i="21"/>
  <c r="H881" i="21"/>
  <c r="H880" i="21"/>
  <c r="H879" i="21"/>
  <c r="H878" i="21"/>
  <c r="H877" i="21"/>
  <c r="H876" i="21"/>
  <c r="H875" i="21"/>
  <c r="H874" i="21"/>
  <c r="H873" i="21"/>
  <c r="H872" i="21"/>
  <c r="H871" i="21"/>
  <c r="H870" i="21"/>
  <c r="H869" i="21"/>
  <c r="H868" i="21"/>
  <c r="H867" i="21"/>
  <c r="H866" i="21"/>
  <c r="H865" i="21"/>
  <c r="H864" i="21"/>
  <c r="H863" i="21"/>
  <c r="H862" i="21"/>
  <c r="H861" i="21"/>
  <c r="H860" i="21"/>
  <c r="H859" i="21"/>
  <c r="H858" i="21"/>
  <c r="H857" i="21"/>
  <c r="H856" i="21"/>
  <c r="H855" i="21"/>
  <c r="H854" i="21"/>
  <c r="H853" i="21"/>
  <c r="H852" i="21"/>
  <c r="H851" i="21"/>
  <c r="H850" i="21"/>
  <c r="H849" i="21"/>
  <c r="H848" i="21"/>
  <c r="H847" i="21"/>
  <c r="H846" i="21"/>
  <c r="H845" i="21"/>
  <c r="H844" i="21"/>
  <c r="H843" i="21"/>
  <c r="H842" i="21"/>
  <c r="H841" i="21"/>
  <c r="H840" i="21"/>
  <c r="H839" i="21"/>
  <c r="H838" i="21"/>
  <c r="H837" i="21"/>
  <c r="H836" i="21"/>
  <c r="H835" i="21"/>
  <c r="H834" i="21"/>
  <c r="H833" i="21"/>
  <c r="H832" i="21"/>
  <c r="H831" i="21"/>
  <c r="H830" i="21"/>
  <c r="H829" i="21"/>
  <c r="H828" i="21"/>
  <c r="H827" i="21"/>
  <c r="H826" i="21"/>
  <c r="H825" i="21"/>
  <c r="H824" i="21"/>
  <c r="H823" i="21"/>
  <c r="H822" i="21"/>
  <c r="H821" i="21"/>
  <c r="H820" i="21"/>
  <c r="H819" i="21"/>
  <c r="H818" i="21"/>
  <c r="H817" i="21"/>
  <c r="H816" i="21"/>
  <c r="H815" i="21"/>
  <c r="H814" i="21"/>
  <c r="H813" i="21"/>
  <c r="H812" i="21"/>
  <c r="H811" i="21"/>
  <c r="H810" i="21"/>
  <c r="H809" i="21"/>
  <c r="H808" i="21"/>
  <c r="H807" i="21"/>
  <c r="H806" i="21"/>
  <c r="H805" i="21"/>
  <c r="H804" i="21"/>
  <c r="H803" i="21"/>
  <c r="H802" i="21"/>
  <c r="H801" i="21"/>
  <c r="H800" i="21"/>
  <c r="H799" i="21"/>
  <c r="H798" i="21"/>
  <c r="H797" i="21"/>
  <c r="H796" i="21"/>
  <c r="H795" i="21"/>
  <c r="H794" i="21"/>
  <c r="H793" i="21"/>
  <c r="H792" i="21"/>
  <c r="H791" i="21"/>
  <c r="H790" i="21"/>
  <c r="H789" i="21"/>
  <c r="H788" i="21"/>
  <c r="H787" i="21"/>
  <c r="H786" i="21"/>
  <c r="H785" i="21"/>
  <c r="H784" i="21"/>
  <c r="H783" i="21"/>
  <c r="H782" i="21"/>
  <c r="H781" i="21"/>
  <c r="H780" i="21"/>
  <c r="H779" i="21"/>
  <c r="H778" i="21"/>
  <c r="H777" i="21"/>
  <c r="H776" i="21"/>
  <c r="H775" i="21"/>
  <c r="H774" i="21"/>
  <c r="H773" i="21"/>
  <c r="H772" i="21"/>
  <c r="H771" i="21"/>
  <c r="H770" i="21"/>
  <c r="H769" i="21"/>
  <c r="H768" i="21"/>
  <c r="H767" i="21"/>
  <c r="H766" i="21"/>
  <c r="H765" i="21"/>
  <c r="H764" i="21"/>
  <c r="H763" i="21"/>
  <c r="H762" i="21"/>
  <c r="H761" i="21"/>
  <c r="H760" i="21"/>
  <c r="H759" i="21"/>
  <c r="H758" i="21"/>
  <c r="H757" i="21"/>
  <c r="H756" i="21"/>
  <c r="H755" i="21"/>
  <c r="H754" i="21"/>
  <c r="H753" i="21"/>
  <c r="H752" i="21"/>
  <c r="H751" i="21"/>
  <c r="H750" i="21"/>
  <c r="H749" i="21"/>
  <c r="H748" i="21"/>
  <c r="H747" i="21"/>
  <c r="H746" i="21"/>
  <c r="H745" i="21"/>
  <c r="H744" i="21"/>
  <c r="H743" i="21"/>
  <c r="H742" i="21"/>
  <c r="H741" i="21"/>
  <c r="H740" i="21"/>
  <c r="H739" i="21"/>
  <c r="H738" i="21"/>
  <c r="H737" i="21"/>
  <c r="H736" i="21"/>
  <c r="H735" i="21"/>
  <c r="H734" i="21"/>
  <c r="H733" i="21"/>
  <c r="H732" i="21"/>
  <c r="H731" i="21"/>
  <c r="H730" i="21"/>
  <c r="H729" i="21"/>
  <c r="H728" i="21"/>
  <c r="H727" i="21"/>
  <c r="H726" i="21"/>
  <c r="H725" i="21"/>
  <c r="H724" i="21"/>
  <c r="H723" i="21"/>
  <c r="H722" i="21"/>
  <c r="H721" i="21"/>
  <c r="H720" i="21"/>
  <c r="H719" i="21"/>
  <c r="H718" i="21"/>
  <c r="H717" i="21"/>
  <c r="H716" i="21"/>
  <c r="H715" i="21"/>
  <c r="H714" i="21"/>
  <c r="H713" i="21"/>
  <c r="H712" i="21"/>
  <c r="H711" i="21"/>
  <c r="H710" i="21"/>
  <c r="H709" i="21"/>
  <c r="H708" i="21"/>
  <c r="H707" i="21"/>
  <c r="H706" i="21"/>
  <c r="H705" i="21"/>
  <c r="H704" i="21"/>
  <c r="H703" i="21"/>
  <c r="H702" i="21"/>
  <c r="H701" i="21"/>
  <c r="H700" i="21"/>
  <c r="H699" i="21"/>
  <c r="H698" i="21"/>
  <c r="H697" i="21"/>
  <c r="H696" i="21"/>
  <c r="H695" i="21"/>
  <c r="H694" i="21"/>
  <c r="H693" i="21"/>
  <c r="H692" i="21"/>
  <c r="H691" i="21"/>
  <c r="H690" i="21"/>
  <c r="H689" i="21"/>
  <c r="H688" i="21"/>
  <c r="H687" i="21"/>
  <c r="H686" i="21"/>
  <c r="H685" i="21"/>
  <c r="H684" i="21"/>
  <c r="H683" i="21"/>
  <c r="H682" i="21"/>
  <c r="H681" i="21"/>
  <c r="H680" i="21"/>
  <c r="H679" i="21"/>
  <c r="H678" i="21"/>
  <c r="H677" i="21"/>
  <c r="H676" i="21"/>
  <c r="H675" i="21"/>
  <c r="H674" i="21"/>
  <c r="H673" i="21"/>
  <c r="H672" i="21"/>
  <c r="H671" i="21"/>
  <c r="H670" i="21"/>
  <c r="H669" i="21"/>
  <c r="H668" i="21"/>
  <c r="H667" i="21"/>
  <c r="H666" i="21"/>
  <c r="H665" i="21"/>
  <c r="H664" i="21"/>
  <c r="H663" i="21"/>
  <c r="H662" i="21"/>
  <c r="H661" i="21"/>
  <c r="H660" i="21"/>
  <c r="H659" i="21"/>
  <c r="H658" i="21"/>
  <c r="H657" i="21"/>
  <c r="H656" i="21"/>
  <c r="H655" i="21"/>
  <c r="H654" i="21"/>
  <c r="H653" i="21"/>
  <c r="H652" i="21"/>
  <c r="H651" i="21"/>
  <c r="H650" i="21"/>
  <c r="H649" i="21"/>
  <c r="H648" i="21"/>
  <c r="H647" i="21"/>
  <c r="H646" i="21"/>
  <c r="H645" i="21"/>
  <c r="H644" i="21"/>
  <c r="H643" i="21"/>
  <c r="H642" i="21"/>
  <c r="H641" i="21"/>
  <c r="H640" i="21"/>
  <c r="H639" i="21"/>
  <c r="H638" i="21"/>
  <c r="H637" i="21"/>
  <c r="H636" i="21"/>
  <c r="H635" i="21"/>
  <c r="H634" i="21"/>
  <c r="H633" i="21"/>
  <c r="H632" i="21"/>
  <c r="H631" i="21"/>
  <c r="H630" i="21"/>
  <c r="H629" i="21"/>
  <c r="H628" i="21"/>
  <c r="H627" i="21"/>
  <c r="H626" i="21"/>
  <c r="H625" i="21"/>
  <c r="H624" i="21"/>
  <c r="H623" i="21"/>
  <c r="H622" i="21"/>
  <c r="H621" i="21"/>
  <c r="H620" i="21"/>
  <c r="H619" i="21"/>
  <c r="H618" i="21"/>
  <c r="H617" i="21"/>
  <c r="H616" i="21"/>
  <c r="H615" i="21"/>
  <c r="H614" i="21"/>
  <c r="H613" i="21"/>
  <c r="H612" i="21"/>
  <c r="H611" i="21"/>
  <c r="H610" i="21"/>
  <c r="H609" i="21"/>
  <c r="H608" i="21"/>
  <c r="H607" i="21"/>
  <c r="H606" i="21"/>
  <c r="H605" i="21"/>
  <c r="H604" i="21"/>
  <c r="H603" i="21"/>
  <c r="H602" i="21"/>
  <c r="H601" i="21"/>
  <c r="H600" i="21"/>
  <c r="H599" i="21"/>
  <c r="H598" i="21"/>
  <c r="H597" i="21"/>
  <c r="H596" i="21"/>
  <c r="H595" i="21"/>
  <c r="H594" i="21"/>
  <c r="H593" i="21"/>
  <c r="H592" i="21"/>
  <c r="H591" i="21"/>
  <c r="H590" i="21"/>
  <c r="H589" i="21"/>
  <c r="H588" i="21"/>
  <c r="H587" i="21"/>
  <c r="H586" i="21"/>
  <c r="H585" i="21"/>
  <c r="H584" i="21"/>
  <c r="H583" i="21"/>
  <c r="H582" i="21"/>
  <c r="H581" i="21"/>
  <c r="H580" i="21"/>
  <c r="H579" i="21"/>
  <c r="H578" i="21"/>
  <c r="H577" i="21"/>
  <c r="H576" i="21"/>
  <c r="H575" i="21"/>
  <c r="H574" i="21"/>
  <c r="H573" i="21"/>
  <c r="H572" i="21"/>
  <c r="H571" i="21"/>
  <c r="H570" i="21"/>
  <c r="H569" i="21"/>
  <c r="H568" i="21"/>
  <c r="H567" i="21"/>
  <c r="H566" i="21"/>
  <c r="H565" i="21"/>
  <c r="H564" i="21"/>
  <c r="H563" i="21"/>
  <c r="H562" i="21"/>
  <c r="H561" i="21"/>
  <c r="H560" i="21"/>
  <c r="H559" i="21"/>
  <c r="H558" i="21"/>
  <c r="H557" i="21"/>
  <c r="H556" i="21"/>
  <c r="H555" i="21"/>
  <c r="H554" i="21"/>
  <c r="H553" i="21"/>
  <c r="H552" i="21"/>
  <c r="H551" i="21"/>
  <c r="H550" i="21"/>
  <c r="H549" i="21"/>
  <c r="H548" i="21"/>
  <c r="H547" i="21"/>
  <c r="H546" i="21"/>
  <c r="H545" i="21"/>
  <c r="H544" i="21"/>
  <c r="H543" i="21"/>
  <c r="H542" i="21"/>
  <c r="H541" i="21"/>
  <c r="H540" i="21"/>
  <c r="H539" i="21"/>
  <c r="H538" i="21"/>
  <c r="H537" i="21"/>
  <c r="H536" i="21"/>
  <c r="H535" i="21"/>
  <c r="H534" i="21"/>
  <c r="H533" i="21"/>
  <c r="H532" i="21"/>
  <c r="H531" i="21"/>
  <c r="H530" i="21"/>
  <c r="H529" i="21"/>
  <c r="H528" i="21"/>
  <c r="H527" i="21"/>
  <c r="H526" i="21"/>
  <c r="H525" i="21"/>
  <c r="H524" i="21"/>
  <c r="H523" i="21"/>
  <c r="H522" i="21"/>
  <c r="H521" i="21"/>
  <c r="H520" i="21"/>
  <c r="H519" i="21"/>
  <c r="H518" i="21"/>
  <c r="H517" i="21"/>
  <c r="H516" i="21"/>
  <c r="H515" i="21"/>
  <c r="H514" i="21"/>
  <c r="H513" i="21"/>
  <c r="H512" i="21"/>
  <c r="H511" i="21"/>
  <c r="H510" i="21"/>
  <c r="H509" i="21"/>
  <c r="H508" i="21"/>
  <c r="H507" i="21"/>
  <c r="H506" i="21"/>
  <c r="H505" i="21"/>
  <c r="H504" i="21"/>
  <c r="H503" i="21"/>
  <c r="H502" i="21"/>
  <c r="H501" i="21"/>
  <c r="H500" i="21"/>
  <c r="H499" i="21"/>
  <c r="H498" i="21"/>
  <c r="H497" i="21"/>
  <c r="H496" i="21"/>
  <c r="H495" i="21"/>
  <c r="H494" i="21"/>
  <c r="H493" i="21"/>
  <c r="H492" i="21"/>
  <c r="H491" i="21"/>
  <c r="H490" i="21"/>
  <c r="H489" i="21"/>
  <c r="H488" i="21"/>
  <c r="H487" i="21"/>
  <c r="H486" i="21"/>
  <c r="H485" i="21"/>
  <c r="H484" i="21"/>
  <c r="H483" i="21"/>
  <c r="H482" i="21"/>
  <c r="H481" i="21"/>
  <c r="H480" i="21"/>
  <c r="H479" i="21"/>
  <c r="H478" i="21"/>
  <c r="H477" i="21"/>
  <c r="H476" i="21"/>
  <c r="H475" i="21"/>
  <c r="H474" i="21"/>
  <c r="H473" i="21"/>
  <c r="H472" i="21"/>
  <c r="H471" i="21"/>
  <c r="H470" i="21"/>
  <c r="H469" i="21"/>
  <c r="H468" i="21"/>
  <c r="H467" i="21"/>
  <c r="H466" i="21"/>
  <c r="H465" i="21"/>
  <c r="H464" i="21"/>
  <c r="H463" i="21"/>
  <c r="H462" i="21"/>
  <c r="H461" i="21"/>
  <c r="H460" i="21"/>
  <c r="H459" i="21"/>
  <c r="H458" i="21"/>
  <c r="H457" i="21"/>
  <c r="H456" i="21"/>
  <c r="H455" i="21"/>
  <c r="H454" i="21"/>
  <c r="H453" i="21"/>
  <c r="H452" i="21"/>
  <c r="H451" i="21"/>
  <c r="H450" i="21"/>
  <c r="H449" i="21"/>
  <c r="H448" i="21"/>
  <c r="H447" i="21"/>
  <c r="H446" i="21"/>
  <c r="H445" i="21"/>
  <c r="H444" i="21"/>
  <c r="H443" i="21"/>
  <c r="H442" i="21"/>
  <c r="H441" i="21"/>
  <c r="H440" i="21"/>
  <c r="H439" i="21"/>
  <c r="H438" i="21"/>
  <c r="H437" i="21"/>
  <c r="H436" i="21"/>
  <c r="H435" i="21"/>
  <c r="H434" i="21"/>
  <c r="H433" i="21"/>
  <c r="H432" i="21"/>
  <c r="H431" i="21"/>
  <c r="H430" i="21"/>
  <c r="H429" i="21"/>
  <c r="H428" i="21"/>
  <c r="H427" i="21"/>
  <c r="H426" i="21"/>
  <c r="H425" i="21"/>
  <c r="H424" i="21"/>
  <c r="H423" i="21"/>
  <c r="H422" i="21"/>
  <c r="H421" i="21"/>
  <c r="H420" i="21"/>
  <c r="H419" i="21"/>
  <c r="H418" i="21"/>
  <c r="H417" i="21"/>
  <c r="H416" i="21"/>
  <c r="H415" i="21"/>
  <c r="H414" i="21"/>
  <c r="H413" i="21"/>
  <c r="H412" i="21"/>
  <c r="H411" i="21"/>
  <c r="H410" i="21"/>
  <c r="H409" i="21"/>
  <c r="H408" i="21"/>
  <c r="H407" i="21"/>
  <c r="H406" i="21"/>
  <c r="H405" i="21"/>
  <c r="H404" i="21"/>
  <c r="H403" i="21"/>
  <c r="H402" i="21"/>
  <c r="H401" i="21"/>
  <c r="H400" i="21"/>
  <c r="H399" i="21"/>
  <c r="H398" i="21"/>
  <c r="H397" i="21"/>
  <c r="H396" i="21"/>
  <c r="H395" i="21"/>
  <c r="H394" i="21"/>
  <c r="H393" i="21"/>
  <c r="H392" i="21"/>
  <c r="H391" i="21"/>
  <c r="H390" i="21"/>
  <c r="H389" i="21"/>
  <c r="H388" i="21"/>
  <c r="H387" i="21"/>
  <c r="H386" i="21"/>
  <c r="H385" i="21"/>
  <c r="H384" i="21"/>
  <c r="H383" i="21"/>
  <c r="H382" i="21"/>
  <c r="H381" i="21"/>
  <c r="H380" i="21"/>
  <c r="H379" i="21"/>
  <c r="H378" i="21"/>
  <c r="H377" i="21"/>
  <c r="H376" i="21"/>
  <c r="H375" i="21"/>
  <c r="H374" i="21"/>
  <c r="H373" i="21"/>
  <c r="H372" i="21"/>
  <c r="H371" i="21"/>
  <c r="H370" i="21"/>
  <c r="H369" i="21"/>
  <c r="H368" i="21"/>
  <c r="H367" i="21"/>
  <c r="H366" i="21"/>
  <c r="H365" i="21"/>
  <c r="H364" i="21"/>
  <c r="H363" i="21"/>
  <c r="H362" i="21"/>
  <c r="H361" i="21"/>
  <c r="H360" i="21"/>
  <c r="H359" i="21"/>
  <c r="H358" i="21"/>
  <c r="H357" i="21"/>
  <c r="H356" i="21"/>
  <c r="H355" i="21"/>
  <c r="H354" i="21"/>
  <c r="H353" i="21"/>
  <c r="H352" i="21"/>
  <c r="H351" i="21"/>
  <c r="H350" i="21"/>
  <c r="H349" i="21"/>
  <c r="H348" i="21"/>
  <c r="H347" i="21"/>
  <c r="H346" i="21"/>
  <c r="H345" i="21"/>
  <c r="H344" i="21"/>
  <c r="H343" i="21"/>
  <c r="H342" i="21"/>
  <c r="H341" i="21"/>
  <c r="H340" i="21"/>
  <c r="H339" i="21"/>
  <c r="H338" i="21"/>
  <c r="H337" i="21"/>
  <c r="H336" i="21"/>
  <c r="H335" i="21"/>
  <c r="H334" i="21"/>
  <c r="H333" i="21"/>
  <c r="H332" i="21"/>
  <c r="H331" i="21"/>
  <c r="H330" i="21"/>
  <c r="H329" i="21"/>
  <c r="H328" i="21"/>
  <c r="H327" i="21"/>
  <c r="H326" i="21"/>
  <c r="H325" i="21"/>
  <c r="H324" i="21"/>
  <c r="H323" i="21"/>
  <c r="H322" i="21"/>
  <c r="H321" i="21"/>
  <c r="H320" i="21"/>
  <c r="H319" i="21"/>
  <c r="H318" i="21"/>
  <c r="H317" i="21"/>
  <c r="H316" i="21"/>
  <c r="H315" i="21"/>
  <c r="H314" i="21"/>
  <c r="H313" i="21"/>
  <c r="H312" i="21"/>
  <c r="H311" i="21"/>
  <c r="H310" i="21"/>
  <c r="H309" i="21"/>
  <c r="H308" i="21"/>
  <c r="H307" i="21"/>
  <c r="H306" i="21"/>
  <c r="H305" i="21"/>
  <c r="H304" i="21"/>
  <c r="H303" i="21"/>
  <c r="H302" i="21"/>
  <c r="H301" i="21"/>
  <c r="H300" i="21"/>
  <c r="H299" i="21"/>
  <c r="H298" i="21"/>
  <c r="H297" i="21"/>
  <c r="H296" i="21"/>
  <c r="H295" i="21"/>
  <c r="H294" i="21"/>
  <c r="H293" i="21"/>
  <c r="H292" i="21"/>
  <c r="H291" i="21"/>
  <c r="H290" i="21"/>
  <c r="H289" i="21"/>
  <c r="H288" i="21"/>
  <c r="H287" i="21"/>
  <c r="H286" i="21"/>
  <c r="H285" i="21"/>
  <c r="H284" i="21"/>
  <c r="H283" i="21"/>
  <c r="H282" i="21"/>
  <c r="H281" i="21"/>
  <c r="H280" i="21"/>
  <c r="H279" i="21"/>
  <c r="H278" i="21"/>
  <c r="H277" i="21"/>
  <c r="H276" i="21"/>
  <c r="H275" i="21"/>
  <c r="H274" i="21"/>
  <c r="H273" i="21"/>
  <c r="H272" i="21"/>
  <c r="H271" i="21"/>
  <c r="H270" i="21"/>
  <c r="H269" i="21"/>
  <c r="H268" i="21"/>
  <c r="H267" i="21"/>
  <c r="H266" i="21"/>
  <c r="H265" i="21"/>
  <c r="H264" i="21"/>
  <c r="H263" i="21"/>
  <c r="H262" i="21"/>
  <c r="H261" i="21"/>
  <c r="H260" i="21"/>
  <c r="H259" i="21"/>
  <c r="H258" i="21"/>
  <c r="H257" i="21"/>
  <c r="H256" i="21"/>
  <c r="H255" i="21"/>
  <c r="H254" i="21"/>
  <c r="H253" i="21"/>
  <c r="H252" i="21"/>
  <c r="H251" i="21"/>
  <c r="H250" i="21"/>
  <c r="H249" i="21"/>
  <c r="H248" i="21"/>
  <c r="H247" i="21"/>
  <c r="H246" i="21"/>
  <c r="H245" i="21"/>
  <c r="H244" i="21"/>
  <c r="H243" i="21"/>
  <c r="H242" i="21"/>
  <c r="H241" i="21"/>
  <c r="H240" i="21"/>
  <c r="H239" i="21"/>
  <c r="H238" i="21"/>
  <c r="H237" i="21"/>
  <c r="H236" i="21"/>
  <c r="H235" i="21"/>
  <c r="H234" i="21"/>
  <c r="H233" i="21"/>
  <c r="H232" i="21"/>
  <c r="H231" i="21"/>
  <c r="H230" i="21"/>
  <c r="H229" i="21"/>
  <c r="H228" i="21"/>
  <c r="H227" i="21"/>
  <c r="H226" i="21"/>
  <c r="H225" i="21"/>
  <c r="H224" i="21"/>
  <c r="H223" i="21"/>
  <c r="H222" i="21"/>
  <c r="H221" i="21"/>
  <c r="H220" i="21"/>
  <c r="H219" i="21"/>
  <c r="H218" i="21"/>
  <c r="H217" i="21"/>
  <c r="H216" i="21"/>
  <c r="H215" i="21"/>
  <c r="H214" i="21"/>
  <c r="H213" i="21"/>
  <c r="H212" i="21"/>
  <c r="H211" i="21"/>
  <c r="H210" i="21"/>
  <c r="H209" i="21"/>
  <c r="H208" i="21"/>
  <c r="H207" i="21"/>
  <c r="H206" i="21"/>
  <c r="H205" i="21"/>
  <c r="H204" i="21"/>
  <c r="H203" i="21"/>
  <c r="H202" i="21"/>
  <c r="H201" i="21"/>
  <c r="H200" i="21"/>
  <c r="H199" i="21"/>
  <c r="H198" i="21"/>
  <c r="H197" i="21"/>
  <c r="H196" i="21"/>
  <c r="H195" i="21"/>
  <c r="H194" i="21"/>
  <c r="H193" i="21"/>
  <c r="H192" i="21"/>
  <c r="H191" i="21"/>
  <c r="H190" i="21"/>
  <c r="H189" i="21"/>
  <c r="H188" i="21"/>
  <c r="H187" i="21"/>
  <c r="H186" i="21"/>
  <c r="H185" i="21"/>
  <c r="H184" i="21"/>
  <c r="H183" i="21"/>
  <c r="H182" i="21"/>
  <c r="H181" i="21"/>
  <c r="H180" i="21"/>
  <c r="H179" i="21"/>
  <c r="H178" i="21"/>
  <c r="H177" i="21"/>
  <c r="H176" i="21"/>
  <c r="H175" i="21"/>
  <c r="H174" i="21"/>
  <c r="H173" i="21"/>
  <c r="H172" i="21"/>
  <c r="H171" i="21"/>
  <c r="H170" i="21"/>
  <c r="H169" i="21"/>
  <c r="H168" i="21"/>
  <c r="H167" i="21"/>
  <c r="H166" i="21"/>
  <c r="H165" i="21"/>
  <c r="H164" i="21"/>
  <c r="H163" i="21"/>
  <c r="H162" i="21"/>
  <c r="H161" i="21"/>
  <c r="H160" i="21"/>
  <c r="H159" i="21"/>
  <c r="H158" i="21"/>
  <c r="H157" i="21"/>
  <c r="H156" i="21"/>
  <c r="H155" i="21"/>
  <c r="H154" i="21"/>
  <c r="H153" i="21"/>
  <c r="H152" i="21"/>
  <c r="H151" i="21"/>
  <c r="H150" i="21"/>
  <c r="H149" i="21"/>
  <c r="H148" i="21"/>
  <c r="H147" i="21"/>
  <c r="H146" i="21"/>
  <c r="H145" i="21"/>
  <c r="H144" i="21"/>
  <c r="H143" i="21"/>
  <c r="H142" i="21"/>
  <c r="H141" i="21"/>
  <c r="H140" i="21"/>
  <c r="H139" i="21"/>
  <c r="H138" i="21"/>
  <c r="H137" i="21"/>
  <c r="H136" i="21"/>
  <c r="H135" i="21"/>
  <c r="H134" i="21"/>
  <c r="H133" i="21"/>
  <c r="H132" i="21"/>
  <c r="H131" i="21"/>
  <c r="H130" i="21"/>
  <c r="H129" i="21"/>
  <c r="H128" i="21"/>
  <c r="H127" i="21"/>
  <c r="H126" i="21"/>
  <c r="H125" i="21"/>
  <c r="H124" i="21"/>
  <c r="H123" i="21"/>
  <c r="H122" i="21"/>
  <c r="H121" i="21"/>
  <c r="H120" i="21"/>
  <c r="H119" i="21"/>
  <c r="H118" i="21"/>
  <c r="H117" i="21"/>
  <c r="H116" i="21"/>
  <c r="H115" i="21"/>
  <c r="H114" i="21"/>
  <c r="H113" i="21"/>
  <c r="H112" i="21"/>
  <c r="H111" i="21"/>
  <c r="H110" i="21"/>
  <c r="H109" i="21"/>
  <c r="H108" i="21"/>
  <c r="H107" i="21"/>
  <c r="H106" i="21"/>
  <c r="H105" i="21"/>
  <c r="H104" i="21"/>
  <c r="H103" i="21"/>
  <c r="H102" i="21"/>
  <c r="H101" i="21"/>
  <c r="H100" i="21"/>
  <c r="H99" i="21"/>
  <c r="H98" i="21"/>
  <c r="H97" i="21"/>
  <c r="H96" i="21"/>
  <c r="H95" i="21"/>
  <c r="H94" i="21"/>
  <c r="H93" i="21"/>
  <c r="H92" i="21"/>
  <c r="H91" i="21"/>
  <c r="H90" i="21"/>
  <c r="H89" i="21"/>
  <c r="H88" i="21"/>
  <c r="H87" i="21"/>
  <c r="H86" i="21"/>
  <c r="H85" i="21"/>
  <c r="H84" i="21"/>
  <c r="H83" i="21"/>
  <c r="H82" i="21"/>
  <c r="H81" i="21"/>
  <c r="H80" i="21"/>
  <c r="H79" i="21"/>
  <c r="H78" i="21"/>
  <c r="H77" i="21"/>
  <c r="H76" i="21"/>
  <c r="H75" i="21"/>
  <c r="H74" i="21"/>
  <c r="H73" i="21"/>
  <c r="H72" i="21"/>
  <c r="H71" i="21"/>
  <c r="H70" i="21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H2" i="21"/>
  <c r="G27" i="13" l="1"/>
  <c r="J27" i="13"/>
  <c r="H27" i="13"/>
  <c r="I27" i="13"/>
  <c r="I39" i="13"/>
  <c r="J39" i="13"/>
  <c r="J48" i="8"/>
  <c r="I48" i="8"/>
  <c r="H48" i="8"/>
  <c r="G48" i="8"/>
  <c r="F48" i="8"/>
  <c r="J47" i="8"/>
  <c r="I47" i="8"/>
  <c r="H47" i="8"/>
  <c r="F47" i="8"/>
  <c r="H50" i="17"/>
  <c r="G50" i="17"/>
  <c r="F50" i="17"/>
  <c r="E50" i="17"/>
  <c r="D50" i="17"/>
  <c r="H49" i="17"/>
  <c r="G49" i="17"/>
  <c r="F49" i="17"/>
  <c r="E49" i="17"/>
  <c r="D49" i="17"/>
  <c r="H48" i="17"/>
  <c r="G48" i="17"/>
  <c r="F48" i="17"/>
  <c r="E48" i="17"/>
  <c r="D48" i="17"/>
  <c r="H47" i="17"/>
  <c r="G47" i="17"/>
  <c r="F47" i="17"/>
  <c r="E47" i="17"/>
  <c r="D47" i="17"/>
  <c r="H46" i="17"/>
  <c r="G46" i="17"/>
  <c r="F46" i="17"/>
  <c r="E46" i="17"/>
  <c r="D46" i="17"/>
  <c r="H45" i="17"/>
  <c r="G45" i="17"/>
  <c r="F45" i="17"/>
  <c r="E45" i="17"/>
  <c r="D45" i="17"/>
  <c r="H44" i="17"/>
  <c r="G44" i="17"/>
  <c r="F44" i="17"/>
  <c r="E44" i="17"/>
  <c r="D44" i="17" l="1"/>
  <c r="H43" i="17"/>
  <c r="G43" i="17"/>
  <c r="F43" i="17"/>
  <c r="E43" i="17"/>
  <c r="D43" i="17"/>
  <c r="H41" i="17"/>
  <c r="G41" i="17"/>
  <c r="F41" i="17"/>
  <c r="E41" i="17"/>
  <c r="D41" i="17"/>
  <c r="H40" i="17"/>
  <c r="G40" i="17"/>
  <c r="F40" i="17"/>
  <c r="E40" i="17"/>
  <c r="D40" i="17"/>
  <c r="H37" i="17"/>
  <c r="G37" i="17"/>
  <c r="F37" i="17"/>
  <c r="E37" i="17"/>
  <c r="D37" i="17"/>
  <c r="H36" i="17"/>
  <c r="G36" i="17"/>
  <c r="F36" i="17"/>
  <c r="E36" i="17"/>
  <c r="D36" i="17"/>
  <c r="H34" i="17"/>
  <c r="G34" i="17"/>
  <c r="F34" i="17"/>
  <c r="E34" i="17"/>
  <c r="D34" i="17"/>
  <c r="H33" i="17"/>
  <c r="G33" i="17"/>
  <c r="F33" i="17"/>
  <c r="E33" i="17"/>
  <c r="D33" i="17"/>
  <c r="H32" i="17"/>
  <c r="G32" i="17"/>
  <c r="F32" i="17"/>
  <c r="E32" i="17"/>
  <c r="D32" i="17"/>
  <c r="H31" i="17"/>
  <c r="G31" i="17"/>
  <c r="F31" i="17"/>
  <c r="E31" i="17"/>
  <c r="D31" i="17"/>
  <c r="H30" i="17"/>
  <c r="G30" i="17"/>
  <c r="F30" i="17"/>
  <c r="E30" i="17"/>
  <c r="D30" i="17"/>
  <c r="H29" i="17"/>
  <c r="G29" i="17"/>
  <c r="F29" i="17"/>
  <c r="E29" i="17"/>
  <c r="D29" i="17"/>
  <c r="H28" i="17"/>
  <c r="G28" i="17"/>
  <c r="F28" i="17"/>
  <c r="E28" i="17"/>
  <c r="D28" i="17"/>
  <c r="H23" i="17"/>
  <c r="G23" i="17"/>
  <c r="F23" i="17"/>
  <c r="E23" i="17"/>
  <c r="D23" i="17"/>
  <c r="H21" i="17"/>
  <c r="G21" i="17"/>
  <c r="F21" i="17"/>
  <c r="E21" i="17"/>
  <c r="D21" i="17"/>
  <c r="H20" i="17"/>
  <c r="G20" i="17"/>
  <c r="F20" i="17"/>
  <c r="E20" i="17"/>
  <c r="D20" i="17"/>
  <c r="H19" i="17"/>
  <c r="G19" i="17"/>
  <c r="F19" i="17"/>
  <c r="E19" i="17"/>
  <c r="D19" i="17"/>
  <c r="H14" i="17"/>
  <c r="G14" i="17"/>
  <c r="F14" i="17"/>
  <c r="E14" i="17"/>
  <c r="D14" i="17"/>
  <c r="H12" i="17"/>
  <c r="G12" i="17"/>
  <c r="F12" i="17"/>
  <c r="E12" i="17"/>
  <c r="D12" i="17"/>
  <c r="H11" i="17"/>
  <c r="G11" i="17"/>
  <c r="F11" i="17"/>
  <c r="E11" i="17"/>
  <c r="D11" i="17"/>
  <c r="H10" i="17"/>
  <c r="G10" i="17"/>
  <c r="F10" i="17"/>
  <c r="E10" i="17"/>
  <c r="D10" i="17"/>
  <c r="A2" i="17"/>
  <c r="B2" i="8"/>
  <c r="B2" i="13"/>
  <c r="A2" i="5"/>
  <c r="A2" i="9"/>
  <c r="A2" i="12"/>
  <c r="A2" i="3"/>
  <c r="A2" i="2"/>
  <c r="A2" i="4"/>
  <c r="A2" i="7"/>
  <c r="H89" i="31" l="1"/>
  <c r="H88" i="31"/>
  <c r="A88" i="31" s="1"/>
  <c r="H87" i="31"/>
  <c r="A87" i="31" s="1"/>
  <c r="H86" i="31"/>
  <c r="H85" i="31"/>
  <c r="A85" i="31" s="1"/>
  <c r="H84" i="31"/>
  <c r="H83" i="31"/>
  <c r="A83" i="31" s="1"/>
  <c r="H82" i="31"/>
  <c r="A82" i="31" s="1"/>
  <c r="H81" i="31"/>
  <c r="A81" i="31" s="1"/>
  <c r="H80" i="31"/>
  <c r="A80" i="31" s="1"/>
  <c r="A89" i="31"/>
  <c r="A86" i="31"/>
  <c r="A84" i="31"/>
  <c r="A65" i="24"/>
  <c r="A64" i="24"/>
  <c r="A63" i="24"/>
  <c r="A62" i="24"/>
  <c r="A60" i="24"/>
  <c r="A59" i="24"/>
  <c r="A61" i="24"/>
  <c r="H301" i="28"/>
  <c r="H300" i="28"/>
  <c r="H299" i="28"/>
  <c r="H298" i="28"/>
  <c r="H297" i="28"/>
  <c r="H296" i="28"/>
  <c r="H295" i="28"/>
  <c r="H294" i="28"/>
  <c r="A294" i="28" s="1"/>
  <c r="H293" i="28"/>
  <c r="H292" i="28"/>
  <c r="H291" i="28"/>
  <c r="H290" i="28"/>
  <c r="H289" i="28"/>
  <c r="H288" i="28"/>
  <c r="H287" i="28"/>
  <c r="H286" i="28"/>
  <c r="A286" i="28" s="1"/>
  <c r="H285" i="28"/>
  <c r="H284" i="28"/>
  <c r="H283" i="28"/>
  <c r="H282" i="28"/>
  <c r="A301" i="28"/>
  <c r="A300" i="28"/>
  <c r="A299" i="28"/>
  <c r="A298" i="28"/>
  <c r="A297" i="28"/>
  <c r="A296" i="28"/>
  <c r="A295" i="28"/>
  <c r="A293" i="28"/>
  <c r="A292" i="28"/>
  <c r="A291" i="28"/>
  <c r="A290" i="28"/>
  <c r="A289" i="28"/>
  <c r="A288" i="28"/>
  <c r="A287" i="28"/>
  <c r="A285" i="28"/>
  <c r="A284" i="28"/>
  <c r="A283" i="28"/>
  <c r="A282" i="28"/>
  <c r="C301" i="28"/>
  <c r="C300" i="28"/>
  <c r="C299" i="28"/>
  <c r="C298" i="28"/>
  <c r="C297" i="28"/>
  <c r="C296" i="28"/>
  <c r="C295" i="28"/>
  <c r="C294" i="28"/>
  <c r="C293" i="28"/>
  <c r="C292" i="28"/>
  <c r="C291" i="28"/>
  <c r="C290" i="28"/>
  <c r="C289" i="28"/>
  <c r="C288" i="28"/>
  <c r="C287" i="28"/>
  <c r="C286" i="28"/>
  <c r="C285" i="28"/>
  <c r="C284" i="28"/>
  <c r="C283" i="28"/>
  <c r="C282" i="28"/>
  <c r="C533" i="19"/>
  <c r="C532" i="19"/>
  <c r="C531" i="19"/>
  <c r="C530" i="19"/>
  <c r="C529" i="19"/>
  <c r="C528" i="19"/>
  <c r="C527" i="19"/>
  <c r="C526" i="19"/>
  <c r="C525" i="19"/>
  <c r="C524" i="19"/>
  <c r="C523" i="19"/>
  <c r="C522" i="19"/>
  <c r="C521" i="19"/>
  <c r="C520" i="19"/>
  <c r="C519" i="19"/>
  <c r="C518" i="19"/>
  <c r="C517" i="19"/>
  <c r="C516" i="19"/>
  <c r="C515" i="19"/>
  <c r="C514" i="19"/>
  <c r="C513" i="19"/>
  <c r="C512" i="19"/>
  <c r="C511" i="19"/>
  <c r="C510" i="19"/>
  <c r="C509" i="19"/>
  <c r="C508" i="19"/>
  <c r="C507" i="19"/>
  <c r="C506" i="19"/>
  <c r="C505" i="19"/>
  <c r="C504" i="19"/>
  <c r="C503" i="19"/>
  <c r="C502" i="19"/>
  <c r="C501" i="19"/>
  <c r="C500" i="19"/>
  <c r="C499" i="19"/>
  <c r="C498" i="19"/>
  <c r="C497" i="19"/>
  <c r="C496" i="19"/>
  <c r="A496" i="19" s="1"/>
  <c r="C495" i="19"/>
  <c r="C494" i="19"/>
  <c r="C493" i="19"/>
  <c r="C492" i="19"/>
  <c r="C491" i="19"/>
  <c r="C490" i="19"/>
  <c r="C489" i="19"/>
  <c r="C488" i="19"/>
  <c r="C487" i="19"/>
  <c r="C486" i="19"/>
  <c r="C485" i="19"/>
  <c r="C484" i="19"/>
  <c r="C483" i="19"/>
  <c r="C482" i="19"/>
  <c r="C481" i="19"/>
  <c r="C480" i="19"/>
  <c r="C479" i="19"/>
  <c r="C478" i="19"/>
  <c r="C477" i="19"/>
  <c r="C476" i="19"/>
  <c r="C475" i="19"/>
  <c r="C474" i="19"/>
  <c r="C473" i="19"/>
  <c r="C472" i="19"/>
  <c r="A472" i="19" s="1"/>
  <c r="C471" i="19"/>
  <c r="C470" i="19"/>
  <c r="C469" i="19"/>
  <c r="C468" i="19"/>
  <c r="C467" i="19"/>
  <c r="C466" i="19"/>
  <c r="C465" i="19"/>
  <c r="C464" i="19"/>
  <c r="C463" i="19"/>
  <c r="C462" i="19"/>
  <c r="C461" i="19"/>
  <c r="C460" i="19"/>
  <c r="C459" i="19"/>
  <c r="C458" i="19"/>
  <c r="C457" i="19"/>
  <c r="C456" i="19"/>
  <c r="C455" i="19"/>
  <c r="C454" i="19"/>
  <c r="C453" i="19"/>
  <c r="C452" i="19"/>
  <c r="C451" i="19"/>
  <c r="C450" i="19"/>
  <c r="C449" i="19"/>
  <c r="C448" i="19"/>
  <c r="C447" i="19"/>
  <c r="C446" i="19"/>
  <c r="C445" i="19"/>
  <c r="C444" i="19"/>
  <c r="C443" i="19"/>
  <c r="C442" i="19"/>
  <c r="C441" i="19"/>
  <c r="C440" i="19"/>
  <c r="C439" i="19"/>
  <c r="C438" i="19"/>
  <c r="C437" i="19"/>
  <c r="C436" i="19"/>
  <c r="C435" i="19"/>
  <c r="C434" i="19"/>
  <c r="C433" i="19"/>
  <c r="C432" i="19"/>
  <c r="C431" i="19"/>
  <c r="C430" i="19"/>
  <c r="C429" i="19"/>
  <c r="C428" i="19"/>
  <c r="C427" i="19"/>
  <c r="C426" i="19"/>
  <c r="C425" i="19"/>
  <c r="C424" i="19"/>
  <c r="C423" i="19"/>
  <c r="C422" i="19"/>
  <c r="C421" i="19"/>
  <c r="C420" i="19"/>
  <c r="C419" i="19"/>
  <c r="C418" i="19"/>
  <c r="C417" i="19"/>
  <c r="C416" i="19"/>
  <c r="C415" i="19"/>
  <c r="C414" i="19"/>
  <c r="C413" i="19"/>
  <c r="C412" i="19"/>
  <c r="C411" i="19"/>
  <c r="C410" i="19"/>
  <c r="C409" i="19"/>
  <c r="C408" i="19"/>
  <c r="C407" i="19"/>
  <c r="C406" i="19"/>
  <c r="C405" i="19"/>
  <c r="C404" i="19"/>
  <c r="C403" i="19"/>
  <c r="C402" i="19"/>
  <c r="C401" i="19"/>
  <c r="C400" i="19"/>
  <c r="C399" i="19"/>
  <c r="C398" i="19"/>
  <c r="C397" i="19"/>
  <c r="C396" i="19"/>
  <c r="C395" i="19"/>
  <c r="C394" i="19"/>
  <c r="C393" i="19"/>
  <c r="C392" i="19"/>
  <c r="C391" i="19"/>
  <c r="C390" i="19"/>
  <c r="C389" i="19"/>
  <c r="C388" i="19"/>
  <c r="C387" i="19"/>
  <c r="C386" i="19"/>
  <c r="C385" i="19"/>
  <c r="C384" i="19"/>
  <c r="C383" i="19"/>
  <c r="C382" i="19"/>
  <c r="C381" i="19"/>
  <c r="C380" i="19"/>
  <c r="C379" i="19"/>
  <c r="C378" i="19"/>
  <c r="C377" i="19"/>
  <c r="C376" i="19"/>
  <c r="C375" i="19"/>
  <c r="C374" i="19"/>
  <c r="C373" i="19"/>
  <c r="C372" i="19"/>
  <c r="C371" i="19"/>
  <c r="C370" i="19"/>
  <c r="C369" i="19"/>
  <c r="C368" i="19"/>
  <c r="C367" i="19"/>
  <c r="C366" i="19"/>
  <c r="C365" i="19"/>
  <c r="C364" i="19"/>
  <c r="C363" i="19"/>
  <c r="C362" i="19"/>
  <c r="C361" i="19"/>
  <c r="C360" i="19"/>
  <c r="C359" i="19"/>
  <c r="C358" i="19"/>
  <c r="C357" i="19"/>
  <c r="C356" i="19"/>
  <c r="C355" i="19"/>
  <c r="C354" i="19"/>
  <c r="C353" i="19"/>
  <c r="C352" i="19"/>
  <c r="C351" i="19"/>
  <c r="C350" i="19"/>
  <c r="C349" i="19"/>
  <c r="C348" i="19"/>
  <c r="C347" i="19"/>
  <c r="C346" i="19"/>
  <c r="C345" i="19"/>
  <c r="C344" i="19"/>
  <c r="C343" i="19"/>
  <c r="C342" i="19"/>
  <c r="C341" i="19"/>
  <c r="C340" i="19"/>
  <c r="C339" i="19"/>
  <c r="C338" i="19"/>
  <c r="C337" i="19"/>
  <c r="C336" i="19"/>
  <c r="C335" i="19"/>
  <c r="C334" i="19"/>
  <c r="C333" i="19"/>
  <c r="C332" i="19"/>
  <c r="C331" i="19"/>
  <c r="C330" i="19"/>
  <c r="C329" i="19"/>
  <c r="C328" i="19"/>
  <c r="C327" i="19"/>
  <c r="C326" i="19"/>
  <c r="C325" i="19"/>
  <c r="C324" i="19"/>
  <c r="C323" i="19"/>
  <c r="C322" i="19"/>
  <c r="C321" i="19"/>
  <c r="C320" i="19"/>
  <c r="C319" i="19"/>
  <c r="C318" i="19"/>
  <c r="C317" i="19"/>
  <c r="C316" i="19"/>
  <c r="C315" i="19"/>
  <c r="C314" i="19"/>
  <c r="C313" i="19"/>
  <c r="C312" i="19"/>
  <c r="C311" i="19"/>
  <c r="C310" i="19"/>
  <c r="C309" i="19"/>
  <c r="C308" i="19"/>
  <c r="C307" i="19"/>
  <c r="C306" i="19"/>
  <c r="C305" i="19"/>
  <c r="C304" i="19"/>
  <c r="C303" i="19"/>
  <c r="C302" i="19"/>
  <c r="C301" i="19"/>
  <c r="C300" i="19"/>
  <c r="C299" i="19"/>
  <c r="C298" i="19"/>
  <c r="C297" i="19"/>
  <c r="C296" i="19"/>
  <c r="C295" i="19"/>
  <c r="C294" i="19"/>
  <c r="C293" i="19"/>
  <c r="C292" i="19"/>
  <c r="C291" i="19"/>
  <c r="C290" i="19"/>
  <c r="C289" i="19"/>
  <c r="C288" i="19"/>
  <c r="C287" i="19"/>
  <c r="C286" i="19"/>
  <c r="C285" i="19"/>
  <c r="C284" i="19"/>
  <c r="C283" i="19"/>
  <c r="C282" i="19"/>
  <c r="C281" i="19"/>
  <c r="C280" i="19"/>
  <c r="C279" i="19"/>
  <c r="C278" i="19"/>
  <c r="C277" i="19"/>
  <c r="C276" i="19"/>
  <c r="C275" i="19"/>
  <c r="C274" i="19"/>
  <c r="C273" i="19"/>
  <c r="C272" i="19"/>
  <c r="A272" i="19" s="1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7" i="19"/>
  <c r="C246" i="19"/>
  <c r="C245" i="19"/>
  <c r="C244" i="19"/>
  <c r="C243" i="19"/>
  <c r="C242" i="19"/>
  <c r="C241" i="19"/>
  <c r="C240" i="19"/>
  <c r="C239" i="19"/>
  <c r="C238" i="19"/>
  <c r="C237" i="19"/>
  <c r="C236" i="19"/>
  <c r="C235" i="19"/>
  <c r="C234" i="19"/>
  <c r="C233" i="19"/>
  <c r="C232" i="19"/>
  <c r="C231" i="19"/>
  <c r="C230" i="19"/>
  <c r="C229" i="19"/>
  <c r="C228" i="19"/>
  <c r="C227" i="19"/>
  <c r="C226" i="19"/>
  <c r="C225" i="19"/>
  <c r="C224" i="19"/>
  <c r="C223" i="19"/>
  <c r="C222" i="19"/>
  <c r="C221" i="19"/>
  <c r="C220" i="19"/>
  <c r="C219" i="19"/>
  <c r="C218" i="19"/>
  <c r="C217" i="19"/>
  <c r="C216" i="19"/>
  <c r="C215" i="19"/>
  <c r="C214" i="19"/>
  <c r="C213" i="19"/>
  <c r="C212" i="19"/>
  <c r="C211" i="19"/>
  <c r="C210" i="19"/>
  <c r="C209" i="19"/>
  <c r="C208" i="19"/>
  <c r="C207" i="19"/>
  <c r="J533" i="19"/>
  <c r="J532" i="19"/>
  <c r="J531" i="19"/>
  <c r="J530" i="19"/>
  <c r="J528" i="19"/>
  <c r="J527" i="19"/>
  <c r="J526" i="19"/>
  <c r="J524" i="19"/>
  <c r="J523" i="19"/>
  <c r="J521" i="19"/>
  <c r="J520" i="19"/>
  <c r="J519" i="19"/>
  <c r="J518" i="19"/>
  <c r="J517" i="19"/>
  <c r="J515" i="19"/>
  <c r="J514" i="19"/>
  <c r="J513" i="19"/>
  <c r="J510" i="19"/>
  <c r="J509" i="19"/>
  <c r="J508" i="19"/>
  <c r="J507" i="19"/>
  <c r="J506" i="19"/>
  <c r="J503" i="19"/>
  <c r="J502" i="19"/>
  <c r="J501" i="19"/>
  <c r="J500" i="19"/>
  <c r="J499" i="19"/>
  <c r="J498" i="19"/>
  <c r="J497" i="19"/>
  <c r="J496" i="19"/>
  <c r="J495" i="19"/>
  <c r="J494" i="19"/>
  <c r="J493" i="19"/>
  <c r="J492" i="19"/>
  <c r="J491" i="19"/>
  <c r="J489" i="19"/>
  <c r="J488" i="19"/>
  <c r="J487" i="19"/>
  <c r="J486" i="19"/>
  <c r="J485" i="19"/>
  <c r="J482" i="19"/>
  <c r="J479" i="19"/>
  <c r="J478" i="19"/>
  <c r="J477" i="19"/>
  <c r="J476" i="19"/>
  <c r="J475" i="19"/>
  <c r="J474" i="19"/>
  <c r="J472" i="19"/>
  <c r="J471" i="19"/>
  <c r="J470" i="19"/>
  <c r="J469" i="19"/>
  <c r="J468" i="19"/>
  <c r="J467" i="19"/>
  <c r="J465" i="19"/>
  <c r="J463" i="19"/>
  <c r="J462" i="19"/>
  <c r="J461" i="19"/>
  <c r="J459" i="19"/>
  <c r="J458" i="19"/>
  <c r="J457" i="19"/>
  <c r="J455" i="19"/>
  <c r="J454" i="19"/>
  <c r="J453" i="19"/>
  <c r="J452" i="19"/>
  <c r="J451" i="19"/>
  <c r="J443" i="19"/>
  <c r="J442" i="19"/>
  <c r="J441" i="19"/>
  <c r="J439" i="19"/>
  <c r="J437" i="19"/>
  <c r="J433" i="19"/>
  <c r="J432" i="19"/>
  <c r="J431" i="19"/>
  <c r="J430" i="19"/>
  <c r="J429" i="19"/>
  <c r="J428" i="19"/>
  <c r="J427" i="19"/>
  <c r="J426" i="19"/>
  <c r="J425" i="19"/>
  <c r="J424" i="19"/>
  <c r="J423" i="19"/>
  <c r="J422" i="19"/>
  <c r="J421" i="19"/>
  <c r="J420" i="19"/>
  <c r="J419" i="19"/>
  <c r="J418" i="19"/>
  <c r="J416" i="19"/>
  <c r="J415" i="19"/>
  <c r="J413" i="19"/>
  <c r="J409" i="19"/>
  <c r="J405" i="19"/>
  <c r="J403" i="19"/>
  <c r="J400" i="19"/>
  <c r="J399" i="19"/>
  <c r="J398" i="19"/>
  <c r="J397" i="19"/>
  <c r="J396" i="19"/>
  <c r="J395" i="19"/>
  <c r="J394" i="19"/>
  <c r="J393" i="19"/>
  <c r="J392" i="19"/>
  <c r="J391" i="19"/>
  <c r="J390" i="19"/>
  <c r="J388" i="19"/>
  <c r="J386" i="19"/>
  <c r="J385" i="19"/>
  <c r="J384" i="19"/>
  <c r="J383" i="19"/>
  <c r="J382" i="19"/>
  <c r="J380" i="19"/>
  <c r="J379" i="19"/>
  <c r="J377" i="19"/>
  <c r="J371" i="19"/>
  <c r="J370" i="19"/>
  <c r="J369" i="19"/>
  <c r="J368" i="19"/>
  <c r="J365" i="19"/>
  <c r="J364" i="19"/>
  <c r="J360" i="19"/>
  <c r="J359" i="19"/>
  <c r="J358" i="19"/>
  <c r="J357" i="19"/>
  <c r="J356" i="19"/>
  <c r="J349" i="19"/>
  <c r="J347" i="19"/>
  <c r="J343" i="19"/>
  <c r="J340" i="19"/>
  <c r="J339" i="19"/>
  <c r="J335" i="19"/>
  <c r="J334" i="19"/>
  <c r="J333" i="19"/>
  <c r="J332" i="19"/>
  <c r="J331" i="19"/>
  <c r="J330" i="19"/>
  <c r="J329" i="19"/>
  <c r="J323" i="19"/>
  <c r="J322" i="19"/>
  <c r="J321" i="19"/>
  <c r="J318" i="19"/>
  <c r="J317" i="19"/>
  <c r="J315" i="19"/>
  <c r="J310" i="19"/>
  <c r="J308" i="19"/>
  <c r="J306" i="19"/>
  <c r="J305" i="19"/>
  <c r="J304" i="19"/>
  <c r="J303" i="19"/>
  <c r="J301" i="19"/>
  <c r="J300" i="19"/>
  <c r="J297" i="19"/>
  <c r="J296" i="19"/>
  <c r="J295" i="19"/>
  <c r="J287" i="19"/>
  <c r="J286" i="19"/>
  <c r="J285" i="19"/>
  <c r="J283" i="19"/>
  <c r="J282" i="19"/>
  <c r="J281" i="19"/>
  <c r="J280" i="19"/>
  <c r="J279" i="19"/>
  <c r="J278" i="19"/>
  <c r="J277" i="19"/>
  <c r="J276" i="19"/>
  <c r="J275" i="19"/>
  <c r="J272" i="19"/>
  <c r="J271" i="19"/>
  <c r="J269" i="19"/>
  <c r="J267" i="19"/>
  <c r="J266" i="19"/>
  <c r="J263" i="19"/>
  <c r="J262" i="19"/>
  <c r="J261" i="19"/>
  <c r="J259" i="19"/>
  <c r="J256" i="19"/>
  <c r="J254" i="19"/>
  <c r="J253" i="19"/>
  <c r="J252" i="19"/>
  <c r="J251" i="19"/>
  <c r="J250" i="19"/>
  <c r="J248" i="19"/>
  <c r="J247" i="19"/>
  <c r="J246" i="19"/>
  <c r="J245" i="19"/>
  <c r="J244" i="19"/>
  <c r="J243" i="19"/>
  <c r="J240" i="19"/>
  <c r="J239" i="19"/>
  <c r="J237" i="19"/>
  <c r="J235" i="19"/>
  <c r="J218" i="19"/>
  <c r="J216" i="19"/>
  <c r="J214" i="19"/>
  <c r="J212" i="19"/>
  <c r="J211" i="19"/>
  <c r="J208" i="19"/>
  <c r="J206" i="19"/>
  <c r="J205" i="19"/>
  <c r="J204" i="19"/>
  <c r="J203" i="19"/>
  <c r="J202" i="19"/>
  <c r="J201" i="19"/>
  <c r="J200" i="19"/>
  <c r="J199" i="19"/>
  <c r="J196" i="19"/>
  <c r="J195" i="19"/>
  <c r="J194" i="19"/>
  <c r="J193" i="19"/>
  <c r="J192" i="19"/>
  <c r="J191" i="19"/>
  <c r="J190" i="19"/>
  <c r="J189" i="19"/>
  <c r="J186" i="19"/>
  <c r="J185" i="19"/>
  <c r="J184" i="19"/>
  <c r="J182" i="19"/>
  <c r="J180" i="19"/>
  <c r="J179" i="19"/>
  <c r="J178" i="19"/>
  <c r="J177" i="19"/>
  <c r="J176" i="19"/>
  <c r="J175" i="19"/>
  <c r="J174" i="19"/>
  <c r="J173" i="19"/>
  <c r="J172" i="19"/>
  <c r="J164" i="19"/>
  <c r="J163" i="19"/>
  <c r="J159" i="19"/>
  <c r="J158" i="19"/>
  <c r="J157" i="19"/>
  <c r="J156" i="19"/>
  <c r="J154" i="19"/>
  <c r="J153" i="19"/>
  <c r="J152" i="19"/>
  <c r="J151" i="19"/>
  <c r="J150" i="19"/>
  <c r="J146" i="19"/>
  <c r="J145" i="19"/>
  <c r="J144" i="19"/>
  <c r="J143" i="19"/>
  <c r="J142" i="19"/>
  <c r="J141" i="19"/>
  <c r="J140" i="19"/>
  <c r="J138" i="19"/>
  <c r="J135" i="19"/>
  <c r="J134" i="19"/>
  <c r="J132" i="19"/>
  <c r="J131" i="19"/>
  <c r="J130" i="19"/>
  <c r="J129" i="19"/>
  <c r="J128" i="19"/>
  <c r="J127" i="19"/>
  <c r="J126" i="19"/>
  <c r="J125" i="19"/>
  <c r="J124" i="19"/>
  <c r="J123" i="19"/>
  <c r="J122" i="19"/>
  <c r="J121" i="19"/>
  <c r="J120" i="19"/>
  <c r="J119" i="19"/>
  <c r="J118" i="19"/>
  <c r="J117" i="19"/>
  <c r="J115" i="19"/>
  <c r="J114" i="19"/>
  <c r="J113" i="19"/>
  <c r="J111" i="19"/>
  <c r="J110" i="19"/>
  <c r="J109" i="19"/>
  <c r="J106" i="19"/>
  <c r="J104" i="19"/>
  <c r="J103" i="19"/>
  <c r="J101" i="19"/>
  <c r="J98" i="19"/>
  <c r="J97" i="19"/>
  <c r="J96" i="19"/>
  <c r="J95" i="19"/>
  <c r="J94" i="19"/>
  <c r="J93" i="19"/>
  <c r="J92" i="19"/>
  <c r="J91" i="19"/>
  <c r="J90" i="19"/>
  <c r="J82" i="19"/>
  <c r="J81" i="19"/>
  <c r="J78" i="19"/>
  <c r="J77" i="19"/>
  <c r="J76" i="19"/>
  <c r="J75" i="19"/>
  <c r="J74" i="19"/>
  <c r="J73" i="19"/>
  <c r="J72" i="19"/>
  <c r="J71" i="19"/>
  <c r="J68" i="19"/>
  <c r="J66" i="19"/>
  <c r="J65" i="19"/>
  <c r="J63" i="19"/>
  <c r="J58" i="19"/>
  <c r="J56" i="19"/>
  <c r="J55" i="19"/>
  <c r="J54" i="19"/>
  <c r="J53" i="19"/>
  <c r="J52" i="19"/>
  <c r="J51" i="19"/>
  <c r="J50" i="19"/>
  <c r="J49" i="19"/>
  <c r="J48" i="19"/>
  <c r="J47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7" i="19"/>
  <c r="J24" i="19"/>
  <c r="J22" i="19"/>
  <c r="J17" i="19"/>
  <c r="J13" i="19"/>
  <c r="J10" i="19"/>
  <c r="J9" i="19"/>
  <c r="J5" i="19"/>
  <c r="J4" i="19"/>
  <c r="A532" i="19"/>
  <c r="A530" i="19"/>
  <c r="A529" i="19"/>
  <c r="A527" i="19"/>
  <c r="A525" i="19"/>
  <c r="A524" i="19"/>
  <c r="A521" i="19"/>
  <c r="A519" i="19"/>
  <c r="A517" i="19"/>
  <c r="A516" i="19"/>
  <c r="A513" i="19"/>
  <c r="A511" i="19"/>
  <c r="A508" i="19"/>
  <c r="A505" i="19"/>
  <c r="A503" i="19"/>
  <c r="A497" i="19"/>
  <c r="A495" i="19"/>
  <c r="A492" i="19"/>
  <c r="A489" i="19"/>
  <c r="A487" i="19"/>
  <c r="A485" i="19"/>
  <c r="A481" i="19"/>
  <c r="A479" i="19"/>
  <c r="A475" i="19"/>
  <c r="A473" i="19"/>
  <c r="A471" i="19"/>
  <c r="A468" i="19"/>
  <c r="A466" i="19"/>
  <c r="A465" i="19"/>
  <c r="A463" i="19"/>
  <c r="A459" i="19"/>
  <c r="A457" i="19"/>
  <c r="A455" i="19"/>
  <c r="A451" i="19"/>
  <c r="A449" i="19"/>
  <c r="A447" i="19"/>
  <c r="A441" i="19"/>
  <c r="A439" i="19"/>
  <c r="A435" i="19"/>
  <c r="A433" i="19"/>
  <c r="A431" i="19"/>
  <c r="A425" i="19"/>
  <c r="A423" i="19"/>
  <c r="A417" i="19"/>
  <c r="A415" i="19"/>
  <c r="A409" i="19"/>
  <c r="A407" i="19"/>
  <c r="A404" i="19"/>
  <c r="A402" i="19"/>
  <c r="A401" i="19"/>
  <c r="A399" i="19"/>
  <c r="A393" i="19"/>
  <c r="A391" i="19"/>
  <c r="A389" i="19"/>
  <c r="A385" i="19"/>
  <c r="A383" i="19"/>
  <c r="A380" i="19"/>
  <c r="A377" i="19"/>
  <c r="A375" i="19"/>
  <c r="A373" i="19"/>
  <c r="A369" i="19"/>
  <c r="A367" i="19"/>
  <c r="A363" i="19"/>
  <c r="A361" i="19"/>
  <c r="A359" i="19"/>
  <c r="A353" i="19"/>
  <c r="A351" i="19"/>
  <c r="A346" i="19"/>
  <c r="A345" i="19"/>
  <c r="A343" i="19"/>
  <c r="A340" i="19"/>
  <c r="A337" i="19"/>
  <c r="A335" i="19"/>
  <c r="A329" i="19"/>
  <c r="A327" i="19"/>
  <c r="A324" i="19"/>
  <c r="A321" i="19"/>
  <c r="A319" i="19"/>
  <c r="A314" i="19"/>
  <c r="A313" i="19"/>
  <c r="A311" i="19"/>
  <c r="A308" i="19"/>
  <c r="A305" i="19"/>
  <c r="A303" i="19"/>
  <c r="A298" i="19"/>
  <c r="A297" i="19"/>
  <c r="A295" i="19"/>
  <c r="A293" i="19"/>
  <c r="A289" i="19"/>
  <c r="A287" i="19"/>
  <c r="A282" i="19"/>
  <c r="A281" i="19"/>
  <c r="A279" i="19"/>
  <c r="A273" i="19"/>
  <c r="A271" i="19"/>
  <c r="A268" i="19"/>
  <c r="A265" i="19"/>
  <c r="A263" i="19"/>
  <c r="A258" i="19"/>
  <c r="A257" i="19"/>
  <c r="A255" i="19"/>
  <c r="A253" i="19"/>
  <c r="A249" i="19"/>
  <c r="A247" i="19"/>
  <c r="A241" i="19"/>
  <c r="A239" i="19"/>
  <c r="A234" i="19"/>
  <c r="A233" i="19"/>
  <c r="A231" i="19"/>
  <c r="A226" i="19"/>
  <c r="A223" i="19"/>
  <c r="A217" i="19"/>
  <c r="A213" i="19"/>
  <c r="A209" i="19"/>
  <c r="A207" i="19"/>
  <c r="A533" i="19"/>
  <c r="A531" i="19"/>
  <c r="A523" i="19"/>
  <c r="A522" i="19"/>
  <c r="A515" i="19"/>
  <c r="A514" i="19"/>
  <c r="A509" i="19"/>
  <c r="A507" i="19"/>
  <c r="A506" i="19"/>
  <c r="A501" i="19"/>
  <c r="A500" i="19"/>
  <c r="A499" i="19"/>
  <c r="A498" i="19"/>
  <c r="A493" i="19"/>
  <c r="A491" i="19"/>
  <c r="A490" i="19"/>
  <c r="A484" i="19"/>
  <c r="A483" i="19"/>
  <c r="A482" i="19"/>
  <c r="A477" i="19"/>
  <c r="A476" i="19"/>
  <c r="A474" i="19"/>
  <c r="A469" i="19"/>
  <c r="A467" i="19"/>
  <c r="A461" i="19"/>
  <c r="A460" i="19"/>
  <c r="A458" i="19"/>
  <c r="A453" i="19"/>
  <c r="A452" i="19"/>
  <c r="A450" i="19"/>
  <c r="A445" i="19"/>
  <c r="A444" i="19"/>
  <c r="A443" i="19"/>
  <c r="A442" i="19"/>
  <c r="A437" i="19"/>
  <c r="A436" i="19"/>
  <c r="A434" i="19"/>
  <c r="A429" i="19"/>
  <c r="A428" i="19"/>
  <c r="A427" i="19"/>
  <c r="A426" i="19"/>
  <c r="A421" i="19"/>
  <c r="A420" i="19"/>
  <c r="A419" i="19"/>
  <c r="A418" i="19"/>
  <c r="A413" i="19"/>
  <c r="A412" i="19"/>
  <c r="A411" i="19"/>
  <c r="A410" i="19"/>
  <c r="A405" i="19"/>
  <c r="A403" i="19"/>
  <c r="A398" i="19"/>
  <c r="A397" i="19"/>
  <c r="A396" i="19"/>
  <c r="A395" i="19"/>
  <c r="A394" i="19"/>
  <c r="A388" i="19"/>
  <c r="A387" i="19"/>
  <c r="A386" i="19"/>
  <c r="A381" i="19"/>
  <c r="A379" i="19"/>
  <c r="A378" i="19"/>
  <c r="A372" i="19"/>
  <c r="A371" i="19"/>
  <c r="A370" i="19"/>
  <c r="A365" i="19"/>
  <c r="A364" i="19"/>
  <c r="A362" i="19"/>
  <c r="A357" i="19"/>
  <c r="A356" i="19"/>
  <c r="A355" i="19"/>
  <c r="A354" i="19"/>
  <c r="A349" i="19"/>
  <c r="A348" i="19"/>
  <c r="A347" i="19"/>
  <c r="A341" i="19"/>
  <c r="A339" i="19"/>
  <c r="A338" i="19"/>
  <c r="A333" i="19"/>
  <c r="A332" i="19"/>
  <c r="A331" i="19"/>
  <c r="A330" i="19"/>
  <c r="A325" i="19"/>
  <c r="A323" i="19"/>
  <c r="A322" i="19"/>
  <c r="A317" i="19"/>
  <c r="A316" i="19"/>
  <c r="A315" i="19"/>
  <c r="A309" i="19"/>
  <c r="A307" i="19"/>
  <c r="A306" i="19"/>
  <c r="A301" i="19"/>
  <c r="A300" i="19"/>
  <c r="A299" i="19"/>
  <c r="A292" i="19"/>
  <c r="A291" i="19"/>
  <c r="A290" i="19"/>
  <c r="A285" i="19"/>
  <c r="A284" i="19"/>
  <c r="A283" i="19"/>
  <c r="A277" i="19"/>
  <c r="A276" i="19"/>
  <c r="A275" i="19"/>
  <c r="A274" i="19"/>
  <c r="A269" i="19"/>
  <c r="A267" i="19"/>
  <c r="A266" i="19"/>
  <c r="A261" i="19"/>
  <c r="A260" i="19"/>
  <c r="A259" i="19"/>
  <c r="A252" i="19"/>
  <c r="A251" i="19"/>
  <c r="A250" i="19"/>
  <c r="A246" i="19"/>
  <c r="A245" i="19"/>
  <c r="A244" i="19"/>
  <c r="A243" i="19"/>
  <c r="A242" i="19"/>
  <c r="A237" i="19"/>
  <c r="A236" i="19"/>
  <c r="A235" i="19"/>
  <c r="A229" i="19"/>
  <c r="A228" i="19"/>
  <c r="A227" i="19"/>
  <c r="A225" i="19"/>
  <c r="A222" i="19"/>
  <c r="A221" i="19"/>
  <c r="A220" i="19"/>
  <c r="A219" i="19"/>
  <c r="A218" i="19"/>
  <c r="A212" i="19"/>
  <c r="A211" i="19"/>
  <c r="A210" i="19"/>
  <c r="A214" i="19" l="1"/>
  <c r="A230" i="19"/>
  <c r="A238" i="19"/>
  <c r="A254" i="19"/>
  <c r="A262" i="19"/>
  <c r="A270" i="19"/>
  <c r="A286" i="19"/>
  <c r="A294" i="19"/>
  <c r="A302" i="19"/>
  <c r="A310" i="19"/>
  <c r="A318" i="19"/>
  <c r="A326" i="19"/>
  <c r="A334" i="19"/>
  <c r="A342" i="19"/>
  <c r="A350" i="19"/>
  <c r="A366" i="19"/>
  <c r="A374" i="19"/>
  <c r="A382" i="19"/>
  <c r="A406" i="19"/>
  <c r="A414" i="19"/>
  <c r="A422" i="19"/>
  <c r="A430" i="19"/>
  <c r="A438" i="19"/>
  <c r="A446" i="19"/>
  <c r="A454" i="19"/>
  <c r="A462" i="19"/>
  <c r="A470" i="19"/>
  <c r="A478" i="19"/>
  <c r="A494" i="19"/>
  <c r="A510" i="19"/>
  <c r="A518" i="19"/>
  <c r="A526" i="19"/>
  <c r="A208" i="19"/>
  <c r="A216" i="19"/>
  <c r="A224" i="19"/>
  <c r="A232" i="19"/>
  <c r="A240" i="19"/>
  <c r="A248" i="19"/>
  <c r="A256" i="19"/>
  <c r="A264" i="19"/>
  <c r="A280" i="19"/>
  <c r="A288" i="19"/>
  <c r="A296" i="19"/>
  <c r="A304" i="19"/>
  <c r="A312" i="19"/>
  <c r="A320" i="19"/>
  <c r="A328" i="19"/>
  <c r="A336" i="19"/>
  <c r="A344" i="19"/>
  <c r="A352" i="19"/>
  <c r="A360" i="19"/>
  <c r="A368" i="19"/>
  <c r="A376" i="19"/>
  <c r="A384" i="19"/>
  <c r="A392" i="19"/>
  <c r="A400" i="19"/>
  <c r="A408" i="19"/>
  <c r="A416" i="19"/>
  <c r="A424" i="19"/>
  <c r="A432" i="19"/>
  <c r="A440" i="19"/>
  <c r="A448" i="19"/>
  <c r="A456" i="19"/>
  <c r="A464" i="19"/>
  <c r="A480" i="19"/>
  <c r="A488" i="19"/>
  <c r="A504" i="19"/>
  <c r="A512" i="19"/>
  <c r="A520" i="19"/>
  <c r="A528" i="19"/>
  <c r="A215" i="19"/>
  <c r="A278" i="19"/>
  <c r="A358" i="19"/>
  <c r="A390" i="19"/>
  <c r="A486" i="19"/>
  <c r="A502" i="19"/>
  <c r="A346" i="25"/>
  <c r="A345" i="25"/>
  <c r="A344" i="25"/>
  <c r="A343" i="25"/>
  <c r="A342" i="25"/>
  <c r="A341" i="25"/>
  <c r="A340" i="25"/>
  <c r="A339" i="25"/>
  <c r="A338" i="25"/>
  <c r="A337" i="25"/>
  <c r="A336" i="25"/>
  <c r="A335" i="25"/>
  <c r="A334" i="25"/>
  <c r="A333" i="25"/>
  <c r="A332" i="25"/>
  <c r="A331" i="25"/>
  <c r="A330" i="25"/>
  <c r="A329" i="25"/>
  <c r="A328" i="25"/>
  <c r="A327" i="25"/>
  <c r="A326" i="25"/>
  <c r="A325" i="25"/>
  <c r="A324" i="25"/>
  <c r="A323" i="25"/>
  <c r="A322" i="25"/>
  <c r="A321" i="25"/>
  <c r="A320" i="25"/>
  <c r="A319" i="25"/>
  <c r="A318" i="25"/>
  <c r="A317" i="25"/>
  <c r="A316" i="25"/>
  <c r="A315" i="25"/>
  <c r="A314" i="25"/>
  <c r="A313" i="25"/>
  <c r="A312" i="25"/>
  <c r="A311" i="25"/>
  <c r="A310" i="25"/>
  <c r="A309" i="25"/>
  <c r="A308" i="25"/>
  <c r="A307" i="25"/>
  <c r="A306" i="25"/>
  <c r="A305" i="25"/>
  <c r="A304" i="25"/>
  <c r="A303" i="25"/>
  <c r="A302" i="25"/>
  <c r="A301" i="25"/>
  <c r="A300" i="25"/>
  <c r="A299" i="25"/>
  <c r="A298" i="25"/>
  <c r="A297" i="25"/>
  <c r="A296" i="25"/>
  <c r="A295" i="25"/>
  <c r="A294" i="25"/>
  <c r="A293" i="25"/>
  <c r="A292" i="25"/>
  <c r="A291" i="25"/>
  <c r="A290" i="25"/>
  <c r="A289" i="25"/>
  <c r="A288" i="25"/>
  <c r="A287" i="25"/>
  <c r="A286" i="25"/>
  <c r="A285" i="25"/>
  <c r="A284" i="25"/>
  <c r="A283" i="25"/>
  <c r="A282" i="25"/>
  <c r="A281" i="25"/>
  <c r="A280" i="25"/>
  <c r="A279" i="25"/>
  <c r="A278" i="25"/>
  <c r="A277" i="25"/>
  <c r="A276" i="25"/>
  <c r="A275" i="25"/>
  <c r="A274" i="25"/>
  <c r="A273" i="25"/>
  <c r="A272" i="25"/>
  <c r="A271" i="25"/>
  <c r="A270" i="25"/>
  <c r="A269" i="25"/>
  <c r="A268" i="25"/>
  <c r="A267" i="25"/>
  <c r="A266" i="25"/>
  <c r="A265" i="25"/>
  <c r="A264" i="25"/>
  <c r="A263" i="25"/>
  <c r="A262" i="25"/>
  <c r="A261" i="25"/>
  <c r="A260" i="25"/>
  <c r="A259" i="25"/>
  <c r="A258" i="25"/>
  <c r="A257" i="25"/>
  <c r="A256" i="25"/>
  <c r="A255" i="25"/>
  <c r="A254" i="25"/>
  <c r="A253" i="25"/>
  <c r="A252" i="25"/>
  <c r="A251" i="25"/>
  <c r="A250" i="25"/>
  <c r="A249" i="25"/>
  <c r="A248" i="25"/>
  <c r="A247" i="25"/>
  <c r="A246" i="25"/>
  <c r="A245" i="25"/>
  <c r="A244" i="25"/>
  <c r="A243" i="25"/>
  <c r="A242" i="25"/>
  <c r="A241" i="25"/>
  <c r="A240" i="25"/>
  <c r="A239" i="25"/>
  <c r="A238" i="25"/>
  <c r="A237" i="25"/>
  <c r="A236" i="25"/>
  <c r="A235" i="25"/>
  <c r="A234" i="25"/>
  <c r="A233" i="25"/>
  <c r="A232" i="25"/>
  <c r="A231" i="25"/>
  <c r="A230" i="25"/>
  <c r="A229" i="25"/>
  <c r="A228" i="25"/>
  <c r="A227" i="25"/>
  <c r="A226" i="25"/>
  <c r="A225" i="25"/>
  <c r="A224" i="25"/>
  <c r="A223" i="25"/>
  <c r="A222" i="25"/>
  <c r="A221" i="25"/>
  <c r="A220" i="25"/>
  <c r="A219" i="25"/>
  <c r="A218" i="25"/>
  <c r="A217" i="25"/>
  <c r="A216" i="25"/>
  <c r="A215" i="25"/>
  <c r="A214" i="25"/>
  <c r="A213" i="25"/>
  <c r="A212" i="25"/>
  <c r="A211" i="25"/>
  <c r="A210" i="25"/>
  <c r="A209" i="25"/>
  <c r="A208" i="25"/>
  <c r="A207" i="25"/>
  <c r="A206" i="25"/>
  <c r="A205" i="25"/>
  <c r="A204" i="25"/>
  <c r="A203" i="25"/>
  <c r="A202" i="25"/>
  <c r="A201" i="25"/>
  <c r="A200" i="25"/>
  <c r="A199" i="25"/>
  <c r="A198" i="25"/>
  <c r="A197" i="25"/>
  <c r="A196" i="25"/>
  <c r="A195" i="25"/>
  <c r="A194" i="25"/>
  <c r="A193" i="25"/>
  <c r="A192" i="25"/>
  <c r="A191" i="25"/>
  <c r="A190" i="25"/>
  <c r="A189" i="25"/>
  <c r="A188" i="25"/>
  <c r="A187" i="25"/>
  <c r="A186" i="25"/>
  <c r="A185" i="25"/>
  <c r="A184" i="25"/>
  <c r="A183" i="25"/>
  <c r="A182" i="25"/>
  <c r="A181" i="25"/>
  <c r="A180" i="25"/>
  <c r="A179" i="25"/>
  <c r="A178" i="25"/>
  <c r="A177" i="25"/>
  <c r="A176" i="25"/>
  <c r="A175" i="25"/>
  <c r="A174" i="25"/>
  <c r="A173" i="25"/>
  <c r="A172" i="25"/>
  <c r="A171" i="25"/>
  <c r="A170" i="25"/>
  <c r="A169" i="25"/>
  <c r="A168" i="25"/>
  <c r="A167" i="25"/>
  <c r="A166" i="25"/>
  <c r="A165" i="25"/>
  <c r="A164" i="25"/>
  <c r="A163" i="25"/>
  <c r="A162" i="25"/>
  <c r="A161" i="25"/>
  <c r="A160" i="25"/>
  <c r="A159" i="25"/>
  <c r="A158" i="25"/>
  <c r="A157" i="25"/>
  <c r="A156" i="25"/>
  <c r="A155" i="25"/>
  <c r="A154" i="25"/>
  <c r="A153" i="25"/>
  <c r="A152" i="25"/>
  <c r="A151" i="25"/>
  <c r="A150" i="25"/>
  <c r="A149" i="25"/>
  <c r="A148" i="25"/>
  <c r="A147" i="25"/>
  <c r="A146" i="25"/>
  <c r="A145" i="25"/>
  <c r="A144" i="25"/>
  <c r="A143" i="25"/>
  <c r="A142" i="25"/>
  <c r="A141" i="25"/>
  <c r="A140" i="25"/>
  <c r="A139" i="25"/>
  <c r="A138" i="25"/>
  <c r="A137" i="25"/>
  <c r="A136" i="25"/>
  <c r="A135" i="25"/>
  <c r="A134" i="25"/>
  <c r="A133" i="25"/>
  <c r="A132" i="25"/>
  <c r="A131" i="25"/>
  <c r="A130" i="25"/>
  <c r="A129" i="25"/>
  <c r="A128" i="25"/>
  <c r="A127" i="25"/>
  <c r="A126" i="25"/>
  <c r="A125" i="25"/>
  <c r="A124" i="25"/>
  <c r="A123" i="25"/>
  <c r="A122" i="25"/>
  <c r="A121" i="25"/>
  <c r="A120" i="25"/>
  <c r="A119" i="25"/>
  <c r="A118" i="25"/>
  <c r="A117" i="25"/>
  <c r="A116" i="25"/>
  <c r="A115" i="25"/>
  <c r="A114" i="25"/>
  <c r="A113" i="25"/>
  <c r="A112" i="25"/>
  <c r="A111" i="25"/>
  <c r="A110" i="25"/>
  <c r="A109" i="25"/>
  <c r="A108" i="25"/>
  <c r="A107" i="25"/>
  <c r="A106" i="25"/>
  <c r="A105" i="25"/>
  <c r="A104" i="25"/>
  <c r="A103" i="25"/>
  <c r="A102" i="25"/>
  <c r="A101" i="25"/>
  <c r="A100" i="25"/>
  <c r="A99" i="25"/>
  <c r="A98" i="25"/>
  <c r="A97" i="25"/>
  <c r="A96" i="25"/>
  <c r="A95" i="25"/>
  <c r="A94" i="25"/>
  <c r="A93" i="25"/>
  <c r="A92" i="25"/>
  <c r="A91" i="25"/>
  <c r="A90" i="25"/>
  <c r="A89" i="25"/>
  <c r="A88" i="25"/>
  <c r="A87" i="25"/>
  <c r="A86" i="25"/>
  <c r="A85" i="25"/>
  <c r="A84" i="25"/>
  <c r="A83" i="25"/>
  <c r="A82" i="25"/>
  <c r="A81" i="25"/>
  <c r="A80" i="25"/>
  <c r="A79" i="25"/>
  <c r="A78" i="25"/>
  <c r="A77" i="25"/>
  <c r="A76" i="25"/>
  <c r="A75" i="25"/>
  <c r="A74" i="25"/>
  <c r="A73" i="25"/>
  <c r="A72" i="25"/>
  <c r="A71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3" i="25"/>
  <c r="A2" i="25"/>
  <c r="A216" i="33"/>
  <c r="A215" i="33"/>
  <c r="A214" i="33"/>
  <c r="A213" i="33"/>
  <c r="A212" i="33"/>
  <c r="A211" i="33"/>
  <c r="A210" i="33"/>
  <c r="A209" i="33"/>
  <c r="A208" i="33"/>
  <c r="A207" i="33"/>
  <c r="A206" i="33"/>
  <c r="A205" i="33"/>
  <c r="A204" i="33"/>
  <c r="A203" i="33"/>
  <c r="A202" i="33"/>
  <c r="A201" i="33"/>
  <c r="A200" i="33"/>
  <c r="A199" i="33"/>
  <c r="A198" i="33"/>
  <c r="A197" i="33"/>
  <c r="A196" i="33"/>
  <c r="A195" i="33"/>
  <c r="A194" i="33"/>
  <c r="A193" i="33"/>
  <c r="A192" i="33"/>
  <c r="A191" i="33"/>
  <c r="A190" i="33"/>
  <c r="A189" i="33"/>
  <c r="A188" i="33"/>
  <c r="A187" i="33"/>
  <c r="A186" i="33"/>
  <c r="A185" i="33"/>
  <c r="A184" i="33"/>
  <c r="A183" i="33"/>
  <c r="A182" i="33"/>
  <c r="A181" i="33"/>
  <c r="A180" i="33"/>
  <c r="A179" i="33"/>
  <c r="A178" i="33"/>
  <c r="A177" i="33"/>
  <c r="A176" i="33"/>
  <c r="A175" i="33"/>
  <c r="A174" i="33"/>
  <c r="A173" i="33"/>
  <c r="A172" i="33"/>
  <c r="A171" i="33"/>
  <c r="A170" i="33"/>
  <c r="A169" i="33"/>
  <c r="A168" i="33"/>
  <c r="A167" i="33"/>
  <c r="A166" i="33"/>
  <c r="A165" i="33"/>
  <c r="A164" i="33"/>
  <c r="A163" i="33"/>
  <c r="A162" i="33"/>
  <c r="A161" i="33"/>
  <c r="A160" i="33"/>
  <c r="A159" i="33"/>
  <c r="A158" i="33"/>
  <c r="A157" i="33"/>
  <c r="A156" i="33"/>
  <c r="A155" i="33"/>
  <c r="A154" i="33"/>
  <c r="A153" i="33"/>
  <c r="A152" i="33"/>
  <c r="A151" i="33"/>
  <c r="A150" i="33"/>
  <c r="A149" i="33"/>
  <c r="A148" i="33"/>
  <c r="A147" i="33"/>
  <c r="A146" i="33"/>
  <c r="A145" i="33"/>
  <c r="A144" i="33"/>
  <c r="A143" i="33"/>
  <c r="A142" i="33"/>
  <c r="A141" i="33"/>
  <c r="A140" i="33"/>
  <c r="A139" i="33"/>
  <c r="A138" i="33"/>
  <c r="A137" i="33"/>
  <c r="A136" i="33"/>
  <c r="A135" i="33"/>
  <c r="A134" i="33"/>
  <c r="A133" i="33"/>
  <c r="A132" i="33"/>
  <c r="A131" i="33"/>
  <c r="A130" i="33"/>
  <c r="A129" i="33"/>
  <c r="A128" i="33"/>
  <c r="A127" i="33"/>
  <c r="A126" i="33"/>
  <c r="A125" i="33"/>
  <c r="A124" i="33"/>
  <c r="A123" i="33"/>
  <c r="A122" i="33"/>
  <c r="A121" i="33"/>
  <c r="A120" i="33"/>
  <c r="A119" i="33"/>
  <c r="A118" i="33"/>
  <c r="A117" i="33"/>
  <c r="A116" i="33"/>
  <c r="A115" i="33"/>
  <c r="A114" i="33"/>
  <c r="A113" i="33"/>
  <c r="A112" i="33"/>
  <c r="A111" i="33"/>
  <c r="A110" i="33"/>
  <c r="A109" i="33"/>
  <c r="A108" i="33"/>
  <c r="A107" i="33"/>
  <c r="A106" i="33"/>
  <c r="A105" i="33"/>
  <c r="A104" i="33"/>
  <c r="A103" i="33"/>
  <c r="A102" i="33"/>
  <c r="A101" i="33"/>
  <c r="A100" i="33"/>
  <c r="A99" i="33"/>
  <c r="A98" i="33"/>
  <c r="A97" i="33"/>
  <c r="A96" i="33"/>
  <c r="A95" i="33"/>
  <c r="A94" i="33"/>
  <c r="A93" i="33"/>
  <c r="A92" i="33"/>
  <c r="A91" i="33"/>
  <c r="A90" i="33"/>
  <c r="A89" i="33"/>
  <c r="A88" i="33"/>
  <c r="A87" i="33"/>
  <c r="A86" i="33"/>
  <c r="A85" i="33"/>
  <c r="A84" i="33"/>
  <c r="A83" i="33"/>
  <c r="A82" i="33"/>
  <c r="A81" i="33"/>
  <c r="A80" i="33"/>
  <c r="A79" i="33"/>
  <c r="A78" i="33"/>
  <c r="A77" i="33"/>
  <c r="A76" i="33"/>
  <c r="A75" i="33"/>
  <c r="A74" i="33"/>
  <c r="A73" i="33"/>
  <c r="A72" i="33"/>
  <c r="A71" i="33"/>
  <c r="A70" i="33"/>
  <c r="A69" i="33"/>
  <c r="A68" i="33"/>
  <c r="A67" i="33"/>
  <c r="A66" i="33"/>
  <c r="A65" i="33"/>
  <c r="A64" i="33"/>
  <c r="A63" i="33"/>
  <c r="A62" i="33"/>
  <c r="A61" i="33"/>
  <c r="A60" i="33"/>
  <c r="A59" i="33"/>
  <c r="A58" i="33"/>
  <c r="A57" i="33"/>
  <c r="A56" i="33"/>
  <c r="A55" i="33"/>
  <c r="A54" i="33"/>
  <c r="A53" i="33"/>
  <c r="A52" i="33"/>
  <c r="A51" i="33"/>
  <c r="A50" i="33"/>
  <c r="A49" i="33"/>
  <c r="A48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A4" i="33"/>
  <c r="A3" i="33"/>
  <c r="A2" i="3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A2" i="23"/>
  <c r="A330" i="30"/>
  <c r="A329" i="30"/>
  <c r="A328" i="30"/>
  <c r="A327" i="30"/>
  <c r="A326" i="30"/>
  <c r="A325" i="30"/>
  <c r="A324" i="30"/>
  <c r="A323" i="30"/>
  <c r="A322" i="30"/>
  <c r="A321" i="30"/>
  <c r="A320" i="30"/>
  <c r="A319" i="30"/>
  <c r="A318" i="30"/>
  <c r="A317" i="30"/>
  <c r="A316" i="30"/>
  <c r="A315" i="30"/>
  <c r="A314" i="30"/>
  <c r="A313" i="30"/>
  <c r="A312" i="30"/>
  <c r="A311" i="30"/>
  <c r="A310" i="30"/>
  <c r="A309" i="30"/>
  <c r="A308" i="30"/>
  <c r="A307" i="30"/>
  <c r="A306" i="30"/>
  <c r="A305" i="30"/>
  <c r="A304" i="30"/>
  <c r="A303" i="30"/>
  <c r="A302" i="30"/>
  <c r="A301" i="30"/>
  <c r="A300" i="30"/>
  <c r="A299" i="30"/>
  <c r="A298" i="30"/>
  <c r="A297" i="30"/>
  <c r="A296" i="30"/>
  <c r="A295" i="30"/>
  <c r="A294" i="30"/>
  <c r="A293" i="30"/>
  <c r="A292" i="30"/>
  <c r="A291" i="30"/>
  <c r="A290" i="30"/>
  <c r="A289" i="30"/>
  <c r="A288" i="30"/>
  <c r="A287" i="30"/>
  <c r="A286" i="30"/>
  <c r="A285" i="30"/>
  <c r="A284" i="30"/>
  <c r="A283" i="30"/>
  <c r="A282" i="30"/>
  <c r="A281" i="30"/>
  <c r="A280" i="30"/>
  <c r="A279" i="30"/>
  <c r="A278" i="30"/>
  <c r="A277" i="30"/>
  <c r="A276" i="30"/>
  <c r="A275" i="30"/>
  <c r="A274" i="30"/>
  <c r="A273" i="30"/>
  <c r="A272" i="30"/>
  <c r="A271" i="30"/>
  <c r="A270" i="30"/>
  <c r="A269" i="30"/>
  <c r="A268" i="30"/>
  <c r="A267" i="30"/>
  <c r="A266" i="30"/>
  <c r="A265" i="30"/>
  <c r="A264" i="30"/>
  <c r="A263" i="30"/>
  <c r="A262" i="30"/>
  <c r="A261" i="30"/>
  <c r="A260" i="30"/>
  <c r="A259" i="30"/>
  <c r="A258" i="30"/>
  <c r="A257" i="30"/>
  <c r="A256" i="30"/>
  <c r="A255" i="30"/>
  <c r="A254" i="30"/>
  <c r="A253" i="30"/>
  <c r="A252" i="30"/>
  <c r="A251" i="30"/>
  <c r="A250" i="30"/>
  <c r="A249" i="30"/>
  <c r="A248" i="30"/>
  <c r="A247" i="30"/>
  <c r="A246" i="30"/>
  <c r="A245" i="30"/>
  <c r="A244" i="30"/>
  <c r="A243" i="30"/>
  <c r="A242" i="30"/>
  <c r="A241" i="30"/>
  <c r="A240" i="30"/>
  <c r="A239" i="30"/>
  <c r="A238" i="30"/>
  <c r="A237" i="30"/>
  <c r="A236" i="30"/>
  <c r="A235" i="30"/>
  <c r="A234" i="30"/>
  <c r="A233" i="30"/>
  <c r="A232" i="30"/>
  <c r="A231" i="30"/>
  <c r="A230" i="30"/>
  <c r="A229" i="30"/>
  <c r="A228" i="30"/>
  <c r="A227" i="30"/>
  <c r="A226" i="30"/>
  <c r="A225" i="30"/>
  <c r="A224" i="30"/>
  <c r="A223" i="30"/>
  <c r="A222" i="30"/>
  <c r="A221" i="30"/>
  <c r="A220" i="30"/>
  <c r="A219" i="30"/>
  <c r="A218" i="30"/>
  <c r="A217" i="30"/>
  <c r="A216" i="30"/>
  <c r="A215" i="30"/>
  <c r="A214" i="30"/>
  <c r="A213" i="30"/>
  <c r="A212" i="30"/>
  <c r="A211" i="30"/>
  <c r="A210" i="30"/>
  <c r="A209" i="30"/>
  <c r="A208" i="30"/>
  <c r="A207" i="30"/>
  <c r="A206" i="30"/>
  <c r="A205" i="30"/>
  <c r="A204" i="30"/>
  <c r="A203" i="30"/>
  <c r="A202" i="30"/>
  <c r="A201" i="30"/>
  <c r="A200" i="30"/>
  <c r="A199" i="30"/>
  <c r="A198" i="30"/>
  <c r="A197" i="30"/>
  <c r="A196" i="30"/>
  <c r="A195" i="30"/>
  <c r="A194" i="30"/>
  <c r="A193" i="30"/>
  <c r="A192" i="30"/>
  <c r="A191" i="30"/>
  <c r="A190" i="30"/>
  <c r="A189" i="30"/>
  <c r="A188" i="30"/>
  <c r="A187" i="30"/>
  <c r="A186" i="30"/>
  <c r="A185" i="30"/>
  <c r="A184" i="30"/>
  <c r="A183" i="30"/>
  <c r="A182" i="30"/>
  <c r="A181" i="30"/>
  <c r="A180" i="30"/>
  <c r="A179" i="30"/>
  <c r="A178" i="30"/>
  <c r="A177" i="30"/>
  <c r="A176" i="30"/>
  <c r="A175" i="30"/>
  <c r="A174" i="30"/>
  <c r="A173" i="30"/>
  <c r="A172" i="30"/>
  <c r="A171" i="30"/>
  <c r="A170" i="30"/>
  <c r="A169" i="30"/>
  <c r="A168" i="30"/>
  <c r="A167" i="30"/>
  <c r="A166" i="30"/>
  <c r="A165" i="30"/>
  <c r="A164" i="30"/>
  <c r="A163" i="30"/>
  <c r="A162" i="30"/>
  <c r="A161" i="30"/>
  <c r="A160" i="30"/>
  <c r="A159" i="30"/>
  <c r="A158" i="30"/>
  <c r="A157" i="30"/>
  <c r="A156" i="30"/>
  <c r="A155" i="30"/>
  <c r="A154" i="30"/>
  <c r="A153" i="30"/>
  <c r="A152" i="30"/>
  <c r="A151" i="30"/>
  <c r="A150" i="30"/>
  <c r="A149" i="30"/>
  <c r="A148" i="30"/>
  <c r="A147" i="30"/>
  <c r="A146" i="30"/>
  <c r="A145" i="30"/>
  <c r="A144" i="30"/>
  <c r="A143" i="30"/>
  <c r="A142" i="30"/>
  <c r="A141" i="30"/>
  <c r="A140" i="30"/>
  <c r="A139" i="30"/>
  <c r="A138" i="30"/>
  <c r="A137" i="30"/>
  <c r="A136" i="30"/>
  <c r="A135" i="30"/>
  <c r="A134" i="30"/>
  <c r="A133" i="30"/>
  <c r="A132" i="30"/>
  <c r="A131" i="30"/>
  <c r="A130" i="30"/>
  <c r="A129" i="30"/>
  <c r="A128" i="30"/>
  <c r="A127" i="30"/>
  <c r="A126" i="30"/>
  <c r="A125" i="30"/>
  <c r="A124" i="30"/>
  <c r="A123" i="30"/>
  <c r="A122" i="30"/>
  <c r="A121" i="30"/>
  <c r="A120" i="30"/>
  <c r="A119" i="30"/>
  <c r="A118" i="30"/>
  <c r="A117" i="30"/>
  <c r="A116" i="30"/>
  <c r="A115" i="30"/>
  <c r="A114" i="30"/>
  <c r="A113" i="30"/>
  <c r="A112" i="30"/>
  <c r="A111" i="30"/>
  <c r="A110" i="30"/>
  <c r="A109" i="30"/>
  <c r="A108" i="30"/>
  <c r="A107" i="30"/>
  <c r="A106" i="30"/>
  <c r="A105" i="30"/>
  <c r="A104" i="30"/>
  <c r="A103" i="30"/>
  <c r="A102" i="30"/>
  <c r="A101" i="30"/>
  <c r="A100" i="30"/>
  <c r="A99" i="30"/>
  <c r="A98" i="30"/>
  <c r="A97" i="30"/>
  <c r="A96" i="30"/>
  <c r="A95" i="30"/>
  <c r="A94" i="30"/>
  <c r="A93" i="30"/>
  <c r="A92" i="30"/>
  <c r="A91" i="30"/>
  <c r="A90" i="30"/>
  <c r="A89" i="30"/>
  <c r="A88" i="30"/>
  <c r="A87" i="30"/>
  <c r="A86" i="30"/>
  <c r="A85" i="30"/>
  <c r="A84" i="30"/>
  <c r="A83" i="30"/>
  <c r="A82" i="30"/>
  <c r="A81" i="30"/>
  <c r="A80" i="30"/>
  <c r="A79" i="30"/>
  <c r="A78" i="30"/>
  <c r="A77" i="30"/>
  <c r="A76" i="30"/>
  <c r="A75" i="30"/>
  <c r="A74" i="30"/>
  <c r="A73" i="30"/>
  <c r="A72" i="30"/>
  <c r="A71" i="30"/>
  <c r="A70" i="30"/>
  <c r="A69" i="30"/>
  <c r="A68" i="30"/>
  <c r="A67" i="30"/>
  <c r="A66" i="30"/>
  <c r="A65" i="30"/>
  <c r="A64" i="30"/>
  <c r="A63" i="30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A3" i="30"/>
  <c r="A2" i="30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" i="22"/>
  <c r="A116" i="29"/>
  <c r="A115" i="29"/>
  <c r="A114" i="29"/>
  <c r="A113" i="29"/>
  <c r="A112" i="29"/>
  <c r="A111" i="29"/>
  <c r="A110" i="29"/>
  <c r="A109" i="29"/>
  <c r="A108" i="29"/>
  <c r="A107" i="29"/>
  <c r="A106" i="29"/>
  <c r="A105" i="29"/>
  <c r="A104" i="29"/>
  <c r="A103" i="29"/>
  <c r="A102" i="29"/>
  <c r="A101" i="29"/>
  <c r="A100" i="29"/>
  <c r="A99" i="29"/>
  <c r="A98" i="29"/>
  <c r="A97" i="29"/>
  <c r="A96" i="29"/>
  <c r="A95" i="29"/>
  <c r="A94" i="29"/>
  <c r="A93" i="29"/>
  <c r="A92" i="29"/>
  <c r="A91" i="29"/>
  <c r="A90" i="29"/>
  <c r="A89" i="29"/>
  <c r="A88" i="29"/>
  <c r="A87" i="29"/>
  <c r="A86" i="29"/>
  <c r="A85" i="29"/>
  <c r="A84" i="29"/>
  <c r="A83" i="29"/>
  <c r="A82" i="29"/>
  <c r="A81" i="29"/>
  <c r="A80" i="29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A3" i="29"/>
  <c r="A2" i="29"/>
  <c r="A53" i="31"/>
  <c r="A29" i="31"/>
  <c r="A21" i="31"/>
  <c r="A1201" i="27"/>
  <c r="A1200" i="27"/>
  <c r="A1199" i="27"/>
  <c r="A1198" i="27"/>
  <c r="A1197" i="27"/>
  <c r="A1196" i="27"/>
  <c r="A1195" i="27"/>
  <c r="A1194" i="27"/>
  <c r="A1193" i="27"/>
  <c r="A1192" i="27"/>
  <c r="A1191" i="27"/>
  <c r="A1190" i="27"/>
  <c r="A1189" i="27"/>
  <c r="A1188" i="27"/>
  <c r="A1187" i="27"/>
  <c r="A1186" i="27"/>
  <c r="A1185" i="27"/>
  <c r="A1184" i="27"/>
  <c r="A1183" i="27"/>
  <c r="A1182" i="27"/>
  <c r="A1181" i="27"/>
  <c r="A1180" i="27"/>
  <c r="A1179" i="27"/>
  <c r="A1178" i="27"/>
  <c r="A1177" i="27"/>
  <c r="A1176" i="27"/>
  <c r="A1175" i="27"/>
  <c r="A1174" i="27"/>
  <c r="A1173" i="27"/>
  <c r="A1172" i="27"/>
  <c r="A1171" i="27"/>
  <c r="A1170" i="27"/>
  <c r="A1169" i="27"/>
  <c r="A1168" i="27"/>
  <c r="A1167" i="27"/>
  <c r="A1166" i="27"/>
  <c r="A1165" i="27"/>
  <c r="A1164" i="27"/>
  <c r="A1163" i="27"/>
  <c r="A1162" i="27"/>
  <c r="A1161" i="27"/>
  <c r="A1160" i="27"/>
  <c r="A1159" i="27"/>
  <c r="A1158" i="27"/>
  <c r="A1157" i="27"/>
  <c r="A1156" i="27"/>
  <c r="A1155" i="27"/>
  <c r="A1154" i="27"/>
  <c r="A1153" i="27"/>
  <c r="A1152" i="27"/>
  <c r="A1151" i="27"/>
  <c r="A1150" i="27"/>
  <c r="A1149" i="27"/>
  <c r="A1148" i="27"/>
  <c r="A1147" i="27"/>
  <c r="A1146" i="27"/>
  <c r="A1145" i="27"/>
  <c r="A1144" i="27"/>
  <c r="A1143" i="27"/>
  <c r="A1142" i="27"/>
  <c r="A1141" i="27"/>
  <c r="A1140" i="27"/>
  <c r="A1139" i="27"/>
  <c r="A1138" i="27"/>
  <c r="A1137" i="27"/>
  <c r="A1136" i="27"/>
  <c r="A1135" i="27"/>
  <c r="A1134" i="27"/>
  <c r="A1133" i="27"/>
  <c r="A1132" i="27"/>
  <c r="A1131" i="27"/>
  <c r="A1130" i="27"/>
  <c r="A1129" i="27"/>
  <c r="A1128" i="27"/>
  <c r="A1127" i="27"/>
  <c r="A1126" i="27"/>
  <c r="A1125" i="27"/>
  <c r="A1124" i="27"/>
  <c r="A1123" i="27"/>
  <c r="A1122" i="27"/>
  <c r="A1121" i="27"/>
  <c r="A1120" i="27"/>
  <c r="A1119" i="27"/>
  <c r="A1118" i="27"/>
  <c r="A1117" i="27"/>
  <c r="A1116" i="27"/>
  <c r="A1115" i="27"/>
  <c r="A1114" i="27"/>
  <c r="A1113" i="27"/>
  <c r="A1112" i="27"/>
  <c r="A1111" i="27"/>
  <c r="A1110" i="27"/>
  <c r="A1109" i="27"/>
  <c r="A1108" i="27"/>
  <c r="A1107" i="27"/>
  <c r="A1106" i="27"/>
  <c r="A1105" i="27"/>
  <c r="A1104" i="27"/>
  <c r="A1103" i="27"/>
  <c r="A1102" i="27"/>
  <c r="A1101" i="27"/>
  <c r="A1100" i="27"/>
  <c r="A1099" i="27"/>
  <c r="A1098" i="27"/>
  <c r="A1097" i="27"/>
  <c r="A1096" i="27"/>
  <c r="A1095" i="27"/>
  <c r="A1094" i="27"/>
  <c r="A1093" i="27"/>
  <c r="A1092" i="27"/>
  <c r="A1091" i="27"/>
  <c r="A1090" i="27"/>
  <c r="A1089" i="27"/>
  <c r="A1088" i="27"/>
  <c r="A1087" i="27"/>
  <c r="A1086" i="27"/>
  <c r="A1085" i="27"/>
  <c r="A1084" i="27"/>
  <c r="A1083" i="27"/>
  <c r="A1082" i="27"/>
  <c r="A1081" i="27"/>
  <c r="A1080" i="27"/>
  <c r="A1079" i="27"/>
  <c r="A1078" i="27"/>
  <c r="A1077" i="27"/>
  <c r="A1076" i="27"/>
  <c r="A1075" i="27"/>
  <c r="A1074" i="27"/>
  <c r="A1073" i="27"/>
  <c r="A1072" i="27"/>
  <c r="A1071" i="27"/>
  <c r="A1070" i="27"/>
  <c r="A1069" i="27"/>
  <c r="A1068" i="27"/>
  <c r="A1067" i="27"/>
  <c r="A1066" i="27"/>
  <c r="A1065" i="27"/>
  <c r="A1064" i="27"/>
  <c r="A1063" i="27"/>
  <c r="A1062" i="27"/>
  <c r="A1061" i="27"/>
  <c r="A1060" i="27"/>
  <c r="A1059" i="27"/>
  <c r="A1058" i="27"/>
  <c r="A1057" i="27"/>
  <c r="A1056" i="27"/>
  <c r="A1055" i="27"/>
  <c r="A1054" i="27"/>
  <c r="A1053" i="27"/>
  <c r="A1052" i="27"/>
  <c r="A1051" i="27"/>
  <c r="A1050" i="27"/>
  <c r="A1049" i="27"/>
  <c r="A1048" i="27"/>
  <c r="A1047" i="27"/>
  <c r="A1046" i="27"/>
  <c r="A1045" i="27"/>
  <c r="A1044" i="27"/>
  <c r="A1043" i="27"/>
  <c r="A1042" i="27"/>
  <c r="A1041" i="27"/>
  <c r="A1040" i="27"/>
  <c r="A1039" i="27"/>
  <c r="A1038" i="27"/>
  <c r="A1037" i="27"/>
  <c r="A1036" i="27"/>
  <c r="A1035" i="27"/>
  <c r="A1034" i="27"/>
  <c r="A1033" i="27"/>
  <c r="A1032" i="27"/>
  <c r="A1031" i="27"/>
  <c r="A1030" i="27"/>
  <c r="A1029" i="27"/>
  <c r="A1028" i="27"/>
  <c r="A1027" i="27"/>
  <c r="A1026" i="27"/>
  <c r="A1025" i="27"/>
  <c r="A1024" i="27"/>
  <c r="A1023" i="27"/>
  <c r="A1022" i="27"/>
  <c r="A1021" i="27"/>
  <c r="A1020" i="27"/>
  <c r="A1019" i="27"/>
  <c r="A1018" i="27"/>
  <c r="A1017" i="27"/>
  <c r="A1016" i="27"/>
  <c r="A1015" i="27"/>
  <c r="A1014" i="27"/>
  <c r="A1013" i="27"/>
  <c r="A1012" i="27"/>
  <c r="A1011" i="27"/>
  <c r="A1010" i="27"/>
  <c r="A1009" i="27"/>
  <c r="A1008" i="27"/>
  <c r="A1007" i="27"/>
  <c r="A1006" i="27"/>
  <c r="A1005" i="27"/>
  <c r="A1004" i="27"/>
  <c r="A1003" i="27"/>
  <c r="A1002" i="27"/>
  <c r="A1001" i="27"/>
  <c r="A1000" i="27"/>
  <c r="A999" i="27"/>
  <c r="A998" i="27"/>
  <c r="A997" i="27"/>
  <c r="A996" i="27"/>
  <c r="A995" i="27"/>
  <c r="A994" i="27"/>
  <c r="A993" i="27"/>
  <c r="A992" i="27"/>
  <c r="A991" i="27"/>
  <c r="A990" i="27"/>
  <c r="A989" i="27"/>
  <c r="A988" i="27"/>
  <c r="A987" i="27"/>
  <c r="A986" i="27"/>
  <c r="A985" i="27"/>
  <c r="A984" i="27"/>
  <c r="A983" i="27"/>
  <c r="A982" i="27"/>
  <c r="A981" i="27"/>
  <c r="A980" i="27"/>
  <c r="A979" i="27"/>
  <c r="A978" i="27"/>
  <c r="A977" i="27"/>
  <c r="A976" i="27"/>
  <c r="A975" i="27"/>
  <c r="A974" i="27"/>
  <c r="A973" i="27"/>
  <c r="A972" i="27"/>
  <c r="A971" i="27"/>
  <c r="A970" i="27"/>
  <c r="A969" i="27"/>
  <c r="A968" i="27"/>
  <c r="A967" i="27"/>
  <c r="A966" i="27"/>
  <c r="A965" i="27"/>
  <c r="A964" i="27"/>
  <c r="A963" i="27"/>
  <c r="A962" i="27"/>
  <c r="A961" i="27"/>
  <c r="A960" i="27"/>
  <c r="A959" i="27"/>
  <c r="A958" i="27"/>
  <c r="A957" i="27"/>
  <c r="A956" i="27"/>
  <c r="A955" i="27"/>
  <c r="A954" i="27"/>
  <c r="A953" i="27"/>
  <c r="A952" i="27"/>
  <c r="A951" i="27"/>
  <c r="A950" i="27"/>
  <c r="A949" i="27"/>
  <c r="A948" i="27"/>
  <c r="A947" i="27"/>
  <c r="A946" i="27"/>
  <c r="A945" i="27"/>
  <c r="A944" i="27"/>
  <c r="A943" i="27"/>
  <c r="A942" i="27"/>
  <c r="A941" i="27"/>
  <c r="A940" i="27"/>
  <c r="A939" i="27"/>
  <c r="A938" i="27"/>
  <c r="A937" i="27"/>
  <c r="A936" i="27"/>
  <c r="A935" i="27"/>
  <c r="A934" i="27"/>
  <c r="A933" i="27"/>
  <c r="A932" i="27"/>
  <c r="A931" i="27"/>
  <c r="A930" i="27"/>
  <c r="A929" i="27"/>
  <c r="A928" i="27"/>
  <c r="A927" i="27"/>
  <c r="A926" i="27"/>
  <c r="A925" i="27"/>
  <c r="A924" i="27"/>
  <c r="A923" i="27"/>
  <c r="A922" i="27"/>
  <c r="A921" i="27"/>
  <c r="A920" i="27"/>
  <c r="A919" i="27"/>
  <c r="A918" i="27"/>
  <c r="A917" i="27"/>
  <c r="A916" i="27"/>
  <c r="A915" i="27"/>
  <c r="A914" i="27"/>
  <c r="A913" i="27"/>
  <c r="A912" i="27"/>
  <c r="A911" i="27"/>
  <c r="A910" i="27"/>
  <c r="A909" i="27"/>
  <c r="A908" i="27"/>
  <c r="A907" i="27"/>
  <c r="A906" i="27"/>
  <c r="A905" i="27"/>
  <c r="A904" i="27"/>
  <c r="A903" i="27"/>
  <c r="A902" i="27"/>
  <c r="A901" i="27"/>
  <c r="A900" i="27"/>
  <c r="A899" i="27"/>
  <c r="A898" i="27"/>
  <c r="A897" i="27"/>
  <c r="A896" i="27"/>
  <c r="A895" i="27"/>
  <c r="A894" i="27"/>
  <c r="A893" i="27"/>
  <c r="A892" i="27"/>
  <c r="A891" i="27"/>
  <c r="A890" i="27"/>
  <c r="A889" i="27"/>
  <c r="A888" i="27"/>
  <c r="A887" i="27"/>
  <c r="A886" i="27"/>
  <c r="A885" i="27"/>
  <c r="A884" i="27"/>
  <c r="A883" i="27"/>
  <c r="A882" i="27"/>
  <c r="A881" i="27"/>
  <c r="A880" i="27"/>
  <c r="A879" i="27"/>
  <c r="A878" i="27"/>
  <c r="A877" i="27"/>
  <c r="A876" i="27"/>
  <c r="A875" i="27"/>
  <c r="A874" i="27"/>
  <c r="A873" i="27"/>
  <c r="A872" i="27"/>
  <c r="A871" i="27"/>
  <c r="A870" i="27"/>
  <c r="A869" i="27"/>
  <c r="A868" i="27"/>
  <c r="A867" i="27"/>
  <c r="A866" i="27"/>
  <c r="A865" i="27"/>
  <c r="A864" i="27"/>
  <c r="A863" i="27"/>
  <c r="A862" i="27"/>
  <c r="A861" i="27"/>
  <c r="A860" i="27"/>
  <c r="A859" i="27"/>
  <c r="A858" i="27"/>
  <c r="A857" i="27"/>
  <c r="A856" i="27"/>
  <c r="A855" i="27"/>
  <c r="A854" i="27"/>
  <c r="A853" i="27"/>
  <c r="A852" i="27"/>
  <c r="A851" i="27"/>
  <c r="A850" i="27"/>
  <c r="A849" i="27"/>
  <c r="A848" i="27"/>
  <c r="A847" i="27"/>
  <c r="A846" i="27"/>
  <c r="A845" i="27"/>
  <c r="A844" i="27"/>
  <c r="A843" i="27"/>
  <c r="A842" i="27"/>
  <c r="A841" i="27"/>
  <c r="A840" i="27"/>
  <c r="A839" i="27"/>
  <c r="A838" i="27"/>
  <c r="A837" i="27"/>
  <c r="A836" i="27"/>
  <c r="A835" i="27"/>
  <c r="A834" i="27"/>
  <c r="A833" i="27"/>
  <c r="A832" i="27"/>
  <c r="A831" i="27"/>
  <c r="A830" i="27"/>
  <c r="A829" i="27"/>
  <c r="A828" i="27"/>
  <c r="A827" i="27"/>
  <c r="A826" i="27"/>
  <c r="A825" i="27"/>
  <c r="A824" i="27"/>
  <c r="A823" i="27"/>
  <c r="A822" i="27"/>
  <c r="A821" i="27"/>
  <c r="A820" i="27"/>
  <c r="A819" i="27"/>
  <c r="A818" i="27"/>
  <c r="A817" i="27"/>
  <c r="A816" i="27"/>
  <c r="A815" i="27"/>
  <c r="A814" i="27"/>
  <c r="A813" i="27"/>
  <c r="A812" i="27"/>
  <c r="A811" i="27"/>
  <c r="A810" i="27"/>
  <c r="A809" i="27"/>
  <c r="A808" i="27"/>
  <c r="A807" i="27"/>
  <c r="A806" i="27"/>
  <c r="A805" i="27"/>
  <c r="A804" i="27"/>
  <c r="A803" i="27"/>
  <c r="A802" i="27"/>
  <c r="A801" i="27"/>
  <c r="A800" i="27"/>
  <c r="A799" i="27"/>
  <c r="A798" i="27"/>
  <c r="A797" i="27"/>
  <c r="A796" i="27"/>
  <c r="A795" i="27"/>
  <c r="A794" i="27"/>
  <c r="A793" i="27"/>
  <c r="A792" i="27"/>
  <c r="A791" i="27"/>
  <c r="A790" i="27"/>
  <c r="A789" i="27"/>
  <c r="A788" i="27"/>
  <c r="A787" i="27"/>
  <c r="A786" i="27"/>
  <c r="A785" i="27"/>
  <c r="A784" i="27"/>
  <c r="A783" i="27"/>
  <c r="A782" i="27"/>
  <c r="A781" i="27"/>
  <c r="A780" i="27"/>
  <c r="A779" i="27"/>
  <c r="A778" i="27"/>
  <c r="A777" i="27"/>
  <c r="A776" i="27"/>
  <c r="A775" i="27"/>
  <c r="A774" i="27"/>
  <c r="A773" i="27"/>
  <c r="A772" i="27"/>
  <c r="A771" i="27"/>
  <c r="A770" i="27"/>
  <c r="A769" i="27"/>
  <c r="A768" i="27"/>
  <c r="A767" i="27"/>
  <c r="A766" i="27"/>
  <c r="A765" i="27"/>
  <c r="A764" i="27"/>
  <c r="A763" i="27"/>
  <c r="A762" i="27"/>
  <c r="A761" i="27"/>
  <c r="A760" i="27"/>
  <c r="A759" i="27"/>
  <c r="A758" i="27"/>
  <c r="A757" i="27"/>
  <c r="A756" i="27"/>
  <c r="A755" i="27"/>
  <c r="A754" i="27"/>
  <c r="A753" i="27"/>
  <c r="A752" i="27"/>
  <c r="A751" i="27"/>
  <c r="A750" i="27"/>
  <c r="A749" i="27"/>
  <c r="A748" i="27"/>
  <c r="A747" i="27"/>
  <c r="A746" i="27"/>
  <c r="A745" i="27"/>
  <c r="A744" i="27"/>
  <c r="A743" i="27"/>
  <c r="A742" i="27"/>
  <c r="A741" i="27"/>
  <c r="A740" i="27"/>
  <c r="A739" i="27"/>
  <c r="A738" i="27"/>
  <c r="A737" i="27"/>
  <c r="A736" i="27"/>
  <c r="A735" i="27"/>
  <c r="A734" i="27"/>
  <c r="A733" i="27"/>
  <c r="A732" i="27"/>
  <c r="A731" i="27"/>
  <c r="A730" i="27"/>
  <c r="A729" i="27"/>
  <c r="A728" i="27"/>
  <c r="A727" i="27"/>
  <c r="A726" i="27"/>
  <c r="A725" i="27"/>
  <c r="A724" i="27"/>
  <c r="A723" i="27"/>
  <c r="A722" i="27"/>
  <c r="A721" i="27"/>
  <c r="A720" i="27"/>
  <c r="A719" i="27"/>
  <c r="A718" i="27"/>
  <c r="A717" i="27"/>
  <c r="A716" i="27"/>
  <c r="A715" i="27"/>
  <c r="A714" i="27"/>
  <c r="A713" i="27"/>
  <c r="A712" i="27"/>
  <c r="A711" i="27"/>
  <c r="A710" i="27"/>
  <c r="A709" i="27"/>
  <c r="A708" i="27"/>
  <c r="A707" i="27"/>
  <c r="A706" i="27"/>
  <c r="A705" i="27"/>
  <c r="A704" i="27"/>
  <c r="A703" i="27"/>
  <c r="A702" i="27"/>
  <c r="A701" i="27"/>
  <c r="A700" i="27"/>
  <c r="A699" i="27"/>
  <c r="A698" i="27"/>
  <c r="A697" i="27"/>
  <c r="A696" i="27"/>
  <c r="A695" i="27"/>
  <c r="A694" i="27"/>
  <c r="A693" i="27"/>
  <c r="A692" i="27"/>
  <c r="A691" i="27"/>
  <c r="A690" i="27"/>
  <c r="A689" i="27"/>
  <c r="A688" i="27"/>
  <c r="A687" i="27"/>
  <c r="A686" i="27"/>
  <c r="A685" i="27"/>
  <c r="A684" i="27"/>
  <c r="A683" i="27"/>
  <c r="A682" i="27"/>
  <c r="A681" i="27"/>
  <c r="A680" i="27"/>
  <c r="A679" i="27"/>
  <c r="A678" i="27"/>
  <c r="A677" i="27"/>
  <c r="A676" i="27"/>
  <c r="A675" i="27"/>
  <c r="A674" i="27"/>
  <c r="A673" i="27"/>
  <c r="A672" i="27"/>
  <c r="A671" i="27"/>
  <c r="A670" i="27"/>
  <c r="A669" i="27"/>
  <c r="A668" i="27"/>
  <c r="A667" i="27"/>
  <c r="A666" i="27"/>
  <c r="A665" i="27"/>
  <c r="A664" i="27"/>
  <c r="A663" i="27"/>
  <c r="A662" i="27"/>
  <c r="A661" i="27"/>
  <c r="A660" i="27"/>
  <c r="A659" i="27"/>
  <c r="A658" i="27"/>
  <c r="A657" i="27"/>
  <c r="A656" i="27"/>
  <c r="A655" i="27"/>
  <c r="A654" i="27"/>
  <c r="A653" i="27"/>
  <c r="A652" i="27"/>
  <c r="A651" i="27"/>
  <c r="A650" i="27"/>
  <c r="A649" i="27"/>
  <c r="A648" i="27"/>
  <c r="A647" i="27"/>
  <c r="A646" i="27"/>
  <c r="A645" i="27"/>
  <c r="A644" i="27"/>
  <c r="A643" i="27"/>
  <c r="A642" i="27"/>
  <c r="A641" i="27"/>
  <c r="A640" i="27"/>
  <c r="A639" i="27"/>
  <c r="A638" i="27"/>
  <c r="A637" i="27"/>
  <c r="A636" i="27"/>
  <c r="A635" i="27"/>
  <c r="A634" i="27"/>
  <c r="A633" i="27"/>
  <c r="A632" i="27"/>
  <c r="A631" i="27"/>
  <c r="A630" i="27"/>
  <c r="A629" i="27"/>
  <c r="A628" i="27"/>
  <c r="A627" i="27"/>
  <c r="A626" i="27"/>
  <c r="A625" i="27"/>
  <c r="A624" i="27"/>
  <c r="A623" i="27"/>
  <c r="A622" i="27"/>
  <c r="A621" i="27"/>
  <c r="A620" i="27"/>
  <c r="A619" i="27"/>
  <c r="A618" i="27"/>
  <c r="A617" i="27"/>
  <c r="A616" i="27"/>
  <c r="A615" i="27"/>
  <c r="A614" i="27"/>
  <c r="A613" i="27"/>
  <c r="A612" i="27"/>
  <c r="A611" i="27"/>
  <c r="A610" i="27"/>
  <c r="A609" i="27"/>
  <c r="A608" i="27"/>
  <c r="A607" i="27"/>
  <c r="A606" i="27"/>
  <c r="A605" i="27"/>
  <c r="A604" i="27"/>
  <c r="A603" i="27"/>
  <c r="A602" i="27"/>
  <c r="A601" i="27"/>
  <c r="A600" i="27"/>
  <c r="A599" i="27"/>
  <c r="A598" i="27"/>
  <c r="A597" i="27"/>
  <c r="A596" i="27"/>
  <c r="A595" i="27"/>
  <c r="A594" i="27"/>
  <c r="A593" i="27"/>
  <c r="A592" i="27"/>
  <c r="A591" i="27"/>
  <c r="A590" i="27"/>
  <c r="A589" i="27"/>
  <c r="A588" i="27"/>
  <c r="A587" i="27"/>
  <c r="A586" i="27"/>
  <c r="A585" i="27"/>
  <c r="A584" i="27"/>
  <c r="A583" i="27"/>
  <c r="A582" i="27"/>
  <c r="A581" i="27"/>
  <c r="A580" i="27"/>
  <c r="A579" i="27"/>
  <c r="A578" i="27"/>
  <c r="A577" i="27"/>
  <c r="A576" i="27"/>
  <c r="A575" i="27"/>
  <c r="A574" i="27"/>
  <c r="A573" i="27"/>
  <c r="A572" i="27"/>
  <c r="A571" i="27"/>
  <c r="A570" i="27"/>
  <c r="A569" i="27"/>
  <c r="A568" i="27"/>
  <c r="A567" i="27"/>
  <c r="A566" i="27"/>
  <c r="A565" i="27"/>
  <c r="A564" i="27"/>
  <c r="A563" i="27"/>
  <c r="A562" i="27"/>
  <c r="A561" i="27"/>
  <c r="A560" i="27"/>
  <c r="A559" i="27"/>
  <c r="A558" i="27"/>
  <c r="A557" i="27"/>
  <c r="A556" i="27"/>
  <c r="A555" i="27"/>
  <c r="A554" i="27"/>
  <c r="A553" i="27"/>
  <c r="A552" i="27"/>
  <c r="A551" i="27"/>
  <c r="A550" i="27"/>
  <c r="A549" i="27"/>
  <c r="A548" i="27"/>
  <c r="A547" i="27"/>
  <c r="A546" i="27"/>
  <c r="A545" i="27"/>
  <c r="A544" i="27"/>
  <c r="A543" i="27"/>
  <c r="A542" i="27"/>
  <c r="A541" i="27"/>
  <c r="A540" i="27"/>
  <c r="A539" i="27"/>
  <c r="A538" i="27"/>
  <c r="A537" i="27"/>
  <c r="A536" i="27"/>
  <c r="A535" i="27"/>
  <c r="A534" i="27"/>
  <c r="A533" i="27"/>
  <c r="A532" i="27"/>
  <c r="A531" i="27"/>
  <c r="A530" i="27"/>
  <c r="A529" i="27"/>
  <c r="A528" i="27"/>
  <c r="A527" i="27"/>
  <c r="A526" i="27"/>
  <c r="A525" i="27"/>
  <c r="A524" i="27"/>
  <c r="A523" i="27"/>
  <c r="A522" i="27"/>
  <c r="A521" i="27"/>
  <c r="A520" i="27"/>
  <c r="A519" i="27"/>
  <c r="A518" i="27"/>
  <c r="A517" i="27"/>
  <c r="A516" i="27"/>
  <c r="A515" i="27"/>
  <c r="A514" i="27"/>
  <c r="A513" i="27"/>
  <c r="A512" i="27"/>
  <c r="A511" i="27"/>
  <c r="A510" i="27"/>
  <c r="A509" i="27"/>
  <c r="A508" i="27"/>
  <c r="A507" i="27"/>
  <c r="A506" i="27"/>
  <c r="A505" i="27"/>
  <c r="A504" i="27"/>
  <c r="A503" i="27"/>
  <c r="A502" i="27"/>
  <c r="A501" i="27"/>
  <c r="A500" i="27"/>
  <c r="A499" i="27"/>
  <c r="A498" i="27"/>
  <c r="A497" i="27"/>
  <c r="A496" i="27"/>
  <c r="A495" i="27"/>
  <c r="A494" i="27"/>
  <c r="A493" i="27"/>
  <c r="A492" i="27"/>
  <c r="A491" i="27"/>
  <c r="A490" i="27"/>
  <c r="A489" i="27"/>
  <c r="A488" i="27"/>
  <c r="A487" i="27"/>
  <c r="A486" i="27"/>
  <c r="A485" i="27"/>
  <c r="A484" i="27"/>
  <c r="A483" i="27"/>
  <c r="A482" i="27"/>
  <c r="A481" i="27"/>
  <c r="A480" i="27"/>
  <c r="A479" i="27"/>
  <c r="A478" i="27"/>
  <c r="A477" i="27"/>
  <c r="A476" i="27"/>
  <c r="A475" i="27"/>
  <c r="A474" i="27"/>
  <c r="A473" i="27"/>
  <c r="A472" i="27"/>
  <c r="A471" i="27"/>
  <c r="A470" i="27"/>
  <c r="A469" i="27"/>
  <c r="A468" i="27"/>
  <c r="A467" i="27"/>
  <c r="A466" i="27"/>
  <c r="A465" i="27"/>
  <c r="A464" i="27"/>
  <c r="A463" i="27"/>
  <c r="A462" i="27"/>
  <c r="A461" i="27"/>
  <c r="A460" i="27"/>
  <c r="A459" i="27"/>
  <c r="A458" i="27"/>
  <c r="A457" i="27"/>
  <c r="A456" i="27"/>
  <c r="A455" i="27"/>
  <c r="A454" i="27"/>
  <c r="A453" i="27"/>
  <c r="A452" i="27"/>
  <c r="A451" i="27"/>
  <c r="A450" i="27"/>
  <c r="A449" i="27"/>
  <c r="A448" i="27"/>
  <c r="A447" i="27"/>
  <c r="A446" i="27"/>
  <c r="A445" i="27"/>
  <c r="A444" i="27"/>
  <c r="A443" i="27"/>
  <c r="A442" i="27"/>
  <c r="A441" i="27"/>
  <c r="A440" i="27"/>
  <c r="A439" i="27"/>
  <c r="A438" i="27"/>
  <c r="A437" i="27"/>
  <c r="A436" i="27"/>
  <c r="A435" i="27"/>
  <c r="A434" i="27"/>
  <c r="A433" i="27"/>
  <c r="A432" i="27"/>
  <c r="A431" i="27"/>
  <c r="A430" i="27"/>
  <c r="A429" i="27"/>
  <c r="A428" i="27"/>
  <c r="A427" i="27"/>
  <c r="A426" i="27"/>
  <c r="A425" i="27"/>
  <c r="A424" i="27"/>
  <c r="A423" i="27"/>
  <c r="A422" i="27"/>
  <c r="A421" i="27"/>
  <c r="A420" i="27"/>
  <c r="A419" i="27"/>
  <c r="A418" i="27"/>
  <c r="A417" i="27"/>
  <c r="A416" i="27"/>
  <c r="A415" i="27"/>
  <c r="A414" i="27"/>
  <c r="A413" i="27"/>
  <c r="A412" i="27"/>
  <c r="A411" i="27"/>
  <c r="A410" i="27"/>
  <c r="A409" i="27"/>
  <c r="A408" i="27"/>
  <c r="A407" i="27"/>
  <c r="A406" i="27"/>
  <c r="A405" i="27"/>
  <c r="A404" i="27"/>
  <c r="A403" i="27"/>
  <c r="A402" i="27"/>
  <c r="A401" i="27"/>
  <c r="A400" i="27"/>
  <c r="A399" i="27"/>
  <c r="A398" i="27"/>
  <c r="A397" i="27"/>
  <c r="A396" i="27"/>
  <c r="A395" i="27"/>
  <c r="A394" i="27"/>
  <c r="A393" i="27"/>
  <c r="A392" i="27"/>
  <c r="A391" i="27"/>
  <c r="A390" i="27"/>
  <c r="A389" i="27"/>
  <c r="A388" i="27"/>
  <c r="A387" i="27"/>
  <c r="A386" i="27"/>
  <c r="A385" i="27"/>
  <c r="A384" i="27"/>
  <c r="A383" i="27"/>
  <c r="A382" i="27"/>
  <c r="A381" i="27"/>
  <c r="A380" i="27"/>
  <c r="A379" i="27"/>
  <c r="A378" i="27"/>
  <c r="A377" i="27"/>
  <c r="A376" i="27"/>
  <c r="A375" i="27"/>
  <c r="A374" i="27"/>
  <c r="A373" i="27"/>
  <c r="A372" i="27"/>
  <c r="A371" i="27"/>
  <c r="A370" i="27"/>
  <c r="A369" i="27"/>
  <c r="A368" i="27"/>
  <c r="A367" i="27"/>
  <c r="A366" i="27"/>
  <c r="A365" i="27"/>
  <c r="A364" i="27"/>
  <c r="A363" i="27"/>
  <c r="A362" i="27"/>
  <c r="A361" i="27"/>
  <c r="A360" i="27"/>
  <c r="A359" i="27"/>
  <c r="A358" i="27"/>
  <c r="A357" i="27"/>
  <c r="A356" i="27"/>
  <c r="A355" i="27"/>
  <c r="A354" i="27"/>
  <c r="A353" i="27"/>
  <c r="A352" i="27"/>
  <c r="A351" i="27"/>
  <c r="A350" i="27"/>
  <c r="A349" i="27"/>
  <c r="A348" i="27"/>
  <c r="A347" i="27"/>
  <c r="A346" i="27"/>
  <c r="A345" i="27"/>
  <c r="A344" i="27"/>
  <c r="A343" i="27"/>
  <c r="A342" i="27"/>
  <c r="A341" i="27"/>
  <c r="A340" i="27"/>
  <c r="A339" i="27"/>
  <c r="A338" i="27"/>
  <c r="A337" i="27"/>
  <c r="A336" i="27"/>
  <c r="A335" i="27"/>
  <c r="A334" i="27"/>
  <c r="A333" i="27"/>
  <c r="A332" i="27"/>
  <c r="A331" i="27"/>
  <c r="A330" i="27"/>
  <c r="A329" i="27"/>
  <c r="A328" i="27"/>
  <c r="A327" i="27"/>
  <c r="A326" i="27"/>
  <c r="A325" i="27"/>
  <c r="A324" i="27"/>
  <c r="A323" i="27"/>
  <c r="A322" i="27"/>
  <c r="A321" i="27"/>
  <c r="A320" i="27"/>
  <c r="A319" i="27"/>
  <c r="A318" i="27"/>
  <c r="A317" i="27"/>
  <c r="A316" i="27"/>
  <c r="A315" i="27"/>
  <c r="A314" i="27"/>
  <c r="A313" i="27"/>
  <c r="A312" i="27"/>
  <c r="A311" i="27"/>
  <c r="A310" i="27"/>
  <c r="A309" i="27"/>
  <c r="A308" i="27"/>
  <c r="A307" i="27"/>
  <c r="A306" i="27"/>
  <c r="A305" i="27"/>
  <c r="A304" i="27"/>
  <c r="A303" i="27"/>
  <c r="A302" i="27"/>
  <c r="A301" i="27"/>
  <c r="A300" i="27"/>
  <c r="A299" i="27"/>
  <c r="A298" i="27"/>
  <c r="A297" i="27"/>
  <c r="A296" i="27"/>
  <c r="A295" i="27"/>
  <c r="A294" i="27"/>
  <c r="A293" i="27"/>
  <c r="A292" i="27"/>
  <c r="A291" i="27"/>
  <c r="A290" i="27"/>
  <c r="A289" i="27"/>
  <c r="A288" i="27"/>
  <c r="A287" i="27"/>
  <c r="A286" i="27"/>
  <c r="A285" i="27"/>
  <c r="A284" i="27"/>
  <c r="A283" i="27"/>
  <c r="A282" i="27"/>
  <c r="A281" i="27"/>
  <c r="A280" i="27"/>
  <c r="A279" i="27"/>
  <c r="A278" i="27"/>
  <c r="A277" i="27"/>
  <c r="A276" i="27"/>
  <c r="A275" i="27"/>
  <c r="A274" i="27"/>
  <c r="A273" i="27"/>
  <c r="A272" i="27"/>
  <c r="A271" i="27"/>
  <c r="A270" i="27"/>
  <c r="A269" i="27"/>
  <c r="A268" i="27"/>
  <c r="A267" i="27"/>
  <c r="A266" i="27"/>
  <c r="A265" i="27"/>
  <c r="A264" i="27"/>
  <c r="A263" i="27"/>
  <c r="A262" i="27"/>
  <c r="A261" i="27"/>
  <c r="A260" i="27"/>
  <c r="A259" i="27"/>
  <c r="A258" i="27"/>
  <c r="A257" i="27"/>
  <c r="A256" i="27"/>
  <c r="A255" i="27"/>
  <c r="A254" i="27"/>
  <c r="A253" i="27"/>
  <c r="A252" i="27"/>
  <c r="A251" i="27"/>
  <c r="A250" i="27"/>
  <c r="A249" i="27"/>
  <c r="A248" i="27"/>
  <c r="A247" i="27"/>
  <c r="A246" i="27"/>
  <c r="A245" i="27"/>
  <c r="A244" i="27"/>
  <c r="A243" i="27"/>
  <c r="A242" i="27"/>
  <c r="A241" i="27"/>
  <c r="A240" i="27"/>
  <c r="A239" i="27"/>
  <c r="A238" i="27"/>
  <c r="A237" i="27"/>
  <c r="A236" i="27"/>
  <c r="A235" i="27"/>
  <c r="A234" i="27"/>
  <c r="A233" i="27"/>
  <c r="A232" i="27"/>
  <c r="A231" i="27"/>
  <c r="A230" i="27"/>
  <c r="A229" i="27"/>
  <c r="A228" i="27"/>
  <c r="A227" i="27"/>
  <c r="A226" i="27"/>
  <c r="A225" i="27"/>
  <c r="A224" i="27"/>
  <c r="A223" i="27"/>
  <c r="A222" i="27"/>
  <c r="A221" i="27"/>
  <c r="A220" i="27"/>
  <c r="A219" i="27"/>
  <c r="A218" i="27"/>
  <c r="A217" i="27"/>
  <c r="A216" i="27"/>
  <c r="A215" i="27"/>
  <c r="A214" i="27"/>
  <c r="A213" i="27"/>
  <c r="A212" i="27"/>
  <c r="A211" i="27"/>
  <c r="A210" i="27"/>
  <c r="A209" i="27"/>
  <c r="A208" i="27"/>
  <c r="A207" i="27"/>
  <c r="A206" i="27"/>
  <c r="A205" i="27"/>
  <c r="A204" i="27"/>
  <c r="A203" i="27"/>
  <c r="A202" i="27"/>
  <c r="A201" i="27"/>
  <c r="A200" i="27"/>
  <c r="A199" i="27"/>
  <c r="A198" i="27"/>
  <c r="A197" i="27"/>
  <c r="A196" i="27"/>
  <c r="A195" i="27"/>
  <c r="A194" i="27"/>
  <c r="A193" i="27"/>
  <c r="A192" i="27"/>
  <c r="A191" i="27"/>
  <c r="A190" i="27"/>
  <c r="A189" i="27"/>
  <c r="A188" i="27"/>
  <c r="A187" i="27"/>
  <c r="A186" i="27"/>
  <c r="A185" i="27"/>
  <c r="A184" i="27"/>
  <c r="A183" i="27"/>
  <c r="A182" i="27"/>
  <c r="A181" i="27"/>
  <c r="A180" i="27"/>
  <c r="A179" i="27"/>
  <c r="A178" i="27"/>
  <c r="A177" i="27"/>
  <c r="A176" i="27"/>
  <c r="A175" i="27"/>
  <c r="A174" i="27"/>
  <c r="A173" i="27"/>
  <c r="A172" i="27"/>
  <c r="A171" i="27"/>
  <c r="A170" i="27"/>
  <c r="A169" i="27"/>
  <c r="A168" i="27"/>
  <c r="A167" i="27"/>
  <c r="A166" i="27"/>
  <c r="A165" i="27"/>
  <c r="A164" i="27"/>
  <c r="A163" i="27"/>
  <c r="A162" i="27"/>
  <c r="A161" i="27"/>
  <c r="A160" i="27"/>
  <c r="A159" i="27"/>
  <c r="A158" i="27"/>
  <c r="A157" i="27"/>
  <c r="A156" i="27"/>
  <c r="A155" i="27"/>
  <c r="A154" i="27"/>
  <c r="A153" i="27"/>
  <c r="A152" i="27"/>
  <c r="A151" i="27"/>
  <c r="A150" i="27"/>
  <c r="A149" i="27"/>
  <c r="A148" i="27"/>
  <c r="A147" i="27"/>
  <c r="A146" i="27"/>
  <c r="A145" i="27"/>
  <c r="A144" i="27"/>
  <c r="A143" i="27"/>
  <c r="A142" i="27"/>
  <c r="A141" i="27"/>
  <c r="A140" i="27"/>
  <c r="A139" i="27"/>
  <c r="A138" i="27"/>
  <c r="A137" i="27"/>
  <c r="A136" i="27"/>
  <c r="A135" i="27"/>
  <c r="A134" i="27"/>
  <c r="A133" i="27"/>
  <c r="A132" i="27"/>
  <c r="A131" i="27"/>
  <c r="A130" i="27"/>
  <c r="A129" i="27"/>
  <c r="A128" i="27"/>
  <c r="A127" i="27"/>
  <c r="A126" i="27"/>
  <c r="A125" i="27"/>
  <c r="A124" i="27"/>
  <c r="A123" i="27"/>
  <c r="A122" i="27"/>
  <c r="A121" i="27"/>
  <c r="A120" i="27"/>
  <c r="A119" i="27"/>
  <c r="A118" i="27"/>
  <c r="A117" i="27"/>
  <c r="A116" i="27"/>
  <c r="A115" i="27"/>
  <c r="A114" i="27"/>
  <c r="A113" i="27"/>
  <c r="A112" i="27"/>
  <c r="A111" i="27"/>
  <c r="A110" i="27"/>
  <c r="A109" i="27"/>
  <c r="A108" i="27"/>
  <c r="A107" i="27"/>
  <c r="A106" i="27"/>
  <c r="A105" i="27"/>
  <c r="A104" i="27"/>
  <c r="A103" i="27"/>
  <c r="A102" i="27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" i="27"/>
  <c r="A2" i="27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" i="20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  <c r="H4" i="26"/>
  <c r="H3" i="26"/>
  <c r="H2" i="26"/>
  <c r="H116" i="29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H94" i="29"/>
  <c r="H93" i="29"/>
  <c r="H92" i="29"/>
  <c r="H91" i="29"/>
  <c r="H90" i="29"/>
  <c r="H89" i="29"/>
  <c r="H88" i="29"/>
  <c r="H87" i="29"/>
  <c r="H86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" i="29"/>
  <c r="H2" i="29"/>
  <c r="H281" i="28"/>
  <c r="H280" i="28"/>
  <c r="H279" i="28"/>
  <c r="H278" i="28"/>
  <c r="H277" i="28"/>
  <c r="H276" i="28"/>
  <c r="H275" i="28"/>
  <c r="H274" i="28"/>
  <c r="H273" i="28"/>
  <c r="H272" i="28"/>
  <c r="H271" i="28"/>
  <c r="H270" i="28"/>
  <c r="H269" i="28"/>
  <c r="H268" i="28"/>
  <c r="H267" i="28"/>
  <c r="H266" i="28"/>
  <c r="H265" i="28"/>
  <c r="H264" i="28"/>
  <c r="H263" i="28"/>
  <c r="H262" i="28"/>
  <c r="H261" i="28"/>
  <c r="H260" i="28"/>
  <c r="H259" i="28"/>
  <c r="H258" i="28"/>
  <c r="H257" i="28"/>
  <c r="H256" i="28"/>
  <c r="H255" i="28"/>
  <c r="H254" i="28"/>
  <c r="H253" i="28"/>
  <c r="H252" i="28"/>
  <c r="H251" i="28"/>
  <c r="H250" i="28"/>
  <c r="H249" i="28"/>
  <c r="H248" i="28"/>
  <c r="H247" i="28"/>
  <c r="H246" i="28"/>
  <c r="H245" i="28"/>
  <c r="H244" i="28"/>
  <c r="H243" i="28"/>
  <c r="H242" i="28"/>
  <c r="H241" i="28"/>
  <c r="H240" i="28"/>
  <c r="H239" i="28"/>
  <c r="H238" i="28"/>
  <c r="H237" i="28"/>
  <c r="H236" i="28"/>
  <c r="H235" i="28"/>
  <c r="H234" i="28"/>
  <c r="H233" i="28"/>
  <c r="H232" i="28"/>
  <c r="H231" i="28"/>
  <c r="H230" i="28"/>
  <c r="H229" i="28"/>
  <c r="H228" i="28"/>
  <c r="H227" i="28"/>
  <c r="H226" i="28"/>
  <c r="H225" i="28"/>
  <c r="H224" i="28"/>
  <c r="H223" i="28"/>
  <c r="H222" i="28"/>
  <c r="H221" i="28"/>
  <c r="H220" i="28"/>
  <c r="H219" i="28"/>
  <c r="H218" i="28"/>
  <c r="H217" i="28"/>
  <c r="H216" i="28"/>
  <c r="H215" i="28"/>
  <c r="H214" i="28"/>
  <c r="H213" i="28"/>
  <c r="H212" i="28"/>
  <c r="H211" i="28"/>
  <c r="H210" i="28"/>
  <c r="H209" i="28"/>
  <c r="H208" i="28"/>
  <c r="H207" i="28"/>
  <c r="H206" i="28"/>
  <c r="H205" i="28"/>
  <c r="H204" i="28"/>
  <c r="H203" i="28"/>
  <c r="H202" i="28"/>
  <c r="H201" i="28"/>
  <c r="H200" i="28"/>
  <c r="H199" i="28"/>
  <c r="H198" i="28"/>
  <c r="H197" i="28"/>
  <c r="H196" i="28"/>
  <c r="H195" i="28"/>
  <c r="H194" i="28"/>
  <c r="H193" i="28"/>
  <c r="H192" i="28"/>
  <c r="H191" i="28"/>
  <c r="H190" i="28"/>
  <c r="H189" i="28"/>
  <c r="H188" i="28"/>
  <c r="H187" i="28"/>
  <c r="H186" i="28"/>
  <c r="H185" i="28"/>
  <c r="H184" i="28"/>
  <c r="H183" i="28"/>
  <c r="H182" i="28"/>
  <c r="H181" i="28"/>
  <c r="H180" i="28"/>
  <c r="H179" i="28"/>
  <c r="H178" i="28"/>
  <c r="H177" i="28"/>
  <c r="H176" i="28"/>
  <c r="H175" i="28"/>
  <c r="H174" i="28"/>
  <c r="H173" i="28"/>
  <c r="H172" i="28"/>
  <c r="H171" i="28"/>
  <c r="H170" i="28"/>
  <c r="H169" i="28"/>
  <c r="H168" i="28"/>
  <c r="H167" i="28"/>
  <c r="H166" i="28"/>
  <c r="H165" i="28"/>
  <c r="H164" i="28"/>
  <c r="H163" i="28"/>
  <c r="H162" i="28"/>
  <c r="H161" i="28"/>
  <c r="H160" i="28"/>
  <c r="H159" i="28"/>
  <c r="H158" i="28"/>
  <c r="H157" i="28"/>
  <c r="H156" i="28"/>
  <c r="H155" i="28"/>
  <c r="H154" i="28"/>
  <c r="H153" i="28"/>
  <c r="H152" i="28"/>
  <c r="H151" i="28"/>
  <c r="H150" i="28"/>
  <c r="H149" i="28"/>
  <c r="H148" i="28"/>
  <c r="H147" i="28"/>
  <c r="H146" i="28"/>
  <c r="H145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H3" i="28"/>
  <c r="H2" i="28"/>
  <c r="H79" i="31"/>
  <c r="A79" i="31" s="1"/>
  <c r="H78" i="31"/>
  <c r="A78" i="31" s="1"/>
  <c r="H77" i="31"/>
  <c r="A77" i="31" s="1"/>
  <c r="H76" i="31"/>
  <c r="A76" i="31" s="1"/>
  <c r="H75" i="31"/>
  <c r="A75" i="31" s="1"/>
  <c r="H74" i="31"/>
  <c r="A74" i="31" s="1"/>
  <c r="H73" i="31"/>
  <c r="A73" i="31" s="1"/>
  <c r="H72" i="31"/>
  <c r="A72" i="31" s="1"/>
  <c r="H71" i="31"/>
  <c r="A71" i="31" s="1"/>
  <c r="H70" i="31"/>
  <c r="A70" i="31" s="1"/>
  <c r="H69" i="31"/>
  <c r="A69" i="31" s="1"/>
  <c r="H68" i="31"/>
  <c r="A68" i="31" s="1"/>
  <c r="H67" i="31"/>
  <c r="A67" i="31" s="1"/>
  <c r="H66" i="31"/>
  <c r="A66" i="31" s="1"/>
  <c r="H65" i="31"/>
  <c r="A65" i="31" s="1"/>
  <c r="H64" i="31"/>
  <c r="A64" i="31" s="1"/>
  <c r="H63" i="31"/>
  <c r="A63" i="31" s="1"/>
  <c r="H62" i="31"/>
  <c r="A62" i="31" s="1"/>
  <c r="H61" i="31"/>
  <c r="A61" i="31" s="1"/>
  <c r="H60" i="31"/>
  <c r="A60" i="31" s="1"/>
  <c r="H59" i="31"/>
  <c r="A59" i="31" s="1"/>
  <c r="H58" i="31"/>
  <c r="A58" i="31" s="1"/>
  <c r="H57" i="31"/>
  <c r="A57" i="31" s="1"/>
  <c r="H56" i="31"/>
  <c r="A56" i="31" s="1"/>
  <c r="H55" i="31"/>
  <c r="A55" i="31" s="1"/>
  <c r="H54" i="31"/>
  <c r="A54" i="31" s="1"/>
  <c r="H53" i="31"/>
  <c r="H52" i="31"/>
  <c r="A52" i="31" s="1"/>
  <c r="H51" i="31"/>
  <c r="A51" i="31" s="1"/>
  <c r="H50" i="31"/>
  <c r="A50" i="31" s="1"/>
  <c r="H49" i="31"/>
  <c r="A49" i="31" s="1"/>
  <c r="H48" i="31"/>
  <c r="A48" i="31" s="1"/>
  <c r="H47" i="31"/>
  <c r="A47" i="31" s="1"/>
  <c r="H46" i="31"/>
  <c r="A46" i="31" s="1"/>
  <c r="H45" i="31"/>
  <c r="A45" i="31" s="1"/>
  <c r="H44" i="31"/>
  <c r="A44" i="31" s="1"/>
  <c r="H43" i="31"/>
  <c r="A43" i="31" s="1"/>
  <c r="H42" i="31"/>
  <c r="A42" i="31" s="1"/>
  <c r="H41" i="31"/>
  <c r="A41" i="31" s="1"/>
  <c r="H40" i="31"/>
  <c r="A40" i="31" s="1"/>
  <c r="H39" i="31"/>
  <c r="A39" i="31" s="1"/>
  <c r="H38" i="31"/>
  <c r="A38" i="31" s="1"/>
  <c r="H37" i="31"/>
  <c r="A37" i="31" s="1"/>
  <c r="H36" i="31"/>
  <c r="A36" i="31" s="1"/>
  <c r="H35" i="31"/>
  <c r="A35" i="31" s="1"/>
  <c r="H34" i="31"/>
  <c r="A34" i="31" s="1"/>
  <c r="H33" i="31"/>
  <c r="A33" i="31" s="1"/>
  <c r="H32" i="31"/>
  <c r="A32" i="31" s="1"/>
  <c r="H31" i="31"/>
  <c r="A31" i="31" s="1"/>
  <c r="H30" i="31"/>
  <c r="A30" i="31" s="1"/>
  <c r="H29" i="31"/>
  <c r="H28" i="31"/>
  <c r="A28" i="31" s="1"/>
  <c r="H27" i="31"/>
  <c r="A27" i="31" s="1"/>
  <c r="H26" i="31"/>
  <c r="A26" i="31" s="1"/>
  <c r="H25" i="31"/>
  <c r="A25" i="31" s="1"/>
  <c r="H24" i="31"/>
  <c r="A24" i="31" s="1"/>
  <c r="H23" i="31"/>
  <c r="A23" i="31" s="1"/>
  <c r="H22" i="31"/>
  <c r="A22" i="31" s="1"/>
  <c r="H21" i="31"/>
  <c r="H20" i="31"/>
  <c r="A20" i="31" s="1"/>
  <c r="H19" i="31"/>
  <c r="A19" i="31" s="1"/>
  <c r="H18" i="31"/>
  <c r="A18" i="31" s="1"/>
  <c r="H17" i="31"/>
  <c r="A17" i="31" s="1"/>
  <c r="H16" i="31"/>
  <c r="A16" i="31" s="1"/>
  <c r="H15" i="31"/>
  <c r="A15" i="31" s="1"/>
  <c r="H14" i="31"/>
  <c r="A14" i="31" s="1"/>
  <c r="H13" i="31"/>
  <c r="A13" i="31" s="1"/>
  <c r="H12" i="31"/>
  <c r="A12" i="31" s="1"/>
  <c r="H11" i="31"/>
  <c r="A11" i="31" s="1"/>
  <c r="H10" i="31"/>
  <c r="A10" i="31" s="1"/>
  <c r="H9" i="31"/>
  <c r="A9" i="31" s="1"/>
  <c r="H8" i="31"/>
  <c r="A8" i="31" s="1"/>
  <c r="H7" i="31"/>
  <c r="A7" i="31" s="1"/>
  <c r="H6" i="31"/>
  <c r="A6" i="31" s="1"/>
  <c r="H5" i="31"/>
  <c r="A5" i="31" s="1"/>
  <c r="H4" i="31"/>
  <c r="A4" i="31" s="1"/>
  <c r="H3" i="31"/>
  <c r="A3" i="31" s="1"/>
  <c r="H2" i="31"/>
  <c r="A2" i="31" s="1"/>
  <c r="I65" i="24" l="1"/>
  <c r="J65" i="24" s="1"/>
  <c r="I61" i="24"/>
  <c r="J61" i="24" s="1"/>
  <c r="I62" i="24"/>
  <c r="J62" i="24" s="1"/>
  <c r="I63" i="24"/>
  <c r="J63" i="24" s="1"/>
  <c r="I64" i="24"/>
  <c r="J64" i="24" s="1"/>
  <c r="I59" i="24"/>
  <c r="J59" i="24" s="1"/>
  <c r="I60" i="24"/>
  <c r="J60" i="24" s="1"/>
  <c r="H1201" i="27"/>
  <c r="H1200" i="27"/>
  <c r="H1199" i="27"/>
  <c r="H1198" i="27"/>
  <c r="H1197" i="27"/>
  <c r="H1196" i="27"/>
  <c r="H1195" i="27"/>
  <c r="H1194" i="27"/>
  <c r="H1193" i="27"/>
  <c r="H1192" i="27"/>
  <c r="H1191" i="27"/>
  <c r="H1190" i="27"/>
  <c r="H1189" i="27"/>
  <c r="H1188" i="27"/>
  <c r="H1187" i="27"/>
  <c r="H1186" i="27"/>
  <c r="H1185" i="27"/>
  <c r="H1184" i="27"/>
  <c r="H1183" i="27"/>
  <c r="H1182" i="27"/>
  <c r="H1181" i="27"/>
  <c r="H1180" i="27"/>
  <c r="H1179" i="27"/>
  <c r="H1178" i="27"/>
  <c r="H1177" i="27"/>
  <c r="H1176" i="27"/>
  <c r="H1175" i="27"/>
  <c r="H1174" i="27"/>
  <c r="H1173" i="27"/>
  <c r="H1172" i="27"/>
  <c r="H1171" i="27"/>
  <c r="H1170" i="27"/>
  <c r="H1169" i="27"/>
  <c r="H1168" i="27"/>
  <c r="H1167" i="27"/>
  <c r="H1166" i="27"/>
  <c r="H1165" i="27"/>
  <c r="H1164" i="27"/>
  <c r="H1163" i="27"/>
  <c r="H1162" i="27"/>
  <c r="H1161" i="27"/>
  <c r="H1160" i="27"/>
  <c r="H1159" i="27"/>
  <c r="H1158" i="27"/>
  <c r="H1157" i="27"/>
  <c r="H1156" i="27"/>
  <c r="H1155" i="27"/>
  <c r="H1154" i="27"/>
  <c r="H1153" i="27"/>
  <c r="H1152" i="27"/>
  <c r="H1151" i="27"/>
  <c r="H1150" i="27"/>
  <c r="H1149" i="27"/>
  <c r="H1148" i="27"/>
  <c r="H1147" i="27"/>
  <c r="H1146" i="27"/>
  <c r="H1145" i="27"/>
  <c r="H1144" i="27"/>
  <c r="H1143" i="27"/>
  <c r="H1142" i="27"/>
  <c r="H1141" i="27"/>
  <c r="H1140" i="27"/>
  <c r="H1139" i="27"/>
  <c r="H1138" i="27"/>
  <c r="H1137" i="27"/>
  <c r="H1136" i="27"/>
  <c r="H1135" i="27"/>
  <c r="H1134" i="27"/>
  <c r="H1133" i="27"/>
  <c r="H1132" i="27"/>
  <c r="H1131" i="27"/>
  <c r="H1130" i="27"/>
  <c r="H1129" i="27"/>
  <c r="H1128" i="27"/>
  <c r="H1127" i="27"/>
  <c r="H1126" i="27"/>
  <c r="H1125" i="27"/>
  <c r="H1124" i="27"/>
  <c r="H1123" i="27"/>
  <c r="H1122" i="27"/>
  <c r="H1121" i="27"/>
  <c r="H1120" i="27"/>
  <c r="H1119" i="27"/>
  <c r="H1118" i="27"/>
  <c r="H1117" i="27"/>
  <c r="H1116" i="27"/>
  <c r="H1115" i="27"/>
  <c r="H1114" i="27"/>
  <c r="H1113" i="27"/>
  <c r="H1112" i="27"/>
  <c r="H1111" i="27"/>
  <c r="H1110" i="27"/>
  <c r="H1109" i="27"/>
  <c r="H1108" i="27"/>
  <c r="H1107" i="27"/>
  <c r="H1106" i="27"/>
  <c r="H1105" i="27"/>
  <c r="H1104" i="27"/>
  <c r="H1103" i="27"/>
  <c r="H1102" i="27"/>
  <c r="H1101" i="27"/>
  <c r="H1100" i="27"/>
  <c r="H1099" i="27"/>
  <c r="H1098" i="27"/>
  <c r="H1097" i="27"/>
  <c r="H1096" i="27"/>
  <c r="H1095" i="27"/>
  <c r="H1094" i="27"/>
  <c r="H1093" i="27"/>
  <c r="H1092" i="27"/>
  <c r="H1091" i="27"/>
  <c r="H1090" i="27"/>
  <c r="H1089" i="27"/>
  <c r="H1088" i="27"/>
  <c r="H1087" i="27"/>
  <c r="H1086" i="27"/>
  <c r="H1085" i="27"/>
  <c r="H1084" i="27"/>
  <c r="H1083" i="27"/>
  <c r="H1082" i="27"/>
  <c r="H1081" i="27"/>
  <c r="H1080" i="27"/>
  <c r="H1079" i="27"/>
  <c r="H1078" i="27"/>
  <c r="H1077" i="27"/>
  <c r="H1076" i="27"/>
  <c r="H1075" i="27"/>
  <c r="H1074" i="27"/>
  <c r="H1073" i="27"/>
  <c r="H1072" i="27"/>
  <c r="H1071" i="27"/>
  <c r="H1070" i="27"/>
  <c r="H1069" i="27"/>
  <c r="H1068" i="27"/>
  <c r="H1067" i="27"/>
  <c r="H1066" i="27"/>
  <c r="H1065" i="27"/>
  <c r="H1064" i="27"/>
  <c r="H1063" i="27"/>
  <c r="H1062" i="27"/>
  <c r="H1061" i="27"/>
  <c r="H1060" i="27"/>
  <c r="H1059" i="27"/>
  <c r="H1058" i="27"/>
  <c r="H1057" i="27"/>
  <c r="H1056" i="27"/>
  <c r="H1055" i="27"/>
  <c r="H1054" i="27"/>
  <c r="H1053" i="27"/>
  <c r="H1052" i="27"/>
  <c r="H1051" i="27"/>
  <c r="H1050" i="27"/>
  <c r="H1049" i="27"/>
  <c r="H1048" i="27"/>
  <c r="H1047" i="27"/>
  <c r="H1046" i="27"/>
  <c r="H1045" i="27"/>
  <c r="H1044" i="27"/>
  <c r="H1043" i="27"/>
  <c r="H1042" i="27"/>
  <c r="H1041" i="27"/>
  <c r="H1040" i="27"/>
  <c r="H1039" i="27"/>
  <c r="H1038" i="27"/>
  <c r="H1037" i="27"/>
  <c r="H1036" i="27"/>
  <c r="H1035" i="27"/>
  <c r="H1034" i="27"/>
  <c r="H1033" i="27"/>
  <c r="H1032" i="27"/>
  <c r="H1031" i="27"/>
  <c r="H1030" i="27"/>
  <c r="H1029" i="27"/>
  <c r="H1028" i="27"/>
  <c r="H1027" i="27"/>
  <c r="H1026" i="27"/>
  <c r="H1025" i="27"/>
  <c r="H1024" i="27"/>
  <c r="H1023" i="27"/>
  <c r="H1022" i="27"/>
  <c r="H1021" i="27"/>
  <c r="H1020" i="27"/>
  <c r="H1019" i="27"/>
  <c r="H1018" i="27"/>
  <c r="H1017" i="27"/>
  <c r="H1016" i="27"/>
  <c r="H1015" i="27"/>
  <c r="H1014" i="27"/>
  <c r="H1013" i="27"/>
  <c r="H1012" i="27"/>
  <c r="H1011" i="27"/>
  <c r="H1010" i="27"/>
  <c r="H1009" i="27"/>
  <c r="H1008" i="27"/>
  <c r="H1007" i="27"/>
  <c r="H1006" i="27"/>
  <c r="H1005" i="27"/>
  <c r="H1004" i="27"/>
  <c r="H1003" i="27"/>
  <c r="H1002" i="27"/>
  <c r="H1001" i="27"/>
  <c r="H1000" i="27"/>
  <c r="H999" i="27"/>
  <c r="H998" i="27"/>
  <c r="H997" i="27"/>
  <c r="H996" i="27"/>
  <c r="H995" i="27"/>
  <c r="H994" i="27"/>
  <c r="H993" i="27"/>
  <c r="H992" i="27"/>
  <c r="H991" i="27"/>
  <c r="H990" i="27"/>
  <c r="H989" i="27"/>
  <c r="H988" i="27"/>
  <c r="H987" i="27"/>
  <c r="H986" i="27"/>
  <c r="H985" i="27"/>
  <c r="H984" i="27"/>
  <c r="H983" i="27"/>
  <c r="H982" i="27"/>
  <c r="H981" i="27"/>
  <c r="H980" i="27"/>
  <c r="H979" i="27"/>
  <c r="H978" i="27"/>
  <c r="H977" i="27"/>
  <c r="H976" i="27"/>
  <c r="H975" i="27"/>
  <c r="H974" i="27"/>
  <c r="H973" i="27"/>
  <c r="H972" i="27"/>
  <c r="H971" i="27"/>
  <c r="H970" i="27"/>
  <c r="H969" i="27"/>
  <c r="H968" i="27"/>
  <c r="H967" i="27"/>
  <c r="H966" i="27"/>
  <c r="H965" i="27"/>
  <c r="H964" i="27"/>
  <c r="H963" i="27"/>
  <c r="H962" i="27"/>
  <c r="H961" i="27"/>
  <c r="H960" i="27"/>
  <c r="H959" i="27"/>
  <c r="H958" i="27"/>
  <c r="H957" i="27"/>
  <c r="H956" i="27"/>
  <c r="H955" i="27"/>
  <c r="H954" i="27"/>
  <c r="H953" i="27"/>
  <c r="H952" i="27"/>
  <c r="H951" i="27"/>
  <c r="H950" i="27"/>
  <c r="H949" i="27"/>
  <c r="H948" i="27"/>
  <c r="H947" i="27"/>
  <c r="H946" i="27"/>
  <c r="H945" i="27"/>
  <c r="H944" i="27"/>
  <c r="H943" i="27"/>
  <c r="H942" i="27"/>
  <c r="H941" i="27"/>
  <c r="H940" i="27"/>
  <c r="H939" i="27"/>
  <c r="H938" i="27"/>
  <c r="H937" i="27"/>
  <c r="H936" i="27"/>
  <c r="H935" i="27"/>
  <c r="H934" i="27"/>
  <c r="H933" i="27"/>
  <c r="H932" i="27"/>
  <c r="H931" i="27"/>
  <c r="H930" i="27"/>
  <c r="H929" i="27"/>
  <c r="H928" i="27"/>
  <c r="H927" i="27"/>
  <c r="H926" i="27"/>
  <c r="H925" i="27"/>
  <c r="H924" i="27"/>
  <c r="H923" i="27"/>
  <c r="H922" i="27"/>
  <c r="H921" i="27"/>
  <c r="H920" i="27"/>
  <c r="H919" i="27"/>
  <c r="H918" i="27"/>
  <c r="H917" i="27"/>
  <c r="H916" i="27"/>
  <c r="H915" i="27"/>
  <c r="H914" i="27"/>
  <c r="H913" i="27"/>
  <c r="H912" i="27"/>
  <c r="H911" i="27"/>
  <c r="H910" i="27"/>
  <c r="H909" i="27"/>
  <c r="H908" i="27"/>
  <c r="H907" i="27"/>
  <c r="H906" i="27"/>
  <c r="H905" i="27"/>
  <c r="H904" i="27"/>
  <c r="H903" i="27"/>
  <c r="H902" i="27"/>
  <c r="H901" i="27"/>
  <c r="H900" i="27"/>
  <c r="H899" i="27"/>
  <c r="H898" i="27"/>
  <c r="H897" i="27"/>
  <c r="H896" i="27"/>
  <c r="H895" i="27"/>
  <c r="H894" i="27"/>
  <c r="H893" i="27"/>
  <c r="H892" i="27"/>
  <c r="H891" i="27"/>
  <c r="H890" i="27"/>
  <c r="H889" i="27"/>
  <c r="H888" i="27"/>
  <c r="H887" i="27"/>
  <c r="H886" i="27"/>
  <c r="H885" i="27"/>
  <c r="H884" i="27"/>
  <c r="H883" i="27"/>
  <c r="H882" i="27"/>
  <c r="H881" i="27"/>
  <c r="H880" i="27"/>
  <c r="H879" i="27"/>
  <c r="H878" i="27"/>
  <c r="H877" i="27"/>
  <c r="H876" i="27"/>
  <c r="H875" i="27"/>
  <c r="H874" i="27"/>
  <c r="H873" i="27"/>
  <c r="H872" i="27"/>
  <c r="H871" i="27"/>
  <c r="H870" i="27"/>
  <c r="H869" i="27"/>
  <c r="H868" i="27"/>
  <c r="H867" i="27"/>
  <c r="H866" i="27"/>
  <c r="H865" i="27"/>
  <c r="H864" i="27"/>
  <c r="H863" i="27"/>
  <c r="H862" i="27"/>
  <c r="H861" i="27"/>
  <c r="H860" i="27"/>
  <c r="H859" i="27"/>
  <c r="H858" i="27"/>
  <c r="H857" i="27"/>
  <c r="H856" i="27"/>
  <c r="H855" i="27"/>
  <c r="H854" i="27"/>
  <c r="H853" i="27"/>
  <c r="H852" i="27"/>
  <c r="H851" i="27"/>
  <c r="H850" i="27"/>
  <c r="H849" i="27"/>
  <c r="H848" i="27"/>
  <c r="H847" i="27"/>
  <c r="H846" i="27"/>
  <c r="H845" i="27"/>
  <c r="H844" i="27"/>
  <c r="H843" i="27"/>
  <c r="H842" i="27"/>
  <c r="H841" i="27"/>
  <c r="H840" i="27"/>
  <c r="H839" i="27"/>
  <c r="H838" i="27"/>
  <c r="H837" i="27"/>
  <c r="H836" i="27"/>
  <c r="H835" i="27"/>
  <c r="H834" i="27"/>
  <c r="H833" i="27"/>
  <c r="H832" i="27"/>
  <c r="H831" i="27"/>
  <c r="H830" i="27"/>
  <c r="H829" i="27"/>
  <c r="H828" i="27"/>
  <c r="H827" i="27"/>
  <c r="H826" i="27"/>
  <c r="H825" i="27"/>
  <c r="H824" i="27"/>
  <c r="H823" i="27"/>
  <c r="H822" i="27"/>
  <c r="H821" i="27"/>
  <c r="H820" i="27"/>
  <c r="H819" i="27"/>
  <c r="H818" i="27"/>
  <c r="H817" i="27"/>
  <c r="H816" i="27"/>
  <c r="H815" i="27"/>
  <c r="H814" i="27"/>
  <c r="H813" i="27"/>
  <c r="H812" i="27"/>
  <c r="H811" i="27"/>
  <c r="H810" i="27"/>
  <c r="H809" i="27"/>
  <c r="H808" i="27"/>
  <c r="H807" i="27"/>
  <c r="H806" i="27"/>
  <c r="H805" i="27"/>
  <c r="H804" i="27"/>
  <c r="H803" i="27"/>
  <c r="H802" i="27"/>
  <c r="H801" i="27"/>
  <c r="H800" i="27"/>
  <c r="H799" i="27"/>
  <c r="H798" i="27"/>
  <c r="H797" i="27"/>
  <c r="H796" i="27"/>
  <c r="H795" i="27"/>
  <c r="H794" i="27"/>
  <c r="H793" i="27"/>
  <c r="H792" i="27"/>
  <c r="H791" i="27"/>
  <c r="H790" i="27"/>
  <c r="H789" i="27"/>
  <c r="H788" i="27"/>
  <c r="H787" i="27"/>
  <c r="H786" i="27"/>
  <c r="H785" i="27"/>
  <c r="H784" i="27"/>
  <c r="H783" i="27"/>
  <c r="H782" i="27"/>
  <c r="H781" i="27"/>
  <c r="H780" i="27"/>
  <c r="H779" i="27"/>
  <c r="H778" i="27"/>
  <c r="H777" i="27"/>
  <c r="H776" i="27"/>
  <c r="H775" i="27"/>
  <c r="H774" i="27"/>
  <c r="H773" i="27"/>
  <c r="H772" i="27"/>
  <c r="H771" i="27"/>
  <c r="H770" i="27"/>
  <c r="H769" i="27"/>
  <c r="H768" i="27"/>
  <c r="H767" i="27"/>
  <c r="H766" i="27"/>
  <c r="H765" i="27"/>
  <c r="H764" i="27"/>
  <c r="H763" i="27"/>
  <c r="H762" i="27"/>
  <c r="H761" i="27"/>
  <c r="H760" i="27"/>
  <c r="H759" i="27"/>
  <c r="H758" i="27"/>
  <c r="H757" i="27"/>
  <c r="H756" i="27"/>
  <c r="H755" i="27"/>
  <c r="H754" i="27"/>
  <c r="H753" i="27"/>
  <c r="H752" i="27"/>
  <c r="H751" i="27"/>
  <c r="H750" i="27"/>
  <c r="H749" i="27"/>
  <c r="H748" i="27"/>
  <c r="H747" i="27"/>
  <c r="H746" i="27"/>
  <c r="H745" i="27"/>
  <c r="H744" i="27"/>
  <c r="H743" i="27"/>
  <c r="H742" i="27"/>
  <c r="H741" i="27"/>
  <c r="H740" i="27"/>
  <c r="H739" i="27"/>
  <c r="H738" i="27"/>
  <c r="H737" i="27"/>
  <c r="H736" i="27"/>
  <c r="H735" i="27"/>
  <c r="H734" i="27"/>
  <c r="H733" i="27"/>
  <c r="H732" i="27"/>
  <c r="H731" i="27"/>
  <c r="H730" i="27"/>
  <c r="H729" i="27"/>
  <c r="H728" i="27"/>
  <c r="H727" i="27"/>
  <c r="H726" i="27"/>
  <c r="H725" i="27"/>
  <c r="H724" i="27"/>
  <c r="H723" i="27"/>
  <c r="H722" i="27"/>
  <c r="H721" i="27"/>
  <c r="H720" i="27"/>
  <c r="H719" i="27"/>
  <c r="H718" i="27"/>
  <c r="H717" i="27"/>
  <c r="H716" i="27"/>
  <c r="H715" i="27"/>
  <c r="H714" i="27"/>
  <c r="H713" i="27"/>
  <c r="H712" i="27"/>
  <c r="H711" i="27"/>
  <c r="H710" i="27"/>
  <c r="H709" i="27"/>
  <c r="H708" i="27"/>
  <c r="H707" i="27"/>
  <c r="H706" i="27"/>
  <c r="H705" i="27"/>
  <c r="H704" i="27"/>
  <c r="H703" i="27"/>
  <c r="H702" i="27"/>
  <c r="H701" i="27"/>
  <c r="H700" i="27"/>
  <c r="H699" i="27"/>
  <c r="H698" i="27"/>
  <c r="H697" i="27"/>
  <c r="H696" i="27"/>
  <c r="H695" i="27"/>
  <c r="H694" i="27"/>
  <c r="H693" i="27"/>
  <c r="H692" i="27"/>
  <c r="H691" i="27"/>
  <c r="H690" i="27"/>
  <c r="H689" i="27"/>
  <c r="H688" i="27"/>
  <c r="H687" i="27"/>
  <c r="H686" i="27"/>
  <c r="H685" i="27"/>
  <c r="H684" i="27"/>
  <c r="H683" i="27"/>
  <c r="H682" i="27"/>
  <c r="H681" i="27"/>
  <c r="H680" i="27"/>
  <c r="H679" i="27"/>
  <c r="H678" i="27"/>
  <c r="H677" i="27"/>
  <c r="H676" i="27"/>
  <c r="H675" i="27"/>
  <c r="H674" i="27"/>
  <c r="H673" i="27"/>
  <c r="H672" i="27"/>
  <c r="H671" i="27"/>
  <c r="H670" i="27"/>
  <c r="H669" i="27"/>
  <c r="H668" i="27"/>
  <c r="H667" i="27"/>
  <c r="H666" i="27"/>
  <c r="H665" i="27"/>
  <c r="H664" i="27"/>
  <c r="H663" i="27"/>
  <c r="H662" i="27"/>
  <c r="H661" i="27"/>
  <c r="H660" i="27"/>
  <c r="H659" i="27"/>
  <c r="H658" i="27"/>
  <c r="H657" i="27"/>
  <c r="H656" i="27"/>
  <c r="H655" i="27"/>
  <c r="H654" i="27"/>
  <c r="H653" i="27"/>
  <c r="H652" i="27"/>
  <c r="H651" i="27"/>
  <c r="H650" i="27"/>
  <c r="H649" i="27"/>
  <c r="H648" i="27"/>
  <c r="H647" i="27"/>
  <c r="H646" i="27"/>
  <c r="H645" i="27"/>
  <c r="H644" i="27"/>
  <c r="H643" i="27"/>
  <c r="H642" i="27"/>
  <c r="H641" i="27"/>
  <c r="H640" i="27"/>
  <c r="H639" i="27"/>
  <c r="H638" i="27"/>
  <c r="H637" i="27"/>
  <c r="H636" i="27"/>
  <c r="H635" i="27"/>
  <c r="H634" i="27"/>
  <c r="H633" i="27"/>
  <c r="H632" i="27"/>
  <c r="H631" i="27"/>
  <c r="H630" i="27"/>
  <c r="H629" i="27"/>
  <c r="H628" i="27"/>
  <c r="H627" i="27"/>
  <c r="H626" i="27"/>
  <c r="H625" i="27"/>
  <c r="H624" i="27"/>
  <c r="H623" i="27"/>
  <c r="H622" i="27"/>
  <c r="H621" i="27"/>
  <c r="H620" i="27"/>
  <c r="H619" i="27"/>
  <c r="H618" i="27"/>
  <c r="H617" i="27"/>
  <c r="H616" i="27"/>
  <c r="H615" i="27"/>
  <c r="H614" i="27"/>
  <c r="H613" i="27"/>
  <c r="H612" i="27"/>
  <c r="H611" i="27"/>
  <c r="H610" i="27"/>
  <c r="H609" i="27"/>
  <c r="H608" i="27"/>
  <c r="H607" i="27"/>
  <c r="H606" i="27"/>
  <c r="H605" i="27"/>
  <c r="H604" i="27"/>
  <c r="H603" i="27"/>
  <c r="H602" i="27"/>
  <c r="H601" i="27"/>
  <c r="H600" i="27"/>
  <c r="H599" i="27"/>
  <c r="H598" i="27"/>
  <c r="H597" i="27"/>
  <c r="H596" i="27"/>
  <c r="H595" i="27"/>
  <c r="H594" i="27"/>
  <c r="H593" i="27"/>
  <c r="H592" i="27"/>
  <c r="H591" i="27"/>
  <c r="H590" i="27"/>
  <c r="H589" i="27"/>
  <c r="H588" i="27"/>
  <c r="H587" i="27"/>
  <c r="H586" i="27"/>
  <c r="H585" i="27"/>
  <c r="H584" i="27"/>
  <c r="H583" i="27"/>
  <c r="H582" i="27"/>
  <c r="H581" i="27"/>
  <c r="H580" i="27"/>
  <c r="H579" i="27"/>
  <c r="H578" i="27"/>
  <c r="H577" i="27"/>
  <c r="H576" i="27"/>
  <c r="H575" i="27"/>
  <c r="H574" i="27"/>
  <c r="H573" i="27"/>
  <c r="H572" i="27"/>
  <c r="H571" i="27"/>
  <c r="H570" i="27"/>
  <c r="H569" i="27"/>
  <c r="H568" i="27"/>
  <c r="H567" i="27"/>
  <c r="H566" i="27"/>
  <c r="H565" i="27"/>
  <c r="H564" i="27"/>
  <c r="H563" i="27"/>
  <c r="H562" i="27"/>
  <c r="H561" i="27"/>
  <c r="H560" i="27"/>
  <c r="H559" i="27"/>
  <c r="H558" i="27"/>
  <c r="H557" i="27"/>
  <c r="H556" i="27"/>
  <c r="H555" i="27"/>
  <c r="H554" i="27"/>
  <c r="H553" i="27"/>
  <c r="H552" i="27"/>
  <c r="H551" i="27"/>
  <c r="H550" i="27"/>
  <c r="H549" i="27"/>
  <c r="H548" i="27"/>
  <c r="H547" i="27"/>
  <c r="H546" i="27"/>
  <c r="H545" i="27"/>
  <c r="H544" i="27"/>
  <c r="H543" i="27"/>
  <c r="H542" i="27"/>
  <c r="H541" i="27"/>
  <c r="H540" i="27"/>
  <c r="H539" i="27"/>
  <c r="H538" i="27"/>
  <c r="H537" i="27"/>
  <c r="H536" i="27"/>
  <c r="H535" i="27"/>
  <c r="H534" i="27"/>
  <c r="H533" i="27"/>
  <c r="H532" i="27"/>
  <c r="H531" i="27"/>
  <c r="H530" i="27"/>
  <c r="H529" i="27"/>
  <c r="H528" i="27"/>
  <c r="H527" i="27"/>
  <c r="H526" i="27"/>
  <c r="H525" i="27"/>
  <c r="H524" i="27"/>
  <c r="H523" i="27"/>
  <c r="H522" i="27"/>
  <c r="H521" i="27"/>
  <c r="H520" i="27"/>
  <c r="H519" i="27"/>
  <c r="H518" i="27"/>
  <c r="H517" i="27"/>
  <c r="H516" i="27"/>
  <c r="H515" i="27"/>
  <c r="H514" i="27"/>
  <c r="H513" i="27"/>
  <c r="H512" i="27"/>
  <c r="H511" i="27"/>
  <c r="H510" i="27"/>
  <c r="H509" i="27"/>
  <c r="H508" i="27"/>
  <c r="H507" i="27"/>
  <c r="H506" i="27"/>
  <c r="H505" i="27"/>
  <c r="H504" i="27"/>
  <c r="H503" i="27"/>
  <c r="H502" i="27"/>
  <c r="H501" i="27"/>
  <c r="H500" i="27"/>
  <c r="H499" i="27"/>
  <c r="H498" i="27"/>
  <c r="H497" i="27"/>
  <c r="H496" i="27"/>
  <c r="H495" i="27"/>
  <c r="H494" i="27"/>
  <c r="H493" i="27"/>
  <c r="H492" i="27"/>
  <c r="H491" i="27"/>
  <c r="H490" i="27"/>
  <c r="H489" i="27"/>
  <c r="H488" i="27"/>
  <c r="H487" i="27"/>
  <c r="H486" i="27"/>
  <c r="H485" i="27"/>
  <c r="H484" i="27"/>
  <c r="H483" i="27"/>
  <c r="H482" i="27"/>
  <c r="H481" i="27"/>
  <c r="H480" i="27"/>
  <c r="H479" i="27"/>
  <c r="H478" i="27"/>
  <c r="H477" i="27"/>
  <c r="H476" i="27"/>
  <c r="H475" i="27"/>
  <c r="H474" i="27"/>
  <c r="H473" i="27"/>
  <c r="H472" i="27"/>
  <c r="H471" i="27"/>
  <c r="H470" i="27"/>
  <c r="H469" i="27"/>
  <c r="H468" i="27"/>
  <c r="H467" i="27"/>
  <c r="H466" i="27"/>
  <c r="H465" i="27"/>
  <c r="H464" i="27"/>
  <c r="H463" i="27"/>
  <c r="H462" i="27"/>
  <c r="H461" i="27"/>
  <c r="H460" i="27"/>
  <c r="H459" i="27"/>
  <c r="H458" i="27"/>
  <c r="H457" i="27"/>
  <c r="H456" i="27"/>
  <c r="H455" i="27"/>
  <c r="H454" i="27"/>
  <c r="H453" i="27"/>
  <c r="H452" i="27"/>
  <c r="H451" i="27"/>
  <c r="H450" i="27"/>
  <c r="H449" i="27"/>
  <c r="H448" i="27"/>
  <c r="H447" i="27"/>
  <c r="H446" i="27"/>
  <c r="H445" i="27"/>
  <c r="H444" i="27"/>
  <c r="H443" i="27"/>
  <c r="H442" i="27"/>
  <c r="H441" i="27"/>
  <c r="H440" i="27"/>
  <c r="H439" i="27"/>
  <c r="H438" i="27"/>
  <c r="H437" i="27"/>
  <c r="H436" i="27"/>
  <c r="H435" i="27"/>
  <c r="H434" i="27"/>
  <c r="H433" i="27"/>
  <c r="H432" i="27"/>
  <c r="H431" i="27"/>
  <c r="H430" i="27"/>
  <c r="H429" i="27"/>
  <c r="H428" i="27"/>
  <c r="H427" i="27"/>
  <c r="H426" i="27"/>
  <c r="H425" i="27"/>
  <c r="H424" i="27"/>
  <c r="H423" i="27"/>
  <c r="H422" i="27"/>
  <c r="H421" i="27"/>
  <c r="H420" i="27"/>
  <c r="H419" i="27"/>
  <c r="H418" i="27"/>
  <c r="H417" i="27"/>
  <c r="H416" i="27"/>
  <c r="H415" i="27"/>
  <c r="H414" i="27"/>
  <c r="H413" i="27"/>
  <c r="H412" i="27"/>
  <c r="H411" i="27"/>
  <c r="H410" i="27"/>
  <c r="H409" i="27"/>
  <c r="H408" i="27"/>
  <c r="H407" i="27"/>
  <c r="H406" i="27"/>
  <c r="H405" i="27"/>
  <c r="H404" i="27"/>
  <c r="H403" i="27"/>
  <c r="H402" i="27"/>
  <c r="H401" i="27"/>
  <c r="H400" i="27"/>
  <c r="H399" i="27"/>
  <c r="H398" i="27"/>
  <c r="H397" i="27"/>
  <c r="H396" i="27"/>
  <c r="H395" i="27"/>
  <c r="H394" i="27"/>
  <c r="H393" i="27"/>
  <c r="H392" i="27"/>
  <c r="H391" i="27"/>
  <c r="H390" i="27"/>
  <c r="H389" i="27"/>
  <c r="H388" i="27"/>
  <c r="H387" i="27"/>
  <c r="H386" i="27"/>
  <c r="H385" i="27"/>
  <c r="H384" i="27"/>
  <c r="H383" i="27"/>
  <c r="H382" i="27"/>
  <c r="H381" i="27"/>
  <c r="H380" i="27"/>
  <c r="H379" i="27"/>
  <c r="H378" i="27"/>
  <c r="H377" i="27"/>
  <c r="H376" i="27"/>
  <c r="H375" i="27"/>
  <c r="H374" i="27"/>
  <c r="H373" i="27"/>
  <c r="H372" i="27"/>
  <c r="H371" i="27"/>
  <c r="H370" i="27"/>
  <c r="H369" i="27"/>
  <c r="H368" i="27"/>
  <c r="H367" i="27"/>
  <c r="H366" i="27"/>
  <c r="H365" i="27"/>
  <c r="H364" i="27"/>
  <c r="H363" i="27"/>
  <c r="H362" i="27"/>
  <c r="H361" i="27"/>
  <c r="H360" i="27"/>
  <c r="H359" i="27"/>
  <c r="H358" i="27"/>
  <c r="H357" i="27"/>
  <c r="H356" i="27"/>
  <c r="H355" i="27"/>
  <c r="H354" i="27"/>
  <c r="H353" i="27"/>
  <c r="H352" i="27"/>
  <c r="H351" i="27"/>
  <c r="H350" i="27"/>
  <c r="H349" i="27"/>
  <c r="H348" i="27"/>
  <c r="H347" i="27"/>
  <c r="H346" i="27"/>
  <c r="H345" i="27"/>
  <c r="H344" i="27"/>
  <c r="H343" i="27"/>
  <c r="H342" i="27"/>
  <c r="H341" i="27"/>
  <c r="H340" i="27"/>
  <c r="H339" i="27"/>
  <c r="H338" i="27"/>
  <c r="H337" i="27"/>
  <c r="H336" i="27"/>
  <c r="H335" i="27"/>
  <c r="H334" i="27"/>
  <c r="H333" i="27"/>
  <c r="H332" i="27"/>
  <c r="H331" i="27"/>
  <c r="H330" i="27"/>
  <c r="H329" i="27"/>
  <c r="H328" i="27"/>
  <c r="H327" i="27"/>
  <c r="H326" i="27"/>
  <c r="H325" i="27"/>
  <c r="H324" i="27"/>
  <c r="H323" i="27"/>
  <c r="H322" i="27"/>
  <c r="H321" i="27"/>
  <c r="H320" i="27"/>
  <c r="H319" i="27"/>
  <c r="H318" i="27"/>
  <c r="H317" i="27"/>
  <c r="H316" i="27"/>
  <c r="H315" i="27"/>
  <c r="H314" i="27"/>
  <c r="H313" i="27"/>
  <c r="H312" i="27"/>
  <c r="H311" i="27"/>
  <c r="H310" i="27"/>
  <c r="H309" i="27"/>
  <c r="H308" i="27"/>
  <c r="H307" i="27"/>
  <c r="H306" i="27"/>
  <c r="H305" i="27"/>
  <c r="H304" i="27"/>
  <c r="H303" i="27"/>
  <c r="H302" i="27"/>
  <c r="H301" i="27"/>
  <c r="H300" i="27"/>
  <c r="H299" i="27"/>
  <c r="H298" i="27"/>
  <c r="H297" i="27"/>
  <c r="H296" i="27"/>
  <c r="H295" i="27"/>
  <c r="H294" i="27"/>
  <c r="H293" i="27"/>
  <c r="H292" i="27"/>
  <c r="H291" i="27"/>
  <c r="H290" i="27"/>
  <c r="H289" i="27"/>
  <c r="H288" i="27"/>
  <c r="H287" i="27"/>
  <c r="H286" i="27"/>
  <c r="H285" i="27"/>
  <c r="H284" i="27"/>
  <c r="H283" i="27"/>
  <c r="H282" i="27"/>
  <c r="H281" i="27"/>
  <c r="H280" i="27"/>
  <c r="H279" i="27"/>
  <c r="H278" i="27"/>
  <c r="H277" i="27"/>
  <c r="H276" i="27"/>
  <c r="H275" i="27"/>
  <c r="H274" i="27"/>
  <c r="H273" i="27"/>
  <c r="H272" i="27"/>
  <c r="H271" i="27"/>
  <c r="H270" i="27"/>
  <c r="H269" i="27"/>
  <c r="H268" i="27"/>
  <c r="H267" i="27"/>
  <c r="H266" i="27"/>
  <c r="H265" i="27"/>
  <c r="H264" i="27"/>
  <c r="H263" i="27"/>
  <c r="H262" i="27"/>
  <c r="H261" i="27"/>
  <c r="H260" i="27"/>
  <c r="H259" i="27"/>
  <c r="H258" i="27"/>
  <c r="H257" i="27"/>
  <c r="H256" i="27"/>
  <c r="H255" i="27"/>
  <c r="H254" i="27"/>
  <c r="H253" i="27"/>
  <c r="H252" i="27"/>
  <c r="H251" i="27"/>
  <c r="H250" i="27"/>
  <c r="H249" i="27"/>
  <c r="H248" i="27"/>
  <c r="H247" i="27"/>
  <c r="H246" i="27"/>
  <c r="H245" i="27"/>
  <c r="H244" i="27"/>
  <c r="H243" i="27"/>
  <c r="H242" i="27"/>
  <c r="H241" i="27"/>
  <c r="H240" i="27"/>
  <c r="H239" i="27"/>
  <c r="H238" i="27"/>
  <c r="H237" i="27"/>
  <c r="H236" i="27"/>
  <c r="H235" i="27"/>
  <c r="H234" i="27"/>
  <c r="H233" i="27"/>
  <c r="H232" i="27"/>
  <c r="H231" i="27"/>
  <c r="H230" i="27"/>
  <c r="H229" i="27"/>
  <c r="H228" i="27"/>
  <c r="H227" i="27"/>
  <c r="H226" i="27"/>
  <c r="H225" i="27"/>
  <c r="H224" i="27"/>
  <c r="H223" i="27"/>
  <c r="H222" i="27"/>
  <c r="H221" i="27"/>
  <c r="H220" i="27"/>
  <c r="H219" i="27"/>
  <c r="H218" i="27"/>
  <c r="H217" i="27"/>
  <c r="H216" i="27"/>
  <c r="H215" i="27"/>
  <c r="H214" i="27"/>
  <c r="H213" i="27"/>
  <c r="H212" i="27"/>
  <c r="H211" i="27"/>
  <c r="H210" i="27"/>
  <c r="H209" i="27"/>
  <c r="H208" i="27"/>
  <c r="H207" i="27"/>
  <c r="H206" i="27"/>
  <c r="H205" i="27"/>
  <c r="H204" i="27"/>
  <c r="H203" i="27"/>
  <c r="H202" i="27"/>
  <c r="H201" i="27"/>
  <c r="H200" i="27"/>
  <c r="H199" i="27"/>
  <c r="H198" i="27"/>
  <c r="H197" i="27"/>
  <c r="H196" i="27"/>
  <c r="H195" i="27"/>
  <c r="H194" i="27"/>
  <c r="H193" i="27"/>
  <c r="H192" i="27"/>
  <c r="H191" i="27"/>
  <c r="H190" i="27"/>
  <c r="H189" i="27"/>
  <c r="H188" i="27"/>
  <c r="H187" i="27"/>
  <c r="H186" i="27"/>
  <c r="H185" i="27"/>
  <c r="H184" i="27"/>
  <c r="H183" i="27"/>
  <c r="H182" i="27"/>
  <c r="H181" i="27"/>
  <c r="H180" i="27"/>
  <c r="H179" i="27"/>
  <c r="H178" i="27"/>
  <c r="H177" i="27"/>
  <c r="H176" i="27"/>
  <c r="H175" i="27"/>
  <c r="H174" i="27"/>
  <c r="H173" i="27"/>
  <c r="H172" i="27"/>
  <c r="H171" i="27"/>
  <c r="H170" i="27"/>
  <c r="H169" i="27"/>
  <c r="H168" i="27"/>
  <c r="H167" i="27"/>
  <c r="H166" i="27"/>
  <c r="H165" i="27"/>
  <c r="H164" i="27"/>
  <c r="H163" i="27"/>
  <c r="H162" i="27"/>
  <c r="H161" i="27"/>
  <c r="H160" i="27"/>
  <c r="H159" i="27"/>
  <c r="H158" i="27"/>
  <c r="H157" i="27"/>
  <c r="H156" i="27"/>
  <c r="H155" i="27"/>
  <c r="H154" i="27"/>
  <c r="H153" i="27"/>
  <c r="H152" i="27"/>
  <c r="H151" i="27"/>
  <c r="H150" i="27"/>
  <c r="H149" i="27"/>
  <c r="H148" i="27"/>
  <c r="H147" i="27"/>
  <c r="H146" i="27"/>
  <c r="H145" i="27"/>
  <c r="H144" i="27"/>
  <c r="H143" i="27"/>
  <c r="H142" i="27"/>
  <c r="H141" i="27"/>
  <c r="H140" i="27"/>
  <c r="H139" i="27"/>
  <c r="H138" i="27"/>
  <c r="H137" i="27"/>
  <c r="H136" i="27"/>
  <c r="H135" i="27"/>
  <c r="H134" i="27"/>
  <c r="H133" i="27"/>
  <c r="H132" i="27"/>
  <c r="H131" i="27"/>
  <c r="H130" i="27"/>
  <c r="H129" i="27"/>
  <c r="H128" i="27"/>
  <c r="H127" i="27"/>
  <c r="H126" i="27"/>
  <c r="H125" i="27"/>
  <c r="H124" i="27"/>
  <c r="H123" i="27"/>
  <c r="H122" i="27"/>
  <c r="H121" i="27"/>
  <c r="H120" i="27"/>
  <c r="H119" i="27"/>
  <c r="H118" i="27"/>
  <c r="H117" i="27"/>
  <c r="H116" i="27"/>
  <c r="H115" i="27"/>
  <c r="H114" i="27"/>
  <c r="H113" i="27"/>
  <c r="H112" i="27"/>
  <c r="H111" i="27"/>
  <c r="H110" i="27"/>
  <c r="H109" i="27"/>
  <c r="H108" i="27"/>
  <c r="H107" i="27"/>
  <c r="H106" i="27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H48" i="27"/>
  <c r="H47" i="27"/>
  <c r="H46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H4" i="27"/>
  <c r="H3" i="27"/>
  <c r="H2" i="27"/>
  <c r="A882" i="21"/>
  <c r="A881" i="21"/>
  <c r="A880" i="21"/>
  <c r="A879" i="21"/>
  <c r="A878" i="21"/>
  <c r="A877" i="21"/>
  <c r="A876" i="21"/>
  <c r="A875" i="21"/>
  <c r="A874" i="21"/>
  <c r="A873" i="21"/>
  <c r="A872" i="21"/>
  <c r="A871" i="21"/>
  <c r="A870" i="21"/>
  <c r="A869" i="21"/>
  <c r="A868" i="21"/>
  <c r="A867" i="21"/>
  <c r="A866" i="21"/>
  <c r="A865" i="21"/>
  <c r="A864" i="21"/>
  <c r="A863" i="21"/>
  <c r="A862" i="21"/>
  <c r="A861" i="21"/>
  <c r="A860" i="21"/>
  <c r="A859" i="21"/>
  <c r="A858" i="21"/>
  <c r="A857" i="21"/>
  <c r="A856" i="21"/>
  <c r="A855" i="21"/>
  <c r="A854" i="21"/>
  <c r="A853" i="21"/>
  <c r="A852" i="21"/>
  <c r="A851" i="21"/>
  <c r="A850" i="21"/>
  <c r="A849" i="21"/>
  <c r="A848" i="21"/>
  <c r="A847" i="21"/>
  <c r="A846" i="21"/>
  <c r="A845" i="21"/>
  <c r="A844" i="21"/>
  <c r="A843" i="21"/>
  <c r="A842" i="21"/>
  <c r="A841" i="21"/>
  <c r="A840" i="21"/>
  <c r="A839" i="21"/>
  <c r="A838" i="21"/>
  <c r="A837" i="21"/>
  <c r="A836" i="21"/>
  <c r="A835" i="21"/>
  <c r="A834" i="21"/>
  <c r="A833" i="21"/>
  <c r="A832" i="21"/>
  <c r="A831" i="21"/>
  <c r="A830" i="21"/>
  <c r="A829" i="21"/>
  <c r="A828" i="21"/>
  <c r="A827" i="21"/>
  <c r="A826" i="21"/>
  <c r="A825" i="21"/>
  <c r="A824" i="21"/>
  <c r="A823" i="21"/>
  <c r="A822" i="21"/>
  <c r="A821" i="21"/>
  <c r="A820" i="21"/>
  <c r="A819" i="21"/>
  <c r="A818" i="21"/>
  <c r="A817" i="21"/>
  <c r="A816" i="21"/>
  <c r="A815" i="21"/>
  <c r="A814" i="21"/>
  <c r="A813" i="21"/>
  <c r="A812" i="21"/>
  <c r="A811" i="21"/>
  <c r="A810" i="21"/>
  <c r="A809" i="21"/>
  <c r="A808" i="21"/>
  <c r="A807" i="21"/>
  <c r="A806" i="21"/>
  <c r="A805" i="21"/>
  <c r="A804" i="21"/>
  <c r="A803" i="21"/>
  <c r="A802" i="21"/>
  <c r="A801" i="21"/>
  <c r="A800" i="21"/>
  <c r="A799" i="21"/>
  <c r="A798" i="21"/>
  <c r="A797" i="21"/>
  <c r="A796" i="21"/>
  <c r="A795" i="21"/>
  <c r="A794" i="21"/>
  <c r="A793" i="21"/>
  <c r="A792" i="21"/>
  <c r="A791" i="21"/>
  <c r="A790" i="21"/>
  <c r="A789" i="21"/>
  <c r="A788" i="21"/>
  <c r="A787" i="21"/>
  <c r="A786" i="21"/>
  <c r="A785" i="21"/>
  <c r="A784" i="21"/>
  <c r="A783" i="21"/>
  <c r="A782" i="21"/>
  <c r="A781" i="21"/>
  <c r="A780" i="21"/>
  <c r="A779" i="21"/>
  <c r="A778" i="21"/>
  <c r="A777" i="21"/>
  <c r="A776" i="21"/>
  <c r="A775" i="21"/>
  <c r="A774" i="21"/>
  <c r="A773" i="21"/>
  <c r="A772" i="21"/>
  <c r="A771" i="21"/>
  <c r="A770" i="21"/>
  <c r="A769" i="21"/>
  <c r="A768" i="21"/>
  <c r="A767" i="21"/>
  <c r="A766" i="21"/>
  <c r="A765" i="21"/>
  <c r="A764" i="21"/>
  <c r="A763" i="21"/>
  <c r="A762" i="21"/>
  <c r="A761" i="21"/>
  <c r="A760" i="21"/>
  <c r="A759" i="21"/>
  <c r="A758" i="21"/>
  <c r="A757" i="21"/>
  <c r="A756" i="21"/>
  <c r="A755" i="21"/>
  <c r="A754" i="21"/>
  <c r="A753" i="21"/>
  <c r="A752" i="21"/>
  <c r="A751" i="21"/>
  <c r="A750" i="21"/>
  <c r="A749" i="21"/>
  <c r="A748" i="21"/>
  <c r="A747" i="21"/>
  <c r="A746" i="21"/>
  <c r="A745" i="21"/>
  <c r="A744" i="21"/>
  <c r="A743" i="21"/>
  <c r="A742" i="21"/>
  <c r="A741" i="21"/>
  <c r="A740" i="21"/>
  <c r="A739" i="21"/>
  <c r="A738" i="21"/>
  <c r="A737" i="21"/>
  <c r="A736" i="21"/>
  <c r="A735" i="21"/>
  <c r="A734" i="21"/>
  <c r="A733" i="21"/>
  <c r="A732" i="21"/>
  <c r="A731" i="21"/>
  <c r="A730" i="21"/>
  <c r="A729" i="21"/>
  <c r="A728" i="21"/>
  <c r="A727" i="21"/>
  <c r="A726" i="21"/>
  <c r="A725" i="21"/>
  <c r="A724" i="21"/>
  <c r="A723" i="21"/>
  <c r="A722" i="21"/>
  <c r="A721" i="21"/>
  <c r="A720" i="21"/>
  <c r="A719" i="21"/>
  <c r="A718" i="21"/>
  <c r="A717" i="21"/>
  <c r="A716" i="21"/>
  <c r="A715" i="21"/>
  <c r="A714" i="21"/>
  <c r="A713" i="21"/>
  <c r="A712" i="21"/>
  <c r="A711" i="21"/>
  <c r="A710" i="21"/>
  <c r="A709" i="21"/>
  <c r="A708" i="21"/>
  <c r="A707" i="21"/>
  <c r="A706" i="21"/>
  <c r="A705" i="21"/>
  <c r="A704" i="21"/>
  <c r="A703" i="21"/>
  <c r="A702" i="21"/>
  <c r="A701" i="21"/>
  <c r="A700" i="21"/>
  <c r="A699" i="21"/>
  <c r="A698" i="21"/>
  <c r="A697" i="21"/>
  <c r="A696" i="21"/>
  <c r="A695" i="21"/>
  <c r="A694" i="21"/>
  <c r="A693" i="21"/>
  <c r="A692" i="21"/>
  <c r="A691" i="21"/>
  <c r="A690" i="21"/>
  <c r="A689" i="21"/>
  <c r="A688" i="21"/>
  <c r="A687" i="21"/>
  <c r="A686" i="21"/>
  <c r="A685" i="21"/>
  <c r="A684" i="21"/>
  <c r="A683" i="21"/>
  <c r="A682" i="21"/>
  <c r="A681" i="21"/>
  <c r="A680" i="21"/>
  <c r="A679" i="21"/>
  <c r="A678" i="21"/>
  <c r="A677" i="21"/>
  <c r="A676" i="21"/>
  <c r="A675" i="21"/>
  <c r="A674" i="21"/>
  <c r="A673" i="21"/>
  <c r="A672" i="21"/>
  <c r="A671" i="21"/>
  <c r="A670" i="21"/>
  <c r="A669" i="21"/>
  <c r="A668" i="21"/>
  <c r="A667" i="21"/>
  <c r="A666" i="21"/>
  <c r="A665" i="21"/>
  <c r="A664" i="21"/>
  <c r="A663" i="21"/>
  <c r="A662" i="21"/>
  <c r="A661" i="21"/>
  <c r="A660" i="21"/>
  <c r="A659" i="21"/>
  <c r="A658" i="21"/>
  <c r="A657" i="21"/>
  <c r="A656" i="21"/>
  <c r="A655" i="21"/>
  <c r="A654" i="21"/>
  <c r="A653" i="21"/>
  <c r="A652" i="21"/>
  <c r="A651" i="21"/>
  <c r="A650" i="21"/>
  <c r="A649" i="21"/>
  <c r="A648" i="21"/>
  <c r="A647" i="21"/>
  <c r="A646" i="21"/>
  <c r="A645" i="21"/>
  <c r="A644" i="21"/>
  <c r="A643" i="21"/>
  <c r="A642" i="21"/>
  <c r="A641" i="21"/>
  <c r="A640" i="21"/>
  <c r="A639" i="21"/>
  <c r="A638" i="21"/>
  <c r="A637" i="21"/>
  <c r="A636" i="21"/>
  <c r="A635" i="21"/>
  <c r="A634" i="21"/>
  <c r="A633" i="21"/>
  <c r="A632" i="21"/>
  <c r="A631" i="21"/>
  <c r="A630" i="21"/>
  <c r="A629" i="21"/>
  <c r="A628" i="21"/>
  <c r="A627" i="21"/>
  <c r="A626" i="21"/>
  <c r="A625" i="21"/>
  <c r="A624" i="21"/>
  <c r="A623" i="21"/>
  <c r="A622" i="21"/>
  <c r="A621" i="21"/>
  <c r="A620" i="21"/>
  <c r="A619" i="21"/>
  <c r="A618" i="21"/>
  <c r="A617" i="21"/>
  <c r="A616" i="21"/>
  <c r="A615" i="21"/>
  <c r="A614" i="21"/>
  <c r="A613" i="21"/>
  <c r="A612" i="21"/>
  <c r="A611" i="21"/>
  <c r="A610" i="21"/>
  <c r="A609" i="21"/>
  <c r="A608" i="21"/>
  <c r="A607" i="21"/>
  <c r="A606" i="21"/>
  <c r="A605" i="21"/>
  <c r="A604" i="21"/>
  <c r="A603" i="21"/>
  <c r="A602" i="21"/>
  <c r="A601" i="21"/>
  <c r="A600" i="21"/>
  <c r="A599" i="21"/>
  <c r="A598" i="21"/>
  <c r="A597" i="21"/>
  <c r="A596" i="21"/>
  <c r="A595" i="21"/>
  <c r="A594" i="21"/>
  <c r="A593" i="21"/>
  <c r="A592" i="21"/>
  <c r="A591" i="21"/>
  <c r="A590" i="21"/>
  <c r="A589" i="21"/>
  <c r="A588" i="21"/>
  <c r="A587" i="21"/>
  <c r="A586" i="21"/>
  <c r="A585" i="21"/>
  <c r="A584" i="21"/>
  <c r="A583" i="21"/>
  <c r="A582" i="21"/>
  <c r="A581" i="21"/>
  <c r="A580" i="21"/>
  <c r="A579" i="21"/>
  <c r="A578" i="21"/>
  <c r="A577" i="21"/>
  <c r="A576" i="21"/>
  <c r="A575" i="21"/>
  <c r="A574" i="21"/>
  <c r="A573" i="21"/>
  <c r="A572" i="21"/>
  <c r="A571" i="21"/>
  <c r="A570" i="21"/>
  <c r="A569" i="21"/>
  <c r="A568" i="21"/>
  <c r="A567" i="21"/>
  <c r="A566" i="21"/>
  <c r="A565" i="21"/>
  <c r="A564" i="21"/>
  <c r="A563" i="21"/>
  <c r="A562" i="21"/>
  <c r="A561" i="21"/>
  <c r="A560" i="21"/>
  <c r="A559" i="21"/>
  <c r="A558" i="21"/>
  <c r="A557" i="21"/>
  <c r="A556" i="21"/>
  <c r="A555" i="21"/>
  <c r="A554" i="21"/>
  <c r="A553" i="21"/>
  <c r="A552" i="21"/>
  <c r="A551" i="21"/>
  <c r="A550" i="21"/>
  <c r="A549" i="21"/>
  <c r="A548" i="21"/>
  <c r="A547" i="21"/>
  <c r="A546" i="21"/>
  <c r="A545" i="21"/>
  <c r="A544" i="21"/>
  <c r="A543" i="21"/>
  <c r="A542" i="21"/>
  <c r="A541" i="21"/>
  <c r="A540" i="21"/>
  <c r="A539" i="21"/>
  <c r="A538" i="21"/>
  <c r="A537" i="21"/>
  <c r="A536" i="21"/>
  <c r="A535" i="21"/>
  <c r="A534" i="21"/>
  <c r="A533" i="21"/>
  <c r="A532" i="21"/>
  <c r="A531" i="21"/>
  <c r="A530" i="21"/>
  <c r="A529" i="21"/>
  <c r="A528" i="21"/>
  <c r="A527" i="21"/>
  <c r="A526" i="21"/>
  <c r="A525" i="21"/>
  <c r="A524" i="21"/>
  <c r="A523" i="21"/>
  <c r="A522" i="21"/>
  <c r="A521" i="21"/>
  <c r="A520" i="21"/>
  <c r="A519" i="21"/>
  <c r="A518" i="21"/>
  <c r="A517" i="21"/>
  <c r="A516" i="21"/>
  <c r="A515" i="21"/>
  <c r="A514" i="21"/>
  <c r="A513" i="21"/>
  <c r="A512" i="21"/>
  <c r="A511" i="21"/>
  <c r="A510" i="21"/>
  <c r="A509" i="21"/>
  <c r="A508" i="21"/>
  <c r="A507" i="21"/>
  <c r="A506" i="21"/>
  <c r="A505" i="21"/>
  <c r="A504" i="21"/>
  <c r="A503" i="21"/>
  <c r="A502" i="21"/>
  <c r="A501" i="21"/>
  <c r="A500" i="21"/>
  <c r="A499" i="21"/>
  <c r="A498" i="21"/>
  <c r="A497" i="21"/>
  <c r="A496" i="21"/>
  <c r="A495" i="21"/>
  <c r="A494" i="21"/>
  <c r="A493" i="21"/>
  <c r="A492" i="21"/>
  <c r="A491" i="21"/>
  <c r="A490" i="21"/>
  <c r="A489" i="21"/>
  <c r="A488" i="21"/>
  <c r="A487" i="21"/>
  <c r="A486" i="21"/>
  <c r="A485" i="21"/>
  <c r="A484" i="21"/>
  <c r="A483" i="21"/>
  <c r="A482" i="21"/>
  <c r="A481" i="21"/>
  <c r="A480" i="21"/>
  <c r="A479" i="21"/>
  <c r="A478" i="21"/>
  <c r="A477" i="21"/>
  <c r="A476" i="21"/>
  <c r="A475" i="21"/>
  <c r="A474" i="21"/>
  <c r="A473" i="21"/>
  <c r="A472" i="21"/>
  <c r="A471" i="21"/>
  <c r="A470" i="21"/>
  <c r="A469" i="21"/>
  <c r="A468" i="21"/>
  <c r="A467" i="21"/>
  <c r="A466" i="21"/>
  <c r="A465" i="21"/>
  <c r="A464" i="21"/>
  <c r="A463" i="21"/>
  <c r="A462" i="21"/>
  <c r="A461" i="21"/>
  <c r="A460" i="21"/>
  <c r="A459" i="21"/>
  <c r="A458" i="21"/>
  <c r="A457" i="21"/>
  <c r="A456" i="21"/>
  <c r="A455" i="21"/>
  <c r="A454" i="21"/>
  <c r="A453" i="21"/>
  <c r="A452" i="21"/>
  <c r="A451" i="21"/>
  <c r="A450" i="21"/>
  <c r="A449" i="21"/>
  <c r="A448" i="21"/>
  <c r="A447" i="21"/>
  <c r="A446" i="21"/>
  <c r="A445" i="21"/>
  <c r="A444" i="21"/>
  <c r="A443" i="21"/>
  <c r="A442" i="21"/>
  <c r="A441" i="21"/>
  <c r="A440" i="21"/>
  <c r="A439" i="21"/>
  <c r="A438" i="21"/>
  <c r="A437" i="21"/>
  <c r="A436" i="21"/>
  <c r="A435" i="21"/>
  <c r="A434" i="21"/>
  <c r="A433" i="21"/>
  <c r="A432" i="21"/>
  <c r="A431" i="21"/>
  <c r="A430" i="21"/>
  <c r="A429" i="21"/>
  <c r="A428" i="21"/>
  <c r="A427" i="21"/>
  <c r="A426" i="21"/>
  <c r="A425" i="21"/>
  <c r="A424" i="21"/>
  <c r="A423" i="21"/>
  <c r="A422" i="21"/>
  <c r="A421" i="21"/>
  <c r="A420" i="21"/>
  <c r="A419" i="21"/>
  <c r="A418" i="21"/>
  <c r="A417" i="21"/>
  <c r="A416" i="21"/>
  <c r="A415" i="21"/>
  <c r="A414" i="21"/>
  <c r="A413" i="21"/>
  <c r="A412" i="21"/>
  <c r="A411" i="21"/>
  <c r="A410" i="21"/>
  <c r="A409" i="21"/>
  <c r="A408" i="21"/>
  <c r="A407" i="21"/>
  <c r="A406" i="21"/>
  <c r="A405" i="21"/>
  <c r="A404" i="21"/>
  <c r="A403" i="21"/>
  <c r="A402" i="21"/>
  <c r="A401" i="21"/>
  <c r="A400" i="21"/>
  <c r="A399" i="21"/>
  <c r="A398" i="21"/>
  <c r="A397" i="21"/>
  <c r="A396" i="21"/>
  <c r="A395" i="21"/>
  <c r="A394" i="21"/>
  <c r="A393" i="21"/>
  <c r="A392" i="21"/>
  <c r="A391" i="21"/>
  <c r="A390" i="21"/>
  <c r="A389" i="21"/>
  <c r="A388" i="21"/>
  <c r="A387" i="21"/>
  <c r="A386" i="21"/>
  <c r="A385" i="21"/>
  <c r="A384" i="21"/>
  <c r="A383" i="21"/>
  <c r="A382" i="21"/>
  <c r="A381" i="21"/>
  <c r="A380" i="21"/>
  <c r="A379" i="21"/>
  <c r="A378" i="21"/>
  <c r="A377" i="21"/>
  <c r="A376" i="21"/>
  <c r="A375" i="21"/>
  <c r="A374" i="21"/>
  <c r="A373" i="21"/>
  <c r="A372" i="21"/>
  <c r="A371" i="21"/>
  <c r="A370" i="21"/>
  <c r="A369" i="21"/>
  <c r="A368" i="21"/>
  <c r="A367" i="21"/>
  <c r="A366" i="21"/>
  <c r="A365" i="21"/>
  <c r="A364" i="21"/>
  <c r="A363" i="21"/>
  <c r="A362" i="21"/>
  <c r="A361" i="21"/>
  <c r="A360" i="21"/>
  <c r="A359" i="21"/>
  <c r="A358" i="21"/>
  <c r="A357" i="21"/>
  <c r="A356" i="21"/>
  <c r="A355" i="21"/>
  <c r="A354" i="21"/>
  <c r="A353" i="21"/>
  <c r="A352" i="21"/>
  <c r="A351" i="21"/>
  <c r="A350" i="21"/>
  <c r="A349" i="21"/>
  <c r="A348" i="21"/>
  <c r="A347" i="21"/>
  <c r="A346" i="21"/>
  <c r="A345" i="21"/>
  <c r="A344" i="21"/>
  <c r="A343" i="21"/>
  <c r="A342" i="21"/>
  <c r="A341" i="21"/>
  <c r="A340" i="21"/>
  <c r="A339" i="21"/>
  <c r="A338" i="21"/>
  <c r="A337" i="21"/>
  <c r="A336" i="21"/>
  <c r="A335" i="21"/>
  <c r="A334" i="21"/>
  <c r="A333" i="21"/>
  <c r="A332" i="21"/>
  <c r="A331" i="21"/>
  <c r="A330" i="21"/>
  <c r="A329" i="21"/>
  <c r="A328" i="21"/>
  <c r="A327" i="21"/>
  <c r="A326" i="21"/>
  <c r="A325" i="21"/>
  <c r="A324" i="21"/>
  <c r="A323" i="21"/>
  <c r="A322" i="21"/>
  <c r="A321" i="21"/>
  <c r="A320" i="21"/>
  <c r="A319" i="21"/>
  <c r="A318" i="21"/>
  <c r="A317" i="21"/>
  <c r="A316" i="21"/>
  <c r="A315" i="21"/>
  <c r="A314" i="21"/>
  <c r="A313" i="21"/>
  <c r="A312" i="21"/>
  <c r="A311" i="21"/>
  <c r="A310" i="21"/>
  <c r="A309" i="21"/>
  <c r="A308" i="21"/>
  <c r="A307" i="21"/>
  <c r="A306" i="21"/>
  <c r="A305" i="21"/>
  <c r="A304" i="21"/>
  <c r="A303" i="21"/>
  <c r="A302" i="21"/>
  <c r="A301" i="21"/>
  <c r="A300" i="21"/>
  <c r="A299" i="21"/>
  <c r="A298" i="21"/>
  <c r="A297" i="21"/>
  <c r="A296" i="21"/>
  <c r="A295" i="21"/>
  <c r="A294" i="21"/>
  <c r="A293" i="21"/>
  <c r="A292" i="21"/>
  <c r="A291" i="21"/>
  <c r="A290" i="21"/>
  <c r="A289" i="21"/>
  <c r="A288" i="21"/>
  <c r="A287" i="21"/>
  <c r="A286" i="21"/>
  <c r="A285" i="21"/>
  <c r="A284" i="21"/>
  <c r="A283" i="21"/>
  <c r="A282" i="21"/>
  <c r="A281" i="21"/>
  <c r="A280" i="21"/>
  <c r="A279" i="21"/>
  <c r="A278" i="21"/>
  <c r="A277" i="21"/>
  <c r="A276" i="21"/>
  <c r="A275" i="21"/>
  <c r="A274" i="21"/>
  <c r="A273" i="21"/>
  <c r="A272" i="21"/>
  <c r="A271" i="21"/>
  <c r="A270" i="21"/>
  <c r="A269" i="21"/>
  <c r="A268" i="21"/>
  <c r="A267" i="21"/>
  <c r="A266" i="21"/>
  <c r="A265" i="21"/>
  <c r="A264" i="21"/>
  <c r="A263" i="21"/>
  <c r="A262" i="21"/>
  <c r="A261" i="21"/>
  <c r="A260" i="21"/>
  <c r="A259" i="21"/>
  <c r="A258" i="21"/>
  <c r="A257" i="21"/>
  <c r="A256" i="21"/>
  <c r="A255" i="21"/>
  <c r="A254" i="21"/>
  <c r="A253" i="21"/>
  <c r="A252" i="21"/>
  <c r="A251" i="21"/>
  <c r="A250" i="21"/>
  <c r="A249" i="21"/>
  <c r="A248" i="21"/>
  <c r="A247" i="21"/>
  <c r="A246" i="21"/>
  <c r="A245" i="21"/>
  <c r="A244" i="21"/>
  <c r="A243" i="21"/>
  <c r="A242" i="21"/>
  <c r="A241" i="21"/>
  <c r="A240" i="21"/>
  <c r="A239" i="21"/>
  <c r="A238" i="21"/>
  <c r="A237" i="21"/>
  <c r="A236" i="21"/>
  <c r="A235" i="21"/>
  <c r="A234" i="21"/>
  <c r="A233" i="21"/>
  <c r="A232" i="21"/>
  <c r="A231" i="21"/>
  <c r="A230" i="21"/>
  <c r="A229" i="21"/>
  <c r="A228" i="21"/>
  <c r="A227" i="21"/>
  <c r="A226" i="21"/>
  <c r="A225" i="21"/>
  <c r="A224" i="21"/>
  <c r="A223" i="21"/>
  <c r="A222" i="21"/>
  <c r="A221" i="21"/>
  <c r="A220" i="21"/>
  <c r="A219" i="21"/>
  <c r="A218" i="21"/>
  <c r="A217" i="21"/>
  <c r="A216" i="21"/>
  <c r="A215" i="21"/>
  <c r="A214" i="21"/>
  <c r="A213" i="21"/>
  <c r="A212" i="21"/>
  <c r="A211" i="21"/>
  <c r="A210" i="21"/>
  <c r="A209" i="21"/>
  <c r="A208" i="21"/>
  <c r="A207" i="21"/>
  <c r="A206" i="21"/>
  <c r="A205" i="21"/>
  <c r="A204" i="21"/>
  <c r="A203" i="21"/>
  <c r="A202" i="21"/>
  <c r="A201" i="21"/>
  <c r="A200" i="21"/>
  <c r="A199" i="21"/>
  <c r="A198" i="21"/>
  <c r="A197" i="21"/>
  <c r="A196" i="21"/>
  <c r="A195" i="21"/>
  <c r="A194" i="21"/>
  <c r="A193" i="21"/>
  <c r="A192" i="21"/>
  <c r="A191" i="21"/>
  <c r="A190" i="21"/>
  <c r="A189" i="21"/>
  <c r="A188" i="21"/>
  <c r="A187" i="21"/>
  <c r="A186" i="21"/>
  <c r="A185" i="21"/>
  <c r="A184" i="21"/>
  <c r="A183" i="21"/>
  <c r="A182" i="21"/>
  <c r="A181" i="21"/>
  <c r="A180" i="21"/>
  <c r="A179" i="21"/>
  <c r="A178" i="21"/>
  <c r="A177" i="21"/>
  <c r="A176" i="21"/>
  <c r="A175" i="21"/>
  <c r="A174" i="21"/>
  <c r="A173" i="21"/>
  <c r="A172" i="21"/>
  <c r="A171" i="21"/>
  <c r="A170" i="21"/>
  <c r="A169" i="21"/>
  <c r="A168" i="21"/>
  <c r="A167" i="21"/>
  <c r="A166" i="21"/>
  <c r="A165" i="21"/>
  <c r="A164" i="21"/>
  <c r="A163" i="21"/>
  <c r="A162" i="21"/>
  <c r="A161" i="21"/>
  <c r="A160" i="21"/>
  <c r="A159" i="21"/>
  <c r="A158" i="21"/>
  <c r="A157" i="21"/>
  <c r="A156" i="21"/>
  <c r="A155" i="21"/>
  <c r="A154" i="21"/>
  <c r="A153" i="21"/>
  <c r="A152" i="21"/>
  <c r="A151" i="21"/>
  <c r="A150" i="21"/>
  <c r="A149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A2" i="21"/>
  <c r="C281" i="28"/>
  <c r="A281" i="28" s="1"/>
  <c r="C280" i="28"/>
  <c r="A280" i="28" s="1"/>
  <c r="C279" i="28"/>
  <c r="A279" i="28" s="1"/>
  <c r="C278" i="28"/>
  <c r="A278" i="28" s="1"/>
  <c r="C277" i="28"/>
  <c r="A277" i="28" s="1"/>
  <c r="C276" i="28"/>
  <c r="A276" i="28" s="1"/>
  <c r="C275" i="28"/>
  <c r="A275" i="28" s="1"/>
  <c r="C274" i="28"/>
  <c r="A274" i="28" s="1"/>
  <c r="C273" i="28"/>
  <c r="A273" i="28" s="1"/>
  <c r="C272" i="28"/>
  <c r="A272" i="28" s="1"/>
  <c r="C271" i="28"/>
  <c r="A271" i="28" s="1"/>
  <c r="C270" i="28"/>
  <c r="A270" i="28" s="1"/>
  <c r="C269" i="28"/>
  <c r="A269" i="28" s="1"/>
  <c r="C268" i="28"/>
  <c r="A268" i="28" s="1"/>
  <c r="C267" i="28"/>
  <c r="A267" i="28" s="1"/>
  <c r="C266" i="28"/>
  <c r="A266" i="28" s="1"/>
  <c r="C265" i="28"/>
  <c r="A265" i="28" s="1"/>
  <c r="C264" i="28"/>
  <c r="A264" i="28" s="1"/>
  <c r="H330" i="30"/>
  <c r="H329" i="30"/>
  <c r="H328" i="30"/>
  <c r="H327" i="30"/>
  <c r="H326" i="30"/>
  <c r="H325" i="30"/>
  <c r="H324" i="30"/>
  <c r="H323" i="30"/>
  <c r="H322" i="30"/>
  <c r="H321" i="30"/>
  <c r="H320" i="30"/>
  <c r="H319" i="30"/>
  <c r="H318" i="30"/>
  <c r="H317" i="30"/>
  <c r="H316" i="30"/>
  <c r="H315" i="30"/>
  <c r="H314" i="30"/>
  <c r="H313" i="30"/>
  <c r="H312" i="30"/>
  <c r="H311" i="30"/>
  <c r="H310" i="30"/>
  <c r="H309" i="30"/>
  <c r="H308" i="30"/>
  <c r="H307" i="30"/>
  <c r="H306" i="30"/>
  <c r="H305" i="30"/>
  <c r="H304" i="30"/>
  <c r="H303" i="30"/>
  <c r="H302" i="30"/>
  <c r="H301" i="30"/>
  <c r="H300" i="30"/>
  <c r="H299" i="30"/>
  <c r="H298" i="30"/>
  <c r="H297" i="30"/>
  <c r="H296" i="30"/>
  <c r="H295" i="30"/>
  <c r="H294" i="30"/>
  <c r="H293" i="30"/>
  <c r="H292" i="30"/>
  <c r="H291" i="30"/>
  <c r="H290" i="30"/>
  <c r="H289" i="30"/>
  <c r="H288" i="30"/>
  <c r="H287" i="30"/>
  <c r="H286" i="30"/>
  <c r="H285" i="30"/>
  <c r="H284" i="30"/>
  <c r="H283" i="30"/>
  <c r="H282" i="30"/>
  <c r="H281" i="30"/>
  <c r="H280" i="30"/>
  <c r="H279" i="30"/>
  <c r="H278" i="30"/>
  <c r="H277" i="30"/>
  <c r="H276" i="30"/>
  <c r="H275" i="30"/>
  <c r="H274" i="30"/>
  <c r="H273" i="30"/>
  <c r="H272" i="30"/>
  <c r="H271" i="30"/>
  <c r="H270" i="30"/>
  <c r="H269" i="30"/>
  <c r="H268" i="30"/>
  <c r="H267" i="30"/>
  <c r="H266" i="30"/>
  <c r="H265" i="30"/>
  <c r="H264" i="30"/>
  <c r="H263" i="30"/>
  <c r="H262" i="30"/>
  <c r="H261" i="30"/>
  <c r="H260" i="30"/>
  <c r="H259" i="30"/>
  <c r="H258" i="30"/>
  <c r="H257" i="30"/>
  <c r="H256" i="30"/>
  <c r="H255" i="30"/>
  <c r="H254" i="30"/>
  <c r="H253" i="30"/>
  <c r="H252" i="30"/>
  <c r="H251" i="30"/>
  <c r="H250" i="30"/>
  <c r="H249" i="30"/>
  <c r="H248" i="30"/>
  <c r="H247" i="30"/>
  <c r="H246" i="30"/>
  <c r="H245" i="30"/>
  <c r="H244" i="30"/>
  <c r="H243" i="30"/>
  <c r="H242" i="30"/>
  <c r="H241" i="30"/>
  <c r="H240" i="30"/>
  <c r="H239" i="30"/>
  <c r="H238" i="30"/>
  <c r="H237" i="30"/>
  <c r="H236" i="30"/>
  <c r="H235" i="30"/>
  <c r="H234" i="30"/>
  <c r="H233" i="30"/>
  <c r="H232" i="30"/>
  <c r="H231" i="30"/>
  <c r="H230" i="30"/>
  <c r="H229" i="30"/>
  <c r="H228" i="30"/>
  <c r="H227" i="30"/>
  <c r="H226" i="30"/>
  <c r="H225" i="30"/>
  <c r="H224" i="30"/>
  <c r="H223" i="30"/>
  <c r="H222" i="30"/>
  <c r="H221" i="30"/>
  <c r="H220" i="30"/>
  <c r="H219" i="30"/>
  <c r="H218" i="30"/>
  <c r="H217" i="30"/>
  <c r="H216" i="30"/>
  <c r="H215" i="30"/>
  <c r="H214" i="30"/>
  <c r="H213" i="30"/>
  <c r="H212" i="30"/>
  <c r="H211" i="30"/>
  <c r="H210" i="30"/>
  <c r="H209" i="30"/>
  <c r="H208" i="30"/>
  <c r="H207" i="30"/>
  <c r="H206" i="30"/>
  <c r="H205" i="30"/>
  <c r="H204" i="30"/>
  <c r="H203" i="30"/>
  <c r="H202" i="30"/>
  <c r="H201" i="30"/>
  <c r="H200" i="30"/>
  <c r="H199" i="30"/>
  <c r="H198" i="30"/>
  <c r="H197" i="30"/>
  <c r="H196" i="30"/>
  <c r="H195" i="30"/>
  <c r="H194" i="30"/>
  <c r="H193" i="30"/>
  <c r="H192" i="30"/>
  <c r="H191" i="30"/>
  <c r="H190" i="30"/>
  <c r="H189" i="30"/>
  <c r="H188" i="30"/>
  <c r="H187" i="30"/>
  <c r="H186" i="30"/>
  <c r="H185" i="30"/>
  <c r="H184" i="30"/>
  <c r="H183" i="30"/>
  <c r="H182" i="30"/>
  <c r="H181" i="30"/>
  <c r="H180" i="30"/>
  <c r="H179" i="30"/>
  <c r="H178" i="30"/>
  <c r="H177" i="30"/>
  <c r="H176" i="30"/>
  <c r="H175" i="30"/>
  <c r="H174" i="30"/>
  <c r="H173" i="30"/>
  <c r="H172" i="30"/>
  <c r="H171" i="30"/>
  <c r="H170" i="30"/>
  <c r="H169" i="30"/>
  <c r="H168" i="30"/>
  <c r="H167" i="30"/>
  <c r="H166" i="30"/>
  <c r="H165" i="30"/>
  <c r="H164" i="30"/>
  <c r="H163" i="30"/>
  <c r="H162" i="30"/>
  <c r="H161" i="30"/>
  <c r="H160" i="30"/>
  <c r="H159" i="30"/>
  <c r="H158" i="30"/>
  <c r="H157" i="30"/>
  <c r="H156" i="30"/>
  <c r="H155" i="30"/>
  <c r="H154" i="30"/>
  <c r="H153" i="30"/>
  <c r="H152" i="30"/>
  <c r="H151" i="30"/>
  <c r="H150" i="30"/>
  <c r="H149" i="30"/>
  <c r="H148" i="30"/>
  <c r="H147" i="30"/>
  <c r="H146" i="30"/>
  <c r="H145" i="30"/>
  <c r="H144" i="30"/>
  <c r="H143" i="30"/>
  <c r="H142" i="30"/>
  <c r="H141" i="30"/>
  <c r="H140" i="30"/>
  <c r="H139" i="30"/>
  <c r="H138" i="30"/>
  <c r="H137" i="30"/>
  <c r="H136" i="30"/>
  <c r="H135" i="30"/>
  <c r="H134" i="30"/>
  <c r="H133" i="30"/>
  <c r="H132" i="30"/>
  <c r="H131" i="30"/>
  <c r="H130" i="30"/>
  <c r="H129" i="30"/>
  <c r="H128" i="30"/>
  <c r="H127" i="30"/>
  <c r="H126" i="30"/>
  <c r="H125" i="30"/>
  <c r="H124" i="30"/>
  <c r="H123" i="30"/>
  <c r="H122" i="30"/>
  <c r="H121" i="30"/>
  <c r="H120" i="30"/>
  <c r="H119" i="30"/>
  <c r="H118" i="30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H105" i="30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5" i="30"/>
  <c r="H4" i="30"/>
  <c r="H3" i="30"/>
  <c r="H2" i="30"/>
  <c r="H216" i="33" l="1"/>
  <c r="H215" i="33"/>
  <c r="H214" i="33"/>
  <c r="H213" i="33"/>
  <c r="H212" i="33"/>
  <c r="H211" i="33"/>
  <c r="H210" i="33"/>
  <c r="H209" i="33"/>
  <c r="H208" i="33"/>
  <c r="H207" i="33"/>
  <c r="H206" i="33"/>
  <c r="H205" i="33"/>
  <c r="H204" i="33"/>
  <c r="H203" i="33"/>
  <c r="H202" i="33"/>
  <c r="H201" i="33"/>
  <c r="H200" i="33"/>
  <c r="H199" i="33"/>
  <c r="H198" i="33"/>
  <c r="H197" i="33"/>
  <c r="H196" i="33"/>
  <c r="H195" i="33"/>
  <c r="H194" i="33"/>
  <c r="H193" i="33"/>
  <c r="H192" i="33"/>
  <c r="H191" i="33"/>
  <c r="H190" i="33"/>
  <c r="H189" i="33"/>
  <c r="H188" i="33"/>
  <c r="H187" i="33"/>
  <c r="H186" i="33"/>
  <c r="H185" i="33"/>
  <c r="H184" i="33"/>
  <c r="H183" i="33"/>
  <c r="H182" i="33"/>
  <c r="H181" i="33"/>
  <c r="H180" i="33"/>
  <c r="H179" i="33"/>
  <c r="H178" i="33"/>
  <c r="H177" i="33"/>
  <c r="H176" i="33"/>
  <c r="H175" i="33"/>
  <c r="H174" i="33"/>
  <c r="H173" i="33"/>
  <c r="H172" i="33"/>
  <c r="H65" i="33"/>
  <c r="H63" i="33"/>
  <c r="H62" i="33"/>
  <c r="H61" i="33"/>
  <c r="H55" i="33"/>
  <c r="H54" i="33"/>
  <c r="H53" i="33"/>
  <c r="H43" i="33"/>
  <c r="H44" i="33"/>
  <c r="H42" i="33"/>
  <c r="H41" i="33"/>
  <c r="H40" i="33"/>
  <c r="H39" i="33"/>
  <c r="H38" i="33"/>
  <c r="H37" i="33"/>
  <c r="H36" i="33"/>
  <c r="H35" i="33"/>
  <c r="H34" i="33"/>
  <c r="H33" i="33"/>
  <c r="H20" i="33"/>
  <c r="H19" i="33"/>
  <c r="H18" i="33"/>
  <c r="H17" i="33"/>
  <c r="H16" i="33"/>
  <c r="H15" i="33"/>
  <c r="H14" i="33"/>
  <c r="H13" i="33"/>
  <c r="H12" i="33"/>
  <c r="H11" i="33"/>
  <c r="H171" i="33"/>
  <c r="H170" i="33"/>
  <c r="H169" i="33"/>
  <c r="H168" i="33"/>
  <c r="H167" i="33"/>
  <c r="H166" i="33"/>
  <c r="H165" i="33"/>
  <c r="H164" i="33"/>
  <c r="H163" i="33"/>
  <c r="H162" i="33"/>
  <c r="H161" i="33"/>
  <c r="H160" i="33"/>
  <c r="H159" i="33"/>
  <c r="H158" i="33"/>
  <c r="H157" i="33"/>
  <c r="H156" i="33"/>
  <c r="H155" i="33"/>
  <c r="H154" i="33"/>
  <c r="H153" i="33"/>
  <c r="H152" i="33"/>
  <c r="H151" i="33"/>
  <c r="H150" i="33"/>
  <c r="H149" i="33"/>
  <c r="H148" i="33"/>
  <c r="H147" i="33"/>
  <c r="H146" i="33"/>
  <c r="H145" i="33"/>
  <c r="H144" i="33"/>
  <c r="H143" i="33"/>
  <c r="H142" i="33"/>
  <c r="H141" i="33"/>
  <c r="H140" i="33"/>
  <c r="H139" i="33"/>
  <c r="H138" i="33"/>
  <c r="H137" i="33"/>
  <c r="H136" i="33"/>
  <c r="H135" i="33"/>
  <c r="H134" i="33"/>
  <c r="H133" i="33"/>
  <c r="H132" i="33"/>
  <c r="H131" i="33"/>
  <c r="H130" i="33"/>
  <c r="H129" i="33"/>
  <c r="H128" i="33"/>
  <c r="H127" i="33"/>
  <c r="H126" i="33"/>
  <c r="H125" i="33"/>
  <c r="H124" i="33"/>
  <c r="H123" i="33"/>
  <c r="H122" i="33"/>
  <c r="H121" i="33"/>
  <c r="H120" i="33"/>
  <c r="H119" i="33"/>
  <c r="H118" i="33"/>
  <c r="H117" i="33"/>
  <c r="H116" i="33"/>
  <c r="H115" i="33"/>
  <c r="H114" i="33"/>
  <c r="H113" i="33"/>
  <c r="H112" i="33"/>
  <c r="H111" i="33"/>
  <c r="H110" i="33"/>
  <c r="H109" i="33"/>
  <c r="H108" i="33"/>
  <c r="H107" i="33"/>
  <c r="H106" i="33"/>
  <c r="H105" i="33"/>
  <c r="H104" i="33"/>
  <c r="H103" i="33"/>
  <c r="H102" i="33"/>
  <c r="H101" i="33"/>
  <c r="H100" i="33"/>
  <c r="H99" i="33"/>
  <c r="H98" i="33"/>
  <c r="H97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4" i="33"/>
  <c r="H60" i="33"/>
  <c r="H59" i="33"/>
  <c r="H58" i="33"/>
  <c r="H57" i="33"/>
  <c r="H56" i="33"/>
  <c r="H52" i="33"/>
  <c r="H51" i="33"/>
  <c r="H50" i="33"/>
  <c r="H49" i="33"/>
  <c r="H48" i="33"/>
  <c r="H47" i="33"/>
  <c r="H46" i="33"/>
  <c r="H45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10" i="33"/>
  <c r="H9" i="33"/>
  <c r="H8" i="33"/>
  <c r="H7" i="33"/>
  <c r="H6" i="33"/>
  <c r="H5" i="33"/>
  <c r="H4" i="33"/>
  <c r="H3" i="33"/>
  <c r="H2" i="33"/>
  <c r="A58" i="24" l="1"/>
  <c r="A57" i="24"/>
  <c r="A56" i="24"/>
  <c r="A55" i="24"/>
  <c r="A54" i="24"/>
  <c r="A53" i="24"/>
  <c r="A52" i="24"/>
  <c r="C263" i="28"/>
  <c r="A263" i="28" s="1"/>
  <c r="C262" i="28"/>
  <c r="A262" i="28" s="1"/>
  <c r="C261" i="28"/>
  <c r="A261" i="28" s="1"/>
  <c r="C260" i="28"/>
  <c r="A260" i="28" s="1"/>
  <c r="C259" i="28"/>
  <c r="A259" i="28" s="1"/>
  <c r="C258" i="28"/>
  <c r="A258" i="28" s="1"/>
  <c r="C257" i="28"/>
  <c r="A257" i="28" s="1"/>
  <c r="C256" i="28"/>
  <c r="A256" i="28" s="1"/>
  <c r="C255" i="28"/>
  <c r="A255" i="28" s="1"/>
  <c r="C254" i="28"/>
  <c r="A254" i="28" s="1"/>
  <c r="C253" i="28"/>
  <c r="A253" i="28" s="1"/>
  <c r="C252" i="28"/>
  <c r="A252" i="28" s="1"/>
  <c r="C251" i="28"/>
  <c r="A251" i="28" s="1"/>
  <c r="C250" i="28"/>
  <c r="A250" i="28" s="1"/>
  <c r="C249" i="28"/>
  <c r="A249" i="28" s="1"/>
  <c r="C248" i="28"/>
  <c r="A248" i="28" s="1"/>
  <c r="C247" i="28"/>
  <c r="A247" i="28" s="1"/>
  <c r="C246" i="28"/>
  <c r="A246" i="28" s="1"/>
  <c r="C245" i="28"/>
  <c r="A245" i="28" s="1"/>
  <c r="C244" i="28"/>
  <c r="A244" i="28" s="1"/>
  <c r="C243" i="28"/>
  <c r="A243" i="28" s="1"/>
  <c r="C242" i="28"/>
  <c r="A242" i="28" s="1"/>
  <c r="C241" i="28"/>
  <c r="A241" i="28" s="1"/>
  <c r="C240" i="28"/>
  <c r="A240" i="28" s="1"/>
  <c r="C239" i="28"/>
  <c r="A239" i="28" s="1"/>
  <c r="C238" i="28"/>
  <c r="A238" i="28" s="1"/>
  <c r="C37" i="2" l="1"/>
  <c r="F23" i="2" l="1"/>
  <c r="E64" i="1" l="1"/>
  <c r="F64" i="1"/>
  <c r="G64" i="1"/>
  <c r="C214" i="28" l="1"/>
  <c r="A214" i="28" s="1"/>
  <c r="C215" i="28"/>
  <c r="A215" i="28" s="1"/>
  <c r="C216" i="28"/>
  <c r="A216" i="28" s="1"/>
  <c r="C217" i="28"/>
  <c r="A217" i="28" s="1"/>
  <c r="C218" i="28"/>
  <c r="A218" i="28" s="1"/>
  <c r="C219" i="28"/>
  <c r="A219" i="28" s="1"/>
  <c r="C220" i="28"/>
  <c r="A220" i="28" s="1"/>
  <c r="C221" i="28"/>
  <c r="A221" i="28" s="1"/>
  <c r="C222" i="28"/>
  <c r="A222" i="28" s="1"/>
  <c r="C223" i="28"/>
  <c r="A223" i="28" s="1"/>
  <c r="C224" i="28"/>
  <c r="A224" i="28" s="1"/>
  <c r="C225" i="28"/>
  <c r="A225" i="28" s="1"/>
  <c r="C226" i="28"/>
  <c r="A226" i="28" s="1"/>
  <c r="C227" i="28"/>
  <c r="A227" i="28" s="1"/>
  <c r="C228" i="28"/>
  <c r="A228" i="28" s="1"/>
  <c r="C229" i="28"/>
  <c r="A229" i="28" s="1"/>
  <c r="C230" i="28"/>
  <c r="A230" i="28" s="1"/>
  <c r="C231" i="28"/>
  <c r="A231" i="28" s="1"/>
  <c r="C232" i="28"/>
  <c r="A232" i="28" s="1"/>
  <c r="C233" i="28"/>
  <c r="A233" i="28" s="1"/>
  <c r="C234" i="28"/>
  <c r="A234" i="28" s="1"/>
  <c r="C235" i="28"/>
  <c r="A235" i="28" s="1"/>
  <c r="C236" i="28"/>
  <c r="A236" i="28" s="1"/>
  <c r="C237" i="28"/>
  <c r="A237" i="28" s="1"/>
  <c r="A103" i="13" l="1"/>
  <c r="C3" i="19" l="1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" i="19"/>
  <c r="C16" i="17" l="1"/>
  <c r="C212" i="28" l="1"/>
  <c r="A212" i="28" s="1"/>
  <c r="C213" i="28"/>
  <c r="A213" i="28" s="1"/>
  <c r="C210" i="28" l="1"/>
  <c r="A210" i="28" s="1"/>
  <c r="C211" i="28"/>
  <c r="A211" i="28" s="1"/>
  <c r="C209" i="28" l="1"/>
  <c r="A209" i="28" s="1"/>
  <c r="C207" i="28" l="1"/>
  <c r="A207" i="28" s="1"/>
  <c r="C208" i="28"/>
  <c r="A208" i="28" s="1"/>
  <c r="C205" i="28"/>
  <c r="A205" i="28" s="1"/>
  <c r="C206" i="28"/>
  <c r="A206" i="28" s="1"/>
  <c r="A28" i="8" l="1"/>
  <c r="C126" i="28" l="1"/>
  <c r="A126" i="28" s="1"/>
  <c r="C53" i="28"/>
  <c r="A53" i="28" s="1"/>
  <c r="C142" i="28"/>
  <c r="A142" i="28" s="1"/>
  <c r="C41" i="28"/>
  <c r="A41" i="28" s="1"/>
  <c r="C74" i="28"/>
  <c r="A74" i="28" s="1"/>
  <c r="C84" i="28"/>
  <c r="A84" i="28" s="1"/>
  <c r="C43" i="28"/>
  <c r="A43" i="28" s="1"/>
  <c r="C86" i="28"/>
  <c r="A86" i="28" s="1"/>
  <c r="C64" i="28"/>
  <c r="A64" i="28" s="1"/>
  <c r="C131" i="28"/>
  <c r="A131" i="28" s="1"/>
  <c r="C6" i="28"/>
  <c r="A6" i="28" s="1"/>
  <c r="C44" i="28"/>
  <c r="A44" i="28" s="1"/>
  <c r="C45" i="28"/>
  <c r="A45" i="28" s="1"/>
  <c r="C46" i="28"/>
  <c r="A46" i="28" s="1"/>
  <c r="C47" i="28"/>
  <c r="A47" i="28" s="1"/>
  <c r="C48" i="28"/>
  <c r="A48" i="28" s="1"/>
  <c r="C49" i="28"/>
  <c r="A49" i="28" s="1"/>
  <c r="A3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I48" i="24" s="1"/>
  <c r="A49" i="24"/>
  <c r="I49" i="24" s="1"/>
  <c r="A50" i="24"/>
  <c r="A51" i="24"/>
  <c r="A2" i="24"/>
  <c r="C104" i="28" l="1"/>
  <c r="A104" i="28" s="1"/>
  <c r="C69" i="28"/>
  <c r="A69" i="28" s="1"/>
  <c r="H66" i="1" l="1"/>
  <c r="H67" i="1"/>
  <c r="H68" i="1"/>
  <c r="H69" i="1"/>
  <c r="H70" i="1"/>
  <c r="H71" i="1"/>
  <c r="H72" i="1"/>
  <c r="H73" i="1"/>
  <c r="I310" i="25" l="1"/>
  <c r="J310" i="25" s="1"/>
  <c r="I340" i="25"/>
  <c r="I339" i="25"/>
  <c r="I325" i="25"/>
  <c r="J325" i="25" s="1"/>
  <c r="I295" i="25"/>
  <c r="J295" i="25" s="1"/>
  <c r="I316" i="25"/>
  <c r="J316" i="25" s="1"/>
  <c r="I289" i="25"/>
  <c r="J289" i="25" s="1"/>
  <c r="I304" i="25"/>
  <c r="J304" i="25" s="1"/>
  <c r="I330" i="25"/>
  <c r="J330" i="25" s="1"/>
  <c r="I290" i="25"/>
  <c r="J290" i="25" s="1"/>
  <c r="I298" i="25"/>
  <c r="I323" i="25"/>
  <c r="J323" i="25" s="1"/>
  <c r="I307" i="25"/>
  <c r="J307" i="25" s="1"/>
  <c r="I280" i="25"/>
  <c r="J280" i="25" s="1"/>
  <c r="I292" i="25"/>
  <c r="J292" i="25" s="1"/>
  <c r="I341" i="25"/>
  <c r="J341" i="25" s="1"/>
  <c r="I327" i="25"/>
  <c r="J327" i="25" s="1"/>
  <c r="I328" i="25"/>
  <c r="J328" i="25" s="1"/>
  <c r="I297" i="25"/>
  <c r="I291" i="25"/>
  <c r="J291" i="25" s="1"/>
  <c r="I338" i="25"/>
  <c r="J338" i="25" s="1"/>
  <c r="I317" i="25"/>
  <c r="J317" i="25" s="1"/>
  <c r="I332" i="25"/>
  <c r="J332" i="25" s="1"/>
  <c r="I293" i="25"/>
  <c r="J293" i="25" s="1"/>
  <c r="I319" i="25"/>
  <c r="J319" i="25" s="1"/>
  <c r="I335" i="25"/>
  <c r="J335" i="25" s="1"/>
  <c r="I342" i="25"/>
  <c r="I343" i="25"/>
  <c r="J343" i="25" s="1"/>
  <c r="I288" i="25"/>
  <c r="J288" i="25" s="1"/>
  <c r="I305" i="25"/>
  <c r="J305" i="25" s="1"/>
  <c r="I309" i="25"/>
  <c r="J309" i="25" s="1"/>
  <c r="I346" i="25"/>
  <c r="J346" i="25" s="1"/>
  <c r="I321" i="25"/>
  <c r="J321" i="25" s="1"/>
  <c r="I333" i="25"/>
  <c r="J333" i="25" s="1"/>
  <c r="I287" i="25"/>
  <c r="J287" i="25" s="1"/>
  <c r="I336" i="25"/>
  <c r="J336" i="25" s="1"/>
  <c r="I311" i="25"/>
  <c r="J311" i="25" s="1"/>
  <c r="I282" i="25"/>
  <c r="J282" i="25" s="1"/>
  <c r="I331" i="25"/>
  <c r="J331" i="25" s="1"/>
  <c r="I299" i="25"/>
  <c r="J299" i="25" s="1"/>
  <c r="I296" i="25"/>
  <c r="J296" i="25" s="1"/>
  <c r="I313" i="25"/>
  <c r="J313" i="25" s="1"/>
  <c r="I318" i="25"/>
  <c r="J318" i="25" s="1"/>
  <c r="I334" i="25"/>
  <c r="J334" i="25" s="1"/>
  <c r="I337" i="25"/>
  <c r="J337" i="25" s="1"/>
  <c r="I281" i="25"/>
  <c r="J281" i="25" s="1"/>
  <c r="I322" i="25"/>
  <c r="J322" i="25" s="1"/>
  <c r="I300" i="25"/>
  <c r="J300" i="25" s="1"/>
  <c r="I283" i="25"/>
  <c r="J283" i="25" s="1"/>
  <c r="I320" i="25"/>
  <c r="J320" i="25" s="1"/>
  <c r="I302" i="25"/>
  <c r="J302" i="25" s="1"/>
  <c r="I285" i="25"/>
  <c r="J285" i="25" s="1"/>
  <c r="I329" i="25"/>
  <c r="J329" i="25" s="1"/>
  <c r="I314" i="25"/>
  <c r="J314" i="25" s="1"/>
  <c r="I308" i="25"/>
  <c r="J308" i="25" s="1"/>
  <c r="I294" i="25"/>
  <c r="J294" i="25" s="1"/>
  <c r="I284" i="25"/>
  <c r="J284" i="25" s="1"/>
  <c r="I326" i="25"/>
  <c r="J326" i="25" s="1"/>
  <c r="I315" i="25"/>
  <c r="J315" i="25" s="1"/>
  <c r="I303" i="25"/>
  <c r="J303" i="25" s="1"/>
  <c r="I324" i="25"/>
  <c r="J324" i="25" s="1"/>
  <c r="I312" i="25"/>
  <c r="J312" i="25" s="1"/>
  <c r="I301" i="25"/>
  <c r="J301" i="25" s="1"/>
  <c r="I344" i="25"/>
  <c r="J344" i="25" s="1"/>
  <c r="I286" i="25"/>
  <c r="J286" i="25" s="1"/>
  <c r="I306" i="25"/>
  <c r="J306" i="25" s="1"/>
  <c r="I345" i="25"/>
  <c r="J345" i="25" s="1"/>
  <c r="I279" i="25"/>
  <c r="J279" i="25" s="1"/>
  <c r="I277" i="25"/>
  <c r="J277" i="25" s="1"/>
  <c r="I278" i="25"/>
  <c r="J278" i="25" s="1"/>
  <c r="J297" i="25"/>
  <c r="J342" i="25"/>
  <c r="J298" i="25"/>
  <c r="J340" i="25"/>
  <c r="J339" i="25"/>
  <c r="C52" i="17"/>
  <c r="I28" i="20" l="1"/>
  <c r="J28" i="20" s="1"/>
  <c r="I20" i="20"/>
  <c r="J20" i="20" s="1"/>
  <c r="I12" i="20"/>
  <c r="J12" i="20" s="1"/>
  <c r="I4" i="20"/>
  <c r="J4" i="20" s="1"/>
  <c r="I27" i="20"/>
  <c r="J27" i="20" s="1"/>
  <c r="I19" i="20"/>
  <c r="J19" i="20" s="1"/>
  <c r="I11" i="20"/>
  <c r="J11" i="20" s="1"/>
  <c r="I3" i="20"/>
  <c r="J3" i="20" s="1"/>
  <c r="I26" i="20"/>
  <c r="J26" i="20" s="1"/>
  <c r="I18" i="20"/>
  <c r="J18" i="20" s="1"/>
  <c r="I10" i="20"/>
  <c r="J10" i="20" s="1"/>
  <c r="I33" i="20"/>
  <c r="J33" i="20" s="1"/>
  <c r="I25" i="20"/>
  <c r="J25" i="20" s="1"/>
  <c r="I17" i="20"/>
  <c r="J17" i="20" s="1"/>
  <c r="I9" i="20"/>
  <c r="J9" i="20" s="1"/>
  <c r="I37" i="20"/>
  <c r="J37" i="20" s="1"/>
  <c r="I39" i="20"/>
  <c r="J39" i="20" s="1"/>
  <c r="I38" i="20"/>
  <c r="J38" i="20" s="1"/>
  <c r="I40" i="20"/>
  <c r="J40" i="20" s="1"/>
  <c r="I35" i="20"/>
  <c r="J35" i="20" s="1"/>
  <c r="I36" i="20"/>
  <c r="J36" i="20" s="1"/>
  <c r="I34" i="20"/>
  <c r="J34" i="20" s="1"/>
  <c r="I32" i="20"/>
  <c r="J32" i="20" s="1"/>
  <c r="I24" i="20"/>
  <c r="J24" i="20" s="1"/>
  <c r="I16" i="20"/>
  <c r="J16" i="20" s="1"/>
  <c r="I8" i="20"/>
  <c r="J8" i="20" s="1"/>
  <c r="I31" i="20"/>
  <c r="J31" i="20" s="1"/>
  <c r="I23" i="20"/>
  <c r="J23" i="20" s="1"/>
  <c r="I15" i="20"/>
  <c r="J15" i="20" s="1"/>
  <c r="I7" i="20"/>
  <c r="J7" i="20" s="1"/>
  <c r="I30" i="20"/>
  <c r="J30" i="20" s="1"/>
  <c r="I22" i="20"/>
  <c r="J22" i="20" s="1"/>
  <c r="I14" i="20"/>
  <c r="J14" i="20" s="1"/>
  <c r="I6" i="20"/>
  <c r="J6" i="20" s="1"/>
  <c r="I29" i="20"/>
  <c r="J29" i="20" s="1"/>
  <c r="I21" i="20"/>
  <c r="J21" i="20" s="1"/>
  <c r="I13" i="20"/>
  <c r="J13" i="20" s="1"/>
  <c r="I5" i="20"/>
  <c r="J5" i="20" s="1"/>
  <c r="I2" i="20"/>
  <c r="J2" i="20" s="1"/>
  <c r="E23" i="8"/>
  <c r="E9" i="8"/>
  <c r="E22" i="8"/>
  <c r="E8" i="8"/>
  <c r="J22" i="8" l="1"/>
  <c r="I22" i="8"/>
  <c r="H22" i="8"/>
  <c r="G22" i="8"/>
  <c r="J8" i="8"/>
  <c r="I8" i="8"/>
  <c r="H8" i="8"/>
  <c r="G8" i="8"/>
  <c r="G23" i="8"/>
  <c r="H23" i="8"/>
  <c r="J23" i="8"/>
  <c r="I23" i="8"/>
  <c r="J9" i="8"/>
  <c r="I9" i="8"/>
  <c r="H9" i="8"/>
  <c r="G9" i="8"/>
  <c r="I306" i="21"/>
  <c r="J306" i="21" s="1"/>
  <c r="I67" i="21"/>
  <c r="J67" i="21" s="1"/>
  <c r="I65" i="21"/>
  <c r="J65" i="21" s="1"/>
  <c r="I467" i="21"/>
  <c r="J467" i="21" s="1"/>
  <c r="I66" i="21"/>
  <c r="J66" i="21" s="1"/>
  <c r="I684" i="21"/>
  <c r="J684" i="21" s="1"/>
  <c r="I593" i="21"/>
  <c r="J593" i="21" s="1"/>
  <c r="I291" i="21"/>
  <c r="J291" i="21" s="1"/>
  <c r="I414" i="21"/>
  <c r="J414" i="21" s="1"/>
  <c r="I46" i="21"/>
  <c r="J46" i="21" s="1"/>
  <c r="I401" i="21"/>
  <c r="J401" i="21" s="1"/>
  <c r="I318" i="21"/>
  <c r="J318" i="21" s="1"/>
  <c r="I687" i="21"/>
  <c r="J687" i="21" s="1"/>
  <c r="I96" i="21"/>
  <c r="J96" i="21" s="1"/>
  <c r="I483" i="21"/>
  <c r="J483" i="21" s="1"/>
  <c r="I685" i="21"/>
  <c r="J685" i="21" s="1"/>
  <c r="I783" i="21"/>
  <c r="J783" i="21" s="1"/>
  <c r="I554" i="21"/>
  <c r="J554" i="21" s="1"/>
  <c r="I220" i="21"/>
  <c r="J220" i="21" s="1"/>
  <c r="I256" i="21"/>
  <c r="J256" i="21" s="1"/>
  <c r="I701" i="21"/>
  <c r="J701" i="21" s="1"/>
  <c r="I592" i="21"/>
  <c r="J592" i="21" s="1"/>
  <c r="I388" i="21"/>
  <c r="J388" i="21" s="1"/>
  <c r="I725" i="21"/>
  <c r="J725" i="21" s="1"/>
  <c r="I667" i="21"/>
  <c r="J667" i="21" s="1"/>
  <c r="I71" i="21"/>
  <c r="J71" i="21" s="1"/>
  <c r="I693" i="21"/>
  <c r="J693" i="21" s="1"/>
  <c r="I277" i="21"/>
  <c r="J277" i="21" s="1"/>
  <c r="I281" i="21"/>
  <c r="J281" i="21" s="1"/>
  <c r="I765" i="21"/>
  <c r="J765" i="21" s="1"/>
  <c r="I397" i="21"/>
  <c r="J397" i="21" s="1"/>
  <c r="I347" i="21"/>
  <c r="J347" i="21" s="1"/>
  <c r="I60" i="21"/>
  <c r="J60" i="21" s="1"/>
  <c r="I444" i="21"/>
  <c r="J444" i="21" s="1"/>
  <c r="I293" i="21"/>
  <c r="J293" i="21" s="1"/>
  <c r="I110" i="21"/>
  <c r="J110" i="21" s="1"/>
  <c r="I255" i="21"/>
  <c r="J255" i="21" s="1"/>
  <c r="I27" i="21"/>
  <c r="J27" i="21" s="1"/>
  <c r="I411" i="21"/>
  <c r="J411" i="21" s="1"/>
  <c r="I124" i="21"/>
  <c r="J124" i="21" s="1"/>
  <c r="I508" i="21"/>
  <c r="J508" i="21" s="1"/>
  <c r="I373" i="21"/>
  <c r="J373" i="21" s="1"/>
  <c r="I174" i="21"/>
  <c r="J174" i="21" s="1"/>
  <c r="I439" i="21"/>
  <c r="J439" i="21" s="1"/>
  <c r="I602" i="21"/>
  <c r="J602" i="21" s="1"/>
  <c r="I188" i="21"/>
  <c r="J188" i="21" s="1"/>
  <c r="I572" i="21"/>
  <c r="J572" i="21" s="1"/>
  <c r="I238" i="21"/>
  <c r="J238" i="21" s="1"/>
  <c r="I583" i="21"/>
  <c r="J583" i="21" s="1"/>
  <c r="I673" i="21"/>
  <c r="J673" i="21" s="1"/>
  <c r="I91" i="21"/>
  <c r="J91" i="21" s="1"/>
  <c r="I475" i="21"/>
  <c r="J475" i="21" s="1"/>
  <c r="I636" i="21"/>
  <c r="J636" i="21" s="1"/>
  <c r="I453" i="21"/>
  <c r="J453" i="21" s="1"/>
  <c r="I302" i="21"/>
  <c r="J302" i="21" s="1"/>
  <c r="I794" i="21"/>
  <c r="J794" i="21" s="1"/>
  <c r="I418" i="21"/>
  <c r="J418" i="21" s="1"/>
  <c r="I18" i="21"/>
  <c r="J18" i="21" s="1"/>
  <c r="I101" i="21"/>
  <c r="J101" i="21" s="1"/>
  <c r="I825" i="21"/>
  <c r="J825" i="21" s="1"/>
  <c r="I761" i="21"/>
  <c r="J761" i="21" s="1"/>
  <c r="I697" i="21"/>
  <c r="J697" i="21" s="1"/>
  <c r="I522" i="21"/>
  <c r="J522" i="21" s="1"/>
  <c r="I470" i="21"/>
  <c r="J470" i="21" s="1"/>
  <c r="I840" i="21"/>
  <c r="J840" i="21" s="1"/>
  <c r="I776" i="21"/>
  <c r="J776" i="21" s="1"/>
  <c r="I712" i="21"/>
  <c r="J712" i="21" s="1"/>
  <c r="I648" i="21"/>
  <c r="J648" i="21" s="1"/>
  <c r="I21" i="21"/>
  <c r="J21" i="21" s="1"/>
  <c r="I450" i="21"/>
  <c r="J450" i="21" s="1"/>
  <c r="I678" i="21"/>
  <c r="J678" i="21" s="1"/>
  <c r="I847" i="21"/>
  <c r="J847" i="21" s="1"/>
  <c r="I719" i="21"/>
  <c r="J719" i="21" s="1"/>
  <c r="I810" i="21"/>
  <c r="J810" i="21" s="1"/>
  <c r="I370" i="21"/>
  <c r="J370" i="21" s="1"/>
  <c r="I445" i="21"/>
  <c r="J445" i="21" s="1"/>
  <c r="I830" i="21"/>
  <c r="J830" i="21" s="1"/>
  <c r="I766" i="21"/>
  <c r="J766" i="21" s="1"/>
  <c r="I694" i="21"/>
  <c r="J694" i="21" s="1"/>
  <c r="I626" i="21"/>
  <c r="J626" i="21" s="1"/>
  <c r="I194" i="21"/>
  <c r="J194" i="21" s="1"/>
  <c r="I53" i="21"/>
  <c r="J53" i="21" s="1"/>
  <c r="I821" i="21"/>
  <c r="J821" i="21" s="1"/>
  <c r="I757" i="21"/>
  <c r="J757" i="21" s="1"/>
  <c r="I586" i="21"/>
  <c r="J586" i="21" s="1"/>
  <c r="I154" i="21"/>
  <c r="J154" i="21" s="1"/>
  <c r="I868" i="21"/>
  <c r="J868" i="21" s="1"/>
  <c r="I804" i="21"/>
  <c r="J804" i="21" s="1"/>
  <c r="I740" i="21"/>
  <c r="J740" i="21" s="1"/>
  <c r="I514" i="21"/>
  <c r="J514" i="21" s="1"/>
  <c r="I34" i="21"/>
  <c r="J34" i="21" s="1"/>
  <c r="I851" i="21"/>
  <c r="J851" i="21" s="1"/>
  <c r="I787" i="21"/>
  <c r="J787" i="21" s="1"/>
  <c r="I723" i="21"/>
  <c r="J723" i="21" s="1"/>
  <c r="I665" i="21"/>
  <c r="J665" i="21" s="1"/>
  <c r="I601" i="21"/>
  <c r="J601" i="21" s="1"/>
  <c r="I537" i="21"/>
  <c r="J537" i="21" s="1"/>
  <c r="I473" i="21"/>
  <c r="J473" i="21" s="1"/>
  <c r="I409" i="21"/>
  <c r="J409" i="21" s="1"/>
  <c r="I345" i="21"/>
  <c r="J345" i="21" s="1"/>
  <c r="I273" i="21"/>
  <c r="J273" i="21" s="1"/>
  <c r="I209" i="21"/>
  <c r="J209" i="21" s="1"/>
  <c r="I121" i="21"/>
  <c r="J121" i="21" s="1"/>
  <c r="I33" i="21"/>
  <c r="J33" i="21" s="1"/>
  <c r="I544" i="21"/>
  <c r="J544" i="21" s="1"/>
  <c r="I480" i="21"/>
  <c r="J480" i="21" s="1"/>
  <c r="I416" i="21"/>
  <c r="J416" i="21" s="1"/>
  <c r="I352" i="21"/>
  <c r="J352" i="21" s="1"/>
  <c r="I288" i="21"/>
  <c r="J288" i="21" s="1"/>
  <c r="I224" i="21"/>
  <c r="J224" i="21" s="1"/>
  <c r="I746" i="21"/>
  <c r="J746" i="21" s="1"/>
  <c r="I354" i="21"/>
  <c r="J354" i="21" s="1"/>
  <c r="I9" i="21"/>
  <c r="J9" i="21" s="1"/>
  <c r="I881" i="21"/>
  <c r="J881" i="21" s="1"/>
  <c r="I817" i="21"/>
  <c r="J817" i="21" s="1"/>
  <c r="I753" i="21"/>
  <c r="J753" i="21" s="1"/>
  <c r="I689" i="21"/>
  <c r="J689" i="21" s="1"/>
  <c r="I466" i="21"/>
  <c r="J466" i="21" s="1"/>
  <c r="I261" i="21"/>
  <c r="J261" i="21" s="1"/>
  <c r="I832" i="21"/>
  <c r="J832" i="21" s="1"/>
  <c r="I768" i="21"/>
  <c r="J768" i="21" s="1"/>
  <c r="I704" i="21"/>
  <c r="J704" i="21" s="1"/>
  <c r="I640" i="21"/>
  <c r="J640" i="21" s="1"/>
  <c r="I882" i="21"/>
  <c r="J882" i="21" s="1"/>
  <c r="I402" i="21"/>
  <c r="J402" i="21" s="1"/>
  <c r="I462" i="21"/>
  <c r="J462" i="21" s="1"/>
  <c r="I839" i="21"/>
  <c r="J839" i="21" s="1"/>
  <c r="I775" i="21"/>
  <c r="J775" i="21" s="1"/>
  <c r="I711" i="21"/>
  <c r="J711" i="21" s="1"/>
  <c r="I754" i="21"/>
  <c r="J754" i="21" s="1"/>
  <c r="I314" i="21"/>
  <c r="J314" i="21" s="1"/>
  <c r="I197" i="21"/>
  <c r="J197" i="21" s="1"/>
  <c r="I822" i="21"/>
  <c r="J822" i="21" s="1"/>
  <c r="I758" i="21"/>
  <c r="J758" i="21" s="1"/>
  <c r="I325" i="21"/>
  <c r="J325" i="21" s="1"/>
  <c r="I570" i="21"/>
  <c r="J570" i="21" s="1"/>
  <c r="I138" i="21"/>
  <c r="J138" i="21" s="1"/>
  <c r="I877" i="21"/>
  <c r="J877" i="21" s="1"/>
  <c r="I813" i="21"/>
  <c r="J813" i="21" s="1"/>
  <c r="I749" i="21"/>
  <c r="J749" i="21" s="1"/>
  <c r="I530" i="21"/>
  <c r="J530" i="21" s="1"/>
  <c r="I114" i="21"/>
  <c r="J114" i="21" s="1"/>
  <c r="I860" i="21"/>
  <c r="J860" i="21" s="1"/>
  <c r="I796" i="21"/>
  <c r="J796" i="21" s="1"/>
  <c r="I732" i="21"/>
  <c r="J732" i="21" s="1"/>
  <c r="I442" i="21"/>
  <c r="J442" i="21" s="1"/>
  <c r="I534" i="21"/>
  <c r="J534" i="21" s="1"/>
  <c r="I843" i="21"/>
  <c r="J843" i="21" s="1"/>
  <c r="I779" i="21"/>
  <c r="J779" i="21" s="1"/>
  <c r="I715" i="21"/>
  <c r="J715" i="21" s="1"/>
  <c r="I657" i="21"/>
  <c r="J657" i="21" s="1"/>
  <c r="I529" i="21"/>
  <c r="J529" i="21" s="1"/>
  <c r="I465" i="21"/>
  <c r="J465" i="21" s="1"/>
  <c r="I337" i="21"/>
  <c r="J337" i="21" s="1"/>
  <c r="I265" i="21"/>
  <c r="J265" i="21" s="1"/>
  <c r="I193" i="21"/>
  <c r="J193" i="21" s="1"/>
  <c r="I113" i="21"/>
  <c r="J113" i="21" s="1"/>
  <c r="I25" i="21"/>
  <c r="J25" i="21" s="1"/>
  <c r="I536" i="21"/>
  <c r="J536" i="21" s="1"/>
  <c r="I472" i="21"/>
  <c r="J472" i="21" s="1"/>
  <c r="I408" i="21"/>
  <c r="J408" i="21" s="1"/>
  <c r="I344" i="21"/>
  <c r="J344" i="21" s="1"/>
  <c r="I280" i="21"/>
  <c r="J280" i="21" s="1"/>
  <c r="I216" i="21"/>
  <c r="J216" i="21" s="1"/>
  <c r="I824" i="21"/>
  <c r="J824" i="21" s="1"/>
  <c r="I760" i="21"/>
  <c r="J760" i="21" s="1"/>
  <c r="I696" i="21"/>
  <c r="J696" i="21" s="1"/>
  <c r="I632" i="21"/>
  <c r="J632" i="21" s="1"/>
  <c r="I834" i="21"/>
  <c r="J834" i="21" s="1"/>
  <c r="I338" i="21"/>
  <c r="J338" i="21" s="1"/>
  <c r="I201" i="21"/>
  <c r="J201" i="21" s="1"/>
  <c r="I831" i="21"/>
  <c r="J831" i="21" s="1"/>
  <c r="I767" i="21"/>
  <c r="J767" i="21" s="1"/>
  <c r="I703" i="21"/>
  <c r="J703" i="21" s="1"/>
  <c r="I706" i="21"/>
  <c r="J706" i="21" s="1"/>
  <c r="I266" i="21"/>
  <c r="J266" i="21" s="1"/>
  <c r="I69" i="21"/>
  <c r="J69" i="21" s="1"/>
  <c r="I878" i="21"/>
  <c r="J878" i="21" s="1"/>
  <c r="I814" i="21"/>
  <c r="J814" i="21" s="1"/>
  <c r="I750" i="21"/>
  <c r="J750" i="21" s="1"/>
  <c r="I506" i="21"/>
  <c r="J506" i="21" s="1"/>
  <c r="I90" i="21"/>
  <c r="J90" i="21" s="1"/>
  <c r="I869" i="21"/>
  <c r="J869" i="21" s="1"/>
  <c r="I805" i="21"/>
  <c r="J805" i="21" s="1"/>
  <c r="I741" i="21"/>
  <c r="J741" i="21" s="1"/>
  <c r="I490" i="21"/>
  <c r="J490" i="21" s="1"/>
  <c r="I26" i="21"/>
  <c r="J26" i="21" s="1"/>
  <c r="I852" i="21"/>
  <c r="J852" i="21" s="1"/>
  <c r="I788" i="21"/>
  <c r="J788" i="21" s="1"/>
  <c r="I724" i="21"/>
  <c r="J724" i="21" s="1"/>
  <c r="I842" i="21"/>
  <c r="J842" i="21" s="1"/>
  <c r="I394" i="21"/>
  <c r="J394" i="21" s="1"/>
  <c r="I365" i="21"/>
  <c r="J365" i="21" s="1"/>
  <c r="I835" i="21"/>
  <c r="J835" i="21" s="1"/>
  <c r="I771" i="21"/>
  <c r="J771" i="21" s="1"/>
  <c r="I707" i="21"/>
  <c r="J707" i="21" s="1"/>
  <c r="I649" i="21"/>
  <c r="J649" i="21" s="1"/>
  <c r="I585" i="21"/>
  <c r="J585" i="21" s="1"/>
  <c r="I521" i="21"/>
  <c r="J521" i="21" s="1"/>
  <c r="I457" i="21"/>
  <c r="J457" i="21" s="1"/>
  <c r="I393" i="21"/>
  <c r="J393" i="21" s="1"/>
  <c r="I329" i="21"/>
  <c r="J329" i="21" s="1"/>
  <c r="I257" i="21"/>
  <c r="J257" i="21" s="1"/>
  <c r="I185" i="21"/>
  <c r="J185" i="21" s="1"/>
  <c r="I97" i="21"/>
  <c r="J97" i="21" s="1"/>
  <c r="I17" i="21"/>
  <c r="J17" i="21" s="1"/>
  <c r="I528" i="21"/>
  <c r="J528" i="21" s="1"/>
  <c r="I464" i="21"/>
  <c r="J464" i="21" s="1"/>
  <c r="I400" i="21"/>
  <c r="J400" i="21" s="1"/>
  <c r="I336" i="21"/>
  <c r="J336" i="21" s="1"/>
  <c r="I272" i="21"/>
  <c r="J272" i="21" s="1"/>
  <c r="I208" i="21"/>
  <c r="J208" i="21" s="1"/>
  <c r="I144" i="21"/>
  <c r="J144" i="21" s="1"/>
  <c r="I80" i="21"/>
  <c r="J80" i="21" s="1"/>
  <c r="I16" i="21"/>
  <c r="J16" i="21" s="1"/>
  <c r="I623" i="21"/>
  <c r="J623" i="21" s="1"/>
  <c r="I559" i="21"/>
  <c r="J559" i="21" s="1"/>
  <c r="I495" i="21"/>
  <c r="J495" i="21" s="1"/>
  <c r="I431" i="21"/>
  <c r="J431" i="21" s="1"/>
  <c r="I367" i="21"/>
  <c r="J367" i="21" s="1"/>
  <c r="I303" i="21"/>
  <c r="J303" i="21" s="1"/>
  <c r="I239" i="21"/>
  <c r="J239" i="21" s="1"/>
  <c r="I175" i="21"/>
  <c r="J175" i="21" s="1"/>
  <c r="I111" i="21"/>
  <c r="J111" i="21" s="1"/>
  <c r="I47" i="21"/>
  <c r="J47" i="21" s="1"/>
  <c r="I662" i="21"/>
  <c r="J662" i="21" s="1"/>
  <c r="I590" i="21"/>
  <c r="J590" i="21" s="1"/>
  <c r="I502" i="21"/>
  <c r="J502" i="21" s="1"/>
  <c r="I752" i="21"/>
  <c r="J752" i="21" s="1"/>
  <c r="I688" i="21"/>
  <c r="J688" i="21" s="1"/>
  <c r="I624" i="21"/>
  <c r="J624" i="21" s="1"/>
  <c r="I786" i="21"/>
  <c r="J786" i="21" s="1"/>
  <c r="I290" i="21"/>
  <c r="J290" i="21" s="1"/>
  <c r="I73" i="21"/>
  <c r="J73" i="21" s="1"/>
  <c r="I823" i="21"/>
  <c r="J823" i="21" s="1"/>
  <c r="I759" i="21"/>
  <c r="J759" i="21" s="1"/>
  <c r="I695" i="21"/>
  <c r="J695" i="21" s="1"/>
  <c r="I634" i="21"/>
  <c r="J634" i="21" s="1"/>
  <c r="I210" i="21"/>
  <c r="J210" i="21" s="1"/>
  <c r="I870" i="21"/>
  <c r="J870" i="21" s="1"/>
  <c r="I806" i="21"/>
  <c r="J806" i="21" s="1"/>
  <c r="I742" i="21"/>
  <c r="J742" i="21" s="1"/>
  <c r="I866" i="21"/>
  <c r="J866" i="21" s="1"/>
  <c r="I458" i="21"/>
  <c r="J458" i="21" s="1"/>
  <c r="I74" i="21"/>
  <c r="J74" i="21" s="1"/>
  <c r="I861" i="21"/>
  <c r="J861" i="21" s="1"/>
  <c r="I797" i="21"/>
  <c r="J797" i="21" s="1"/>
  <c r="I733" i="21"/>
  <c r="J733" i="21" s="1"/>
  <c r="I858" i="21"/>
  <c r="J858" i="21" s="1"/>
  <c r="I434" i="21"/>
  <c r="J434" i="21" s="1"/>
  <c r="I582" i="21"/>
  <c r="J582" i="21" s="1"/>
  <c r="I844" i="21"/>
  <c r="J844" i="21" s="1"/>
  <c r="I780" i="21"/>
  <c r="J780" i="21" s="1"/>
  <c r="I716" i="21"/>
  <c r="J716" i="21" s="1"/>
  <c r="I770" i="21"/>
  <c r="J770" i="21" s="1"/>
  <c r="I346" i="21"/>
  <c r="J346" i="21" s="1"/>
  <c r="I133" i="21"/>
  <c r="J133" i="21" s="1"/>
  <c r="I827" i="21"/>
  <c r="J827" i="21" s="1"/>
  <c r="I763" i="21"/>
  <c r="J763" i="21" s="1"/>
  <c r="I699" i="21"/>
  <c r="J699" i="21" s="1"/>
  <c r="I641" i="21"/>
  <c r="J641" i="21" s="1"/>
  <c r="I577" i="21"/>
  <c r="J577" i="21" s="1"/>
  <c r="I513" i="21"/>
  <c r="J513" i="21" s="1"/>
  <c r="I449" i="21"/>
  <c r="J449" i="21" s="1"/>
  <c r="I385" i="21"/>
  <c r="J385" i="21" s="1"/>
  <c r="I321" i="21"/>
  <c r="J321" i="21" s="1"/>
  <c r="I249" i="21"/>
  <c r="J249" i="21" s="1"/>
  <c r="I177" i="21"/>
  <c r="J177" i="21" s="1"/>
  <c r="I89" i="21"/>
  <c r="J89" i="21" s="1"/>
  <c r="I584" i="21"/>
  <c r="J584" i="21" s="1"/>
  <c r="I520" i="21"/>
  <c r="J520" i="21" s="1"/>
  <c r="I456" i="21"/>
  <c r="J456" i="21" s="1"/>
  <c r="I392" i="21"/>
  <c r="J392" i="21" s="1"/>
  <c r="I328" i="21"/>
  <c r="J328" i="21" s="1"/>
  <c r="I264" i="21"/>
  <c r="J264" i="21" s="1"/>
  <c r="I200" i="21"/>
  <c r="J200" i="21" s="1"/>
  <c r="I136" i="21"/>
  <c r="J136" i="21" s="1"/>
  <c r="I72" i="21"/>
  <c r="J72" i="21" s="1"/>
  <c r="I8" i="21"/>
  <c r="J8" i="21" s="1"/>
  <c r="I615" i="21"/>
  <c r="J615" i="21" s="1"/>
  <c r="I551" i="21"/>
  <c r="J551" i="21" s="1"/>
  <c r="I487" i="21"/>
  <c r="J487" i="21" s="1"/>
  <c r="I423" i="21"/>
  <c r="J423" i="21" s="1"/>
  <c r="I359" i="21"/>
  <c r="J359" i="21" s="1"/>
  <c r="I295" i="21"/>
  <c r="J295" i="21" s="1"/>
  <c r="I231" i="21"/>
  <c r="J231" i="21" s="1"/>
  <c r="I167" i="21"/>
  <c r="J167" i="21" s="1"/>
  <c r="I103" i="21"/>
  <c r="J103" i="21" s="1"/>
  <c r="I39" i="21"/>
  <c r="J39" i="21" s="1"/>
  <c r="I654" i="21"/>
  <c r="J654" i="21" s="1"/>
  <c r="I574" i="21"/>
  <c r="J574" i="21" s="1"/>
  <c r="I494" i="21"/>
  <c r="J494" i="21" s="1"/>
  <c r="I342" i="21"/>
  <c r="J342" i="21" s="1"/>
  <c r="I744" i="21"/>
  <c r="J744" i="21" s="1"/>
  <c r="I680" i="21"/>
  <c r="J680" i="21" s="1"/>
  <c r="I616" i="21"/>
  <c r="J616" i="21" s="1"/>
  <c r="I722" i="21"/>
  <c r="J722" i="21" s="1"/>
  <c r="I234" i="21"/>
  <c r="J234" i="21" s="1"/>
  <c r="I4" i="21"/>
  <c r="J4" i="21" s="1"/>
  <c r="I879" i="21"/>
  <c r="J879" i="21" s="1"/>
  <c r="I815" i="21"/>
  <c r="J815" i="21" s="1"/>
  <c r="I751" i="21"/>
  <c r="J751" i="21" s="1"/>
  <c r="I578" i="21"/>
  <c r="J578" i="21" s="1"/>
  <c r="I162" i="21"/>
  <c r="J162" i="21" s="1"/>
  <c r="I862" i="21"/>
  <c r="J862" i="21" s="1"/>
  <c r="I798" i="21"/>
  <c r="J798" i="21" s="1"/>
  <c r="I734" i="21"/>
  <c r="J734" i="21" s="1"/>
  <c r="I826" i="21"/>
  <c r="J826" i="21" s="1"/>
  <c r="I410" i="21"/>
  <c r="J410" i="21" s="1"/>
  <c r="I853" i="21"/>
  <c r="J853" i="21" s="1"/>
  <c r="I789" i="21"/>
  <c r="J789" i="21" s="1"/>
  <c r="I818" i="21"/>
  <c r="J818" i="21" s="1"/>
  <c r="I378" i="21"/>
  <c r="J378" i="21" s="1"/>
  <c r="I382" i="21"/>
  <c r="J382" i="21" s="1"/>
  <c r="I836" i="21"/>
  <c r="J836" i="21" s="1"/>
  <c r="I772" i="21"/>
  <c r="J772" i="21" s="1"/>
  <c r="I708" i="21"/>
  <c r="J708" i="21" s="1"/>
  <c r="I714" i="21"/>
  <c r="J714" i="21" s="1"/>
  <c r="I282" i="21"/>
  <c r="J282" i="21" s="1"/>
  <c r="I37" i="21"/>
  <c r="J37" i="21" s="1"/>
  <c r="I819" i="21"/>
  <c r="J819" i="21" s="1"/>
  <c r="I755" i="21"/>
  <c r="J755" i="21" s="1"/>
  <c r="I691" i="21"/>
  <c r="J691" i="21" s="1"/>
  <c r="I633" i="21"/>
  <c r="J633" i="21" s="1"/>
  <c r="I569" i="21"/>
  <c r="J569" i="21" s="1"/>
  <c r="I505" i="21"/>
  <c r="J505" i="21" s="1"/>
  <c r="I441" i="21"/>
  <c r="J441" i="21" s="1"/>
  <c r="I377" i="21"/>
  <c r="J377" i="21" s="1"/>
  <c r="I313" i="21"/>
  <c r="J313" i="21" s="1"/>
  <c r="I241" i="21"/>
  <c r="J241" i="21" s="1"/>
  <c r="I169" i="21"/>
  <c r="J169" i="21" s="1"/>
  <c r="I81" i="21"/>
  <c r="J81" i="21" s="1"/>
  <c r="I576" i="21"/>
  <c r="J576" i="21" s="1"/>
  <c r="I512" i="21"/>
  <c r="J512" i="21" s="1"/>
  <c r="I448" i="21"/>
  <c r="J448" i="21" s="1"/>
  <c r="I384" i="21"/>
  <c r="J384" i="21" s="1"/>
  <c r="I320" i="21"/>
  <c r="J320" i="21" s="1"/>
  <c r="I192" i="21"/>
  <c r="J192" i="21" s="1"/>
  <c r="I128" i="21"/>
  <c r="J128" i="21" s="1"/>
  <c r="I64" i="21"/>
  <c r="J64" i="21" s="1"/>
  <c r="I671" i="21"/>
  <c r="J671" i="21" s="1"/>
  <c r="I607" i="21"/>
  <c r="J607" i="21" s="1"/>
  <c r="I543" i="21"/>
  <c r="J543" i="21" s="1"/>
  <c r="I479" i="21"/>
  <c r="J479" i="21" s="1"/>
  <c r="I415" i="21"/>
  <c r="J415" i="21" s="1"/>
  <c r="I351" i="21"/>
  <c r="J351" i="21" s="1"/>
  <c r="I287" i="21"/>
  <c r="J287" i="21" s="1"/>
  <c r="I223" i="21"/>
  <c r="J223" i="21" s="1"/>
  <c r="I159" i="21"/>
  <c r="J159" i="21" s="1"/>
  <c r="I95" i="21"/>
  <c r="J95" i="21" s="1"/>
  <c r="I31" i="21"/>
  <c r="J31" i="21" s="1"/>
  <c r="I646" i="21"/>
  <c r="J646" i="21" s="1"/>
  <c r="I566" i="21"/>
  <c r="J566" i="21" s="1"/>
  <c r="I486" i="21"/>
  <c r="J486" i="21" s="1"/>
  <c r="I406" i="21"/>
  <c r="J406" i="21" s="1"/>
  <c r="I334" i="21"/>
  <c r="J334" i="21" s="1"/>
  <c r="I736" i="21"/>
  <c r="J736" i="21" s="1"/>
  <c r="I672" i="21"/>
  <c r="J672" i="21" s="1"/>
  <c r="I608" i="21"/>
  <c r="J608" i="21" s="1"/>
  <c r="I658" i="21"/>
  <c r="J658" i="21" s="1"/>
  <c r="I186" i="21"/>
  <c r="J186" i="21" s="1"/>
  <c r="I871" i="21"/>
  <c r="J871" i="21" s="1"/>
  <c r="I807" i="21"/>
  <c r="J807" i="21" s="1"/>
  <c r="I743" i="21"/>
  <c r="J743" i="21" s="1"/>
  <c r="I679" i="21"/>
  <c r="J679" i="21" s="1"/>
  <c r="I538" i="21"/>
  <c r="J538" i="21" s="1"/>
  <c r="I106" i="21"/>
  <c r="J106" i="21" s="1"/>
  <c r="I854" i="21"/>
  <c r="J854" i="21" s="1"/>
  <c r="I790" i="21"/>
  <c r="J790" i="21" s="1"/>
  <c r="I726" i="21"/>
  <c r="J726" i="21" s="1"/>
  <c r="I778" i="21"/>
  <c r="J778" i="21" s="1"/>
  <c r="I362" i="21"/>
  <c r="J362" i="21" s="1"/>
  <c r="I598" i="21"/>
  <c r="J598" i="21" s="1"/>
  <c r="I845" i="21"/>
  <c r="J845" i="21" s="1"/>
  <c r="I781" i="21"/>
  <c r="J781" i="21" s="1"/>
  <c r="I717" i="21"/>
  <c r="J717" i="21" s="1"/>
  <c r="I762" i="21"/>
  <c r="J762" i="21" s="1"/>
  <c r="I322" i="21"/>
  <c r="J322" i="21" s="1"/>
  <c r="I137" i="21"/>
  <c r="J137" i="21" s="1"/>
  <c r="I828" i="21"/>
  <c r="J828" i="21" s="1"/>
  <c r="I764" i="21"/>
  <c r="J764" i="21" s="1"/>
  <c r="I700" i="21"/>
  <c r="J700" i="21" s="1"/>
  <c r="I674" i="21"/>
  <c r="J674" i="21" s="1"/>
  <c r="I226" i="21"/>
  <c r="J226" i="21" s="1"/>
  <c r="I875" i="21"/>
  <c r="J875" i="21" s="1"/>
  <c r="I811" i="21"/>
  <c r="J811" i="21" s="1"/>
  <c r="I747" i="21"/>
  <c r="J747" i="21" s="1"/>
  <c r="I683" i="21"/>
  <c r="J683" i="21" s="1"/>
  <c r="I625" i="21"/>
  <c r="J625" i="21" s="1"/>
  <c r="I561" i="21"/>
  <c r="J561" i="21" s="1"/>
  <c r="I497" i="21"/>
  <c r="J497" i="21" s="1"/>
  <c r="I433" i="21"/>
  <c r="J433" i="21" s="1"/>
  <c r="I369" i="21"/>
  <c r="J369" i="21" s="1"/>
  <c r="I305" i="21"/>
  <c r="J305" i="21" s="1"/>
  <c r="I233" i="21"/>
  <c r="J233" i="21" s="1"/>
  <c r="I161" i="21"/>
  <c r="J161" i="21" s="1"/>
  <c r="I568" i="21"/>
  <c r="J568" i="21" s="1"/>
  <c r="I504" i="21"/>
  <c r="J504" i="21" s="1"/>
  <c r="I440" i="21"/>
  <c r="J440" i="21" s="1"/>
  <c r="I376" i="21"/>
  <c r="J376" i="21" s="1"/>
  <c r="I312" i="21"/>
  <c r="J312" i="21" s="1"/>
  <c r="I248" i="21"/>
  <c r="J248" i="21" s="1"/>
  <c r="I184" i="21"/>
  <c r="J184" i="21" s="1"/>
  <c r="I120" i="21"/>
  <c r="J120" i="21" s="1"/>
  <c r="I56" i="21"/>
  <c r="J56" i="21" s="1"/>
  <c r="I663" i="21"/>
  <c r="J663" i="21" s="1"/>
  <c r="I599" i="21"/>
  <c r="J599" i="21" s="1"/>
  <c r="I535" i="21"/>
  <c r="J535" i="21" s="1"/>
  <c r="I471" i="21"/>
  <c r="J471" i="21" s="1"/>
  <c r="I407" i="21"/>
  <c r="J407" i="21" s="1"/>
  <c r="I343" i="21"/>
  <c r="J343" i="21" s="1"/>
  <c r="I279" i="21"/>
  <c r="J279" i="21" s="1"/>
  <c r="I215" i="21"/>
  <c r="J215" i="21" s="1"/>
  <c r="I151" i="21"/>
  <c r="J151" i="21" s="1"/>
  <c r="I87" i="21"/>
  <c r="J87" i="21" s="1"/>
  <c r="I23" i="21"/>
  <c r="J23" i="21" s="1"/>
  <c r="I638" i="21"/>
  <c r="J638" i="21" s="1"/>
  <c r="I558" i="21"/>
  <c r="J558" i="21" s="1"/>
  <c r="I478" i="21"/>
  <c r="J478" i="21" s="1"/>
  <c r="I398" i="21"/>
  <c r="J398" i="21" s="1"/>
  <c r="I728" i="21"/>
  <c r="J728" i="21" s="1"/>
  <c r="I664" i="21"/>
  <c r="J664" i="21" s="1"/>
  <c r="I600" i="21"/>
  <c r="J600" i="21" s="1"/>
  <c r="I610" i="21"/>
  <c r="J610" i="21" s="1"/>
  <c r="I130" i="21"/>
  <c r="J130" i="21" s="1"/>
  <c r="I863" i="21"/>
  <c r="J863" i="21" s="1"/>
  <c r="I799" i="21"/>
  <c r="J799" i="21" s="1"/>
  <c r="I735" i="21"/>
  <c r="J735" i="21" s="1"/>
  <c r="I482" i="21"/>
  <c r="J482" i="21" s="1"/>
  <c r="I58" i="21"/>
  <c r="J58" i="21" s="1"/>
  <c r="I846" i="21"/>
  <c r="J846" i="21" s="1"/>
  <c r="I782" i="21"/>
  <c r="J782" i="21" s="1"/>
  <c r="I710" i="21"/>
  <c r="J710" i="21" s="1"/>
  <c r="I730" i="21"/>
  <c r="J730" i="21" s="1"/>
  <c r="I421" i="21"/>
  <c r="J421" i="21" s="1"/>
  <c r="I837" i="21"/>
  <c r="J837" i="21" s="1"/>
  <c r="I773" i="21"/>
  <c r="J773" i="21" s="1"/>
  <c r="I709" i="21"/>
  <c r="J709" i="21" s="1"/>
  <c r="I690" i="21"/>
  <c r="J690" i="21" s="1"/>
  <c r="I274" i="21"/>
  <c r="J274" i="21" s="1"/>
  <c r="I41" i="21"/>
  <c r="J41" i="21" s="1"/>
  <c r="I820" i="21"/>
  <c r="J820" i="21" s="1"/>
  <c r="I756" i="21"/>
  <c r="J756" i="21" s="1"/>
  <c r="I692" i="21"/>
  <c r="J692" i="21" s="1"/>
  <c r="I618" i="21"/>
  <c r="J618" i="21" s="1"/>
  <c r="I178" i="21"/>
  <c r="J178" i="21" s="1"/>
  <c r="I867" i="21"/>
  <c r="J867" i="21" s="1"/>
  <c r="I803" i="21"/>
  <c r="J803" i="21" s="1"/>
  <c r="I739" i="21"/>
  <c r="J739" i="21" s="1"/>
  <c r="I681" i="21"/>
  <c r="J681" i="21" s="1"/>
  <c r="I617" i="21"/>
  <c r="J617" i="21" s="1"/>
  <c r="I553" i="21"/>
  <c r="J553" i="21" s="1"/>
  <c r="I489" i="21"/>
  <c r="J489" i="21" s="1"/>
  <c r="I425" i="21"/>
  <c r="J425" i="21" s="1"/>
  <c r="I361" i="21"/>
  <c r="J361" i="21" s="1"/>
  <c r="I289" i="21"/>
  <c r="J289" i="21" s="1"/>
  <c r="I225" i="21"/>
  <c r="J225" i="21" s="1"/>
  <c r="I145" i="21"/>
  <c r="J145" i="21" s="1"/>
  <c r="I57" i="21"/>
  <c r="J57" i="21" s="1"/>
  <c r="I560" i="21"/>
  <c r="J560" i="21" s="1"/>
  <c r="I496" i="21"/>
  <c r="J496" i="21" s="1"/>
  <c r="I432" i="21"/>
  <c r="J432" i="21" s="1"/>
  <c r="I368" i="21"/>
  <c r="J368" i="21" s="1"/>
  <c r="I304" i="21"/>
  <c r="J304" i="21" s="1"/>
  <c r="I240" i="21"/>
  <c r="J240" i="21" s="1"/>
  <c r="I176" i="21"/>
  <c r="J176" i="21" s="1"/>
  <c r="I112" i="21"/>
  <c r="J112" i="21" s="1"/>
  <c r="I48" i="21"/>
  <c r="J48" i="21" s="1"/>
  <c r="I655" i="21"/>
  <c r="J655" i="21" s="1"/>
  <c r="I591" i="21"/>
  <c r="J591" i="21" s="1"/>
  <c r="I527" i="21"/>
  <c r="J527" i="21" s="1"/>
  <c r="I463" i="21"/>
  <c r="J463" i="21" s="1"/>
  <c r="I399" i="21"/>
  <c r="J399" i="21" s="1"/>
  <c r="I335" i="21"/>
  <c r="J335" i="21" s="1"/>
  <c r="I271" i="21"/>
  <c r="J271" i="21" s="1"/>
  <c r="I207" i="21"/>
  <c r="J207" i="21" s="1"/>
  <c r="I143" i="21"/>
  <c r="J143" i="21" s="1"/>
  <c r="I79" i="21"/>
  <c r="J79" i="21" s="1"/>
  <c r="I15" i="21"/>
  <c r="J15" i="21" s="1"/>
  <c r="I630" i="21"/>
  <c r="J630" i="21" s="1"/>
  <c r="I550" i="21"/>
  <c r="J550" i="21" s="1"/>
  <c r="I454" i="21"/>
  <c r="J454" i="21" s="1"/>
  <c r="I390" i="21"/>
  <c r="J390" i="21" s="1"/>
  <c r="I718" i="21"/>
  <c r="J718" i="21" s="1"/>
  <c r="I42" i="21"/>
  <c r="J42" i="21" s="1"/>
  <c r="I426" i="21"/>
  <c r="J426" i="21" s="1"/>
  <c r="I250" i="21"/>
  <c r="J250" i="21" s="1"/>
  <c r="I609" i="21"/>
  <c r="J609" i="21" s="1"/>
  <c r="I217" i="21"/>
  <c r="J217" i="21" s="1"/>
  <c r="I296" i="21"/>
  <c r="J296" i="21" s="1"/>
  <c r="I88" i="21"/>
  <c r="J88" i="21" s="1"/>
  <c r="I575" i="21"/>
  <c r="J575" i="21" s="1"/>
  <c r="I391" i="21"/>
  <c r="J391" i="21" s="1"/>
  <c r="I247" i="21"/>
  <c r="J247" i="21" s="1"/>
  <c r="I63" i="21"/>
  <c r="J63" i="21" s="1"/>
  <c r="I542" i="21"/>
  <c r="J542" i="21" s="1"/>
  <c r="I374" i="21"/>
  <c r="J374" i="21" s="1"/>
  <c r="I294" i="21"/>
  <c r="J294" i="21" s="1"/>
  <c r="I230" i="21"/>
  <c r="J230" i="21" s="1"/>
  <c r="I166" i="21"/>
  <c r="J166" i="21" s="1"/>
  <c r="I102" i="21"/>
  <c r="J102" i="21" s="1"/>
  <c r="I38" i="21"/>
  <c r="J38" i="21" s="1"/>
  <c r="I645" i="21"/>
  <c r="J645" i="21" s="1"/>
  <c r="I581" i="21"/>
  <c r="J581" i="21" s="1"/>
  <c r="I509" i="21"/>
  <c r="J509" i="21" s="1"/>
  <c r="I437" i="21"/>
  <c r="J437" i="21" s="1"/>
  <c r="I357" i="21"/>
  <c r="J357" i="21" s="1"/>
  <c r="I285" i="21"/>
  <c r="J285" i="21" s="1"/>
  <c r="I213" i="21"/>
  <c r="J213" i="21" s="1"/>
  <c r="I141" i="21"/>
  <c r="J141" i="21" s="1"/>
  <c r="I29" i="21"/>
  <c r="J29" i="21" s="1"/>
  <c r="I628" i="21"/>
  <c r="J628" i="21" s="1"/>
  <c r="I564" i="21"/>
  <c r="J564" i="21" s="1"/>
  <c r="I500" i="21"/>
  <c r="J500" i="21" s="1"/>
  <c r="I436" i="21"/>
  <c r="J436" i="21" s="1"/>
  <c r="I372" i="21"/>
  <c r="J372" i="21" s="1"/>
  <c r="I308" i="21"/>
  <c r="J308" i="21" s="1"/>
  <c r="I244" i="21"/>
  <c r="J244" i="21" s="1"/>
  <c r="I180" i="21"/>
  <c r="J180" i="21" s="1"/>
  <c r="I116" i="21"/>
  <c r="J116" i="21" s="1"/>
  <c r="I52" i="21"/>
  <c r="J52" i="21" s="1"/>
  <c r="I659" i="21"/>
  <c r="J659" i="21" s="1"/>
  <c r="I595" i="21"/>
  <c r="J595" i="21" s="1"/>
  <c r="I531" i="21"/>
  <c r="J531" i="21" s="1"/>
  <c r="I403" i="21"/>
  <c r="J403" i="21" s="1"/>
  <c r="I339" i="21"/>
  <c r="J339" i="21" s="1"/>
  <c r="I275" i="21"/>
  <c r="J275" i="21" s="1"/>
  <c r="I211" i="21"/>
  <c r="J211" i="21" s="1"/>
  <c r="I147" i="21"/>
  <c r="J147" i="21" s="1"/>
  <c r="I83" i="21"/>
  <c r="J83" i="21" s="1"/>
  <c r="I19" i="21"/>
  <c r="J19" i="21" s="1"/>
  <c r="I653" i="21"/>
  <c r="J653" i="21" s="1"/>
  <c r="I562" i="21"/>
  <c r="J562" i="21" s="1"/>
  <c r="I129" i="21"/>
  <c r="J129" i="21" s="1"/>
  <c r="I40" i="21"/>
  <c r="J40" i="21" s="1"/>
  <c r="I567" i="21"/>
  <c r="J567" i="21" s="1"/>
  <c r="I383" i="21"/>
  <c r="J383" i="21" s="1"/>
  <c r="I199" i="21"/>
  <c r="J199" i="21" s="1"/>
  <c r="I55" i="21"/>
  <c r="J55" i="21" s="1"/>
  <c r="I526" i="21"/>
  <c r="J526" i="21" s="1"/>
  <c r="I366" i="21"/>
  <c r="J366" i="21" s="1"/>
  <c r="I286" i="21"/>
  <c r="J286" i="21" s="1"/>
  <c r="I222" i="21"/>
  <c r="J222" i="21" s="1"/>
  <c r="I158" i="21"/>
  <c r="J158" i="21" s="1"/>
  <c r="I94" i="21"/>
  <c r="J94" i="21" s="1"/>
  <c r="I30" i="21"/>
  <c r="J30" i="21" s="1"/>
  <c r="I637" i="21"/>
  <c r="J637" i="21" s="1"/>
  <c r="I573" i="21"/>
  <c r="J573" i="21" s="1"/>
  <c r="I501" i="21"/>
  <c r="J501" i="21" s="1"/>
  <c r="I429" i="21"/>
  <c r="J429" i="21" s="1"/>
  <c r="I349" i="21"/>
  <c r="J349" i="21" s="1"/>
  <c r="I205" i="21"/>
  <c r="J205" i="21" s="1"/>
  <c r="I125" i="21"/>
  <c r="J125" i="21" s="1"/>
  <c r="I13" i="21"/>
  <c r="J13" i="21" s="1"/>
  <c r="I620" i="21"/>
  <c r="J620" i="21" s="1"/>
  <c r="I556" i="21"/>
  <c r="J556" i="21" s="1"/>
  <c r="I492" i="21"/>
  <c r="J492" i="21" s="1"/>
  <c r="I428" i="21"/>
  <c r="J428" i="21" s="1"/>
  <c r="I364" i="21"/>
  <c r="J364" i="21" s="1"/>
  <c r="I300" i="21"/>
  <c r="J300" i="21" s="1"/>
  <c r="I236" i="21"/>
  <c r="J236" i="21" s="1"/>
  <c r="I172" i="21"/>
  <c r="J172" i="21" s="1"/>
  <c r="I108" i="21"/>
  <c r="J108" i="21" s="1"/>
  <c r="I44" i="21"/>
  <c r="J44" i="21" s="1"/>
  <c r="I651" i="21"/>
  <c r="J651" i="21" s="1"/>
  <c r="I587" i="21"/>
  <c r="J587" i="21" s="1"/>
  <c r="I523" i="21"/>
  <c r="J523" i="21" s="1"/>
  <c r="I459" i="21"/>
  <c r="J459" i="21" s="1"/>
  <c r="I395" i="21"/>
  <c r="J395" i="21" s="1"/>
  <c r="I331" i="21"/>
  <c r="J331" i="21" s="1"/>
  <c r="I267" i="21"/>
  <c r="J267" i="21" s="1"/>
  <c r="I203" i="21"/>
  <c r="J203" i="21" s="1"/>
  <c r="I139" i="21"/>
  <c r="J139" i="21" s="1"/>
  <c r="I75" i="21"/>
  <c r="J75" i="21" s="1"/>
  <c r="I11" i="21"/>
  <c r="J11" i="21" s="1"/>
  <c r="I297" i="21"/>
  <c r="J297" i="21" s="1"/>
  <c r="I848" i="21"/>
  <c r="J848" i="21" s="1"/>
  <c r="I855" i="21"/>
  <c r="J855" i="21" s="1"/>
  <c r="I153" i="21"/>
  <c r="J153" i="21" s="1"/>
  <c r="I642" i="21"/>
  <c r="J642" i="21" s="1"/>
  <c r="I122" i="21"/>
  <c r="J122" i="21" s="1"/>
  <c r="I545" i="21"/>
  <c r="J545" i="21" s="1"/>
  <c r="I232" i="21"/>
  <c r="J232" i="21" s="1"/>
  <c r="I32" i="21"/>
  <c r="J32" i="21" s="1"/>
  <c r="I519" i="21"/>
  <c r="J519" i="21" s="1"/>
  <c r="I375" i="21"/>
  <c r="J375" i="21" s="1"/>
  <c r="I191" i="21"/>
  <c r="J191" i="21" s="1"/>
  <c r="I7" i="21"/>
  <c r="J7" i="21" s="1"/>
  <c r="I510" i="21"/>
  <c r="J510" i="21" s="1"/>
  <c r="I358" i="21"/>
  <c r="J358" i="21" s="1"/>
  <c r="I278" i="21"/>
  <c r="J278" i="21" s="1"/>
  <c r="I214" i="21"/>
  <c r="J214" i="21" s="1"/>
  <c r="I150" i="21"/>
  <c r="J150" i="21" s="1"/>
  <c r="I86" i="21"/>
  <c r="J86" i="21" s="1"/>
  <c r="I22" i="21"/>
  <c r="J22" i="21" s="1"/>
  <c r="I629" i="21"/>
  <c r="J629" i="21" s="1"/>
  <c r="I565" i="21"/>
  <c r="J565" i="21" s="1"/>
  <c r="I493" i="21"/>
  <c r="J493" i="21" s="1"/>
  <c r="I413" i="21"/>
  <c r="J413" i="21" s="1"/>
  <c r="I341" i="21"/>
  <c r="J341" i="21" s="1"/>
  <c r="I269" i="21"/>
  <c r="J269" i="21" s="1"/>
  <c r="I189" i="21"/>
  <c r="J189" i="21" s="1"/>
  <c r="I117" i="21"/>
  <c r="J117" i="21" s="1"/>
  <c r="I676" i="21"/>
  <c r="J676" i="21" s="1"/>
  <c r="I612" i="21"/>
  <c r="J612" i="21" s="1"/>
  <c r="I548" i="21"/>
  <c r="J548" i="21" s="1"/>
  <c r="I484" i="21"/>
  <c r="J484" i="21" s="1"/>
  <c r="I420" i="21"/>
  <c r="J420" i="21" s="1"/>
  <c r="I356" i="21"/>
  <c r="J356" i="21" s="1"/>
  <c r="I292" i="21"/>
  <c r="J292" i="21" s="1"/>
  <c r="I228" i="21"/>
  <c r="J228" i="21" s="1"/>
  <c r="I164" i="21"/>
  <c r="J164" i="21" s="1"/>
  <c r="I100" i="21"/>
  <c r="J100" i="21" s="1"/>
  <c r="I36" i="21"/>
  <c r="J36" i="21" s="1"/>
  <c r="I643" i="21"/>
  <c r="J643" i="21" s="1"/>
  <c r="I579" i="21"/>
  <c r="J579" i="21" s="1"/>
  <c r="I515" i="21"/>
  <c r="J515" i="21" s="1"/>
  <c r="I451" i="21"/>
  <c r="J451" i="21" s="1"/>
  <c r="I387" i="21"/>
  <c r="J387" i="21" s="1"/>
  <c r="I323" i="21"/>
  <c r="J323" i="21" s="1"/>
  <c r="I259" i="21"/>
  <c r="J259" i="21" s="1"/>
  <c r="I195" i="21"/>
  <c r="J195" i="21" s="1"/>
  <c r="I131" i="21"/>
  <c r="J131" i="21" s="1"/>
  <c r="I3" i="21"/>
  <c r="J3" i="21" s="1"/>
  <c r="I784" i="21"/>
  <c r="J784" i="21" s="1"/>
  <c r="I791" i="21"/>
  <c r="J791" i="21" s="1"/>
  <c r="I838" i="21"/>
  <c r="J838" i="21" s="1"/>
  <c r="I218" i="21"/>
  <c r="J218" i="21" s="1"/>
  <c r="I481" i="21"/>
  <c r="J481" i="21" s="1"/>
  <c r="I49" i="21"/>
  <c r="J49" i="21" s="1"/>
  <c r="I168" i="21"/>
  <c r="J168" i="21" s="1"/>
  <c r="I24" i="21"/>
  <c r="J24" i="21" s="1"/>
  <c r="I511" i="21"/>
  <c r="J511" i="21" s="1"/>
  <c r="I327" i="21"/>
  <c r="J327" i="21" s="1"/>
  <c r="I183" i="21"/>
  <c r="J183" i="21" s="1"/>
  <c r="I686" i="21"/>
  <c r="J686" i="21" s="1"/>
  <c r="I446" i="21"/>
  <c r="J446" i="21" s="1"/>
  <c r="I350" i="21"/>
  <c r="J350" i="21" s="1"/>
  <c r="I270" i="21"/>
  <c r="J270" i="21" s="1"/>
  <c r="I206" i="21"/>
  <c r="J206" i="21" s="1"/>
  <c r="I142" i="21"/>
  <c r="J142" i="21" s="1"/>
  <c r="I78" i="21"/>
  <c r="J78" i="21" s="1"/>
  <c r="I14" i="21"/>
  <c r="J14" i="21" s="1"/>
  <c r="I621" i="21"/>
  <c r="J621" i="21" s="1"/>
  <c r="I557" i="21"/>
  <c r="J557" i="21" s="1"/>
  <c r="I485" i="21"/>
  <c r="J485" i="21" s="1"/>
  <c r="I405" i="21"/>
  <c r="J405" i="21" s="1"/>
  <c r="I333" i="21"/>
  <c r="J333" i="21" s="1"/>
  <c r="I253" i="21"/>
  <c r="J253" i="21" s="1"/>
  <c r="I181" i="21"/>
  <c r="J181" i="21" s="1"/>
  <c r="I109" i="21"/>
  <c r="J109" i="21" s="1"/>
  <c r="I668" i="21"/>
  <c r="J668" i="21" s="1"/>
  <c r="I604" i="21"/>
  <c r="J604" i="21" s="1"/>
  <c r="I540" i="21"/>
  <c r="J540" i="21" s="1"/>
  <c r="I476" i="21"/>
  <c r="J476" i="21" s="1"/>
  <c r="I412" i="21"/>
  <c r="J412" i="21" s="1"/>
  <c r="I348" i="21"/>
  <c r="J348" i="21" s="1"/>
  <c r="I284" i="21"/>
  <c r="J284" i="21" s="1"/>
  <c r="I156" i="21"/>
  <c r="J156" i="21" s="1"/>
  <c r="I92" i="21"/>
  <c r="J92" i="21" s="1"/>
  <c r="I28" i="21"/>
  <c r="J28" i="21" s="1"/>
  <c r="I635" i="21"/>
  <c r="J635" i="21" s="1"/>
  <c r="I571" i="21"/>
  <c r="J571" i="21" s="1"/>
  <c r="I507" i="21"/>
  <c r="J507" i="21" s="1"/>
  <c r="I443" i="21"/>
  <c r="J443" i="21" s="1"/>
  <c r="I379" i="21"/>
  <c r="J379" i="21" s="1"/>
  <c r="I315" i="21"/>
  <c r="J315" i="21" s="1"/>
  <c r="I251" i="21"/>
  <c r="J251" i="21" s="1"/>
  <c r="I187" i="21"/>
  <c r="J187" i="21" s="1"/>
  <c r="I123" i="21"/>
  <c r="J123" i="21" s="1"/>
  <c r="I59" i="21"/>
  <c r="J59" i="21" s="1"/>
  <c r="I850" i="21"/>
  <c r="J850" i="21" s="1"/>
  <c r="I833" i="21"/>
  <c r="J833" i="21" s="1"/>
  <c r="I720" i="21"/>
  <c r="J720" i="21" s="1"/>
  <c r="I774" i="21"/>
  <c r="J774" i="21" s="1"/>
  <c r="I829" i="21"/>
  <c r="J829" i="21" s="1"/>
  <c r="I859" i="21"/>
  <c r="J859" i="21" s="1"/>
  <c r="I417" i="21"/>
  <c r="J417" i="21" s="1"/>
  <c r="I552" i="21"/>
  <c r="J552" i="21" s="1"/>
  <c r="I160" i="21"/>
  <c r="J160" i="21" s="1"/>
  <c r="I647" i="21"/>
  <c r="J647" i="21" s="1"/>
  <c r="I503" i="21"/>
  <c r="J503" i="21" s="1"/>
  <c r="I319" i="21"/>
  <c r="J319" i="21" s="1"/>
  <c r="I135" i="21"/>
  <c r="J135" i="21" s="1"/>
  <c r="I670" i="21"/>
  <c r="J670" i="21" s="1"/>
  <c r="I438" i="21"/>
  <c r="J438" i="21" s="1"/>
  <c r="I326" i="21"/>
  <c r="J326" i="21" s="1"/>
  <c r="I262" i="21"/>
  <c r="J262" i="21" s="1"/>
  <c r="I198" i="21"/>
  <c r="J198" i="21" s="1"/>
  <c r="I134" i="21"/>
  <c r="J134" i="21" s="1"/>
  <c r="I70" i="21"/>
  <c r="J70" i="21" s="1"/>
  <c r="I6" i="21"/>
  <c r="J6" i="21" s="1"/>
  <c r="I613" i="21"/>
  <c r="J613" i="21" s="1"/>
  <c r="I549" i="21"/>
  <c r="J549" i="21" s="1"/>
  <c r="I477" i="21"/>
  <c r="J477" i="21" s="1"/>
  <c r="I317" i="21"/>
  <c r="J317" i="21" s="1"/>
  <c r="I245" i="21"/>
  <c r="J245" i="21" s="1"/>
  <c r="I173" i="21"/>
  <c r="J173" i="21" s="1"/>
  <c r="I93" i="21"/>
  <c r="J93" i="21" s="1"/>
  <c r="I660" i="21"/>
  <c r="J660" i="21" s="1"/>
  <c r="I596" i="21"/>
  <c r="J596" i="21" s="1"/>
  <c r="I532" i="21"/>
  <c r="J532" i="21" s="1"/>
  <c r="I468" i="21"/>
  <c r="J468" i="21" s="1"/>
  <c r="I404" i="21"/>
  <c r="J404" i="21" s="1"/>
  <c r="I340" i="21"/>
  <c r="J340" i="21" s="1"/>
  <c r="I276" i="21"/>
  <c r="J276" i="21" s="1"/>
  <c r="I212" i="21"/>
  <c r="J212" i="21" s="1"/>
  <c r="I148" i="21"/>
  <c r="J148" i="21" s="1"/>
  <c r="I84" i="21"/>
  <c r="J84" i="21" s="1"/>
  <c r="I20" i="21"/>
  <c r="J20" i="21" s="1"/>
  <c r="I627" i="21"/>
  <c r="J627" i="21" s="1"/>
  <c r="I563" i="21"/>
  <c r="J563" i="21" s="1"/>
  <c r="I499" i="21"/>
  <c r="J499" i="21" s="1"/>
  <c r="I435" i="21"/>
  <c r="J435" i="21" s="1"/>
  <c r="I371" i="21"/>
  <c r="J371" i="21" s="1"/>
  <c r="I307" i="21"/>
  <c r="J307" i="21" s="1"/>
  <c r="I243" i="21"/>
  <c r="J243" i="21" s="1"/>
  <c r="I179" i="21"/>
  <c r="J179" i="21" s="1"/>
  <c r="I115" i="21"/>
  <c r="J115" i="21" s="1"/>
  <c r="I51" i="21"/>
  <c r="J51" i="21" s="1"/>
  <c r="I474" i="21"/>
  <c r="J474" i="21" s="1"/>
  <c r="I769" i="21"/>
  <c r="J769" i="21" s="1"/>
  <c r="I656" i="21"/>
  <c r="J656" i="21" s="1"/>
  <c r="I727" i="21"/>
  <c r="J727" i="21" s="1"/>
  <c r="I702" i="21"/>
  <c r="J702" i="21" s="1"/>
  <c r="I876" i="21"/>
  <c r="J876" i="21" s="1"/>
  <c r="I795" i="21"/>
  <c r="J795" i="21" s="1"/>
  <c r="I488" i="21"/>
  <c r="J488" i="21" s="1"/>
  <c r="I152" i="21"/>
  <c r="J152" i="21" s="1"/>
  <c r="I639" i="21"/>
  <c r="J639" i="21" s="1"/>
  <c r="I455" i="21"/>
  <c r="J455" i="21" s="1"/>
  <c r="I311" i="21"/>
  <c r="J311" i="21" s="1"/>
  <c r="I127" i="21"/>
  <c r="J127" i="21" s="1"/>
  <c r="I622" i="21"/>
  <c r="J622" i="21" s="1"/>
  <c r="I430" i="21"/>
  <c r="J430" i="21" s="1"/>
  <c r="I254" i="21"/>
  <c r="J254" i="21" s="1"/>
  <c r="I190" i="21"/>
  <c r="J190" i="21" s="1"/>
  <c r="I126" i="21"/>
  <c r="J126" i="21" s="1"/>
  <c r="I62" i="21"/>
  <c r="J62" i="21" s="1"/>
  <c r="I677" i="21"/>
  <c r="J677" i="21" s="1"/>
  <c r="I605" i="21"/>
  <c r="J605" i="21" s="1"/>
  <c r="I541" i="21"/>
  <c r="J541" i="21" s="1"/>
  <c r="I469" i="21"/>
  <c r="J469" i="21" s="1"/>
  <c r="I389" i="21"/>
  <c r="J389" i="21" s="1"/>
  <c r="I309" i="21"/>
  <c r="J309" i="21" s="1"/>
  <c r="I237" i="21"/>
  <c r="J237" i="21" s="1"/>
  <c r="I165" i="21"/>
  <c r="J165" i="21" s="1"/>
  <c r="I77" i="21"/>
  <c r="J77" i="21" s="1"/>
  <c r="I652" i="21"/>
  <c r="J652" i="21" s="1"/>
  <c r="I588" i="21"/>
  <c r="J588" i="21" s="1"/>
  <c r="I524" i="21"/>
  <c r="J524" i="21" s="1"/>
  <c r="I460" i="21"/>
  <c r="J460" i="21" s="1"/>
  <c r="I396" i="21"/>
  <c r="J396" i="21" s="1"/>
  <c r="I332" i="21"/>
  <c r="J332" i="21" s="1"/>
  <c r="I268" i="21"/>
  <c r="J268" i="21" s="1"/>
  <c r="I204" i="21"/>
  <c r="J204" i="21" s="1"/>
  <c r="I140" i="21"/>
  <c r="J140" i="21" s="1"/>
  <c r="I76" i="21"/>
  <c r="J76" i="21" s="1"/>
  <c r="I12" i="21"/>
  <c r="J12" i="21" s="1"/>
  <c r="I619" i="21"/>
  <c r="J619" i="21" s="1"/>
  <c r="I555" i="21"/>
  <c r="J555" i="21" s="1"/>
  <c r="I491" i="21"/>
  <c r="J491" i="21" s="1"/>
  <c r="I427" i="21"/>
  <c r="J427" i="21" s="1"/>
  <c r="I363" i="21"/>
  <c r="J363" i="21" s="1"/>
  <c r="I299" i="21"/>
  <c r="J299" i="21" s="1"/>
  <c r="I235" i="21"/>
  <c r="J235" i="21" s="1"/>
  <c r="I171" i="21"/>
  <c r="J171" i="21" s="1"/>
  <c r="I107" i="21"/>
  <c r="J107" i="21" s="1"/>
  <c r="I43" i="21"/>
  <c r="J43" i="21" s="1"/>
  <c r="I82" i="21"/>
  <c r="J82" i="21" s="1"/>
  <c r="I705" i="21"/>
  <c r="J705" i="21" s="1"/>
  <c r="I682" i="21"/>
  <c r="J682" i="21" s="1"/>
  <c r="I812" i="21"/>
  <c r="J812" i="21" s="1"/>
  <c r="I731" i="21"/>
  <c r="J731" i="21" s="1"/>
  <c r="I353" i="21"/>
  <c r="J353" i="21" s="1"/>
  <c r="I424" i="21"/>
  <c r="J424" i="21" s="1"/>
  <c r="I104" i="21"/>
  <c r="J104" i="21" s="1"/>
  <c r="I631" i="21"/>
  <c r="J631" i="21" s="1"/>
  <c r="I447" i="21"/>
  <c r="J447" i="21" s="1"/>
  <c r="I263" i="21"/>
  <c r="J263" i="21" s="1"/>
  <c r="I119" i="21"/>
  <c r="J119" i="21" s="1"/>
  <c r="I614" i="21"/>
  <c r="J614" i="21" s="1"/>
  <c r="I422" i="21"/>
  <c r="J422" i="21" s="1"/>
  <c r="I310" i="21"/>
  <c r="J310" i="21" s="1"/>
  <c r="I246" i="21"/>
  <c r="J246" i="21" s="1"/>
  <c r="I182" i="21"/>
  <c r="J182" i="21" s="1"/>
  <c r="I118" i="21"/>
  <c r="J118" i="21" s="1"/>
  <c r="I54" i="21"/>
  <c r="J54" i="21" s="1"/>
  <c r="I669" i="21"/>
  <c r="J669" i="21" s="1"/>
  <c r="I597" i="21"/>
  <c r="J597" i="21" s="1"/>
  <c r="I533" i="21"/>
  <c r="J533" i="21" s="1"/>
  <c r="I461" i="21"/>
  <c r="J461" i="21" s="1"/>
  <c r="I381" i="21"/>
  <c r="J381" i="21" s="1"/>
  <c r="I301" i="21"/>
  <c r="J301" i="21" s="1"/>
  <c r="I229" i="21"/>
  <c r="J229" i="21" s="1"/>
  <c r="I157" i="21"/>
  <c r="J157" i="21" s="1"/>
  <c r="I61" i="21"/>
  <c r="J61" i="21" s="1"/>
  <c r="I644" i="21"/>
  <c r="J644" i="21" s="1"/>
  <c r="I580" i="21"/>
  <c r="J580" i="21" s="1"/>
  <c r="I516" i="21"/>
  <c r="J516" i="21" s="1"/>
  <c r="I452" i="21"/>
  <c r="J452" i="21" s="1"/>
  <c r="I324" i="21"/>
  <c r="J324" i="21" s="1"/>
  <c r="I260" i="21"/>
  <c r="J260" i="21" s="1"/>
  <c r="I196" i="21"/>
  <c r="J196" i="21" s="1"/>
  <c r="I132" i="21"/>
  <c r="J132" i="21" s="1"/>
  <c r="I68" i="21"/>
  <c r="J68" i="21" s="1"/>
  <c r="I675" i="21"/>
  <c r="J675" i="21" s="1"/>
  <c r="I611" i="21"/>
  <c r="J611" i="21" s="1"/>
  <c r="I547" i="21"/>
  <c r="J547" i="21" s="1"/>
  <c r="I419" i="21"/>
  <c r="J419" i="21" s="1"/>
  <c r="I355" i="21"/>
  <c r="J355" i="21" s="1"/>
  <c r="I227" i="21"/>
  <c r="J227" i="21" s="1"/>
  <c r="I163" i="21"/>
  <c r="J163" i="21" s="1"/>
  <c r="I99" i="21"/>
  <c r="J99" i="21" s="1"/>
  <c r="I35" i="21"/>
  <c r="J35" i="21" s="1"/>
  <c r="I2" i="21"/>
  <c r="J2" i="21" s="1"/>
  <c r="I155" i="21"/>
  <c r="J155" i="21" s="1"/>
  <c r="I252" i="21"/>
  <c r="J252" i="21" s="1"/>
  <c r="I45" i="21"/>
  <c r="J45" i="21" s="1"/>
  <c r="I525" i="21"/>
  <c r="J525" i="21" s="1"/>
  <c r="I748" i="21"/>
  <c r="J748" i="21" s="1"/>
  <c r="I874" i="21"/>
  <c r="J874" i="21" s="1"/>
  <c r="I219" i="21"/>
  <c r="J219" i="21" s="1"/>
  <c r="I539" i="21"/>
  <c r="J539" i="21" s="1"/>
  <c r="I316" i="21"/>
  <c r="J316" i="21" s="1"/>
  <c r="I149" i="21"/>
  <c r="J149" i="21" s="1"/>
  <c r="I589" i="21"/>
  <c r="J589" i="21" s="1"/>
  <c r="I360" i="21"/>
  <c r="J360" i="21" s="1"/>
  <c r="I283" i="21"/>
  <c r="J283" i="21" s="1"/>
  <c r="I603" i="21"/>
  <c r="J603" i="21" s="1"/>
  <c r="I380" i="21"/>
  <c r="J380" i="21" s="1"/>
  <c r="I221" i="21"/>
  <c r="J221" i="21" s="1"/>
  <c r="I661" i="21"/>
  <c r="J661" i="21" s="1"/>
  <c r="I606" i="21"/>
  <c r="J606" i="21" s="1"/>
  <c r="I518" i="21"/>
  <c r="J518" i="21" s="1"/>
  <c r="I698" i="21"/>
  <c r="J698" i="21" s="1"/>
  <c r="I792" i="21"/>
  <c r="J792" i="21" s="1"/>
  <c r="I856" i="21"/>
  <c r="J856" i="21" s="1"/>
  <c r="I50" i="21"/>
  <c r="J50" i="21" s="1"/>
  <c r="I666" i="21"/>
  <c r="J666" i="21" s="1"/>
  <c r="I713" i="21"/>
  <c r="J713" i="21" s="1"/>
  <c r="I777" i="21"/>
  <c r="J777" i="21" s="1"/>
  <c r="I841" i="21"/>
  <c r="J841" i="21" s="1"/>
  <c r="I517" i="21"/>
  <c r="J517" i="21" s="1"/>
  <c r="I98" i="21"/>
  <c r="J98" i="21" s="1"/>
  <c r="I498" i="21"/>
  <c r="J498" i="21" s="1"/>
  <c r="I800" i="21"/>
  <c r="J800" i="21" s="1"/>
  <c r="I864" i="21"/>
  <c r="J864" i="21" s="1"/>
  <c r="I170" i="21"/>
  <c r="J170" i="21" s="1"/>
  <c r="I738" i="21"/>
  <c r="J738" i="21" s="1"/>
  <c r="I721" i="21"/>
  <c r="J721" i="21" s="1"/>
  <c r="I785" i="21"/>
  <c r="J785" i="21" s="1"/>
  <c r="I849" i="21"/>
  <c r="J849" i="21" s="1"/>
  <c r="I146" i="21"/>
  <c r="J146" i="21" s="1"/>
  <c r="I546" i="21"/>
  <c r="J546" i="21" s="1"/>
  <c r="I105" i="21"/>
  <c r="J105" i="21" s="1"/>
  <c r="I808" i="21"/>
  <c r="J808" i="21" s="1"/>
  <c r="I872" i="21"/>
  <c r="J872" i="21" s="1"/>
  <c r="I258" i="21"/>
  <c r="J258" i="21" s="1"/>
  <c r="I802" i="21"/>
  <c r="J802" i="21" s="1"/>
  <c r="I729" i="21"/>
  <c r="J729" i="21" s="1"/>
  <c r="I793" i="21"/>
  <c r="J793" i="21" s="1"/>
  <c r="I857" i="21"/>
  <c r="J857" i="21" s="1"/>
  <c r="I202" i="21"/>
  <c r="J202" i="21" s="1"/>
  <c r="I594" i="21"/>
  <c r="J594" i="21" s="1"/>
  <c r="I10" i="21"/>
  <c r="J10" i="21" s="1"/>
  <c r="I816" i="21"/>
  <c r="J816" i="21" s="1"/>
  <c r="I880" i="21"/>
  <c r="J880" i="21" s="1"/>
  <c r="I5" i="21"/>
  <c r="J5" i="21" s="1"/>
  <c r="I330" i="21"/>
  <c r="J330" i="21" s="1"/>
  <c r="I737" i="21"/>
  <c r="J737" i="21" s="1"/>
  <c r="I801" i="21"/>
  <c r="J801" i="21" s="1"/>
  <c r="I865" i="21"/>
  <c r="J865" i="21" s="1"/>
  <c r="I242" i="21"/>
  <c r="J242" i="21" s="1"/>
  <c r="I650" i="21"/>
  <c r="J650" i="21" s="1"/>
  <c r="I85" i="21"/>
  <c r="J85" i="21" s="1"/>
  <c r="I386" i="21"/>
  <c r="J386" i="21" s="1"/>
  <c r="I745" i="21"/>
  <c r="J745" i="21" s="1"/>
  <c r="I809" i="21"/>
  <c r="J809" i="21" s="1"/>
  <c r="I873" i="21"/>
  <c r="J873" i="21" s="1"/>
  <c r="I298" i="21"/>
  <c r="J298" i="21" s="1"/>
  <c r="E38" i="8"/>
  <c r="E44" i="8"/>
  <c r="E45" i="8"/>
  <c r="E37" i="8"/>
  <c r="E46" i="8"/>
  <c r="E40" i="8"/>
  <c r="E39" i="8"/>
  <c r="E42" i="8"/>
  <c r="E43" i="8"/>
  <c r="I3" i="25"/>
  <c r="I4" i="25"/>
  <c r="I5" i="25"/>
  <c r="I6" i="25"/>
  <c r="I7" i="25"/>
  <c r="I8" i="25"/>
  <c r="I9" i="25"/>
  <c r="I10" i="25"/>
  <c r="I13" i="25"/>
  <c r="I14" i="25"/>
  <c r="I15" i="25"/>
  <c r="I16" i="25"/>
  <c r="I17" i="25"/>
  <c r="I18" i="25"/>
  <c r="I19" i="25"/>
  <c r="I20" i="25"/>
  <c r="I21" i="25"/>
  <c r="I22" i="25"/>
  <c r="I23" i="25"/>
  <c r="I25" i="25"/>
  <c r="I26" i="25"/>
  <c r="I27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" i="25"/>
  <c r="I11" i="25"/>
  <c r="I12" i="25"/>
  <c r="I24" i="25"/>
  <c r="I28" i="25"/>
  <c r="I52" i="25"/>
  <c r="J44" i="8" l="1"/>
  <c r="I44" i="8"/>
  <c r="H44" i="8"/>
  <c r="G44" i="8"/>
  <c r="J43" i="8"/>
  <c r="I43" i="8"/>
  <c r="H43" i="8"/>
  <c r="G43" i="8"/>
  <c r="F43" i="8"/>
  <c r="G38" i="8"/>
  <c r="J38" i="8"/>
  <c r="I38" i="8"/>
  <c r="H38" i="8"/>
  <c r="H42" i="8"/>
  <c r="G42" i="8"/>
  <c r="F42" i="8"/>
  <c r="J42" i="8"/>
  <c r="I42" i="8"/>
  <c r="J39" i="8"/>
  <c r="I39" i="8"/>
  <c r="H39" i="8"/>
  <c r="F39" i="8"/>
  <c r="J40" i="8"/>
  <c r="I40" i="8"/>
  <c r="H40" i="8"/>
  <c r="G40" i="8"/>
  <c r="F40" i="8"/>
  <c r="J46" i="8"/>
  <c r="I46" i="8"/>
  <c r="H46" i="8"/>
  <c r="F46" i="8"/>
  <c r="J37" i="8"/>
  <c r="I37" i="8"/>
  <c r="H37" i="8"/>
  <c r="G37" i="8"/>
  <c r="E7" i="8"/>
  <c r="E26" i="8"/>
  <c r="E6" i="8"/>
  <c r="E17" i="8"/>
  <c r="E18" i="8"/>
  <c r="E13" i="8"/>
  <c r="E25" i="8"/>
  <c r="E14" i="8"/>
  <c r="E27" i="8"/>
  <c r="E20" i="8"/>
  <c r="E19" i="8"/>
  <c r="E12" i="8"/>
  <c r="E15" i="8"/>
  <c r="E11" i="8"/>
  <c r="E21" i="8"/>
  <c r="E10" i="8"/>
  <c r="E29" i="8"/>
  <c r="E16" i="8"/>
  <c r="E24" i="8"/>
  <c r="E28" i="8"/>
  <c r="J271" i="25"/>
  <c r="J259" i="25"/>
  <c r="J250" i="25"/>
  <c r="J31" i="25"/>
  <c r="J247" i="25"/>
  <c r="J41" i="25"/>
  <c r="J263" i="25"/>
  <c r="J63" i="25"/>
  <c r="J231" i="25"/>
  <c r="J267" i="25"/>
  <c r="J235" i="25"/>
  <c r="J216" i="25"/>
  <c r="J203" i="25"/>
  <c r="J171" i="25"/>
  <c r="J275" i="25"/>
  <c r="J266" i="25"/>
  <c r="J255" i="25"/>
  <c r="J243" i="25"/>
  <c r="J234" i="25"/>
  <c r="J223" i="25"/>
  <c r="J211" i="25"/>
  <c r="J202" i="25"/>
  <c r="J191" i="25"/>
  <c r="J179" i="25"/>
  <c r="J170" i="25"/>
  <c r="J159" i="25"/>
  <c r="J147" i="25"/>
  <c r="J138" i="25"/>
  <c r="J127" i="25"/>
  <c r="J115" i="25"/>
  <c r="J106" i="25"/>
  <c r="J95" i="25"/>
  <c r="J83" i="25"/>
  <c r="J74" i="25"/>
  <c r="J60" i="25"/>
  <c r="J51" i="25"/>
  <c r="J35" i="25"/>
  <c r="J24" i="25"/>
  <c r="J11" i="25"/>
  <c r="J276" i="25"/>
  <c r="J268" i="25"/>
  <c r="J260" i="25"/>
  <c r="J252" i="25"/>
  <c r="J244" i="25"/>
  <c r="J236" i="25"/>
  <c r="J228" i="25"/>
  <c r="J220" i="25"/>
  <c r="J212" i="25"/>
  <c r="J204" i="25"/>
  <c r="J196" i="25"/>
  <c r="J188" i="25"/>
  <c r="J180" i="25"/>
  <c r="J172" i="25"/>
  <c r="J164" i="25"/>
  <c r="J156" i="25"/>
  <c r="J148" i="25"/>
  <c r="J140" i="25"/>
  <c r="J132" i="25"/>
  <c r="J124" i="25"/>
  <c r="J116" i="25"/>
  <c r="J108" i="25"/>
  <c r="J100" i="25"/>
  <c r="J92" i="25"/>
  <c r="J84" i="25"/>
  <c r="J76" i="25"/>
  <c r="J68" i="25"/>
  <c r="J48" i="25"/>
  <c r="J36" i="25"/>
  <c r="J16" i="25"/>
  <c r="J4" i="25"/>
  <c r="J256" i="25"/>
  <c r="J248" i="25"/>
  <c r="J224" i="25"/>
  <c r="J192" i="25"/>
  <c r="J184" i="25"/>
  <c r="J272" i="25"/>
  <c r="J264" i="25"/>
  <c r="J251" i="25"/>
  <c r="J240" i="25"/>
  <c r="J232" i="25"/>
  <c r="J219" i="25"/>
  <c r="J208" i="25"/>
  <c r="J200" i="25"/>
  <c r="J187" i="25"/>
  <c r="J176" i="25"/>
  <c r="J168" i="25"/>
  <c r="J155" i="25"/>
  <c r="J144" i="25"/>
  <c r="J136" i="25"/>
  <c r="J123" i="25"/>
  <c r="J112" i="25"/>
  <c r="J104" i="25"/>
  <c r="J91" i="25"/>
  <c r="J80" i="25"/>
  <c r="J72" i="25"/>
  <c r="J59" i="25"/>
  <c r="J44" i="25"/>
  <c r="J32" i="25"/>
  <c r="J20" i="25"/>
  <c r="J8" i="25"/>
  <c r="J215" i="25"/>
  <c r="J199" i="25"/>
  <c r="J183" i="25"/>
  <c r="J167" i="25"/>
  <c r="J151" i="25"/>
  <c r="J135" i="25"/>
  <c r="J119" i="25"/>
  <c r="J103" i="25"/>
  <c r="J87" i="25"/>
  <c r="J71" i="25"/>
  <c r="J55" i="25"/>
  <c r="J47" i="25"/>
  <c r="J39" i="25"/>
  <c r="J23" i="25"/>
  <c r="J15" i="25"/>
  <c r="J7" i="25"/>
  <c r="J239" i="25"/>
  <c r="J227" i="25"/>
  <c r="J218" i="25"/>
  <c r="J207" i="25"/>
  <c r="J195" i="25"/>
  <c r="J186" i="25"/>
  <c r="J175" i="25"/>
  <c r="J163" i="25"/>
  <c r="J154" i="25"/>
  <c r="J143" i="25"/>
  <c r="J131" i="25"/>
  <c r="J122" i="25"/>
  <c r="J111" i="25"/>
  <c r="J99" i="25"/>
  <c r="J90" i="25"/>
  <c r="J79" i="25"/>
  <c r="J67" i="25"/>
  <c r="J56" i="25"/>
  <c r="J43" i="25"/>
  <c r="J28" i="25"/>
  <c r="J19" i="25"/>
  <c r="J3" i="25"/>
  <c r="J274" i="25"/>
  <c r="J270" i="25"/>
  <c r="J262" i="25"/>
  <c r="J258" i="25"/>
  <c r="J254" i="25"/>
  <c r="J246" i="25"/>
  <c r="J242" i="25"/>
  <c r="J238" i="25"/>
  <c r="J230" i="25"/>
  <c r="J226" i="25"/>
  <c r="J222" i="25"/>
  <c r="J214" i="25"/>
  <c r="J210" i="25"/>
  <c r="J206" i="25"/>
  <c r="J198" i="25"/>
  <c r="J194" i="25"/>
  <c r="J190" i="25"/>
  <c r="J182" i="25"/>
  <c r="J178" i="25"/>
  <c r="J174" i="25"/>
  <c r="J166" i="25"/>
  <c r="J162" i="25"/>
  <c r="J158" i="25"/>
  <c r="J150" i="25"/>
  <c r="J146" i="25"/>
  <c r="J142" i="25"/>
  <c r="J134" i="25"/>
  <c r="J130" i="25"/>
  <c r="J126" i="25"/>
  <c r="J118" i="25"/>
  <c r="J114" i="25"/>
  <c r="J110" i="25"/>
  <c r="J102" i="25"/>
  <c r="J98" i="25"/>
  <c r="J94" i="25"/>
  <c r="J86" i="25"/>
  <c r="J82" i="25"/>
  <c r="J78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J160" i="25"/>
  <c r="J152" i="25"/>
  <c r="J139" i="25"/>
  <c r="J128" i="25"/>
  <c r="J120" i="25"/>
  <c r="J107" i="25"/>
  <c r="J96" i="25"/>
  <c r="J88" i="25"/>
  <c r="J75" i="25"/>
  <c r="J64" i="25"/>
  <c r="J52" i="25"/>
  <c r="J40" i="25"/>
  <c r="J27" i="25"/>
  <c r="J12" i="25"/>
  <c r="J273" i="25"/>
  <c r="J269" i="25"/>
  <c r="J265" i="25"/>
  <c r="J261" i="25"/>
  <c r="J257" i="25"/>
  <c r="J253" i="25"/>
  <c r="J249" i="25"/>
  <c r="J245" i="25"/>
  <c r="J241" i="25"/>
  <c r="J237" i="25"/>
  <c r="J233" i="25"/>
  <c r="J229" i="25"/>
  <c r="J225" i="25"/>
  <c r="J221" i="25"/>
  <c r="J217" i="25"/>
  <c r="J213" i="25"/>
  <c r="J209" i="25"/>
  <c r="J205" i="25"/>
  <c r="J201" i="25"/>
  <c r="J197" i="25"/>
  <c r="J193" i="25"/>
  <c r="J189" i="25"/>
  <c r="J185" i="25"/>
  <c r="J181" i="25"/>
  <c r="J177" i="25"/>
  <c r="J173" i="25"/>
  <c r="J169" i="25"/>
  <c r="J165" i="25"/>
  <c r="J161" i="25"/>
  <c r="J157" i="25"/>
  <c r="J153" i="25"/>
  <c r="J149" i="25"/>
  <c r="J145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37" i="25"/>
  <c r="J33" i="25"/>
  <c r="J29" i="25"/>
  <c r="J25" i="25"/>
  <c r="J21" i="25"/>
  <c r="J17" i="25"/>
  <c r="J13" i="25"/>
  <c r="J9" i="25"/>
  <c r="J5" i="25"/>
  <c r="H10" i="8" l="1"/>
  <c r="G10" i="8"/>
  <c r="I10" i="8"/>
  <c r="F10" i="8"/>
  <c r="J10" i="8"/>
  <c r="J14" i="8"/>
  <c r="I14" i="8"/>
  <c r="F14" i="8"/>
  <c r="I29" i="8"/>
  <c r="J29" i="8"/>
  <c r="H29" i="8"/>
  <c r="G29" i="8"/>
  <c r="F29" i="8"/>
  <c r="I21" i="8"/>
  <c r="H21" i="8"/>
  <c r="G21" i="8"/>
  <c r="F21" i="8"/>
  <c r="J21" i="8"/>
  <c r="F25" i="8"/>
  <c r="J25" i="8"/>
  <c r="I25" i="8"/>
  <c r="H25" i="8"/>
  <c r="G25" i="8"/>
  <c r="J11" i="8"/>
  <c r="I11" i="8"/>
  <c r="H11" i="8"/>
  <c r="G11" i="8"/>
  <c r="F11" i="8"/>
  <c r="G15" i="8"/>
  <c r="F15" i="8"/>
  <c r="H15" i="8"/>
  <c r="J15" i="8"/>
  <c r="I15" i="8"/>
  <c r="H18" i="8"/>
  <c r="I18" i="8"/>
  <c r="G18" i="8"/>
  <c r="J18" i="8"/>
  <c r="I13" i="8"/>
  <c r="H13" i="8"/>
  <c r="G13" i="8"/>
  <c r="J13" i="8"/>
  <c r="F28" i="8"/>
  <c r="G28" i="8"/>
  <c r="J28" i="8"/>
  <c r="I28" i="8"/>
  <c r="H28" i="8"/>
  <c r="F12" i="8"/>
  <c r="G12" i="8"/>
  <c r="J12" i="8"/>
  <c r="I12" i="8"/>
  <c r="H12" i="8"/>
  <c r="J17" i="8"/>
  <c r="F17" i="8"/>
  <c r="I17" i="8"/>
  <c r="H17" i="8"/>
  <c r="G17" i="8"/>
  <c r="J24" i="8"/>
  <c r="I24" i="8"/>
  <c r="H24" i="8"/>
  <c r="G24" i="8"/>
  <c r="F24" i="8"/>
  <c r="J19" i="8"/>
  <c r="I19" i="8"/>
  <c r="H19" i="8"/>
  <c r="G19" i="8"/>
  <c r="F19" i="8"/>
  <c r="J6" i="8"/>
  <c r="I6" i="8"/>
  <c r="H6" i="8"/>
  <c r="G6" i="8"/>
  <c r="J16" i="8"/>
  <c r="I16" i="8"/>
  <c r="H16" i="8"/>
  <c r="G16" i="8"/>
  <c r="F16" i="8"/>
  <c r="H26" i="8"/>
  <c r="G26" i="8"/>
  <c r="J26" i="8"/>
  <c r="I26" i="8"/>
  <c r="G7" i="8"/>
  <c r="H7" i="8"/>
  <c r="J7" i="8"/>
  <c r="I7" i="8"/>
  <c r="I51" i="24"/>
  <c r="J51" i="24" s="1"/>
  <c r="I43" i="24"/>
  <c r="I35" i="24"/>
  <c r="J35" i="24" s="1"/>
  <c r="I27" i="24"/>
  <c r="J27" i="24" s="1"/>
  <c r="I19" i="24"/>
  <c r="J19" i="24" s="1"/>
  <c r="I10" i="24"/>
  <c r="J10" i="24" s="1"/>
  <c r="I5" i="24"/>
  <c r="J5" i="24" s="1"/>
  <c r="I50" i="24"/>
  <c r="J50" i="24" s="1"/>
  <c r="I42" i="24"/>
  <c r="I34" i="24"/>
  <c r="J34" i="24" s="1"/>
  <c r="I26" i="24"/>
  <c r="J26" i="24" s="1"/>
  <c r="I17" i="24"/>
  <c r="J17" i="24" s="1"/>
  <c r="I11" i="24"/>
  <c r="J11" i="24" s="1"/>
  <c r="I6" i="24"/>
  <c r="J6" i="24" s="1"/>
  <c r="I41" i="24"/>
  <c r="J41" i="24" s="1"/>
  <c r="I33" i="24"/>
  <c r="I25" i="24"/>
  <c r="I20" i="24"/>
  <c r="J20" i="24" s="1"/>
  <c r="I8" i="24"/>
  <c r="J8" i="24" s="1"/>
  <c r="J48" i="24"/>
  <c r="I40" i="24"/>
  <c r="J40" i="24" s="1"/>
  <c r="I32" i="24"/>
  <c r="I24" i="24"/>
  <c r="J24" i="24" s="1"/>
  <c r="I14" i="24"/>
  <c r="J14" i="24" s="1"/>
  <c r="I9" i="24"/>
  <c r="J9" i="24" s="1"/>
  <c r="I53" i="24"/>
  <c r="J53" i="24" s="1"/>
  <c r="I52" i="24"/>
  <c r="J52" i="24" s="1"/>
  <c r="I55" i="24"/>
  <c r="J55" i="24" s="1"/>
  <c r="I54" i="24"/>
  <c r="J54" i="24" s="1"/>
  <c r="I57" i="24"/>
  <c r="J57" i="24" s="1"/>
  <c r="I58" i="24"/>
  <c r="J58" i="24" s="1"/>
  <c r="I56" i="24"/>
  <c r="J56" i="24" s="1"/>
  <c r="I47" i="24"/>
  <c r="J47" i="24" s="1"/>
  <c r="I39" i="24"/>
  <c r="J39" i="24" s="1"/>
  <c r="I31" i="24"/>
  <c r="J31" i="24" s="1"/>
  <c r="I23" i="24"/>
  <c r="J23" i="24" s="1"/>
  <c r="I15" i="24"/>
  <c r="J15" i="24" s="1"/>
  <c r="I7" i="24"/>
  <c r="J7" i="24" s="1"/>
  <c r="I46" i="24"/>
  <c r="J46" i="24" s="1"/>
  <c r="I38" i="24"/>
  <c r="J38" i="24" s="1"/>
  <c r="I30" i="24"/>
  <c r="J30" i="24" s="1"/>
  <c r="I22" i="24"/>
  <c r="J22" i="24" s="1"/>
  <c r="I13" i="24"/>
  <c r="J13" i="24" s="1"/>
  <c r="I16" i="24"/>
  <c r="J16" i="24" s="1"/>
  <c r="I45" i="24"/>
  <c r="J45" i="24" s="1"/>
  <c r="I37" i="24"/>
  <c r="J37" i="24" s="1"/>
  <c r="I29" i="24"/>
  <c r="J29" i="24" s="1"/>
  <c r="I21" i="24"/>
  <c r="J21" i="24" s="1"/>
  <c r="I12" i="24"/>
  <c r="J12" i="24" s="1"/>
  <c r="I4" i="24"/>
  <c r="J4" i="24" s="1"/>
  <c r="I44" i="24"/>
  <c r="J44" i="24" s="1"/>
  <c r="I36" i="24"/>
  <c r="J36" i="24" s="1"/>
  <c r="I28" i="24"/>
  <c r="J28" i="24" s="1"/>
  <c r="I18" i="24"/>
  <c r="J18" i="24" s="1"/>
  <c r="I3" i="24"/>
  <c r="J3" i="24" s="1"/>
  <c r="I2" i="24"/>
  <c r="J42" i="24"/>
  <c r="B8" i="3"/>
  <c r="B9" i="3"/>
  <c r="B10" i="3"/>
  <c r="B11" i="3"/>
  <c r="B7" i="3"/>
  <c r="J2" i="25"/>
  <c r="J33" i="24"/>
  <c r="D9" i="3" l="1"/>
  <c r="G9" i="3"/>
  <c r="F9" i="3"/>
  <c r="E9" i="3"/>
  <c r="F8" i="3"/>
  <c r="G8" i="3"/>
  <c r="C8" i="3"/>
  <c r="D8" i="3"/>
  <c r="F7" i="3"/>
  <c r="E7" i="3"/>
  <c r="D7" i="3"/>
  <c r="C7" i="3"/>
  <c r="G7" i="3"/>
  <c r="G11" i="3"/>
  <c r="C11" i="3"/>
  <c r="F11" i="3"/>
  <c r="E11" i="3"/>
  <c r="D13" i="12"/>
  <c r="I306" i="23"/>
  <c r="I298" i="23"/>
  <c r="I290" i="23"/>
  <c r="I282" i="23"/>
  <c r="I274" i="23"/>
  <c r="I266" i="23"/>
  <c r="I258" i="23"/>
  <c r="I250" i="23"/>
  <c r="J250" i="23" s="1"/>
  <c r="I242" i="23"/>
  <c r="I234" i="23"/>
  <c r="I226" i="23"/>
  <c r="I218" i="23"/>
  <c r="I210" i="23"/>
  <c r="I202" i="23"/>
  <c r="I194" i="23"/>
  <c r="I186" i="23"/>
  <c r="J186" i="23" s="1"/>
  <c r="I178" i="23"/>
  <c r="I170" i="23"/>
  <c r="I162" i="23"/>
  <c r="I154" i="23"/>
  <c r="I146" i="23"/>
  <c r="I138" i="23"/>
  <c r="I130" i="23"/>
  <c r="I122" i="23"/>
  <c r="J122" i="23" s="1"/>
  <c r="I114" i="23"/>
  <c r="I106" i="23"/>
  <c r="I98" i="23"/>
  <c r="I90" i="23"/>
  <c r="I82" i="23"/>
  <c r="I74" i="23"/>
  <c r="I66" i="23"/>
  <c r="I58" i="23"/>
  <c r="J58" i="23" s="1"/>
  <c r="I50" i="23"/>
  <c r="I42" i="23"/>
  <c r="I34" i="23"/>
  <c r="I26" i="23"/>
  <c r="I18" i="23"/>
  <c r="I10" i="23"/>
  <c r="I283" i="23"/>
  <c r="J283" i="23" s="1"/>
  <c r="I219" i="23"/>
  <c r="J219" i="23" s="1"/>
  <c r="I171" i="23"/>
  <c r="I131" i="23"/>
  <c r="I99" i="23"/>
  <c r="I51" i="23"/>
  <c r="I3" i="23"/>
  <c r="I305" i="23"/>
  <c r="I297" i="23"/>
  <c r="I289" i="23"/>
  <c r="J289" i="23" s="1"/>
  <c r="I281" i="23"/>
  <c r="I273" i="23"/>
  <c r="I265" i="23"/>
  <c r="I257" i="23"/>
  <c r="I249" i="23"/>
  <c r="I241" i="23"/>
  <c r="I233" i="23"/>
  <c r="J233" i="23" s="1"/>
  <c r="I225" i="23"/>
  <c r="J225" i="23" s="1"/>
  <c r="I217" i="23"/>
  <c r="I209" i="23"/>
  <c r="I201" i="23"/>
  <c r="I193" i="23"/>
  <c r="I185" i="23"/>
  <c r="I177" i="23"/>
  <c r="I169" i="23"/>
  <c r="J169" i="23" s="1"/>
  <c r="I161" i="23"/>
  <c r="J161" i="23" s="1"/>
  <c r="I153" i="23"/>
  <c r="I145" i="23"/>
  <c r="I137" i="23"/>
  <c r="I129" i="23"/>
  <c r="I121" i="23"/>
  <c r="I113" i="23"/>
  <c r="I105" i="23"/>
  <c r="I97" i="23"/>
  <c r="J97" i="23" s="1"/>
  <c r="I89" i="23"/>
  <c r="I81" i="23"/>
  <c r="I73" i="23"/>
  <c r="I65" i="23"/>
  <c r="I57" i="23"/>
  <c r="I49" i="23"/>
  <c r="I41" i="23"/>
  <c r="I33" i="23"/>
  <c r="J33" i="23" s="1"/>
  <c r="I25" i="23"/>
  <c r="I17" i="23"/>
  <c r="I9" i="23"/>
  <c r="I275" i="23"/>
  <c r="I227" i="23"/>
  <c r="I179" i="23"/>
  <c r="I123" i="23"/>
  <c r="I75" i="23"/>
  <c r="J75" i="23" s="1"/>
  <c r="I35" i="23"/>
  <c r="I304" i="23"/>
  <c r="I296" i="23"/>
  <c r="I288" i="23"/>
  <c r="I280" i="23"/>
  <c r="I272" i="23"/>
  <c r="I264" i="23"/>
  <c r="J264" i="23" s="1"/>
  <c r="I256" i="23"/>
  <c r="J256" i="23" s="1"/>
  <c r="I248" i="23"/>
  <c r="I240" i="23"/>
  <c r="I232" i="23"/>
  <c r="I224" i="23"/>
  <c r="I216" i="23"/>
  <c r="I208" i="23"/>
  <c r="I200" i="23"/>
  <c r="I192" i="23"/>
  <c r="J192" i="23" s="1"/>
  <c r="I184" i="23"/>
  <c r="I176" i="23"/>
  <c r="I168" i="23"/>
  <c r="I160" i="23"/>
  <c r="I152" i="23"/>
  <c r="I144" i="23"/>
  <c r="I136" i="23"/>
  <c r="I128" i="23"/>
  <c r="J128" i="23" s="1"/>
  <c r="I120" i="23"/>
  <c r="I112" i="23"/>
  <c r="I104" i="23"/>
  <c r="I96" i="23"/>
  <c r="I88" i="23"/>
  <c r="I80" i="23"/>
  <c r="I72" i="23"/>
  <c r="I64" i="23"/>
  <c r="J64" i="23" s="1"/>
  <c r="I56" i="23"/>
  <c r="J56" i="23" s="1"/>
  <c r="I48" i="23"/>
  <c r="J48" i="23" s="1"/>
  <c r="I40" i="23"/>
  <c r="J40" i="23" s="1"/>
  <c r="I32" i="23"/>
  <c r="J32" i="23" s="1"/>
  <c r="I24" i="23"/>
  <c r="J24" i="23" s="1"/>
  <c r="I16" i="23"/>
  <c r="J16" i="23" s="1"/>
  <c r="I8" i="23"/>
  <c r="J8" i="23" s="1"/>
  <c r="I267" i="23"/>
  <c r="J267" i="23" s="1"/>
  <c r="I211" i="23"/>
  <c r="J211" i="23" s="1"/>
  <c r="I163" i="23"/>
  <c r="J163" i="23" s="1"/>
  <c r="I115" i="23"/>
  <c r="J115" i="23" s="1"/>
  <c r="I83" i="23"/>
  <c r="J83" i="23" s="1"/>
  <c r="I19" i="23"/>
  <c r="J19" i="23" s="1"/>
  <c r="I303" i="23"/>
  <c r="J303" i="23" s="1"/>
  <c r="I295" i="23"/>
  <c r="J295" i="23" s="1"/>
  <c r="I287" i="23"/>
  <c r="J287" i="23" s="1"/>
  <c r="I279" i="23"/>
  <c r="J279" i="23" s="1"/>
  <c r="I271" i="23"/>
  <c r="J271" i="23" s="1"/>
  <c r="I263" i="23"/>
  <c r="J263" i="23" s="1"/>
  <c r="I255" i="23"/>
  <c r="J255" i="23" s="1"/>
  <c r="I247" i="23"/>
  <c r="J247" i="23" s="1"/>
  <c r="I239" i="23"/>
  <c r="J239" i="23" s="1"/>
  <c r="I231" i="23"/>
  <c r="J231" i="23" s="1"/>
  <c r="I223" i="23"/>
  <c r="J223" i="23" s="1"/>
  <c r="I215" i="23"/>
  <c r="J215" i="23" s="1"/>
  <c r="I207" i="23"/>
  <c r="J207" i="23" s="1"/>
  <c r="I199" i="23"/>
  <c r="J199" i="23" s="1"/>
  <c r="I191" i="23"/>
  <c r="J191" i="23" s="1"/>
  <c r="I183" i="23"/>
  <c r="J183" i="23" s="1"/>
  <c r="I175" i="23"/>
  <c r="J175" i="23" s="1"/>
  <c r="I167" i="23"/>
  <c r="J167" i="23" s="1"/>
  <c r="I159" i="23"/>
  <c r="J159" i="23" s="1"/>
  <c r="I151" i="23"/>
  <c r="J151" i="23" s="1"/>
  <c r="I143" i="23"/>
  <c r="J143" i="23" s="1"/>
  <c r="I135" i="23"/>
  <c r="J135" i="23" s="1"/>
  <c r="I127" i="23"/>
  <c r="J127" i="23" s="1"/>
  <c r="I119" i="23"/>
  <c r="J119" i="23" s="1"/>
  <c r="I111" i="23"/>
  <c r="J111" i="23" s="1"/>
  <c r="I103" i="23"/>
  <c r="J103" i="23" s="1"/>
  <c r="I95" i="23"/>
  <c r="J95" i="23" s="1"/>
  <c r="I87" i="23"/>
  <c r="J87" i="23" s="1"/>
  <c r="I79" i="23"/>
  <c r="J79" i="23" s="1"/>
  <c r="I71" i="23"/>
  <c r="J71" i="23" s="1"/>
  <c r="I63" i="23"/>
  <c r="J63" i="23" s="1"/>
  <c r="I55" i="23"/>
  <c r="J55" i="23" s="1"/>
  <c r="I47" i="23"/>
  <c r="J47" i="23" s="1"/>
  <c r="I39" i="23"/>
  <c r="J39" i="23" s="1"/>
  <c r="I31" i="23"/>
  <c r="J31" i="23" s="1"/>
  <c r="I23" i="23"/>
  <c r="J23" i="23" s="1"/>
  <c r="I15" i="23"/>
  <c r="J15" i="23" s="1"/>
  <c r="I7" i="23"/>
  <c r="J7" i="23" s="1"/>
  <c r="I259" i="23"/>
  <c r="J259" i="23" s="1"/>
  <c r="I203" i="23"/>
  <c r="J203" i="23" s="1"/>
  <c r="I155" i="23"/>
  <c r="J155" i="23" s="1"/>
  <c r="I107" i="23"/>
  <c r="J107" i="23" s="1"/>
  <c r="I59" i="23"/>
  <c r="J59" i="23" s="1"/>
  <c r="I27" i="23"/>
  <c r="J27" i="23" s="1"/>
  <c r="I302" i="23"/>
  <c r="J302" i="23" s="1"/>
  <c r="I294" i="23"/>
  <c r="J294" i="23" s="1"/>
  <c r="I286" i="23"/>
  <c r="J286" i="23" s="1"/>
  <c r="I278" i="23"/>
  <c r="J278" i="23" s="1"/>
  <c r="I270" i="23"/>
  <c r="J270" i="23" s="1"/>
  <c r="I262" i="23"/>
  <c r="J262" i="23" s="1"/>
  <c r="I254" i="23"/>
  <c r="J254" i="23" s="1"/>
  <c r="I246" i="23"/>
  <c r="J246" i="23" s="1"/>
  <c r="I238" i="23"/>
  <c r="J238" i="23" s="1"/>
  <c r="I230" i="23"/>
  <c r="J230" i="23" s="1"/>
  <c r="I222" i="23"/>
  <c r="J222" i="23" s="1"/>
  <c r="I214" i="23"/>
  <c r="J214" i="23" s="1"/>
  <c r="I206" i="23"/>
  <c r="J206" i="23" s="1"/>
  <c r="I198" i="23"/>
  <c r="J198" i="23" s="1"/>
  <c r="I190" i="23"/>
  <c r="J190" i="23" s="1"/>
  <c r="I182" i="23"/>
  <c r="J182" i="23" s="1"/>
  <c r="I174" i="23"/>
  <c r="J174" i="23" s="1"/>
  <c r="I166" i="23"/>
  <c r="J166" i="23" s="1"/>
  <c r="I158" i="23"/>
  <c r="J158" i="23" s="1"/>
  <c r="I150" i="23"/>
  <c r="J150" i="23" s="1"/>
  <c r="I142" i="23"/>
  <c r="J142" i="23" s="1"/>
  <c r="I134" i="23"/>
  <c r="J134" i="23" s="1"/>
  <c r="I126" i="23"/>
  <c r="J126" i="23" s="1"/>
  <c r="I118" i="23"/>
  <c r="J118" i="23" s="1"/>
  <c r="I110" i="23"/>
  <c r="J110" i="23" s="1"/>
  <c r="I102" i="23"/>
  <c r="J102" i="23" s="1"/>
  <c r="I94" i="23"/>
  <c r="J94" i="23" s="1"/>
  <c r="I86" i="23"/>
  <c r="J86" i="23" s="1"/>
  <c r="I78" i="23"/>
  <c r="J78" i="23" s="1"/>
  <c r="I70" i="23"/>
  <c r="J70" i="23" s="1"/>
  <c r="I62" i="23"/>
  <c r="J62" i="23" s="1"/>
  <c r="I54" i="23"/>
  <c r="J54" i="23" s="1"/>
  <c r="I46" i="23"/>
  <c r="J46" i="23" s="1"/>
  <c r="I38" i="23"/>
  <c r="J38" i="23" s="1"/>
  <c r="I30" i="23"/>
  <c r="J30" i="23" s="1"/>
  <c r="I22" i="23"/>
  <c r="J22" i="23" s="1"/>
  <c r="I14" i="23"/>
  <c r="J14" i="23" s="1"/>
  <c r="I6" i="23"/>
  <c r="J6" i="23" s="1"/>
  <c r="I251" i="23"/>
  <c r="J251" i="23" s="1"/>
  <c r="I195" i="23"/>
  <c r="J195" i="23" s="1"/>
  <c r="I147" i="23"/>
  <c r="J147" i="23" s="1"/>
  <c r="I67" i="23"/>
  <c r="J67" i="23" s="1"/>
  <c r="I11" i="23"/>
  <c r="J11" i="23" s="1"/>
  <c r="I301" i="23"/>
  <c r="J301" i="23" s="1"/>
  <c r="I293" i="23"/>
  <c r="J293" i="23" s="1"/>
  <c r="I285" i="23"/>
  <c r="J285" i="23" s="1"/>
  <c r="I277" i="23"/>
  <c r="J277" i="23" s="1"/>
  <c r="I269" i="23"/>
  <c r="J269" i="23" s="1"/>
  <c r="I261" i="23"/>
  <c r="J261" i="23" s="1"/>
  <c r="I253" i="23"/>
  <c r="J253" i="23" s="1"/>
  <c r="I245" i="23"/>
  <c r="J245" i="23" s="1"/>
  <c r="I237" i="23"/>
  <c r="I229" i="23"/>
  <c r="J229" i="23" s="1"/>
  <c r="I221" i="23"/>
  <c r="J221" i="23" s="1"/>
  <c r="I213" i="23"/>
  <c r="J213" i="23" s="1"/>
  <c r="I205" i="23"/>
  <c r="J205" i="23" s="1"/>
  <c r="I197" i="23"/>
  <c r="J197" i="23" s="1"/>
  <c r="I189" i="23"/>
  <c r="J189" i="23" s="1"/>
  <c r="I181" i="23"/>
  <c r="J181" i="23" s="1"/>
  <c r="I173" i="23"/>
  <c r="J173" i="23" s="1"/>
  <c r="I165" i="23"/>
  <c r="J165" i="23" s="1"/>
  <c r="I157" i="23"/>
  <c r="J157" i="23" s="1"/>
  <c r="I149" i="23"/>
  <c r="J149" i="23" s="1"/>
  <c r="I141" i="23"/>
  <c r="J141" i="23" s="1"/>
  <c r="I133" i="23"/>
  <c r="J133" i="23" s="1"/>
  <c r="I125" i="23"/>
  <c r="J125" i="23" s="1"/>
  <c r="I117" i="23"/>
  <c r="J117" i="23" s="1"/>
  <c r="I109" i="23"/>
  <c r="J109" i="23" s="1"/>
  <c r="I101" i="23"/>
  <c r="J101" i="23" s="1"/>
  <c r="I93" i="23"/>
  <c r="J93" i="23" s="1"/>
  <c r="I85" i="23"/>
  <c r="J85" i="23" s="1"/>
  <c r="I77" i="23"/>
  <c r="J77" i="23" s="1"/>
  <c r="I69" i="23"/>
  <c r="J69" i="23" s="1"/>
  <c r="I61" i="23"/>
  <c r="J61" i="23" s="1"/>
  <c r="I53" i="23"/>
  <c r="J53" i="23" s="1"/>
  <c r="I45" i="23"/>
  <c r="J45" i="23" s="1"/>
  <c r="I37" i="23"/>
  <c r="J37" i="23" s="1"/>
  <c r="I29" i="23"/>
  <c r="J29" i="23" s="1"/>
  <c r="I21" i="23"/>
  <c r="J21" i="23" s="1"/>
  <c r="I13" i="23"/>
  <c r="J13" i="23" s="1"/>
  <c r="I5" i="23"/>
  <c r="J5" i="23" s="1"/>
  <c r="I299" i="23"/>
  <c r="J299" i="23" s="1"/>
  <c r="I300" i="23"/>
  <c r="J300" i="23" s="1"/>
  <c r="I292" i="23"/>
  <c r="J292" i="23" s="1"/>
  <c r="I284" i="23"/>
  <c r="J284" i="23" s="1"/>
  <c r="I276" i="23"/>
  <c r="J276" i="23" s="1"/>
  <c r="I268" i="23"/>
  <c r="J268" i="23" s="1"/>
  <c r="I260" i="23"/>
  <c r="J260" i="23" s="1"/>
  <c r="I252" i="23"/>
  <c r="J252" i="23" s="1"/>
  <c r="I244" i="23"/>
  <c r="J244" i="23" s="1"/>
  <c r="I236" i="23"/>
  <c r="J236" i="23" s="1"/>
  <c r="I228" i="23"/>
  <c r="J228" i="23" s="1"/>
  <c r="I220" i="23"/>
  <c r="J220" i="23" s="1"/>
  <c r="I212" i="23"/>
  <c r="J212" i="23" s="1"/>
  <c r="I204" i="23"/>
  <c r="J204" i="23" s="1"/>
  <c r="I196" i="23"/>
  <c r="J196" i="23" s="1"/>
  <c r="I188" i="23"/>
  <c r="J188" i="23" s="1"/>
  <c r="I180" i="23"/>
  <c r="J180" i="23" s="1"/>
  <c r="I172" i="23"/>
  <c r="J172" i="23" s="1"/>
  <c r="I164" i="23"/>
  <c r="J164" i="23" s="1"/>
  <c r="I156" i="23"/>
  <c r="J156" i="23" s="1"/>
  <c r="I148" i="23"/>
  <c r="J148" i="23" s="1"/>
  <c r="I140" i="23"/>
  <c r="J140" i="23" s="1"/>
  <c r="I132" i="23"/>
  <c r="J132" i="23" s="1"/>
  <c r="I124" i="23"/>
  <c r="J124" i="23" s="1"/>
  <c r="I116" i="23"/>
  <c r="J116" i="23" s="1"/>
  <c r="I108" i="23"/>
  <c r="J108" i="23" s="1"/>
  <c r="I100" i="23"/>
  <c r="J100" i="23" s="1"/>
  <c r="I92" i="23"/>
  <c r="J92" i="23" s="1"/>
  <c r="I84" i="23"/>
  <c r="J84" i="23" s="1"/>
  <c r="I76" i="23"/>
  <c r="J76" i="23" s="1"/>
  <c r="I68" i="23"/>
  <c r="J68" i="23" s="1"/>
  <c r="I60" i="23"/>
  <c r="J60" i="23" s="1"/>
  <c r="I52" i="23"/>
  <c r="J52" i="23" s="1"/>
  <c r="I44" i="23"/>
  <c r="J44" i="23" s="1"/>
  <c r="I36" i="23"/>
  <c r="J36" i="23" s="1"/>
  <c r="I28" i="23"/>
  <c r="J28" i="23" s="1"/>
  <c r="I20" i="23"/>
  <c r="J20" i="23" s="1"/>
  <c r="I12" i="23"/>
  <c r="J12" i="23" s="1"/>
  <c r="I4" i="23"/>
  <c r="J4" i="23" s="1"/>
  <c r="I291" i="23"/>
  <c r="J291" i="23" s="1"/>
  <c r="I243" i="23"/>
  <c r="J243" i="23" s="1"/>
  <c r="I235" i="23"/>
  <c r="J235" i="23" s="1"/>
  <c r="I187" i="23"/>
  <c r="J187" i="23" s="1"/>
  <c r="I139" i="23"/>
  <c r="J139" i="23" s="1"/>
  <c r="I91" i="23"/>
  <c r="J91" i="23" s="1"/>
  <c r="I43" i="23"/>
  <c r="J43" i="23" s="1"/>
  <c r="J137" i="23"/>
  <c r="J66" i="23"/>
  <c r="J152" i="23"/>
  <c r="J179" i="23"/>
  <c r="J237" i="23"/>
  <c r="J99" i="23"/>
  <c r="J274" i="23"/>
  <c r="J290" i="23"/>
  <c r="J258" i="23"/>
  <c r="J288" i="23"/>
  <c r="J282" i="23"/>
  <c r="J280" i="23"/>
  <c r="J272" i="23"/>
  <c r="J275" i="23"/>
  <c r="J266" i="23"/>
  <c r="J304" i="23"/>
  <c r="J273" i="23"/>
  <c r="J306" i="23"/>
  <c r="J296" i="23"/>
  <c r="J297" i="23"/>
  <c r="J305" i="23"/>
  <c r="J298" i="23"/>
  <c r="J265" i="23"/>
  <c r="J281" i="23"/>
  <c r="J257" i="23"/>
  <c r="J249" i="23"/>
  <c r="J177" i="23"/>
  <c r="J106" i="23"/>
  <c r="J35" i="23"/>
  <c r="J112" i="23"/>
  <c r="J51" i="23"/>
  <c r="J25" i="23"/>
  <c r="J226" i="23"/>
  <c r="J200" i="23"/>
  <c r="J131" i="23"/>
  <c r="J113" i="23"/>
  <c r="J42" i="23"/>
  <c r="J96" i="23"/>
  <c r="J216" i="23"/>
  <c r="J138" i="23"/>
  <c r="J121" i="23"/>
  <c r="J49" i="23"/>
  <c r="J41" i="23"/>
  <c r="J43" i="24"/>
  <c r="J49" i="24"/>
  <c r="J2" i="24"/>
  <c r="D11" i="12"/>
  <c r="D12" i="12"/>
  <c r="D7" i="12"/>
  <c r="D8" i="12"/>
  <c r="J25" i="24"/>
  <c r="D10" i="12"/>
  <c r="D9" i="12"/>
  <c r="I2" i="23"/>
  <c r="D18" i="9"/>
  <c r="J32" i="24"/>
  <c r="D14" i="12"/>
  <c r="D15" i="12"/>
  <c r="D16" i="12"/>
  <c r="J232" i="23"/>
  <c r="J224" i="23"/>
  <c r="J144" i="23"/>
  <c r="J160" i="23"/>
  <c r="J171" i="23"/>
  <c r="J248" i="23"/>
  <c r="J104" i="23"/>
  <c r="J136" i="23"/>
  <c r="J168" i="23"/>
  <c r="J176" i="23"/>
  <c r="J227" i="23"/>
  <c r="J240" i="23"/>
  <c r="J123" i="23"/>
  <c r="J80" i="23"/>
  <c r="J241" i="23"/>
  <c r="J217" i="23"/>
  <c r="J209" i="23"/>
  <c r="J201" i="23"/>
  <c r="J193" i="23"/>
  <c r="J185" i="23"/>
  <c r="J153" i="23"/>
  <c r="J145" i="23"/>
  <c r="J129" i="23"/>
  <c r="J105" i="23"/>
  <c r="J89" i="23"/>
  <c r="J81" i="23"/>
  <c r="J73" i="23"/>
  <c r="J65" i="23"/>
  <c r="J57" i="23"/>
  <c r="J17" i="23"/>
  <c r="J9" i="23"/>
  <c r="J120" i="23"/>
  <c r="J98" i="23"/>
  <c r="J242" i="23"/>
  <c r="J234" i="23"/>
  <c r="J218" i="23"/>
  <c r="J210" i="23"/>
  <c r="J202" i="23"/>
  <c r="J194" i="23"/>
  <c r="J178" i="23"/>
  <c r="J170" i="23"/>
  <c r="J154" i="23"/>
  <c r="J146" i="23"/>
  <c r="J130" i="23"/>
  <c r="J114" i="23"/>
  <c r="J90" i="23"/>
  <c r="J82" i="23"/>
  <c r="J74" i="23"/>
  <c r="J50" i="23"/>
  <c r="J34" i="23"/>
  <c r="J26" i="23"/>
  <c r="J18" i="23"/>
  <c r="J10" i="23"/>
  <c r="J208" i="23"/>
  <c r="J184" i="23"/>
  <c r="J162" i="23"/>
  <c r="J88" i="23"/>
  <c r="J72" i="23"/>
  <c r="J3" i="23"/>
  <c r="I11" i="12" l="1"/>
  <c r="H11" i="12"/>
  <c r="G11" i="12"/>
  <c r="F11" i="12"/>
  <c r="I9" i="12"/>
  <c r="F9" i="12"/>
  <c r="H9" i="12"/>
  <c r="G9" i="12"/>
  <c r="I10" i="12"/>
  <c r="G10" i="12"/>
  <c r="E10" i="12"/>
  <c r="H10" i="12"/>
  <c r="H16" i="12"/>
  <c r="I16" i="12"/>
  <c r="G16" i="12"/>
  <c r="E16" i="12"/>
  <c r="H15" i="12"/>
  <c r="G15" i="12"/>
  <c r="F15" i="12"/>
  <c r="I15" i="12"/>
  <c r="H8" i="12"/>
  <c r="G8" i="12"/>
  <c r="I8" i="12"/>
  <c r="E8" i="12"/>
  <c r="H14" i="12"/>
  <c r="E14" i="12"/>
  <c r="I14" i="12"/>
  <c r="G14" i="12"/>
  <c r="F14" i="12"/>
  <c r="H7" i="12"/>
  <c r="G7" i="12"/>
  <c r="F7" i="12"/>
  <c r="I7" i="12"/>
  <c r="G12" i="12"/>
  <c r="E12" i="12"/>
  <c r="I12" i="12"/>
  <c r="H12" i="12"/>
  <c r="I13" i="12"/>
  <c r="G13" i="12"/>
  <c r="E13" i="12"/>
  <c r="H13" i="12"/>
  <c r="F13" i="12"/>
  <c r="D21" i="12"/>
  <c r="J2" i="23"/>
  <c r="D7" i="9"/>
  <c r="D12" i="9"/>
  <c r="D21" i="9"/>
  <c r="D19" i="9"/>
  <c r="D13" i="9"/>
  <c r="D11" i="9"/>
  <c r="D20" i="9"/>
  <c r="D10" i="9"/>
  <c r="D9" i="9"/>
  <c r="D8" i="9"/>
  <c r="A3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1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159" i="19"/>
  <c r="A160" i="19"/>
  <c r="A161" i="19"/>
  <c r="A162" i="19"/>
  <c r="A163" i="19"/>
  <c r="A164" i="19"/>
  <c r="A165" i="19"/>
  <c r="A166" i="19"/>
  <c r="A167" i="19"/>
  <c r="A168" i="19"/>
  <c r="A169" i="19"/>
  <c r="A170" i="19"/>
  <c r="A171" i="19"/>
  <c r="A172" i="19"/>
  <c r="A173" i="19"/>
  <c r="A174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97" i="19"/>
  <c r="A198" i="19"/>
  <c r="A199" i="19"/>
  <c r="A200" i="19"/>
  <c r="A201" i="19"/>
  <c r="A202" i="19"/>
  <c r="A203" i="19"/>
  <c r="A204" i="19"/>
  <c r="A205" i="19"/>
  <c r="A206" i="19"/>
  <c r="A2" i="19"/>
  <c r="C127" i="28"/>
  <c r="A127" i="28" s="1"/>
  <c r="C111" i="28"/>
  <c r="A111" i="28" s="1"/>
  <c r="C134" i="28"/>
  <c r="A134" i="28" s="1"/>
  <c r="C112" i="28"/>
  <c r="A112" i="28" s="1"/>
  <c r="C117" i="28"/>
  <c r="A117" i="28" s="1"/>
  <c r="C115" i="28"/>
  <c r="A115" i="28" s="1"/>
  <c r="C181" i="28"/>
  <c r="A181" i="28" s="1"/>
  <c r="C192" i="28"/>
  <c r="A192" i="28" s="1"/>
  <c r="C114" i="28"/>
  <c r="A114" i="28" s="1"/>
  <c r="C175" i="28"/>
  <c r="A175" i="28" s="1"/>
  <c r="C136" i="28"/>
  <c r="A136" i="28" s="1"/>
  <c r="C197" i="28"/>
  <c r="A197" i="28" s="1"/>
  <c r="C172" i="28"/>
  <c r="A172" i="28" s="1"/>
  <c r="C100" i="28"/>
  <c r="A100" i="28" s="1"/>
  <c r="C196" i="28"/>
  <c r="A196" i="28" s="1"/>
  <c r="C60" i="28"/>
  <c r="A60" i="28" s="1"/>
  <c r="C59" i="28"/>
  <c r="A59" i="28" s="1"/>
  <c r="C77" i="28"/>
  <c r="A77" i="28" s="1"/>
  <c r="C78" i="28"/>
  <c r="A78" i="28" s="1"/>
  <c r="C79" i="28"/>
  <c r="A79" i="28" s="1"/>
  <c r="C68" i="28"/>
  <c r="A68" i="28" s="1"/>
  <c r="C145" i="28"/>
  <c r="A145" i="28" s="1"/>
  <c r="C166" i="28"/>
  <c r="A166" i="28" s="1"/>
  <c r="C164" i="28"/>
  <c r="A164" i="28" s="1"/>
  <c r="C177" i="28"/>
  <c r="A177" i="28" s="1"/>
  <c r="C3" i="28"/>
  <c r="A3" i="28" s="1"/>
  <c r="C85" i="28"/>
  <c r="A85" i="28" s="1"/>
  <c r="C139" i="28"/>
  <c r="A139" i="28" s="1"/>
  <c r="C33" i="28"/>
  <c r="A33" i="28" s="1"/>
  <c r="C31" i="28"/>
  <c r="A31" i="28" s="1"/>
  <c r="C62" i="28"/>
  <c r="A62" i="28" s="1"/>
  <c r="C25" i="28"/>
  <c r="A25" i="28" s="1"/>
  <c r="C80" i="28"/>
  <c r="A80" i="28" s="1"/>
  <c r="C26" i="28"/>
  <c r="A26" i="28" s="1"/>
  <c r="C106" i="28"/>
  <c r="A106" i="28" s="1"/>
  <c r="C187" i="28"/>
  <c r="A187" i="28" s="1"/>
  <c r="C135" i="28"/>
  <c r="A135" i="28" s="1"/>
  <c r="C2" i="28"/>
  <c r="A2" i="28" s="1"/>
  <c r="C71" i="28"/>
  <c r="A71" i="28" s="1"/>
  <c r="C154" i="28"/>
  <c r="A154" i="28" s="1"/>
  <c r="C152" i="28"/>
  <c r="A152" i="28" s="1"/>
  <c r="C151" i="28"/>
  <c r="A151" i="28" s="1"/>
  <c r="C52" i="28"/>
  <c r="A52" i="28" s="1"/>
  <c r="C51" i="28"/>
  <c r="A51" i="28" s="1"/>
  <c r="C94" i="28"/>
  <c r="A94" i="28" s="1"/>
  <c r="C83" i="28"/>
  <c r="A83" i="28" s="1"/>
  <c r="C10" i="28"/>
  <c r="A10" i="28" s="1"/>
  <c r="C130" i="28"/>
  <c r="A130" i="28" s="1"/>
  <c r="C137" i="28"/>
  <c r="A137" i="28" s="1"/>
  <c r="C156" i="28"/>
  <c r="A156" i="28" s="1"/>
  <c r="C202" i="28"/>
  <c r="A202" i="28" s="1"/>
  <c r="C194" i="28"/>
  <c r="A194" i="28" s="1"/>
  <c r="C13" i="28"/>
  <c r="A13" i="28" s="1"/>
  <c r="C14" i="28"/>
  <c r="A14" i="28" s="1"/>
  <c r="C203" i="28"/>
  <c r="A203" i="28" s="1"/>
  <c r="C8" i="28"/>
  <c r="A8" i="28" s="1"/>
  <c r="C144" i="28"/>
  <c r="A144" i="28" s="1"/>
  <c r="C16" i="28"/>
  <c r="A16" i="28" s="1"/>
  <c r="C9" i="28"/>
  <c r="A9" i="28" s="1"/>
  <c r="C173" i="28"/>
  <c r="A173" i="28" s="1"/>
  <c r="C29" i="28"/>
  <c r="A29" i="28" s="1"/>
  <c r="C56" i="28"/>
  <c r="A56" i="28" s="1"/>
  <c r="C186" i="28"/>
  <c r="A186" i="28" s="1"/>
  <c r="C40" i="28"/>
  <c r="A40" i="28" s="1"/>
  <c r="C37" i="28"/>
  <c r="A37" i="28" s="1"/>
  <c r="C50" i="28"/>
  <c r="A50" i="28" s="1"/>
  <c r="C30" i="28"/>
  <c r="A30" i="28" s="1"/>
  <c r="C34" i="28"/>
  <c r="A34" i="28" s="1"/>
  <c r="C39" i="28"/>
  <c r="A39" i="28" s="1"/>
  <c r="C55" i="28"/>
  <c r="A55" i="28" s="1"/>
  <c r="C38" i="28"/>
  <c r="A38" i="28" s="1"/>
  <c r="C42" i="28"/>
  <c r="A42" i="28" s="1"/>
  <c r="C28" i="28"/>
  <c r="A28" i="28" s="1"/>
  <c r="C23" i="28"/>
  <c r="A23" i="28" s="1"/>
  <c r="C22" i="28"/>
  <c r="A22" i="28" s="1"/>
  <c r="C20" i="28"/>
  <c r="A20" i="28" s="1"/>
  <c r="C19" i="28"/>
  <c r="A19" i="28" s="1"/>
  <c r="C24" i="28"/>
  <c r="A24" i="28" s="1"/>
  <c r="C21" i="28"/>
  <c r="A21" i="28" s="1"/>
  <c r="C128" i="28"/>
  <c r="A128" i="28" s="1"/>
  <c r="C125" i="28"/>
  <c r="A125" i="28" s="1"/>
  <c r="C180" i="28"/>
  <c r="A180" i="28" s="1"/>
  <c r="C122" i="28"/>
  <c r="A122" i="28" s="1"/>
  <c r="C121" i="28"/>
  <c r="A121" i="28" s="1"/>
  <c r="C107" i="28"/>
  <c r="A107" i="28" s="1"/>
  <c r="C167" i="28"/>
  <c r="A167" i="28" s="1"/>
  <c r="C188" i="28"/>
  <c r="A188" i="28" s="1"/>
  <c r="C108" i="28"/>
  <c r="A108" i="28" s="1"/>
  <c r="C191" i="28"/>
  <c r="A191" i="28" s="1"/>
  <c r="C105" i="28"/>
  <c r="A105" i="28" s="1"/>
  <c r="C204" i="28"/>
  <c r="A204" i="28" s="1"/>
  <c r="C119" i="28"/>
  <c r="A119" i="28" s="1"/>
  <c r="C17" i="28"/>
  <c r="A17" i="28" s="1"/>
  <c r="C12" i="28"/>
  <c r="A12" i="28" s="1"/>
  <c r="C109" i="28"/>
  <c r="A109" i="28" s="1"/>
  <c r="C182" i="28"/>
  <c r="A182" i="28" s="1"/>
  <c r="C201" i="28"/>
  <c r="A201" i="28" s="1"/>
  <c r="C200" i="28"/>
  <c r="A200" i="28" s="1"/>
  <c r="C195" i="28"/>
  <c r="A195" i="28" s="1"/>
  <c r="C140" i="28"/>
  <c r="A140" i="28" s="1"/>
  <c r="C163" i="28"/>
  <c r="A163" i="28" s="1"/>
  <c r="C118" i="28"/>
  <c r="A118" i="28" s="1"/>
  <c r="C18" i="28"/>
  <c r="A18" i="28" s="1"/>
  <c r="C176" i="28"/>
  <c r="A176" i="28" s="1"/>
  <c r="C190" i="28"/>
  <c r="A190" i="28" s="1"/>
  <c r="C11" i="28"/>
  <c r="A11" i="28" s="1"/>
  <c r="C120" i="28"/>
  <c r="A120" i="28" s="1"/>
  <c r="C174" i="28"/>
  <c r="A174" i="28" s="1"/>
  <c r="C110" i="28"/>
  <c r="A110" i="28" s="1"/>
  <c r="C101" i="28"/>
  <c r="A101" i="28" s="1"/>
  <c r="C99" i="28"/>
  <c r="A99" i="28" s="1"/>
  <c r="C102" i="28"/>
  <c r="A102" i="28" s="1"/>
  <c r="C123" i="28"/>
  <c r="A123" i="28" s="1"/>
  <c r="C98" i="28"/>
  <c r="A98" i="28" s="1"/>
  <c r="C103" i="28"/>
  <c r="A103" i="28" s="1"/>
  <c r="C165" i="28"/>
  <c r="A165" i="28" s="1"/>
  <c r="C58" i="28"/>
  <c r="A58" i="28" s="1"/>
  <c r="C129" i="28"/>
  <c r="A129" i="28" s="1"/>
  <c r="C155" i="28"/>
  <c r="A155" i="28" s="1"/>
  <c r="C138" i="28"/>
  <c r="A138" i="28" s="1"/>
  <c r="C87" i="28"/>
  <c r="A87" i="28" s="1"/>
  <c r="C162" i="28"/>
  <c r="A162" i="28" s="1"/>
  <c r="C161" i="28"/>
  <c r="A161" i="28" s="1"/>
  <c r="C160" i="28"/>
  <c r="A160" i="28" s="1"/>
  <c r="C159" i="28"/>
  <c r="A159" i="28" s="1"/>
  <c r="C158" i="28"/>
  <c r="A158" i="28" s="1"/>
  <c r="C157" i="28"/>
  <c r="A157" i="28" s="1"/>
  <c r="C169" i="28"/>
  <c r="A169" i="28" s="1"/>
  <c r="C168" i="28"/>
  <c r="A168" i="28" s="1"/>
  <c r="C179" i="28"/>
  <c r="A179" i="28" s="1"/>
  <c r="C178" i="28"/>
  <c r="A178" i="28" s="1"/>
  <c r="C70" i="28"/>
  <c r="A70" i="28" s="1"/>
  <c r="C66" i="28"/>
  <c r="A66" i="28" s="1"/>
  <c r="C183" i="28"/>
  <c r="A183" i="28" s="1"/>
  <c r="C72" i="28"/>
  <c r="A72" i="28" s="1"/>
  <c r="C65" i="28"/>
  <c r="A65" i="28" s="1"/>
  <c r="C76" i="28"/>
  <c r="A76" i="28" s="1"/>
  <c r="C146" i="28"/>
  <c r="A146" i="28" s="1"/>
  <c r="C184" i="28"/>
  <c r="A184" i="28" s="1"/>
  <c r="C132" i="28"/>
  <c r="A132" i="28" s="1"/>
  <c r="C170" i="28"/>
  <c r="A170" i="28" s="1"/>
  <c r="C171" i="28"/>
  <c r="A171" i="28" s="1"/>
  <c r="C96" i="28"/>
  <c r="A96" i="28" s="1"/>
  <c r="C67" i="28"/>
  <c r="A67" i="28" s="1"/>
  <c r="C82" i="28"/>
  <c r="A82" i="28" s="1"/>
  <c r="C185" i="28"/>
  <c r="A185" i="28" s="1"/>
  <c r="C147" i="28"/>
  <c r="A147" i="28" s="1"/>
  <c r="C148" i="28"/>
  <c r="A148" i="28" s="1"/>
  <c r="C97" i="28"/>
  <c r="A97" i="28" s="1"/>
  <c r="C63" i="28"/>
  <c r="A63" i="28" s="1"/>
  <c r="C153" i="28"/>
  <c r="A153" i="28" s="1"/>
  <c r="C149" i="28"/>
  <c r="A149" i="28" s="1"/>
  <c r="C75" i="28"/>
  <c r="A75" i="28" s="1"/>
  <c r="C73" i="28"/>
  <c r="A73" i="28" s="1"/>
  <c r="C90" i="28"/>
  <c r="A90" i="28" s="1"/>
  <c r="C89" i="28"/>
  <c r="A89" i="28" s="1"/>
  <c r="C88" i="28"/>
  <c r="A88" i="28" s="1"/>
  <c r="C93" i="28"/>
  <c r="A93" i="28" s="1"/>
  <c r="C92" i="28"/>
  <c r="A92" i="28" s="1"/>
  <c r="C91" i="28"/>
  <c r="A91" i="28" s="1"/>
  <c r="C54" i="28"/>
  <c r="A54" i="28" s="1"/>
  <c r="C95" i="28"/>
  <c r="A95" i="28" s="1"/>
  <c r="C7" i="28"/>
  <c r="A7" i="28" s="1"/>
  <c r="C5" i="28"/>
  <c r="A5" i="28" s="1"/>
  <c r="C61" i="28"/>
  <c r="A61" i="28" s="1"/>
  <c r="C81" i="28"/>
  <c r="A81" i="28" s="1"/>
  <c r="C4" i="28"/>
  <c r="A4" i="28" s="1"/>
  <c r="C198" i="28"/>
  <c r="A198" i="28" s="1"/>
  <c r="C113" i="28"/>
  <c r="A113" i="28" s="1"/>
  <c r="C199" i="28"/>
  <c r="A199" i="28" s="1"/>
  <c r="C189" i="28"/>
  <c r="A189" i="28" s="1"/>
  <c r="C116" i="28"/>
  <c r="A116" i="28" s="1"/>
  <c r="C27" i="28"/>
  <c r="A27" i="28" s="1"/>
  <c r="C124" i="28"/>
  <c r="A124" i="28" s="1"/>
  <c r="C35" i="28"/>
  <c r="A35" i="28" s="1"/>
  <c r="C57" i="28"/>
  <c r="A57" i="28" s="1"/>
  <c r="C36" i="28"/>
  <c r="A36" i="28" s="1"/>
  <c r="C32" i="28"/>
  <c r="A32" i="28" s="1"/>
  <c r="C150" i="28"/>
  <c r="A150" i="28" s="1"/>
  <c r="C15" i="28"/>
  <c r="A15" i="28" s="1"/>
  <c r="C143" i="28"/>
  <c r="A143" i="28" s="1"/>
  <c r="C141" i="28"/>
  <c r="A141" i="28" s="1"/>
  <c r="C133" i="28"/>
  <c r="A133" i="28" s="1"/>
  <c r="C193" i="28"/>
  <c r="A193" i="28" s="1"/>
  <c r="I19" i="9" l="1"/>
  <c r="H19" i="9"/>
  <c r="G19" i="9"/>
  <c r="F19" i="9"/>
  <c r="E19" i="9"/>
  <c r="E12" i="9"/>
  <c r="F12" i="9"/>
  <c r="I12" i="9"/>
  <c r="H12" i="9"/>
  <c r="G12" i="9"/>
  <c r="F7" i="9"/>
  <c r="G7" i="9"/>
  <c r="E7" i="9"/>
  <c r="H7" i="9"/>
  <c r="I7" i="9"/>
  <c r="I210" i="19"/>
  <c r="J210" i="19" s="1"/>
  <c r="I444" i="19"/>
  <c r="J444" i="19" s="1"/>
  <c r="I466" i="19"/>
  <c r="J466" i="19" s="1"/>
  <c r="I524" i="19"/>
  <c r="I265" i="19"/>
  <c r="J265" i="19" s="1"/>
  <c r="I330" i="19"/>
  <c r="I409" i="19"/>
  <c r="I488" i="19"/>
  <c r="I258" i="19"/>
  <c r="J258" i="19" s="1"/>
  <c r="I322" i="19"/>
  <c r="I398" i="19"/>
  <c r="I478" i="19"/>
  <c r="I402" i="19"/>
  <c r="J402" i="19" s="1"/>
  <c r="I525" i="19"/>
  <c r="J525" i="19" s="1"/>
  <c r="I259" i="19"/>
  <c r="I323" i="19"/>
  <c r="I400" i="19"/>
  <c r="I480" i="19"/>
  <c r="J480" i="19" s="1"/>
  <c r="I415" i="19"/>
  <c r="I244" i="19"/>
  <c r="I308" i="19"/>
  <c r="I379" i="19"/>
  <c r="I461" i="19"/>
  <c r="I463" i="19"/>
  <c r="I237" i="19"/>
  <c r="I301" i="19"/>
  <c r="I371" i="19"/>
  <c r="I452" i="19"/>
  <c r="I343" i="19"/>
  <c r="I440" i="19"/>
  <c r="J440" i="19" s="1"/>
  <c r="I387" i="19"/>
  <c r="J387" i="19" s="1"/>
  <c r="I315" i="19"/>
  <c r="I370" i="19"/>
  <c r="I442" i="19"/>
  <c r="I494" i="19"/>
  <c r="I533" i="19"/>
  <c r="I476" i="19"/>
  <c r="I209" i="19"/>
  <c r="J209" i="19" s="1"/>
  <c r="I273" i="19"/>
  <c r="J273" i="19" s="1"/>
  <c r="I339" i="19"/>
  <c r="I418" i="19"/>
  <c r="I498" i="19"/>
  <c r="I266" i="19"/>
  <c r="I331" i="19"/>
  <c r="I410" i="19"/>
  <c r="J410" i="19" s="1"/>
  <c r="I489" i="19"/>
  <c r="I423" i="19"/>
  <c r="I530" i="19"/>
  <c r="I267" i="19"/>
  <c r="I332" i="19"/>
  <c r="I411" i="19"/>
  <c r="J411" i="19" s="1"/>
  <c r="I490" i="19"/>
  <c r="J490" i="19" s="1"/>
  <c r="I486" i="19"/>
  <c r="I252" i="19"/>
  <c r="I316" i="19"/>
  <c r="J316" i="19" s="1"/>
  <c r="I392" i="19"/>
  <c r="I472" i="19"/>
  <c r="I468" i="19"/>
  <c r="I245" i="19"/>
  <c r="I309" i="19"/>
  <c r="J309" i="19" s="1"/>
  <c r="I381" i="19"/>
  <c r="J381" i="19" s="1"/>
  <c r="I462" i="19"/>
  <c r="I391" i="19"/>
  <c r="I321" i="19"/>
  <c r="I529" i="19"/>
  <c r="J529" i="19" s="1"/>
  <c r="I310" i="19"/>
  <c r="I240" i="19"/>
  <c r="I485" i="19"/>
  <c r="I217" i="19"/>
  <c r="J217" i="19" s="1"/>
  <c r="I281" i="19"/>
  <c r="I348" i="19"/>
  <c r="J348" i="19" s="1"/>
  <c r="I427" i="19"/>
  <c r="I509" i="19"/>
  <c r="I274" i="19"/>
  <c r="J274" i="19" s="1"/>
  <c r="I340" i="19"/>
  <c r="I419" i="19"/>
  <c r="I499" i="19"/>
  <c r="I431" i="19"/>
  <c r="I211" i="19"/>
  <c r="I275" i="19"/>
  <c r="I341" i="19"/>
  <c r="J341" i="19" s="1"/>
  <c r="I420" i="19"/>
  <c r="I500" i="19"/>
  <c r="I517" i="19"/>
  <c r="I260" i="19"/>
  <c r="J260" i="19" s="1"/>
  <c r="I324" i="19"/>
  <c r="J324" i="19" s="1"/>
  <c r="I401" i="19"/>
  <c r="J401" i="19" s="1"/>
  <c r="I481" i="19"/>
  <c r="J481" i="19" s="1"/>
  <c r="I495" i="19"/>
  <c r="I253" i="19"/>
  <c r="I317" i="19"/>
  <c r="I393" i="19"/>
  <c r="I473" i="19"/>
  <c r="J473" i="19" s="1"/>
  <c r="I399" i="19"/>
  <c r="I257" i="19"/>
  <c r="J257" i="19" s="1"/>
  <c r="I477" i="19"/>
  <c r="I314" i="19"/>
  <c r="J314" i="19" s="1"/>
  <c r="I251" i="19"/>
  <c r="I300" i="19"/>
  <c r="I362" i="19"/>
  <c r="J362" i="19" s="1"/>
  <c r="I302" i="19"/>
  <c r="J302" i="19" s="1"/>
  <c r="I304" i="19"/>
  <c r="I497" i="19"/>
  <c r="I225" i="19"/>
  <c r="J225" i="19" s="1"/>
  <c r="I289" i="19"/>
  <c r="J289" i="19" s="1"/>
  <c r="I357" i="19"/>
  <c r="I436" i="19"/>
  <c r="J436" i="19" s="1"/>
  <c r="I522" i="19"/>
  <c r="J522" i="19" s="1"/>
  <c r="I282" i="19"/>
  <c r="I349" i="19"/>
  <c r="I428" i="19"/>
  <c r="I510" i="19"/>
  <c r="I447" i="19"/>
  <c r="J447" i="19" s="1"/>
  <c r="I219" i="19"/>
  <c r="J219" i="19" s="1"/>
  <c r="I283" i="19"/>
  <c r="I350" i="19"/>
  <c r="J350" i="19" s="1"/>
  <c r="I429" i="19"/>
  <c r="I512" i="19"/>
  <c r="J512" i="19" s="1"/>
  <c r="I521" i="19"/>
  <c r="I268" i="19"/>
  <c r="J268" i="19" s="1"/>
  <c r="I333" i="19"/>
  <c r="I412" i="19"/>
  <c r="J412" i="19" s="1"/>
  <c r="I491" i="19"/>
  <c r="I503" i="19"/>
  <c r="I261" i="19"/>
  <c r="I325" i="19"/>
  <c r="J325" i="19" s="1"/>
  <c r="I403" i="19"/>
  <c r="I482" i="19"/>
  <c r="I404" i="19"/>
  <c r="J404" i="19" s="1"/>
  <c r="I470" i="19"/>
  <c r="I293" i="19"/>
  <c r="J293" i="19" s="1"/>
  <c r="I326" i="19"/>
  <c r="J326" i="19" s="1"/>
  <c r="I338" i="19"/>
  <c r="J338" i="19" s="1"/>
  <c r="I507" i="19"/>
  <c r="I233" i="19"/>
  <c r="J233" i="19" s="1"/>
  <c r="I297" i="19"/>
  <c r="I366" i="19"/>
  <c r="J366" i="19" s="1"/>
  <c r="I446" i="19"/>
  <c r="J446" i="19" s="1"/>
  <c r="I407" i="19"/>
  <c r="J407" i="19" s="1"/>
  <c r="I290" i="19"/>
  <c r="J290" i="19" s="1"/>
  <c r="I358" i="19"/>
  <c r="I437" i="19"/>
  <c r="I523" i="19"/>
  <c r="I471" i="19"/>
  <c r="I227" i="19"/>
  <c r="J227" i="19" s="1"/>
  <c r="I291" i="19"/>
  <c r="J291" i="19" s="1"/>
  <c r="I360" i="19"/>
  <c r="I438" i="19"/>
  <c r="J438" i="19" s="1"/>
  <c r="I526" i="19"/>
  <c r="I212" i="19"/>
  <c r="I276" i="19"/>
  <c r="I342" i="19"/>
  <c r="J342" i="19" s="1"/>
  <c r="I421" i="19"/>
  <c r="I501" i="19"/>
  <c r="I508" i="19"/>
  <c r="I269" i="19"/>
  <c r="I334" i="19"/>
  <c r="I413" i="19"/>
  <c r="I493" i="19"/>
  <c r="I459" i="19"/>
  <c r="I364" i="19"/>
  <c r="I469" i="19"/>
  <c r="I388" i="19"/>
  <c r="I450" i="19"/>
  <c r="J450" i="19" s="1"/>
  <c r="I231" i="19"/>
  <c r="J231" i="19" s="1"/>
  <c r="I374" i="19"/>
  <c r="J374" i="19" s="1"/>
  <c r="I520" i="19"/>
  <c r="I241" i="19"/>
  <c r="J241" i="19" s="1"/>
  <c r="I305" i="19"/>
  <c r="I376" i="19"/>
  <c r="J376" i="19" s="1"/>
  <c r="I457" i="19"/>
  <c r="I479" i="19"/>
  <c r="I298" i="19"/>
  <c r="J298" i="19" s="1"/>
  <c r="I368" i="19"/>
  <c r="I448" i="19"/>
  <c r="J448" i="19" s="1"/>
  <c r="I335" i="19"/>
  <c r="I502" i="19"/>
  <c r="I235" i="19"/>
  <c r="I299" i="19"/>
  <c r="J299" i="19" s="1"/>
  <c r="I369" i="19"/>
  <c r="I449" i="19"/>
  <c r="J449" i="19" s="1"/>
  <c r="I359" i="19"/>
  <c r="I220" i="19"/>
  <c r="J220" i="19" s="1"/>
  <c r="I284" i="19"/>
  <c r="J284" i="19" s="1"/>
  <c r="I352" i="19"/>
  <c r="J352" i="19" s="1"/>
  <c r="I430" i="19"/>
  <c r="I513" i="19"/>
  <c r="I213" i="19"/>
  <c r="J213" i="19" s="1"/>
  <c r="I277" i="19"/>
  <c r="I344" i="19"/>
  <c r="J344" i="19" s="1"/>
  <c r="I422" i="19"/>
  <c r="I504" i="19"/>
  <c r="J504" i="19" s="1"/>
  <c r="I487" i="19"/>
  <c r="I389" i="19"/>
  <c r="J389" i="19" s="1"/>
  <c r="I390" i="19"/>
  <c r="I327" i="19"/>
  <c r="J327" i="19" s="1"/>
  <c r="I295" i="19"/>
  <c r="I417" i="19"/>
  <c r="J417" i="19" s="1"/>
  <c r="I351" i="19"/>
  <c r="J351" i="19" s="1"/>
  <c r="I249" i="19"/>
  <c r="J249" i="19" s="1"/>
  <c r="I313" i="19"/>
  <c r="J313" i="19" s="1"/>
  <c r="I386" i="19"/>
  <c r="I467" i="19"/>
  <c r="I242" i="19"/>
  <c r="J242" i="19" s="1"/>
  <c r="I306" i="19"/>
  <c r="I377" i="19"/>
  <c r="I458" i="19"/>
  <c r="I380" i="19"/>
  <c r="I511" i="19"/>
  <c r="J511" i="19" s="1"/>
  <c r="I243" i="19"/>
  <c r="I307" i="19"/>
  <c r="J307" i="19" s="1"/>
  <c r="I378" i="19"/>
  <c r="J378" i="19" s="1"/>
  <c r="I460" i="19"/>
  <c r="J460" i="19" s="1"/>
  <c r="I375" i="19"/>
  <c r="J375" i="19" s="1"/>
  <c r="I228" i="19"/>
  <c r="J228" i="19" s="1"/>
  <c r="I292" i="19"/>
  <c r="J292" i="19" s="1"/>
  <c r="I361" i="19"/>
  <c r="J361" i="19" s="1"/>
  <c r="I441" i="19"/>
  <c r="I528" i="19"/>
  <c r="I221" i="19"/>
  <c r="J221" i="19" s="1"/>
  <c r="I285" i="19"/>
  <c r="I353" i="19"/>
  <c r="J353" i="19" s="1"/>
  <c r="I432" i="19"/>
  <c r="I514" i="19"/>
  <c r="I527" i="19"/>
  <c r="I456" i="19"/>
  <c r="J456" i="19" s="1"/>
  <c r="I397" i="19"/>
  <c r="I250" i="19"/>
  <c r="I516" i="19"/>
  <c r="J516" i="19" s="1"/>
  <c r="I236" i="19"/>
  <c r="J236" i="19" s="1"/>
  <c r="I229" i="19"/>
  <c r="J229" i="19" s="1"/>
  <c r="I238" i="19"/>
  <c r="J238" i="19" s="1"/>
  <c r="I287" i="19"/>
  <c r="I356" i="19"/>
  <c r="I230" i="19"/>
  <c r="J230" i="19" s="1"/>
  <c r="I216" i="19"/>
  <c r="I532" i="19"/>
  <c r="I263" i="19"/>
  <c r="I329" i="19"/>
  <c r="I424" i="19"/>
  <c r="I383" i="19"/>
  <c r="I451" i="19"/>
  <c r="I373" i="19"/>
  <c r="J373" i="19" s="1"/>
  <c r="I453" i="19"/>
  <c r="I319" i="19"/>
  <c r="J319" i="19" s="1"/>
  <c r="I363" i="19"/>
  <c r="J363" i="19" s="1"/>
  <c r="I445" i="19"/>
  <c r="J445" i="19" s="1"/>
  <c r="I223" i="19"/>
  <c r="J223" i="19" s="1"/>
  <c r="I288" i="19"/>
  <c r="J288" i="19" s="1"/>
  <c r="I214" i="19"/>
  <c r="I496" i="19"/>
  <c r="I372" i="19"/>
  <c r="J372" i="19" s="1"/>
  <c r="I505" i="19"/>
  <c r="J505" i="19" s="1"/>
  <c r="I264" i="19"/>
  <c r="J264" i="19" s="1"/>
  <c r="I443" i="19"/>
  <c r="I465" i="19"/>
  <c r="I254" i="19"/>
  <c r="I303" i="19"/>
  <c r="I207" i="19"/>
  <c r="J207" i="19" s="1"/>
  <c r="I365" i="19"/>
  <c r="I286" i="19"/>
  <c r="I224" i="19"/>
  <c r="J224" i="19" s="1"/>
  <c r="I222" i="19"/>
  <c r="J222" i="19" s="1"/>
  <c r="I416" i="19"/>
  <c r="I336" i="19"/>
  <c r="J336" i="19" s="1"/>
  <c r="I474" i="19"/>
  <c r="I519" i="19"/>
  <c r="I455" i="19"/>
  <c r="I384" i="19"/>
  <c r="I345" i="19"/>
  <c r="J345" i="19" s="1"/>
  <c r="I239" i="19"/>
  <c r="I426" i="19"/>
  <c r="I318" i="19"/>
  <c r="I248" i="19"/>
  <c r="I296" i="19"/>
  <c r="I262" i="19"/>
  <c r="I506" i="19"/>
  <c r="I414" i="19"/>
  <c r="J414" i="19" s="1"/>
  <c r="I337" i="19"/>
  <c r="J337" i="19" s="1"/>
  <c r="I272" i="19"/>
  <c r="I483" i="19"/>
  <c r="J483" i="19" s="1"/>
  <c r="I475" i="19"/>
  <c r="I278" i="19"/>
  <c r="I311" i="19"/>
  <c r="J311" i="19" s="1"/>
  <c r="I385" i="19"/>
  <c r="I382" i="19"/>
  <c r="I346" i="19"/>
  <c r="J346" i="19" s="1"/>
  <c r="I396" i="19"/>
  <c r="I232" i="19"/>
  <c r="J232" i="19" s="1"/>
  <c r="I270" i="19"/>
  <c r="J270" i="19" s="1"/>
  <c r="I425" i="19"/>
  <c r="I234" i="19"/>
  <c r="J234" i="19" s="1"/>
  <c r="I271" i="19"/>
  <c r="I208" i="19"/>
  <c r="I492" i="19"/>
  <c r="I395" i="19"/>
  <c r="I226" i="19"/>
  <c r="J226" i="19" s="1"/>
  <c r="I247" i="19"/>
  <c r="I312" i="19"/>
  <c r="J312" i="19" s="1"/>
  <c r="I354" i="19"/>
  <c r="J354" i="19" s="1"/>
  <c r="I518" i="19"/>
  <c r="I484" i="19"/>
  <c r="J484" i="19" s="1"/>
  <c r="I433" i="19"/>
  <c r="I434" i="19"/>
  <c r="J434" i="19" s="1"/>
  <c r="I294" i="19"/>
  <c r="J294" i="19" s="1"/>
  <c r="I279" i="19"/>
  <c r="I347" i="19"/>
  <c r="I439" i="19"/>
  <c r="I406" i="19"/>
  <c r="J406" i="19" s="1"/>
  <c r="I246" i="19"/>
  <c r="I255" i="19"/>
  <c r="J255" i="19" s="1"/>
  <c r="I320" i="19"/>
  <c r="J320" i="19" s="1"/>
  <c r="I394" i="19"/>
  <c r="I367" i="19"/>
  <c r="J367" i="19" s="1"/>
  <c r="I515" i="19"/>
  <c r="I355" i="19"/>
  <c r="J355" i="19" s="1"/>
  <c r="I435" i="19"/>
  <c r="J435" i="19" s="1"/>
  <c r="I215" i="19"/>
  <c r="J215" i="19" s="1"/>
  <c r="I280" i="19"/>
  <c r="I531" i="19"/>
  <c r="I328" i="19"/>
  <c r="J328" i="19" s="1"/>
  <c r="I408" i="19"/>
  <c r="J408" i="19" s="1"/>
  <c r="I464" i="19"/>
  <c r="J464" i="19" s="1"/>
  <c r="I256" i="19"/>
  <c r="I405" i="19"/>
  <c r="I454" i="19"/>
  <c r="I218" i="19"/>
  <c r="I95" i="22"/>
  <c r="J95" i="22" s="1"/>
  <c r="I86" i="22"/>
  <c r="J86" i="22" s="1"/>
  <c r="I69" i="22"/>
  <c r="I61" i="22"/>
  <c r="I50" i="22"/>
  <c r="I40" i="22"/>
  <c r="I32" i="22"/>
  <c r="I13" i="22"/>
  <c r="J13" i="22" s="1"/>
  <c r="I5" i="22"/>
  <c r="I88" i="22"/>
  <c r="J88" i="22" s="1"/>
  <c r="I94" i="22"/>
  <c r="J94" i="22" s="1"/>
  <c r="I85" i="22"/>
  <c r="J85" i="22" s="1"/>
  <c r="I68" i="22"/>
  <c r="J68" i="22" s="1"/>
  <c r="I60" i="22"/>
  <c r="J60" i="22" s="1"/>
  <c r="I49" i="22"/>
  <c r="I39" i="22"/>
  <c r="J39" i="22" s="1"/>
  <c r="I31" i="22"/>
  <c r="I12" i="22"/>
  <c r="I4" i="22"/>
  <c r="I41" i="22"/>
  <c r="J41" i="22" s="1"/>
  <c r="I93" i="22"/>
  <c r="J93" i="22" s="1"/>
  <c r="I81" i="22"/>
  <c r="J81" i="22" s="1"/>
  <c r="I67" i="22"/>
  <c r="I59" i="22"/>
  <c r="J59" i="22" s="1"/>
  <c r="I47" i="22"/>
  <c r="I38" i="22"/>
  <c r="I30" i="22"/>
  <c r="I11" i="22"/>
  <c r="I3" i="22"/>
  <c r="I71" i="22"/>
  <c r="J71" i="22" s="1"/>
  <c r="I6" i="22"/>
  <c r="J6" i="22" s="1"/>
  <c r="I92" i="22"/>
  <c r="J92" i="22" s="1"/>
  <c r="I77" i="22"/>
  <c r="I66" i="22"/>
  <c r="I58" i="22"/>
  <c r="I46" i="22"/>
  <c r="J46" i="22" s="1"/>
  <c r="I37" i="22"/>
  <c r="I29" i="22"/>
  <c r="J29" i="22" s="1"/>
  <c r="I10" i="22"/>
  <c r="I2" i="22"/>
  <c r="J2" i="22" s="1"/>
  <c r="I33" i="22"/>
  <c r="I91" i="22"/>
  <c r="J91" i="22" s="1"/>
  <c r="I74" i="22"/>
  <c r="I65" i="22"/>
  <c r="I57" i="22"/>
  <c r="J57" i="22" s="1"/>
  <c r="I45" i="22"/>
  <c r="I36" i="22"/>
  <c r="I25" i="22"/>
  <c r="J25" i="22" s="1"/>
  <c r="I9" i="22"/>
  <c r="I51" i="22"/>
  <c r="I90" i="22"/>
  <c r="J90" i="22" s="1"/>
  <c r="I73" i="22"/>
  <c r="I64" i="22"/>
  <c r="I53" i="22"/>
  <c r="J53" i="22" s="1"/>
  <c r="I44" i="22"/>
  <c r="I35" i="22"/>
  <c r="J35" i="22" s="1"/>
  <c r="I18" i="22"/>
  <c r="I8" i="22"/>
  <c r="I96" i="22"/>
  <c r="J96" i="22" s="1"/>
  <c r="I14" i="22"/>
  <c r="J14" i="22" s="1"/>
  <c r="I89" i="22"/>
  <c r="J89" i="22" s="1"/>
  <c r="I72" i="22"/>
  <c r="J72" i="22" s="1"/>
  <c r="I63" i="22"/>
  <c r="J63" i="22" s="1"/>
  <c r="I52" i="22"/>
  <c r="J52" i="22" s="1"/>
  <c r="I43" i="22"/>
  <c r="I34" i="22"/>
  <c r="I17" i="22"/>
  <c r="J17" i="22" s="1"/>
  <c r="I7" i="22"/>
  <c r="J7" i="22" s="1"/>
  <c r="I62" i="22"/>
  <c r="J62" i="22" s="1"/>
  <c r="I80" i="22"/>
  <c r="J80" i="22" s="1"/>
  <c r="I79" i="22"/>
  <c r="J79" i="22" s="1"/>
  <c r="I76" i="22"/>
  <c r="J76" i="22" s="1"/>
  <c r="I16" i="22"/>
  <c r="J16" i="22" s="1"/>
  <c r="I55" i="22"/>
  <c r="I70" i="22"/>
  <c r="I28" i="22"/>
  <c r="I78" i="22"/>
  <c r="J78" i="22" s="1"/>
  <c r="I23" i="22"/>
  <c r="J23" i="22" s="1"/>
  <c r="I54" i="22"/>
  <c r="I20" i="22"/>
  <c r="J20" i="22" s="1"/>
  <c r="I15" i="22"/>
  <c r="I22" i="22"/>
  <c r="I83" i="22"/>
  <c r="J83" i="22" s="1"/>
  <c r="I24" i="22"/>
  <c r="I84" i="22"/>
  <c r="J84" i="22" s="1"/>
  <c r="I75" i="22"/>
  <c r="J75" i="22" s="1"/>
  <c r="I82" i="22"/>
  <c r="J82" i="22" s="1"/>
  <c r="I27" i="22"/>
  <c r="J27" i="22" s="1"/>
  <c r="I19" i="22"/>
  <c r="I56" i="22"/>
  <c r="J56" i="22" s="1"/>
  <c r="I26" i="22"/>
  <c r="I42" i="22"/>
  <c r="I21" i="22"/>
  <c r="J21" i="22" s="1"/>
  <c r="I48" i="22"/>
  <c r="J48" i="22" s="1"/>
  <c r="I87" i="22"/>
  <c r="J87" i="22" s="1"/>
  <c r="J40" i="22"/>
  <c r="J66" i="22"/>
  <c r="J47" i="22"/>
  <c r="J31" i="22"/>
  <c r="J74" i="22"/>
  <c r="J65" i="22"/>
  <c r="J9" i="22"/>
  <c r="J73" i="22"/>
  <c r="J45" i="22"/>
  <c r="J37" i="22"/>
  <c r="J5" i="22"/>
  <c r="J44" i="22"/>
  <c r="J36" i="22"/>
  <c r="J28" i="22"/>
  <c r="J12" i="22"/>
  <c r="J77" i="22"/>
  <c r="J70" i="22"/>
  <c r="J51" i="22"/>
  <c r="J43" i="22"/>
  <c r="J11" i="22"/>
  <c r="J3" i="22"/>
  <c r="J33" i="22"/>
  <c r="J69" i="22"/>
  <c r="J50" i="22"/>
  <c r="J34" i="22"/>
  <c r="J26" i="22"/>
  <c r="J10" i="22"/>
  <c r="J18" i="22"/>
  <c r="J19" i="22"/>
  <c r="J22" i="22"/>
  <c r="J24" i="22"/>
  <c r="J61" i="22"/>
  <c r="E82" i="13"/>
  <c r="E81" i="13"/>
  <c r="I162" i="19"/>
  <c r="J162" i="19" s="1"/>
  <c r="I158" i="19"/>
  <c r="J4" i="22"/>
  <c r="J64" i="22"/>
  <c r="J32" i="22"/>
  <c r="J8" i="22"/>
  <c r="J67" i="22"/>
  <c r="J55" i="22"/>
  <c r="J15" i="22"/>
  <c r="J58" i="22"/>
  <c r="J54" i="22"/>
  <c r="J42" i="22"/>
  <c r="J38" i="22"/>
  <c r="J30" i="22"/>
  <c r="J49" i="22"/>
  <c r="I205" i="19"/>
  <c r="I201" i="19"/>
  <c r="I197" i="19"/>
  <c r="J197" i="19" s="1"/>
  <c r="I193" i="19"/>
  <c r="I189" i="19"/>
  <c r="I185" i="19"/>
  <c r="I181" i="19"/>
  <c r="J181" i="19" s="1"/>
  <c r="I173" i="19"/>
  <c r="I169" i="19"/>
  <c r="J169" i="19" s="1"/>
  <c r="I165" i="19"/>
  <c r="J165" i="19" s="1"/>
  <c r="I161" i="19"/>
  <c r="J161" i="19" s="1"/>
  <c r="I157" i="19"/>
  <c r="I153" i="19"/>
  <c r="I145" i="19"/>
  <c r="I141" i="19"/>
  <c r="I137" i="19"/>
  <c r="J137" i="19" s="1"/>
  <c r="I133" i="19"/>
  <c r="J133" i="19" s="1"/>
  <c r="I129" i="19"/>
  <c r="I125" i="19"/>
  <c r="I117" i="19"/>
  <c r="I113" i="19"/>
  <c r="I109" i="19"/>
  <c r="I101" i="19"/>
  <c r="I97" i="19"/>
  <c r="I93" i="19"/>
  <c r="I85" i="19"/>
  <c r="J85" i="19" s="1"/>
  <c r="I69" i="19"/>
  <c r="J69" i="19" s="1"/>
  <c r="I65" i="19"/>
  <c r="I61" i="19"/>
  <c r="J61" i="19" s="1"/>
  <c r="I57" i="19"/>
  <c r="J57" i="19" s="1"/>
  <c r="I53" i="19"/>
  <c r="I45" i="19"/>
  <c r="I37" i="19"/>
  <c r="I29" i="19"/>
  <c r="I25" i="19"/>
  <c r="I21" i="19"/>
  <c r="I17" i="19"/>
  <c r="I13" i="19"/>
  <c r="I195" i="19"/>
  <c r="I179" i="19"/>
  <c r="I171" i="19"/>
  <c r="J171" i="19" s="1"/>
  <c r="I167" i="19"/>
  <c r="J167" i="19" s="1"/>
  <c r="I163" i="19"/>
  <c r="I159" i="19"/>
  <c r="I155" i="19"/>
  <c r="J155" i="19" s="1"/>
  <c r="I151" i="19"/>
  <c r="I147" i="19"/>
  <c r="J147" i="19" s="1"/>
  <c r="I139" i="19"/>
  <c r="J139" i="19" s="1"/>
  <c r="I135" i="19"/>
  <c r="I115" i="19"/>
  <c r="I111" i="19"/>
  <c r="I107" i="19"/>
  <c r="J107" i="19" s="1"/>
  <c r="I103" i="19"/>
  <c r="I99" i="19"/>
  <c r="J99" i="19" s="1"/>
  <c r="I91" i="19"/>
  <c r="I87" i="19"/>
  <c r="J87" i="19" s="1"/>
  <c r="I83" i="19"/>
  <c r="J83" i="19" s="1"/>
  <c r="I79" i="19"/>
  <c r="J79" i="19" s="1"/>
  <c r="I75" i="19"/>
  <c r="I71" i="19"/>
  <c r="I67" i="19"/>
  <c r="J67" i="19" s="1"/>
  <c r="I59" i="19"/>
  <c r="J59" i="19" s="1"/>
  <c r="I55" i="19"/>
  <c r="I51" i="19"/>
  <c r="I47" i="19"/>
  <c r="I43" i="19"/>
  <c r="I39" i="19"/>
  <c r="I27" i="19"/>
  <c r="I23" i="19"/>
  <c r="I19" i="19"/>
  <c r="I15" i="19"/>
  <c r="J15" i="19" s="1"/>
  <c r="I11" i="19"/>
  <c r="J11" i="19" s="1"/>
  <c r="I7" i="19"/>
  <c r="J7" i="19" s="1"/>
  <c r="I3" i="19"/>
  <c r="J3" i="19" s="1"/>
  <c r="I142" i="19"/>
  <c r="I138" i="19"/>
  <c r="I134" i="19"/>
  <c r="I130" i="19"/>
  <c r="I126" i="19"/>
  <c r="I110" i="19"/>
  <c r="I106" i="19"/>
  <c r="I102" i="19"/>
  <c r="J102" i="19" s="1"/>
  <c r="I98" i="19"/>
  <c r="I94" i="19"/>
  <c r="I90" i="19"/>
  <c r="I86" i="19"/>
  <c r="J86" i="19" s="1"/>
  <c r="I82" i="19"/>
  <c r="I78" i="19"/>
  <c r="I74" i="19"/>
  <c r="I66" i="19"/>
  <c r="I62" i="19"/>
  <c r="J62" i="19" s="1"/>
  <c r="I58" i="19"/>
  <c r="I54" i="19"/>
  <c r="I46" i="19"/>
  <c r="I38" i="19"/>
  <c r="I26" i="19"/>
  <c r="I22" i="19"/>
  <c r="I18" i="19"/>
  <c r="J18" i="19" s="1"/>
  <c r="I14" i="19"/>
  <c r="J14" i="19" s="1"/>
  <c r="I10" i="19"/>
  <c r="I6" i="19"/>
  <c r="J6" i="19" s="1"/>
  <c r="I200" i="19"/>
  <c r="I184" i="19"/>
  <c r="I176" i="19"/>
  <c r="I172" i="19"/>
  <c r="I168" i="19"/>
  <c r="J168" i="19" s="1"/>
  <c r="I164" i="19"/>
  <c r="I160" i="19"/>
  <c r="J160" i="19" s="1"/>
  <c r="I156" i="19"/>
  <c r="I148" i="19"/>
  <c r="J148" i="19" s="1"/>
  <c r="I140" i="19"/>
  <c r="I136" i="19"/>
  <c r="J136" i="19" s="1"/>
  <c r="I132" i="19"/>
  <c r="I128" i="19"/>
  <c r="I112" i="19"/>
  <c r="J112" i="19" s="1"/>
  <c r="I104" i="19"/>
  <c r="I100" i="19"/>
  <c r="J100" i="19" s="1"/>
  <c r="I96" i="19"/>
  <c r="I88" i="19"/>
  <c r="J88" i="19" s="1"/>
  <c r="I84" i="19"/>
  <c r="J84" i="19" s="1"/>
  <c r="I76" i="19"/>
  <c r="I68" i="19"/>
  <c r="I64" i="19"/>
  <c r="J64" i="19" s="1"/>
  <c r="I60" i="19"/>
  <c r="J60" i="19" s="1"/>
  <c r="I56" i="19"/>
  <c r="I52" i="19"/>
  <c r="I44" i="19"/>
  <c r="I24" i="19"/>
  <c r="I20" i="19"/>
  <c r="I16" i="19"/>
  <c r="J16" i="19" s="1"/>
  <c r="I12" i="19"/>
  <c r="J12" i="19" s="1"/>
  <c r="I8" i="19"/>
  <c r="J8" i="19" s="1"/>
  <c r="I204" i="19"/>
  <c r="I192" i="19"/>
  <c r="I199" i="19"/>
  <c r="I203" i="19"/>
  <c r="I187" i="19"/>
  <c r="J187" i="19" s="1"/>
  <c r="I206" i="19"/>
  <c r="I198" i="19"/>
  <c r="J198" i="19" s="1"/>
  <c r="I194" i="19"/>
  <c r="I186" i="19"/>
  <c r="J20" i="19" l="1"/>
  <c r="E20" i="13"/>
  <c r="H81" i="13"/>
  <c r="J81" i="13"/>
  <c r="I81" i="13"/>
  <c r="G81" i="13"/>
  <c r="F81" i="13"/>
  <c r="J26" i="19"/>
  <c r="E29" i="13"/>
  <c r="E28" i="13"/>
  <c r="E50" i="13" s="1"/>
  <c r="J45" i="19"/>
  <c r="E21" i="13"/>
  <c r="E48" i="13" s="1"/>
  <c r="H82" i="13"/>
  <c r="G82" i="13"/>
  <c r="F82" i="13"/>
  <c r="I82" i="13"/>
  <c r="J82" i="13"/>
  <c r="E26" i="13"/>
  <c r="E25" i="13"/>
  <c r="J46" i="19"/>
  <c r="E19" i="13"/>
  <c r="J19" i="19"/>
  <c r="J23" i="19"/>
  <c r="E18" i="13"/>
  <c r="J21" i="19"/>
  <c r="J25" i="19"/>
  <c r="E30" i="13"/>
  <c r="E74" i="13"/>
  <c r="I166" i="19"/>
  <c r="J166" i="19" s="1"/>
  <c r="I174" i="19"/>
  <c r="I146" i="19"/>
  <c r="I150" i="19"/>
  <c r="I154" i="19"/>
  <c r="I202" i="19"/>
  <c r="I116" i="19"/>
  <c r="J116" i="19" s="1"/>
  <c r="I122" i="19"/>
  <c r="I49" i="19"/>
  <c r="E42" i="13" s="1"/>
  <c r="I81" i="19"/>
  <c r="I177" i="19"/>
  <c r="I182" i="19"/>
  <c r="I28" i="19"/>
  <c r="J28" i="19" s="1"/>
  <c r="I92" i="19"/>
  <c r="I124" i="19"/>
  <c r="I2" i="19"/>
  <c r="J2" i="19" s="1"/>
  <c r="I32" i="19"/>
  <c r="I4" i="19"/>
  <c r="I36" i="19"/>
  <c r="I190" i="19"/>
  <c r="I191" i="19"/>
  <c r="I188" i="19"/>
  <c r="J188" i="19" s="1"/>
  <c r="I48" i="19"/>
  <c r="I80" i="19"/>
  <c r="J80" i="19" s="1"/>
  <c r="I144" i="19"/>
  <c r="I180" i="19"/>
  <c r="I196" i="19"/>
  <c r="I120" i="19"/>
  <c r="I152" i="19"/>
  <c r="I30" i="19"/>
  <c r="E22" i="13" s="1"/>
  <c r="I143" i="19"/>
  <c r="I175" i="19"/>
  <c r="I149" i="19"/>
  <c r="J149" i="19" s="1"/>
  <c r="I34" i="19"/>
  <c r="I89" i="19"/>
  <c r="J89" i="19" s="1"/>
  <c r="I121" i="19"/>
  <c r="I70" i="19"/>
  <c r="J70" i="19" s="1"/>
  <c r="I119" i="19"/>
  <c r="I183" i="19"/>
  <c r="J183" i="19" s="1"/>
  <c r="I42" i="19"/>
  <c r="E32" i="13" s="1"/>
  <c r="I123" i="19"/>
  <c r="I33" i="19"/>
  <c r="I40" i="19"/>
  <c r="I72" i="19"/>
  <c r="E47" i="13" s="1"/>
  <c r="I31" i="19"/>
  <c r="I63" i="19"/>
  <c r="I95" i="19"/>
  <c r="I127" i="19"/>
  <c r="I5" i="19"/>
  <c r="I170" i="19"/>
  <c r="J170" i="19" s="1"/>
  <c r="I108" i="19"/>
  <c r="J108" i="19" s="1"/>
  <c r="I50" i="19"/>
  <c r="I114" i="19"/>
  <c r="I35" i="19"/>
  <c r="I131" i="19"/>
  <c r="I9" i="19"/>
  <c r="I41" i="19"/>
  <c r="I73" i="19"/>
  <c r="I105" i="19"/>
  <c r="J105" i="19" s="1"/>
  <c r="I118" i="19"/>
  <c r="I77" i="19"/>
  <c r="I178" i="19"/>
  <c r="C21" i="5"/>
  <c r="C11" i="5"/>
  <c r="C14" i="5"/>
  <c r="C22" i="5"/>
  <c r="C25" i="5"/>
  <c r="C18" i="5"/>
  <c r="C13" i="5"/>
  <c r="C10" i="5"/>
  <c r="C24" i="5"/>
  <c r="C17" i="5"/>
  <c r="C16" i="5"/>
  <c r="C12" i="5"/>
  <c r="C9" i="5"/>
  <c r="C8" i="5"/>
  <c r="C23" i="5"/>
  <c r="C15" i="5"/>
  <c r="C7" i="5"/>
  <c r="E105" i="13"/>
  <c r="E7" i="13"/>
  <c r="H17" i="5" l="1"/>
  <c r="G17" i="5"/>
  <c r="F17" i="5"/>
  <c r="D17" i="5"/>
  <c r="F8" i="5"/>
  <c r="E8" i="5"/>
  <c r="H8" i="5"/>
  <c r="G8" i="5"/>
  <c r="H9" i="5"/>
  <c r="G9" i="5"/>
  <c r="F9" i="5"/>
  <c r="E9" i="5"/>
  <c r="H25" i="5"/>
  <c r="G25" i="5"/>
  <c r="D25" i="5"/>
  <c r="D18" i="5"/>
  <c r="H18" i="5"/>
  <c r="G18" i="5"/>
  <c r="H12" i="5"/>
  <c r="G12" i="5"/>
  <c r="F12" i="5"/>
  <c r="E12" i="5"/>
  <c r="H22" i="5"/>
  <c r="G22" i="5"/>
  <c r="F22" i="5"/>
  <c r="E22" i="5"/>
  <c r="H15" i="5"/>
  <c r="G15" i="5"/>
  <c r="E15" i="5"/>
  <c r="F15" i="5"/>
  <c r="H14" i="5"/>
  <c r="G14" i="5"/>
  <c r="F14" i="5"/>
  <c r="E14" i="5"/>
  <c r="D14" i="5"/>
  <c r="G11" i="5"/>
  <c r="F11" i="5"/>
  <c r="E11" i="5"/>
  <c r="H11" i="5"/>
  <c r="H7" i="5"/>
  <c r="G7" i="5"/>
  <c r="E7" i="5"/>
  <c r="D7" i="5"/>
  <c r="F7" i="5"/>
  <c r="F24" i="5"/>
  <c r="H24" i="5"/>
  <c r="D24" i="5"/>
  <c r="G24" i="5"/>
  <c r="E21" i="5"/>
  <c r="D21" i="5"/>
  <c r="G21" i="5"/>
  <c r="H21" i="5"/>
  <c r="F21" i="5"/>
  <c r="D10" i="5"/>
  <c r="H10" i="5"/>
  <c r="F10" i="5"/>
  <c r="G10" i="5"/>
  <c r="E13" i="5"/>
  <c r="D13" i="5"/>
  <c r="G13" i="5"/>
  <c r="H13" i="5"/>
  <c r="F13" i="5"/>
  <c r="I47" i="13"/>
  <c r="J47" i="13"/>
  <c r="H47" i="13"/>
  <c r="F47" i="13"/>
  <c r="J22" i="13"/>
  <c r="I22" i="13"/>
  <c r="F22" i="13"/>
  <c r="H22" i="13"/>
  <c r="G22" i="13"/>
  <c r="G42" i="13"/>
  <c r="F42" i="13"/>
  <c r="J42" i="13"/>
  <c r="I42" i="13"/>
  <c r="H42" i="13"/>
  <c r="I32" i="13"/>
  <c r="H32" i="13"/>
  <c r="G32" i="13"/>
  <c r="F32" i="13"/>
  <c r="J32" i="13"/>
  <c r="E41" i="13"/>
  <c r="E23" i="13"/>
  <c r="E45" i="13"/>
  <c r="H19" i="13"/>
  <c r="G19" i="13"/>
  <c r="F19" i="13"/>
  <c r="J19" i="13"/>
  <c r="I19" i="13"/>
  <c r="E44" i="13"/>
  <c r="E31" i="13"/>
  <c r="E46" i="13"/>
  <c r="H18" i="13"/>
  <c r="F18" i="13"/>
  <c r="J18" i="13"/>
  <c r="I18" i="13"/>
  <c r="G18" i="13"/>
  <c r="I25" i="13"/>
  <c r="H25" i="13"/>
  <c r="G25" i="13"/>
  <c r="J25" i="13"/>
  <c r="E43" i="13"/>
  <c r="E35" i="13"/>
  <c r="E38" i="13"/>
  <c r="E36" i="13"/>
  <c r="E37" i="13"/>
  <c r="E34" i="13"/>
  <c r="F7" i="13"/>
  <c r="I7" i="13"/>
  <c r="J7" i="13"/>
  <c r="H7" i="13"/>
  <c r="G7" i="13"/>
  <c r="E24" i="13"/>
  <c r="E40" i="13"/>
  <c r="E33" i="13"/>
  <c r="J26" i="13"/>
  <c r="I26" i="13"/>
  <c r="H26" i="13"/>
  <c r="F26" i="13"/>
  <c r="G74" i="13"/>
  <c r="F74" i="13"/>
  <c r="J74" i="13"/>
  <c r="H74" i="13"/>
  <c r="I74" i="13"/>
  <c r="F30" i="13"/>
  <c r="I30" i="13"/>
  <c r="H30" i="13"/>
  <c r="G30" i="13"/>
  <c r="J30" i="13"/>
  <c r="E75" i="13"/>
  <c r="E72" i="13"/>
  <c r="E73" i="13"/>
  <c r="E103" i="13"/>
  <c r="E71" i="13"/>
  <c r="E93" i="13"/>
  <c r="E110" i="13"/>
  <c r="E70" i="13"/>
  <c r="E91" i="13"/>
  <c r="E88" i="13"/>
  <c r="E108" i="13"/>
  <c r="E111" i="13"/>
  <c r="E8" i="13"/>
  <c r="E83" i="13"/>
  <c r="E107" i="13"/>
  <c r="E102" i="13"/>
  <c r="E100" i="13"/>
  <c r="E104" i="13"/>
  <c r="E97" i="13"/>
  <c r="E99" i="13"/>
  <c r="E96" i="13"/>
  <c r="E101" i="13"/>
  <c r="E98" i="13"/>
  <c r="E84" i="13"/>
  <c r="E109" i="13"/>
  <c r="E95" i="13"/>
  <c r="E85" i="13"/>
  <c r="E89" i="13"/>
  <c r="E90" i="13"/>
  <c r="E92" i="13"/>
  <c r="E87" i="13"/>
  <c r="E94" i="13"/>
  <c r="E86" i="13"/>
  <c r="E106" i="13"/>
  <c r="E10" i="13"/>
  <c r="E9" i="13"/>
  <c r="E11" i="13"/>
  <c r="E51" i="13" l="1"/>
  <c r="G40" i="13"/>
  <c r="F40" i="13"/>
  <c r="H40" i="13"/>
  <c r="I40" i="13"/>
  <c r="J40" i="13"/>
  <c r="I8" i="13"/>
  <c r="H8" i="13"/>
  <c r="G8" i="13"/>
  <c r="J8" i="13"/>
  <c r="I71" i="13"/>
  <c r="G71" i="13"/>
  <c r="J71" i="13"/>
  <c r="H71" i="13"/>
  <c r="F24" i="13"/>
  <c r="I24" i="13"/>
  <c r="J24" i="13"/>
  <c r="G24" i="13"/>
  <c r="H24" i="13"/>
  <c r="G36" i="13"/>
  <c r="J36" i="13"/>
  <c r="I36" i="13"/>
  <c r="H36" i="13"/>
  <c r="I31" i="13"/>
  <c r="J31" i="13"/>
  <c r="E52" i="13"/>
  <c r="F31" i="13"/>
  <c r="H31" i="13"/>
  <c r="G31" i="13"/>
  <c r="I23" i="13"/>
  <c r="H23" i="13"/>
  <c r="G23" i="13"/>
  <c r="J23" i="13"/>
  <c r="J92" i="13"/>
  <c r="H92" i="13"/>
  <c r="I92" i="13"/>
  <c r="F92" i="13"/>
  <c r="G92" i="13"/>
  <c r="H45" i="13"/>
  <c r="J45" i="13"/>
  <c r="I45" i="13"/>
  <c r="G45" i="13"/>
  <c r="J89" i="13"/>
  <c r="I89" i="13"/>
  <c r="H89" i="13"/>
  <c r="G89" i="13"/>
  <c r="F89" i="13"/>
  <c r="F38" i="13"/>
  <c r="I38" i="13"/>
  <c r="G38" i="13"/>
  <c r="H38" i="13"/>
  <c r="J38" i="13"/>
  <c r="E53" i="13"/>
  <c r="J44" i="13"/>
  <c r="I44" i="13"/>
  <c r="H44" i="13"/>
  <c r="G44" i="13"/>
  <c r="F44" i="13"/>
  <c r="G41" i="13"/>
  <c r="F41" i="13"/>
  <c r="J41" i="13"/>
  <c r="H41" i="13"/>
  <c r="I41" i="13"/>
  <c r="J9" i="13"/>
  <c r="G9" i="13"/>
  <c r="I9" i="13"/>
  <c r="H9" i="13"/>
  <c r="J99" i="13"/>
  <c r="I99" i="13"/>
  <c r="G99" i="13"/>
  <c r="H99" i="13"/>
  <c r="F99" i="13"/>
  <c r="I106" i="13"/>
  <c r="J106" i="13"/>
  <c r="G106" i="13"/>
  <c r="H106" i="13"/>
  <c r="F106" i="13"/>
  <c r="G88" i="13"/>
  <c r="J88" i="13"/>
  <c r="I88" i="13"/>
  <c r="H88" i="13"/>
  <c r="I72" i="13"/>
  <c r="H72" i="13"/>
  <c r="G72" i="13"/>
  <c r="J72" i="13"/>
  <c r="J90" i="13"/>
  <c r="H90" i="13"/>
  <c r="I90" i="13"/>
  <c r="G90" i="13"/>
  <c r="I86" i="13"/>
  <c r="H86" i="13"/>
  <c r="G86" i="13"/>
  <c r="J86" i="13"/>
  <c r="G109" i="13"/>
  <c r="F109" i="13"/>
  <c r="J109" i="13"/>
  <c r="I109" i="13"/>
  <c r="H109" i="13"/>
  <c r="J100" i="13"/>
  <c r="H100" i="13"/>
  <c r="F100" i="13"/>
  <c r="G100" i="13"/>
  <c r="I100" i="13"/>
  <c r="E49" i="13"/>
  <c r="H101" i="13"/>
  <c r="G101" i="13"/>
  <c r="I101" i="13"/>
  <c r="J101" i="13"/>
  <c r="I96" i="13"/>
  <c r="J96" i="13"/>
  <c r="G96" i="13"/>
  <c r="H96" i="13"/>
  <c r="F96" i="13"/>
  <c r="G10" i="13"/>
  <c r="F10" i="13"/>
  <c r="J10" i="13"/>
  <c r="I10" i="13"/>
  <c r="H10" i="13"/>
  <c r="F94" i="13"/>
  <c r="I94" i="13"/>
  <c r="H94" i="13"/>
  <c r="G94" i="13"/>
  <c r="J94" i="13"/>
  <c r="J84" i="13"/>
  <c r="I84" i="13"/>
  <c r="H84" i="13"/>
  <c r="G84" i="13"/>
  <c r="J102" i="13"/>
  <c r="H102" i="13"/>
  <c r="I102" i="13"/>
  <c r="J70" i="13"/>
  <c r="I70" i="13"/>
  <c r="F70" i="13"/>
  <c r="H70" i="13"/>
  <c r="G70" i="13"/>
  <c r="J87" i="13"/>
  <c r="I87" i="13"/>
  <c r="H87" i="13"/>
  <c r="F87" i="13"/>
  <c r="G98" i="13"/>
  <c r="F98" i="13"/>
  <c r="J98" i="13"/>
  <c r="I98" i="13"/>
  <c r="H98" i="13"/>
  <c r="J110" i="13"/>
  <c r="I110" i="13"/>
  <c r="G110" i="13"/>
  <c r="H110" i="13"/>
  <c r="J34" i="13"/>
  <c r="G34" i="13"/>
  <c r="I34" i="13"/>
  <c r="H34" i="13"/>
  <c r="F34" i="13"/>
  <c r="D22" i="12" l="1"/>
  <c r="E11" i="4" l="1"/>
  <c r="A90" i="13" l="1"/>
  <c r="A38" i="13"/>
  <c r="A39" i="13"/>
  <c r="H78" i="17" l="1"/>
  <c r="G78" i="17"/>
  <c r="D78" i="17"/>
  <c r="H74" i="17"/>
  <c r="G74" i="17"/>
  <c r="F74" i="17"/>
  <c r="C76" i="17"/>
  <c r="C73" i="17"/>
  <c r="C69" i="17"/>
  <c r="C68" i="17"/>
  <c r="C66" i="17"/>
  <c r="C65" i="17"/>
  <c r="C25" i="17"/>
  <c r="C60" i="17"/>
  <c r="A1" i="17"/>
  <c r="H39" i="17" l="1"/>
  <c r="H38" i="17"/>
  <c r="F38" i="17"/>
  <c r="F39" i="17"/>
  <c r="G39" i="17"/>
  <c r="G38" i="17"/>
  <c r="C54" i="17"/>
  <c r="A96" i="13" l="1"/>
  <c r="A89" i="13" l="1"/>
  <c r="A21" i="13"/>
  <c r="C18" i="7" l="1"/>
  <c r="A87" i="13" l="1"/>
  <c r="J80" i="8"/>
  <c r="I80" i="8"/>
  <c r="H80" i="8"/>
  <c r="A16" i="8"/>
  <c r="A17" i="8"/>
  <c r="A18" i="8"/>
  <c r="A19" i="8"/>
  <c r="A20" i="8"/>
  <c r="A21" i="8"/>
  <c r="A15" i="8"/>
  <c r="A129" i="13"/>
  <c r="A119" i="13"/>
  <c r="A128" i="13"/>
  <c r="A118" i="13"/>
  <c r="A125" i="13"/>
  <c r="A115" i="13"/>
  <c r="A123" i="13"/>
  <c r="A113" i="13"/>
  <c r="A104" i="13"/>
  <c r="A98" i="13"/>
  <c r="A99" i="13"/>
  <c r="A100" i="13"/>
  <c r="A101" i="13"/>
  <c r="A102" i="13"/>
  <c r="A35" i="13"/>
  <c r="A36" i="13"/>
  <c r="A37" i="13"/>
  <c r="A34" i="13"/>
  <c r="A25" i="13"/>
  <c r="A31" i="13"/>
  <c r="A9" i="13"/>
  <c r="D39" i="2" l="1"/>
  <c r="C39" i="2"/>
  <c r="B23" i="2" l="1"/>
  <c r="D25" i="2" s="1"/>
  <c r="E72" i="17" l="1"/>
  <c r="F25" i="2"/>
  <c r="C25" i="2"/>
  <c r="E25" i="2"/>
  <c r="G25" i="2"/>
  <c r="F72" i="17" l="1"/>
  <c r="D72" i="17"/>
  <c r="G72" i="17"/>
  <c r="H72" i="17"/>
  <c r="C19" i="7"/>
  <c r="F18" i="7"/>
  <c r="F21" i="7" s="1"/>
  <c r="E18" i="7"/>
  <c r="E21" i="7" s="1"/>
  <c r="D18" i="7"/>
  <c r="A22" i="13"/>
  <c r="A11" i="13"/>
  <c r="C72" i="17" l="1"/>
  <c r="B19" i="7"/>
  <c r="C21" i="7"/>
  <c r="B18" i="7"/>
  <c r="A39" i="8" l="1"/>
  <c r="A38" i="8"/>
  <c r="D39" i="9"/>
  <c r="A10" i="13"/>
  <c r="I46" i="4" l="1"/>
  <c r="I9" i="4" s="1"/>
  <c r="I47" i="4"/>
  <c r="I10" i="4" s="1"/>
  <c r="I11" i="4"/>
  <c r="D14" i="4"/>
  <c r="C14" i="4"/>
  <c r="D15" i="4"/>
  <c r="C15" i="4"/>
  <c r="D16" i="4"/>
  <c r="C16" i="4"/>
  <c r="D17" i="4"/>
  <c r="C17" i="4"/>
  <c r="D18" i="4"/>
  <c r="C18" i="4"/>
  <c r="D19" i="4"/>
  <c r="C19" i="4"/>
  <c r="D20" i="4"/>
  <c r="C20" i="4"/>
  <c r="D21" i="4"/>
  <c r="C21" i="4"/>
  <c r="D22" i="4"/>
  <c r="C22" i="4"/>
  <c r="D23" i="4"/>
  <c r="C23" i="4"/>
  <c r="I48" i="4"/>
  <c r="D27" i="4"/>
  <c r="C27" i="4"/>
  <c r="D28" i="4"/>
  <c r="C28" i="4"/>
  <c r="D29" i="4"/>
  <c r="C29" i="4"/>
  <c r="C8" i="2"/>
  <c r="C10" i="2" s="1"/>
  <c r="D8" i="2"/>
  <c r="D10" i="2" s="1"/>
  <c r="E8" i="2"/>
  <c r="E10" i="2" s="1"/>
  <c r="D30" i="4"/>
  <c r="C30" i="4"/>
  <c r="D31" i="4"/>
  <c r="C31" i="4"/>
  <c r="D32" i="4"/>
  <c r="C32" i="4"/>
  <c r="D33" i="4"/>
  <c r="C33" i="4"/>
  <c r="D34" i="4"/>
  <c r="C34" i="4"/>
  <c r="D35" i="4"/>
  <c r="C35" i="4"/>
  <c r="D36" i="4"/>
  <c r="C36" i="4"/>
  <c r="D37" i="4"/>
  <c r="C37" i="4"/>
  <c r="H46" i="4"/>
  <c r="H9" i="4" s="1"/>
  <c r="H47" i="4"/>
  <c r="H10" i="4" s="1"/>
  <c r="H11" i="4"/>
  <c r="H48" i="4"/>
  <c r="G46" i="4"/>
  <c r="G9" i="4" s="1"/>
  <c r="G47" i="4"/>
  <c r="G10" i="4" s="1"/>
  <c r="G11" i="4"/>
  <c r="F46" i="4"/>
  <c r="F9" i="4" s="1"/>
  <c r="F11" i="4"/>
  <c r="E47" i="4"/>
  <c r="E10" i="4" s="1"/>
  <c r="E48" i="4"/>
  <c r="A48" i="8"/>
  <c r="A47" i="8"/>
  <c r="A40" i="8"/>
  <c r="A37" i="8"/>
  <c r="A29" i="8"/>
  <c r="A27" i="8"/>
  <c r="A26" i="8"/>
  <c r="A25" i="8"/>
  <c r="A24" i="8"/>
  <c r="A23" i="8"/>
  <c r="A22" i="8"/>
  <c r="A14" i="8"/>
  <c r="A13" i="8"/>
  <c r="A12" i="8"/>
  <c r="A11" i="8"/>
  <c r="A10" i="8"/>
  <c r="A9" i="8"/>
  <c r="A8" i="8"/>
  <c r="A7" i="8"/>
  <c r="A6" i="8"/>
  <c r="J79" i="8"/>
  <c r="I79" i="8"/>
  <c r="H79" i="8"/>
  <c r="G79" i="8"/>
  <c r="A141" i="13"/>
  <c r="A140" i="13"/>
  <c r="A138" i="13"/>
  <c r="A137" i="13"/>
  <c r="A135" i="13"/>
  <c r="A134" i="13"/>
  <c r="A133" i="13"/>
  <c r="A131" i="13"/>
  <c r="A130" i="13"/>
  <c r="A127" i="13"/>
  <c r="A126" i="13"/>
  <c r="A124" i="13"/>
  <c r="A122" i="13"/>
  <c r="A121" i="13"/>
  <c r="A120" i="13"/>
  <c r="A117" i="13"/>
  <c r="A116" i="13"/>
  <c r="A114" i="13"/>
  <c r="A112" i="13"/>
  <c r="A111" i="13"/>
  <c r="A110" i="13"/>
  <c r="A109" i="13"/>
  <c r="A108" i="13"/>
  <c r="A107" i="13"/>
  <c r="A106" i="13"/>
  <c r="A105" i="13"/>
  <c r="A97" i="13"/>
  <c r="A95" i="13"/>
  <c r="A94" i="13"/>
  <c r="A93" i="13"/>
  <c r="A92" i="13"/>
  <c r="A91" i="13"/>
  <c r="A88" i="13"/>
  <c r="A86" i="13"/>
  <c r="A85" i="13"/>
  <c r="A84" i="13"/>
  <c r="A83" i="13"/>
  <c r="A82" i="13"/>
  <c r="A81" i="13"/>
  <c r="A79" i="13"/>
  <c r="A78" i="13"/>
  <c r="A77" i="13"/>
  <c r="A75" i="13"/>
  <c r="A74" i="13"/>
  <c r="A73" i="13"/>
  <c r="A72" i="13"/>
  <c r="A71" i="13"/>
  <c r="A70" i="13"/>
  <c r="A69" i="13"/>
  <c r="A67" i="13"/>
  <c r="A66" i="13"/>
  <c r="A64" i="13"/>
  <c r="A63" i="13"/>
  <c r="A62" i="13"/>
  <c r="A61" i="13"/>
  <c r="A59" i="13"/>
  <c r="A57" i="13"/>
  <c r="A56" i="13"/>
  <c r="A53" i="13"/>
  <c r="A51" i="13"/>
  <c r="A50" i="13"/>
  <c r="A47" i="13"/>
  <c r="A46" i="13"/>
  <c r="A45" i="13"/>
  <c r="A44" i="13"/>
  <c r="A43" i="13"/>
  <c r="A42" i="13"/>
  <c r="A41" i="13"/>
  <c r="A40" i="13"/>
  <c r="A33" i="13"/>
  <c r="A32" i="13"/>
  <c r="A30" i="13"/>
  <c r="A29" i="13"/>
  <c r="A28" i="13"/>
  <c r="A27" i="13"/>
  <c r="A26" i="13"/>
  <c r="A24" i="13"/>
  <c r="A23" i="13"/>
  <c r="A20" i="13"/>
  <c r="A19" i="13"/>
  <c r="A18" i="13"/>
  <c r="A16" i="13"/>
  <c r="A15" i="13"/>
  <c r="A14" i="13"/>
  <c r="A13" i="13"/>
  <c r="A8" i="13"/>
  <c r="A7" i="13"/>
  <c r="J150" i="13"/>
  <c r="J153" i="13"/>
  <c r="I150" i="13"/>
  <c r="I153" i="13"/>
  <c r="H150" i="13"/>
  <c r="H153" i="13"/>
  <c r="G150" i="13"/>
  <c r="F153" i="13"/>
  <c r="H45" i="5"/>
  <c r="H20" i="5" s="1"/>
  <c r="G45" i="5"/>
  <c r="G20" i="5" s="1"/>
  <c r="F45" i="5"/>
  <c r="F20" i="5" s="1"/>
  <c r="E45" i="5"/>
  <c r="E20" i="5" s="1"/>
  <c r="D45" i="5"/>
  <c r="D20" i="5" s="1"/>
  <c r="B1" i="13"/>
  <c r="G44" i="9"/>
  <c r="H44" i="9"/>
  <c r="G45" i="9"/>
  <c r="H10" i="9" s="1"/>
  <c r="H45" i="9"/>
  <c r="I10" i="9" s="1"/>
  <c r="G46" i="9"/>
  <c r="H46" i="9"/>
  <c r="F31" i="12"/>
  <c r="D20" i="12"/>
  <c r="G31" i="12"/>
  <c r="G32" i="12"/>
  <c r="H31" i="12"/>
  <c r="H32" i="12"/>
  <c r="I31" i="12"/>
  <c r="I32" i="12"/>
  <c r="E32" i="12"/>
  <c r="D46" i="9"/>
  <c r="E44" i="9"/>
  <c r="F44" i="9"/>
  <c r="F61" i="8"/>
  <c r="G61" i="8"/>
  <c r="H61" i="8"/>
  <c r="I61" i="8"/>
  <c r="J61" i="8"/>
  <c r="E63" i="8"/>
  <c r="D40" i="5"/>
  <c r="A1" i="5"/>
  <c r="E39" i="5"/>
  <c r="F39" i="5"/>
  <c r="F40" i="5"/>
  <c r="G39" i="5"/>
  <c r="G40" i="5"/>
  <c r="H39" i="5"/>
  <c r="H40" i="5"/>
  <c r="H16" i="1"/>
  <c r="B39" i="2"/>
  <c r="E39" i="2"/>
  <c r="F39" i="2"/>
  <c r="G39" i="2"/>
  <c r="B30" i="2"/>
  <c r="B32" i="2" s="1"/>
  <c r="D26" i="9"/>
  <c r="D27" i="9"/>
  <c r="D45" i="9"/>
  <c r="E10" i="9" s="1"/>
  <c r="D28" i="9"/>
  <c r="F45" i="9"/>
  <c r="G10" i="9" s="1"/>
  <c r="D29" i="9"/>
  <c r="E39" i="9" s="1"/>
  <c r="F39" i="9" s="1"/>
  <c r="D30" i="9"/>
  <c r="D31" i="9"/>
  <c r="D32" i="9"/>
  <c r="D38" i="9" s="1"/>
  <c r="D40" i="9" s="1"/>
  <c r="D41" i="5"/>
  <c r="G41" i="5"/>
  <c r="H41" i="5"/>
  <c r="C30" i="5"/>
  <c r="F82" i="8"/>
  <c r="H82" i="8"/>
  <c r="I82" i="8"/>
  <c r="J82" i="8"/>
  <c r="F84" i="8"/>
  <c r="I84" i="8"/>
  <c r="J84" i="8"/>
  <c r="D17" i="12"/>
  <c r="E18" i="12"/>
  <c r="D18" i="12"/>
  <c r="F18" i="12"/>
  <c r="G18" i="12"/>
  <c r="H18" i="12"/>
  <c r="I18" i="12"/>
  <c r="D19" i="12"/>
  <c r="B12" i="3"/>
  <c r="B13" i="3" s="1"/>
  <c r="C18" i="3"/>
  <c r="C17" i="3"/>
  <c r="D18" i="3"/>
  <c r="D16" i="3"/>
  <c r="E16" i="3"/>
  <c r="E17" i="3"/>
  <c r="F18" i="3"/>
  <c r="F16" i="3"/>
  <c r="F17" i="3"/>
  <c r="G18" i="3"/>
  <c r="G16" i="3"/>
  <c r="G17" i="3"/>
  <c r="B1" i="8"/>
  <c r="B28" i="4"/>
  <c r="B29" i="4"/>
  <c r="B30" i="4"/>
  <c r="B31" i="4"/>
  <c r="B32" i="4"/>
  <c r="B33" i="4"/>
  <c r="B34" i="4"/>
  <c r="B35" i="4"/>
  <c r="B36" i="4"/>
  <c r="B37" i="4"/>
  <c r="B27" i="4"/>
  <c r="B23" i="4"/>
  <c r="B20" i="4"/>
  <c r="B21" i="4"/>
  <c r="B22" i="4"/>
  <c r="B15" i="4"/>
  <c r="B16" i="4"/>
  <c r="B17" i="4"/>
  <c r="B18" i="4"/>
  <c r="B19" i="4"/>
  <c r="B14" i="4"/>
  <c r="C47" i="9"/>
  <c r="C48" i="9"/>
  <c r="A1" i="3"/>
  <c r="E77" i="8"/>
  <c r="B14" i="7"/>
  <c r="A1" i="2"/>
  <c r="A1" i="12"/>
  <c r="A1" i="9"/>
  <c r="C21" i="3"/>
  <c r="F21" i="3"/>
  <c r="D330" i="7"/>
  <c r="E330" i="7"/>
  <c r="F330" i="7"/>
  <c r="G330" i="7"/>
  <c r="H52" i="1"/>
  <c r="H42" i="1"/>
  <c r="H28" i="1"/>
  <c r="H27" i="1"/>
  <c r="H18" i="1"/>
  <c r="H10" i="1"/>
  <c r="G21" i="3"/>
  <c r="H12" i="1"/>
  <c r="A1" i="7"/>
  <c r="C330" i="7"/>
  <c r="D49" i="4"/>
  <c r="D50" i="4"/>
  <c r="C42" i="5"/>
  <c r="C43" i="5"/>
  <c r="E72" i="8"/>
  <c r="E73" i="8"/>
  <c r="E74" i="8"/>
  <c r="E75" i="8"/>
  <c r="E143" i="13"/>
  <c r="E144" i="13"/>
  <c r="E146" i="13"/>
  <c r="E147" i="13"/>
  <c r="F155" i="13"/>
  <c r="I155" i="13"/>
  <c r="J155" i="13"/>
  <c r="E33" i="12"/>
  <c r="H33" i="12"/>
  <c r="I33" i="12"/>
  <c r="D34" i="12"/>
  <c r="D35" i="12"/>
  <c r="D37" i="12"/>
  <c r="B9" i="2"/>
  <c r="G16" i="9" l="1"/>
  <c r="G15" i="9"/>
  <c r="G18" i="9"/>
  <c r="G20" i="9"/>
  <c r="G9" i="9"/>
  <c r="G8" i="9"/>
  <c r="G29" i="9" s="1"/>
  <c r="I29" i="9"/>
  <c r="I16" i="9"/>
  <c r="I26" i="9" s="1"/>
  <c r="I15" i="9"/>
  <c r="I18" i="9"/>
  <c r="I9" i="9"/>
  <c r="I8" i="9"/>
  <c r="I20" i="9"/>
  <c r="F15" i="9"/>
  <c r="F16" i="9"/>
  <c r="F18" i="9"/>
  <c r="F27" i="9" s="1"/>
  <c r="F8" i="9"/>
  <c r="F9" i="9"/>
  <c r="F20" i="9"/>
  <c r="H16" i="9"/>
  <c r="H15" i="9"/>
  <c r="H18" i="9"/>
  <c r="H9" i="9"/>
  <c r="H20" i="9"/>
  <c r="H8" i="9"/>
  <c r="E14" i="9"/>
  <c r="E21" i="9"/>
  <c r="E11" i="9"/>
  <c r="I14" i="9"/>
  <c r="I11" i="9"/>
  <c r="I21" i="9"/>
  <c r="I30" i="9" s="1"/>
  <c r="I35" i="9" s="1"/>
  <c r="H14" i="9"/>
  <c r="H21" i="9"/>
  <c r="H11" i="9"/>
  <c r="E76" i="13"/>
  <c r="E35" i="4"/>
  <c r="E30" i="4"/>
  <c r="C28" i="5"/>
  <c r="G19" i="12"/>
  <c r="G25" i="12" s="1"/>
  <c r="E35" i="1" s="1"/>
  <c r="I27" i="9"/>
  <c r="E14" i="4"/>
  <c r="I12" i="4"/>
  <c r="H27" i="9"/>
  <c r="E112" i="13"/>
  <c r="H113" i="13"/>
  <c r="H63" i="13"/>
  <c r="E51" i="8"/>
  <c r="E65" i="8" s="1"/>
  <c r="I24" i="12"/>
  <c r="H51" i="8"/>
  <c r="E50" i="8"/>
  <c r="E49" i="8"/>
  <c r="J51" i="8"/>
  <c r="F51" i="8"/>
  <c r="E30" i="8"/>
  <c r="I51" i="8"/>
  <c r="G51" i="8"/>
  <c r="E13" i="13"/>
  <c r="E117" i="13"/>
  <c r="G113" i="13"/>
  <c r="J63" i="13"/>
  <c r="E63" i="13"/>
  <c r="E116" i="13"/>
  <c r="F113" i="13"/>
  <c r="G63" i="13"/>
  <c r="I63" i="13"/>
  <c r="F63" i="13"/>
  <c r="E114" i="13"/>
  <c r="H19" i="12"/>
  <c r="H25" i="12" s="1"/>
  <c r="F35" i="1" s="1"/>
  <c r="H19" i="4"/>
  <c r="F14" i="4"/>
  <c r="D24" i="4"/>
  <c r="E23" i="4"/>
  <c r="B8" i="2"/>
  <c r="I22" i="4"/>
  <c r="H21" i="4"/>
  <c r="H18" i="4"/>
  <c r="H14" i="4"/>
  <c r="I113" i="13"/>
  <c r="E119" i="13"/>
  <c r="E19" i="4"/>
  <c r="F19" i="4"/>
  <c r="G19" i="4"/>
  <c r="H22" i="4"/>
  <c r="G32" i="4"/>
  <c r="G28" i="4"/>
  <c r="G16" i="4"/>
  <c r="H20" i="4"/>
  <c r="H16" i="4"/>
  <c r="E21" i="4"/>
  <c r="E18" i="4"/>
  <c r="F21" i="4"/>
  <c r="F18" i="4"/>
  <c r="G21" i="4"/>
  <c r="G18" i="4"/>
  <c r="G14" i="4"/>
  <c r="H23" i="4"/>
  <c r="E77" i="13"/>
  <c r="G30" i="4"/>
  <c r="H27" i="4"/>
  <c r="H29" i="9"/>
  <c r="H26" i="9"/>
  <c r="H115" i="13"/>
  <c r="E27" i="4"/>
  <c r="F27" i="4"/>
  <c r="G27" i="4"/>
  <c r="E31" i="8"/>
  <c r="E32" i="8"/>
  <c r="H30" i="4"/>
  <c r="G27" i="9"/>
  <c r="G22" i="4"/>
  <c r="G20" i="4"/>
  <c r="H32" i="4"/>
  <c r="E118" i="13"/>
  <c r="E115" i="13"/>
  <c r="E113" i="13"/>
  <c r="J113" i="13"/>
  <c r="G24" i="12"/>
  <c r="G26" i="9"/>
  <c r="G33" i="4"/>
  <c r="G31" i="4"/>
  <c r="G29" i="4"/>
  <c r="H28" i="4"/>
  <c r="H29" i="4"/>
  <c r="C29" i="5"/>
  <c r="H33" i="4"/>
  <c r="H31" i="4"/>
  <c r="E32" i="2"/>
  <c r="H35" i="4"/>
  <c r="H17" i="4"/>
  <c r="H15" i="4"/>
  <c r="H12" i="4"/>
  <c r="F31" i="4"/>
  <c r="E17" i="4"/>
  <c r="F33" i="4"/>
  <c r="F28" i="4"/>
  <c r="F22" i="4"/>
  <c r="F20" i="4"/>
  <c r="F16" i="4"/>
  <c r="D14" i="2"/>
  <c r="D17" i="2"/>
  <c r="E18" i="2"/>
  <c r="E15" i="2"/>
  <c r="C13" i="2"/>
  <c r="C17" i="2"/>
  <c r="I20" i="4"/>
  <c r="I19" i="4"/>
  <c r="I31" i="4"/>
  <c r="I19" i="12"/>
  <c r="I25" i="12" s="1"/>
  <c r="G35" i="1" s="1"/>
  <c r="H37" i="4"/>
  <c r="G32" i="2"/>
  <c r="C32" i="2"/>
  <c r="I33" i="4"/>
  <c r="E120" i="13"/>
  <c r="E14" i="13"/>
  <c r="E121" i="13"/>
  <c r="E52" i="8"/>
  <c r="D18" i="2"/>
  <c r="I30" i="4"/>
  <c r="I29" i="4"/>
  <c r="F29" i="9"/>
  <c r="F26" i="9"/>
  <c r="I23" i="4"/>
  <c r="H19" i="1"/>
  <c r="E37" i="4"/>
  <c r="G17" i="4"/>
  <c r="G15" i="4"/>
  <c r="G12" i="4"/>
  <c r="C45" i="5"/>
  <c r="I35" i="4"/>
  <c r="I27" i="4"/>
  <c r="I17" i="4"/>
  <c r="I16" i="4"/>
  <c r="I15" i="4"/>
  <c r="I14" i="4"/>
  <c r="H24" i="12"/>
  <c r="F24" i="12"/>
  <c r="B25" i="2"/>
  <c r="E33" i="8"/>
  <c r="E24" i="12"/>
  <c r="F32" i="2"/>
  <c r="D32" i="2"/>
  <c r="F32" i="4"/>
  <c r="F29" i="4"/>
  <c r="F15" i="4"/>
  <c r="F12" i="4"/>
  <c r="I37" i="4"/>
  <c r="D38" i="4"/>
  <c r="I32" i="4"/>
  <c r="I28" i="4"/>
  <c r="I21" i="4"/>
  <c r="I18" i="4"/>
  <c r="B10" i="2"/>
  <c r="E16" i="2" s="1"/>
  <c r="J149" i="13"/>
  <c r="J78" i="8"/>
  <c r="G18" i="7"/>
  <c r="G21" i="7" s="1"/>
  <c r="D74" i="17" l="1"/>
  <c r="C64" i="1"/>
  <c r="E74" i="17"/>
  <c r="D64" i="1"/>
  <c r="F75" i="17"/>
  <c r="E65" i="1"/>
  <c r="F123" i="13"/>
  <c r="H20" i="12"/>
  <c r="H26" i="12" s="1"/>
  <c r="F36" i="1" s="1"/>
  <c r="F37" i="1" s="1"/>
  <c r="H28" i="5"/>
  <c r="F28" i="5"/>
  <c r="G28" i="5"/>
  <c r="F64" i="13"/>
  <c r="F47" i="4"/>
  <c r="H61" i="1"/>
  <c r="H40" i="1"/>
  <c r="G55" i="8"/>
  <c r="D14" i="1" s="1"/>
  <c r="E40" i="5"/>
  <c r="I50" i="8"/>
  <c r="I54" i="8" s="1"/>
  <c r="F15" i="1" s="1"/>
  <c r="H50" i="8"/>
  <c r="H54" i="8" s="1"/>
  <c r="E15" i="1" s="1"/>
  <c r="I28" i="9"/>
  <c r="I34" i="9" s="1"/>
  <c r="H30" i="9"/>
  <c r="H35" i="9" s="1"/>
  <c r="I115" i="13"/>
  <c r="I125" i="13" s="1"/>
  <c r="E31" i="12"/>
  <c r="H64" i="13"/>
  <c r="I55" i="8"/>
  <c r="F14" i="1" s="1"/>
  <c r="F55" i="8"/>
  <c r="C14" i="1" s="1"/>
  <c r="F135" i="13"/>
  <c r="J55" i="8"/>
  <c r="G14" i="1" s="1"/>
  <c r="H55" i="8"/>
  <c r="E14" i="1" s="1"/>
  <c r="I20" i="12"/>
  <c r="I26" i="12" s="1"/>
  <c r="G36" i="1" s="1"/>
  <c r="G37" i="1" s="1"/>
  <c r="E78" i="17"/>
  <c r="F78" i="17"/>
  <c r="G20" i="12"/>
  <c r="G26" i="12" s="1"/>
  <c r="E36" i="1" s="1"/>
  <c r="E37" i="1" s="1"/>
  <c r="D40" i="4"/>
  <c r="G82" i="8"/>
  <c r="H125" i="13"/>
  <c r="J50" i="8"/>
  <c r="J54" i="8" s="1"/>
  <c r="G15" i="1" s="1"/>
  <c r="I64" i="13"/>
  <c r="I135" i="13"/>
  <c r="J64" i="13"/>
  <c r="D44" i="9"/>
  <c r="J135" i="13"/>
  <c r="H135" i="13"/>
  <c r="G135" i="13"/>
  <c r="G64" i="13"/>
  <c r="E137" i="13"/>
  <c r="F79" i="8"/>
  <c r="F150" i="13"/>
  <c r="G153" i="13"/>
  <c r="D17" i="3"/>
  <c r="D11" i="3" s="1"/>
  <c r="C16" i="3"/>
  <c r="C9" i="3" s="1"/>
  <c r="B13" i="2"/>
  <c r="B16" i="3" s="1"/>
  <c r="E46" i="4"/>
  <c r="E9" i="4" s="1"/>
  <c r="E45" i="9"/>
  <c r="F32" i="12"/>
  <c r="D39" i="5"/>
  <c r="B14" i="2"/>
  <c r="B17" i="3" s="1"/>
  <c r="J30" i="8"/>
  <c r="J115" i="13"/>
  <c r="J125" i="13" s="1"/>
  <c r="H28" i="9"/>
  <c r="H34" i="9" s="1"/>
  <c r="F17" i="4"/>
  <c r="H24" i="4"/>
  <c r="G32" i="5"/>
  <c r="G31" i="5"/>
  <c r="F31" i="5"/>
  <c r="E31" i="5"/>
  <c r="E32" i="5"/>
  <c r="I123" i="13"/>
  <c r="D16" i="2"/>
  <c r="D65" i="1" s="1"/>
  <c r="D24" i="12"/>
  <c r="C16" i="2"/>
  <c r="C65" i="1" s="1"/>
  <c r="G16" i="2"/>
  <c r="H31" i="5"/>
  <c r="J123" i="13"/>
  <c r="F151" i="13"/>
  <c r="F102" i="13" s="1"/>
  <c r="F80" i="8"/>
  <c r="G151" i="13"/>
  <c r="G102" i="13" s="1"/>
  <c r="G80" i="8"/>
  <c r="G123" i="13"/>
  <c r="H123" i="13"/>
  <c r="E66" i="13"/>
  <c r="H32" i="5"/>
  <c r="E67" i="8"/>
  <c r="F32" i="5"/>
  <c r="F30" i="4"/>
  <c r="B17" i="2"/>
  <c r="G48" i="4"/>
  <c r="F46" i="9"/>
  <c r="F41" i="5"/>
  <c r="H84" i="8"/>
  <c r="H14" i="8" s="1"/>
  <c r="E21" i="3"/>
  <c r="H155" i="13"/>
  <c r="G33" i="12"/>
  <c r="B15" i="2"/>
  <c r="E18" i="3"/>
  <c r="E8" i="3" s="1"/>
  <c r="H17" i="1"/>
  <c r="J49" i="13"/>
  <c r="H32" i="1"/>
  <c r="I24" i="4"/>
  <c r="F16" i="2"/>
  <c r="F65" i="1" s="1"/>
  <c r="E46" i="9"/>
  <c r="B18" i="2"/>
  <c r="B21" i="3" s="1"/>
  <c r="E41" i="5"/>
  <c r="G84" i="8"/>
  <c r="G14" i="8" s="1"/>
  <c r="D21" i="3"/>
  <c r="F48" i="4"/>
  <c r="G155" i="13"/>
  <c r="F33" i="12"/>
  <c r="G115" i="13"/>
  <c r="G125" i="13" s="1"/>
  <c r="F149" i="13"/>
  <c r="F78" i="8"/>
  <c r="I149" i="13"/>
  <c r="I78" i="8"/>
  <c r="I30" i="8" s="1"/>
  <c r="H149" i="13"/>
  <c r="H78" i="8"/>
  <c r="G149" i="13"/>
  <c r="G78" i="8"/>
  <c r="I52" i="4"/>
  <c r="I36" i="4" s="1"/>
  <c r="H46" i="5"/>
  <c r="G51" i="4"/>
  <c r="H81" i="8"/>
  <c r="H152" i="13"/>
  <c r="F49" i="9"/>
  <c r="G13" i="9" s="1"/>
  <c r="G36" i="12"/>
  <c r="F44" i="5"/>
  <c r="E20" i="3"/>
  <c r="E10" i="3" s="1"/>
  <c r="J59" i="8"/>
  <c r="J49" i="8"/>
  <c r="J53" i="8" s="1"/>
  <c r="J58" i="8"/>
  <c r="F33" i="1" l="1"/>
  <c r="F34" i="1"/>
  <c r="G34" i="1"/>
  <c r="G33" i="1"/>
  <c r="E33" i="1"/>
  <c r="E34" i="1"/>
  <c r="E25" i="5"/>
  <c r="E18" i="5"/>
  <c r="F10" i="12"/>
  <c r="F8" i="12"/>
  <c r="F12" i="12"/>
  <c r="F20" i="12" s="1"/>
  <c r="F26" i="12" s="1"/>
  <c r="D36" i="1" s="1"/>
  <c r="D37" i="1" s="1"/>
  <c r="F16" i="12"/>
  <c r="G47" i="8"/>
  <c r="G46" i="8"/>
  <c r="G39" i="8"/>
  <c r="F18" i="5"/>
  <c r="F25" i="5"/>
  <c r="G26" i="13"/>
  <c r="G47" i="13"/>
  <c r="G87" i="13"/>
  <c r="E24" i="5"/>
  <c r="E17" i="5"/>
  <c r="E10" i="5"/>
  <c r="H29" i="13"/>
  <c r="H37" i="13"/>
  <c r="H73" i="13"/>
  <c r="H91" i="13"/>
  <c r="H111" i="13"/>
  <c r="H11" i="13"/>
  <c r="H46" i="13"/>
  <c r="H33" i="13"/>
  <c r="H85" i="13"/>
  <c r="H75" i="13"/>
  <c r="H103" i="13"/>
  <c r="H95" i="13"/>
  <c r="H45" i="8"/>
  <c r="H20" i="8"/>
  <c r="H27" i="8"/>
  <c r="D31" i="5"/>
  <c r="D8" i="5"/>
  <c r="D12" i="5"/>
  <c r="D22" i="5"/>
  <c r="D15" i="5"/>
  <c r="D9" i="5"/>
  <c r="D11" i="5"/>
  <c r="F61" i="13"/>
  <c r="F62" i="13"/>
  <c r="F133" i="13"/>
  <c r="F39" i="13"/>
  <c r="F27" i="13"/>
  <c r="F25" i="13"/>
  <c r="F86" i="13"/>
  <c r="F8" i="13"/>
  <c r="F101" i="13"/>
  <c r="F23" i="13"/>
  <c r="F88" i="13"/>
  <c r="F72" i="13"/>
  <c r="F84" i="13"/>
  <c r="F110" i="13"/>
  <c r="F71" i="13"/>
  <c r="F45" i="13"/>
  <c r="F90" i="13"/>
  <c r="F36" i="13"/>
  <c r="F9" i="13"/>
  <c r="F8" i="8"/>
  <c r="F9" i="8"/>
  <c r="F23" i="8"/>
  <c r="F22" i="8"/>
  <c r="F38" i="8"/>
  <c r="F50" i="8" s="1"/>
  <c r="F54" i="8" s="1"/>
  <c r="C15" i="1" s="1"/>
  <c r="F37" i="8"/>
  <c r="F44" i="8"/>
  <c r="F7" i="8"/>
  <c r="F6" i="8"/>
  <c r="F13" i="8"/>
  <c r="F30" i="8" s="1"/>
  <c r="F26" i="8"/>
  <c r="F18" i="8"/>
  <c r="E7" i="12"/>
  <c r="E11" i="12"/>
  <c r="E20" i="12" s="1"/>
  <c r="E26" i="12" s="1"/>
  <c r="C36" i="1" s="1"/>
  <c r="C37" i="1" s="1"/>
  <c r="E15" i="12"/>
  <c r="E17" i="12" s="1"/>
  <c r="E23" i="12" s="1"/>
  <c r="C38" i="1" s="1"/>
  <c r="E9" i="12"/>
  <c r="E19" i="12" s="1"/>
  <c r="E25" i="12" s="1"/>
  <c r="C35" i="1" s="1"/>
  <c r="F16" i="5"/>
  <c r="F23" i="5"/>
  <c r="H22" i="1"/>
  <c r="H21" i="1"/>
  <c r="J55" i="13"/>
  <c r="G47" i="1" s="1"/>
  <c r="C45" i="9"/>
  <c r="F10" i="9"/>
  <c r="F14" i="9"/>
  <c r="F21" i="9"/>
  <c r="F11" i="9"/>
  <c r="E15" i="9"/>
  <c r="E16" i="9"/>
  <c r="E26" i="9" s="1"/>
  <c r="E18" i="9"/>
  <c r="E27" i="9" s="1"/>
  <c r="E8" i="9"/>
  <c r="E29" i="9" s="1"/>
  <c r="E9" i="9"/>
  <c r="E20" i="9"/>
  <c r="G14" i="9"/>
  <c r="G21" i="9"/>
  <c r="G11" i="9"/>
  <c r="G28" i="9" s="1"/>
  <c r="G34" i="9" s="1"/>
  <c r="E38" i="17"/>
  <c r="E39" i="17"/>
  <c r="C74" i="17"/>
  <c r="D38" i="17"/>
  <c r="D39" i="17"/>
  <c r="D47" i="4"/>
  <c r="F10" i="4"/>
  <c r="H64" i="1"/>
  <c r="J81" i="8"/>
  <c r="G65" i="1"/>
  <c r="H65" i="1" s="1"/>
  <c r="E31" i="4"/>
  <c r="E33" i="4"/>
  <c r="E32" i="4"/>
  <c r="E79" i="8"/>
  <c r="C31" i="5"/>
  <c r="E28" i="5"/>
  <c r="C40" i="5"/>
  <c r="D31" i="12"/>
  <c r="D46" i="4"/>
  <c r="E15" i="4"/>
  <c r="E12" i="4"/>
  <c r="E16" i="4"/>
  <c r="D32" i="5"/>
  <c r="C32" i="5" s="1"/>
  <c r="H14" i="1"/>
  <c r="E55" i="8"/>
  <c r="H63" i="1"/>
  <c r="C78" i="17"/>
  <c r="E82" i="8"/>
  <c r="G50" i="8"/>
  <c r="G54" i="8" s="1"/>
  <c r="D15" i="1" s="1"/>
  <c r="G81" i="8"/>
  <c r="E75" i="17"/>
  <c r="H49" i="9"/>
  <c r="H75" i="17"/>
  <c r="E28" i="4"/>
  <c r="E29" i="4"/>
  <c r="H51" i="4"/>
  <c r="H34" i="4" s="1"/>
  <c r="G75" i="17"/>
  <c r="E51" i="4"/>
  <c r="E34" i="4" s="1"/>
  <c r="D75" i="17"/>
  <c r="E20" i="4"/>
  <c r="D32" i="12"/>
  <c r="C44" i="9"/>
  <c r="E49" i="9"/>
  <c r="F13" i="9" s="1"/>
  <c r="E30" i="9"/>
  <c r="E35" i="9" s="1"/>
  <c r="E22" i="4"/>
  <c r="E64" i="13"/>
  <c r="J152" i="13"/>
  <c r="E150" i="13"/>
  <c r="C39" i="5"/>
  <c r="F115" i="13"/>
  <c r="G20" i="3"/>
  <c r="H44" i="5"/>
  <c r="E135" i="13"/>
  <c r="F81" i="8"/>
  <c r="E153" i="13"/>
  <c r="E36" i="12"/>
  <c r="D49" i="9"/>
  <c r="E13" i="9" s="1"/>
  <c r="G44" i="5"/>
  <c r="I152" i="13"/>
  <c r="I81" i="8"/>
  <c r="F51" i="4"/>
  <c r="F34" i="4" s="1"/>
  <c r="I36" i="12"/>
  <c r="I51" i="4"/>
  <c r="I34" i="4" s="1"/>
  <c r="B16" i="2"/>
  <c r="B20" i="3" s="1"/>
  <c r="E44" i="5"/>
  <c r="F20" i="3"/>
  <c r="G49" i="9"/>
  <c r="D20" i="3"/>
  <c r="G152" i="13"/>
  <c r="D44" i="5"/>
  <c r="F152" i="13"/>
  <c r="H36" i="12"/>
  <c r="F36" i="12"/>
  <c r="C20" i="3"/>
  <c r="C10" i="3" s="1"/>
  <c r="E151" i="13"/>
  <c r="E80" i="8"/>
  <c r="E123" i="13"/>
  <c r="E155" i="13"/>
  <c r="E78" i="8"/>
  <c r="G31" i="9"/>
  <c r="G36" i="9" s="1"/>
  <c r="G30" i="9"/>
  <c r="G35" i="9" s="1"/>
  <c r="B19" i="3"/>
  <c r="B18" i="3"/>
  <c r="F29" i="5"/>
  <c r="F34" i="5" s="1"/>
  <c r="E30" i="1" s="1"/>
  <c r="G35" i="4"/>
  <c r="G37" i="4"/>
  <c r="G23" i="4"/>
  <c r="G24" i="4" s="1"/>
  <c r="E12" i="3"/>
  <c r="E13" i="3" s="1"/>
  <c r="E149" i="13"/>
  <c r="D33" i="12"/>
  <c r="H49" i="13"/>
  <c r="G49" i="13"/>
  <c r="I49" i="13"/>
  <c r="H9" i="1"/>
  <c r="E84" i="8"/>
  <c r="F23" i="4"/>
  <c r="F24" i="4" s="1"/>
  <c r="F37" i="4"/>
  <c r="F35" i="4"/>
  <c r="D48" i="4"/>
  <c r="C41" i="5"/>
  <c r="F30" i="9"/>
  <c r="F35" i="9" s="1"/>
  <c r="C46" i="9"/>
  <c r="G59" i="8"/>
  <c r="G58" i="8"/>
  <c r="G52" i="4"/>
  <c r="G36" i="4" s="1"/>
  <c r="F46" i="5"/>
  <c r="I58" i="8"/>
  <c r="I59" i="8"/>
  <c r="D46" i="5"/>
  <c r="E52" i="4"/>
  <c r="E36" i="4" s="1"/>
  <c r="H31" i="1"/>
  <c r="F52" i="4"/>
  <c r="F36" i="4" s="1"/>
  <c r="E46" i="5"/>
  <c r="H58" i="8"/>
  <c r="H59" i="8"/>
  <c r="G46" i="5"/>
  <c r="H52" i="4"/>
  <c r="H36" i="4" s="1"/>
  <c r="F59" i="8"/>
  <c r="F58" i="8"/>
  <c r="G17" i="12"/>
  <c r="G23" i="12" s="1"/>
  <c r="E38" i="1" s="1"/>
  <c r="H116" i="13"/>
  <c r="H126" i="13" s="1"/>
  <c r="E59" i="1" s="1"/>
  <c r="G34" i="4"/>
  <c r="J60" i="8"/>
  <c r="J62" i="8"/>
  <c r="H60" i="8"/>
  <c r="H62" i="8"/>
  <c r="H17" i="12"/>
  <c r="H23" i="12" s="1"/>
  <c r="F38" i="1" s="1"/>
  <c r="I17" i="12"/>
  <c r="I23" i="12" s="1"/>
  <c r="G38" i="1" s="1"/>
  <c r="C34" i="1" l="1"/>
  <c r="C33" i="1"/>
  <c r="D34" i="1"/>
  <c r="H34" i="1" s="1"/>
  <c r="D33" i="1"/>
  <c r="D10" i="3"/>
  <c r="D12" i="3" s="1"/>
  <c r="D13" i="3" s="1"/>
  <c r="I62" i="8"/>
  <c r="I45" i="8"/>
  <c r="I20" i="8"/>
  <c r="I27" i="8"/>
  <c r="I29" i="13"/>
  <c r="I91" i="13"/>
  <c r="I11" i="13"/>
  <c r="I13" i="13" s="1"/>
  <c r="I15" i="13" s="1"/>
  <c r="F44" i="1" s="1"/>
  <c r="I85" i="13"/>
  <c r="I33" i="13"/>
  <c r="I75" i="13"/>
  <c r="I111" i="13"/>
  <c r="I103" i="13"/>
  <c r="I46" i="13"/>
  <c r="I95" i="13"/>
  <c r="I37" i="13"/>
  <c r="I73" i="13"/>
  <c r="J45" i="8"/>
  <c r="J52" i="8" s="1"/>
  <c r="J20" i="8"/>
  <c r="J31" i="8" s="1"/>
  <c r="J27" i="8"/>
  <c r="J32" i="8" s="1"/>
  <c r="J35" i="8" s="1"/>
  <c r="G45" i="8"/>
  <c r="G20" i="8"/>
  <c r="G31" i="8" s="1"/>
  <c r="G27" i="8"/>
  <c r="F10" i="3"/>
  <c r="F12" i="3" s="1"/>
  <c r="F13" i="3" s="1"/>
  <c r="G16" i="5"/>
  <c r="G23" i="5"/>
  <c r="G29" i="5" s="1"/>
  <c r="G34" i="5" s="1"/>
  <c r="F30" i="1" s="1"/>
  <c r="H16" i="5"/>
  <c r="H23" i="5"/>
  <c r="H29" i="5" s="1"/>
  <c r="H34" i="5" s="1"/>
  <c r="G30" i="1" s="1"/>
  <c r="E16" i="5"/>
  <c r="E23" i="5"/>
  <c r="E29" i="5" s="1"/>
  <c r="E34" i="5" s="1"/>
  <c r="D30" i="1" s="1"/>
  <c r="G10" i="3"/>
  <c r="G12" i="3" s="1"/>
  <c r="G13" i="3" s="1"/>
  <c r="F29" i="13"/>
  <c r="F85" i="13"/>
  <c r="F95" i="13"/>
  <c r="F73" i="13"/>
  <c r="F37" i="13"/>
  <c r="F46" i="13"/>
  <c r="F111" i="13"/>
  <c r="F11" i="13"/>
  <c r="F75" i="13"/>
  <c r="F103" i="13"/>
  <c r="F33" i="13"/>
  <c r="F91" i="13"/>
  <c r="D16" i="5"/>
  <c r="D23" i="5"/>
  <c r="D29" i="5" s="1"/>
  <c r="D34" i="5" s="1"/>
  <c r="C30" i="1" s="1"/>
  <c r="F45" i="8"/>
  <c r="F20" i="8"/>
  <c r="F27" i="8"/>
  <c r="F32" i="8" s="1"/>
  <c r="F35" i="8" s="1"/>
  <c r="C11" i="1" s="1"/>
  <c r="G29" i="13"/>
  <c r="G103" i="13"/>
  <c r="G33" i="13"/>
  <c r="G37" i="13"/>
  <c r="G95" i="13"/>
  <c r="G111" i="13"/>
  <c r="G11" i="13"/>
  <c r="G85" i="13"/>
  <c r="G46" i="13"/>
  <c r="G91" i="13"/>
  <c r="G75" i="13"/>
  <c r="G73" i="13"/>
  <c r="J29" i="13"/>
  <c r="J111" i="13"/>
  <c r="J75" i="13"/>
  <c r="J85" i="13"/>
  <c r="J95" i="13"/>
  <c r="J33" i="13"/>
  <c r="J73" i="13"/>
  <c r="J103" i="13"/>
  <c r="J37" i="13"/>
  <c r="J46" i="13"/>
  <c r="J91" i="13"/>
  <c r="J116" i="13" s="1"/>
  <c r="J126" i="13" s="1"/>
  <c r="G59" i="1" s="1"/>
  <c r="J11" i="13"/>
  <c r="J13" i="13" s="1"/>
  <c r="J15" i="13" s="1"/>
  <c r="G44" i="1" s="1"/>
  <c r="I55" i="13"/>
  <c r="F47" i="1" s="1"/>
  <c r="G55" i="13"/>
  <c r="D47" i="1" s="1"/>
  <c r="H55" i="13"/>
  <c r="E47" i="1" s="1"/>
  <c r="H13" i="9"/>
  <c r="H31" i="9" s="1"/>
  <c r="H36" i="9" s="1"/>
  <c r="I13" i="9"/>
  <c r="I32" i="9" s="1"/>
  <c r="I37" i="9" s="1"/>
  <c r="E38" i="4"/>
  <c r="F125" i="13"/>
  <c r="E125" i="13" s="1"/>
  <c r="D28" i="5"/>
  <c r="D33" i="5" s="1"/>
  <c r="C29" i="1" s="1"/>
  <c r="F49" i="13"/>
  <c r="F55" i="13" s="1"/>
  <c r="C47" i="1" s="1"/>
  <c r="G22" i="12"/>
  <c r="G28" i="12" s="1"/>
  <c r="H22" i="12"/>
  <c r="H28" i="12" s="1"/>
  <c r="I22" i="12"/>
  <c r="I28" i="12" s="1"/>
  <c r="E22" i="12"/>
  <c r="E28" i="12" s="1"/>
  <c r="F19" i="12"/>
  <c r="F25" i="12" s="1"/>
  <c r="F22" i="12"/>
  <c r="F28" i="12" s="1"/>
  <c r="F17" i="12"/>
  <c r="F23" i="12" s="1"/>
  <c r="D38" i="1" s="1"/>
  <c r="H15" i="1"/>
  <c r="F28" i="9"/>
  <c r="F34" i="9" s="1"/>
  <c r="E54" i="8"/>
  <c r="G60" i="8"/>
  <c r="G32" i="8"/>
  <c r="G35" i="8" s="1"/>
  <c r="D11" i="1" s="1"/>
  <c r="H30" i="5"/>
  <c r="H35" i="5" s="1"/>
  <c r="G26" i="1" s="1"/>
  <c r="G62" i="8"/>
  <c r="D26" i="12"/>
  <c r="J52" i="13"/>
  <c r="J58" i="13" s="1"/>
  <c r="G50" i="1" s="1"/>
  <c r="E24" i="4"/>
  <c r="E28" i="9"/>
  <c r="E34" i="9" s="1"/>
  <c r="C75" i="17"/>
  <c r="H36" i="1"/>
  <c r="I60" i="8"/>
  <c r="I63" i="8" s="1"/>
  <c r="I65" i="8" s="1"/>
  <c r="I32" i="8"/>
  <c r="I35" i="8" s="1"/>
  <c r="F11" i="1" s="1"/>
  <c r="F31" i="9"/>
  <c r="F36" i="9" s="1"/>
  <c r="C49" i="9"/>
  <c r="F13" i="13"/>
  <c r="F15" i="13" s="1"/>
  <c r="C44" i="1" s="1"/>
  <c r="E81" i="8"/>
  <c r="F60" i="8"/>
  <c r="J76" i="13"/>
  <c r="J78" i="13" s="1"/>
  <c r="G54" i="1" s="1"/>
  <c r="D51" i="4"/>
  <c r="I116" i="13"/>
  <c r="I126" i="13" s="1"/>
  <c r="F59" i="1" s="1"/>
  <c r="I52" i="13"/>
  <c r="I58" i="13" s="1"/>
  <c r="F50" i="1" s="1"/>
  <c r="I52" i="8"/>
  <c r="F31" i="8"/>
  <c r="F52" i="8"/>
  <c r="F62" i="8"/>
  <c r="G30" i="5"/>
  <c r="G35" i="5" s="1"/>
  <c r="F26" i="1" s="1"/>
  <c r="H31" i="8"/>
  <c r="C44" i="5"/>
  <c r="J145" i="13"/>
  <c r="D36" i="12"/>
  <c r="H32" i="9"/>
  <c r="H37" i="9" s="1"/>
  <c r="F116" i="13"/>
  <c r="F52" i="13"/>
  <c r="F58" i="13" s="1"/>
  <c r="C50" i="1" s="1"/>
  <c r="G116" i="13"/>
  <c r="G126" i="13" s="1"/>
  <c r="D59" i="1" s="1"/>
  <c r="G52" i="13"/>
  <c r="G58" i="13" s="1"/>
  <c r="D50" i="1" s="1"/>
  <c r="G13" i="13"/>
  <c r="G15" i="13" s="1"/>
  <c r="D44" i="1" s="1"/>
  <c r="E152" i="13"/>
  <c r="F32" i="9"/>
  <c r="F37" i="9" s="1"/>
  <c r="G76" i="13"/>
  <c r="G78" i="13" s="1"/>
  <c r="D54" i="1" s="1"/>
  <c r="H32" i="8"/>
  <c r="H35" i="8" s="1"/>
  <c r="E11" i="1" s="1"/>
  <c r="I76" i="13"/>
  <c r="I78" i="13" s="1"/>
  <c r="F54" i="1" s="1"/>
  <c r="H30" i="8"/>
  <c r="G30" i="8"/>
  <c r="C46" i="5"/>
  <c r="F76" i="13"/>
  <c r="G32" i="9"/>
  <c r="G37" i="9" s="1"/>
  <c r="J63" i="8"/>
  <c r="J65" i="8" s="1"/>
  <c r="H77" i="13"/>
  <c r="H79" i="13" s="1"/>
  <c r="E53" i="1" s="1"/>
  <c r="H25" i="1"/>
  <c r="H76" i="13"/>
  <c r="H78" i="13" s="1"/>
  <c r="E54" i="1" s="1"/>
  <c r="H52" i="13"/>
  <c r="H58" i="13" s="1"/>
  <c r="E50" i="1" s="1"/>
  <c r="D35" i="9"/>
  <c r="F49" i="8"/>
  <c r="F53" i="8" s="1"/>
  <c r="H49" i="8"/>
  <c r="H53" i="8" s="1"/>
  <c r="H52" i="8"/>
  <c r="I49" i="8"/>
  <c r="I53" i="8" s="1"/>
  <c r="H14" i="13"/>
  <c r="H16" i="13" s="1"/>
  <c r="E43" i="1" s="1"/>
  <c r="H13" i="13"/>
  <c r="H15" i="13" s="1"/>
  <c r="E44" i="1" s="1"/>
  <c r="D52" i="4"/>
  <c r="G49" i="8"/>
  <c r="G53" i="8" s="1"/>
  <c r="G52" i="8"/>
  <c r="E21" i="12"/>
  <c r="E27" i="12" s="1"/>
  <c r="C39" i="1" s="1"/>
  <c r="F38" i="4"/>
  <c r="F40" i="4" s="1"/>
  <c r="F42" i="4" s="1"/>
  <c r="E33" i="5"/>
  <c r="D29" i="1" s="1"/>
  <c r="I38" i="4"/>
  <c r="I40" i="4" s="1"/>
  <c r="I42" i="4" s="1"/>
  <c r="H38" i="4"/>
  <c r="H40" i="4" s="1"/>
  <c r="H42" i="4" s="1"/>
  <c r="H21" i="12"/>
  <c r="H27" i="12" s="1"/>
  <c r="F39" i="1" s="1"/>
  <c r="H37" i="1"/>
  <c r="F21" i="12"/>
  <c r="F27" i="12" s="1"/>
  <c r="D39" i="1" s="1"/>
  <c r="G33" i="5"/>
  <c r="F29" i="1" s="1"/>
  <c r="G38" i="4"/>
  <c r="G40" i="4" s="1"/>
  <c r="G42" i="4" s="1"/>
  <c r="E31" i="9"/>
  <c r="E36" i="9" s="1"/>
  <c r="E32" i="9"/>
  <c r="E37" i="9" s="1"/>
  <c r="I21" i="12"/>
  <c r="I27" i="12" s="1"/>
  <c r="G39" i="1" s="1"/>
  <c r="F30" i="5"/>
  <c r="F35" i="5" s="1"/>
  <c r="E26" i="1" s="1"/>
  <c r="F33" i="5"/>
  <c r="E29" i="1" s="1"/>
  <c r="H33" i="5"/>
  <c r="G29" i="1" s="1"/>
  <c r="G21" i="12"/>
  <c r="G27" i="12" s="1"/>
  <c r="E39" i="1" s="1"/>
  <c r="H33" i="8"/>
  <c r="H63" i="8"/>
  <c r="H65" i="8" s="1"/>
  <c r="J33" i="8"/>
  <c r="D25" i="12" l="1"/>
  <c r="D35" i="1"/>
  <c r="H67" i="17"/>
  <c r="G11" i="1"/>
  <c r="E30" i="5"/>
  <c r="E35" i="5" s="1"/>
  <c r="D26" i="1" s="1"/>
  <c r="I31" i="9"/>
  <c r="I36" i="9" s="1"/>
  <c r="D36" i="9" s="1"/>
  <c r="H70" i="17"/>
  <c r="G22" i="3"/>
  <c r="J107" i="13"/>
  <c r="J97" i="13"/>
  <c r="J67" i="8"/>
  <c r="J34" i="8"/>
  <c r="G13" i="1" s="1"/>
  <c r="H34" i="8"/>
  <c r="E13" i="1" s="1"/>
  <c r="H42" i="17"/>
  <c r="H22" i="17"/>
  <c r="H25" i="17" s="1"/>
  <c r="H13" i="17"/>
  <c r="H16" i="17" s="1"/>
  <c r="H35" i="17"/>
  <c r="E55" i="13"/>
  <c r="F78" i="13"/>
  <c r="D27" i="12"/>
  <c r="E40" i="4"/>
  <c r="E42" i="4" s="1"/>
  <c r="F126" i="13"/>
  <c r="H50" i="1"/>
  <c r="E58" i="13"/>
  <c r="F71" i="17"/>
  <c r="H71" i="17"/>
  <c r="H35" i="1"/>
  <c r="G71" i="17"/>
  <c r="G67" i="17"/>
  <c r="F67" i="17"/>
  <c r="D67" i="17"/>
  <c r="E67" i="17"/>
  <c r="G33" i="8"/>
  <c r="G67" i="8" s="1"/>
  <c r="D23" i="12"/>
  <c r="H38" i="1"/>
  <c r="H24" i="1"/>
  <c r="I77" i="13"/>
  <c r="I79" i="13" s="1"/>
  <c r="F53" i="1" s="1"/>
  <c r="J14" i="13"/>
  <c r="J16" i="13" s="1"/>
  <c r="G43" i="1" s="1"/>
  <c r="G63" i="8"/>
  <c r="G65" i="8" s="1"/>
  <c r="H33" i="1"/>
  <c r="D34" i="9"/>
  <c r="D70" i="17"/>
  <c r="E22" i="3"/>
  <c r="F70" i="17"/>
  <c r="E71" i="17"/>
  <c r="G70" i="17"/>
  <c r="E70" i="17"/>
  <c r="I33" i="8"/>
  <c r="F14" i="13"/>
  <c r="F16" i="13" s="1"/>
  <c r="C43" i="1" s="1"/>
  <c r="H30" i="1"/>
  <c r="F77" i="13"/>
  <c r="F79" i="13" s="1"/>
  <c r="C53" i="1" s="1"/>
  <c r="F63" i="8"/>
  <c r="F65" i="8" s="1"/>
  <c r="J77" i="13"/>
  <c r="J79" i="13" s="1"/>
  <c r="G53" i="1" s="1"/>
  <c r="F33" i="8"/>
  <c r="F22" i="3"/>
  <c r="I14" i="13"/>
  <c r="I16" i="13" s="1"/>
  <c r="F43" i="1" s="1"/>
  <c r="I31" i="8"/>
  <c r="C34" i="5"/>
  <c r="D22" i="3"/>
  <c r="G145" i="13"/>
  <c r="H145" i="13"/>
  <c r="I145" i="13"/>
  <c r="F145" i="13"/>
  <c r="G14" i="13"/>
  <c r="G16" i="13" s="1"/>
  <c r="D43" i="1" s="1"/>
  <c r="G77" i="13"/>
  <c r="G79" i="13" s="1"/>
  <c r="D53" i="1" s="1"/>
  <c r="E35" i="8"/>
  <c r="H67" i="8"/>
  <c r="E53" i="8"/>
  <c r="H44" i="1"/>
  <c r="E15" i="13"/>
  <c r="H148" i="13"/>
  <c r="H76" i="8"/>
  <c r="F50" i="9"/>
  <c r="C22" i="3"/>
  <c r="D37" i="9"/>
  <c r="B22" i="3" s="1"/>
  <c r="H39" i="1"/>
  <c r="H29" i="1"/>
  <c r="C33" i="5"/>
  <c r="I148" i="13"/>
  <c r="G50" i="9"/>
  <c r="I76" i="8"/>
  <c r="J148" i="13"/>
  <c r="J76" i="8"/>
  <c r="H50" i="9"/>
  <c r="G148" i="13"/>
  <c r="G76" i="8"/>
  <c r="E50" i="9"/>
  <c r="D28" i="12"/>
  <c r="C59" i="1" l="1"/>
  <c r="H59" i="1" s="1"/>
  <c r="C54" i="1"/>
  <c r="H54" i="1" s="1"/>
  <c r="G93" i="13"/>
  <c r="G35" i="13"/>
  <c r="G28" i="13"/>
  <c r="G50" i="13" s="1"/>
  <c r="G56" i="13" s="1"/>
  <c r="D49" i="1" s="1"/>
  <c r="G43" i="13"/>
  <c r="G104" i="13"/>
  <c r="G83" i="13"/>
  <c r="G20" i="13"/>
  <c r="G108" i="13"/>
  <c r="G21" i="13"/>
  <c r="G48" i="13" s="1"/>
  <c r="G54" i="13" s="1"/>
  <c r="D46" i="1" s="1"/>
  <c r="H93" i="13"/>
  <c r="H35" i="13"/>
  <c r="H28" i="13"/>
  <c r="H50" i="13" s="1"/>
  <c r="H56" i="13" s="1"/>
  <c r="E49" i="1" s="1"/>
  <c r="H104" i="13"/>
  <c r="H20" i="13"/>
  <c r="H83" i="13"/>
  <c r="H108" i="13"/>
  <c r="H43" i="13"/>
  <c r="H21" i="13"/>
  <c r="H48" i="13" s="1"/>
  <c r="H54" i="13" s="1"/>
  <c r="E46" i="1" s="1"/>
  <c r="I104" i="13"/>
  <c r="I20" i="13"/>
  <c r="I83" i="13"/>
  <c r="I93" i="13"/>
  <c r="I28" i="13"/>
  <c r="I108" i="13"/>
  <c r="I43" i="13"/>
  <c r="I21" i="13"/>
  <c r="I48" i="13" s="1"/>
  <c r="I54" i="13" s="1"/>
  <c r="F46" i="1" s="1"/>
  <c r="I35" i="13"/>
  <c r="F107" i="13"/>
  <c r="F97" i="13"/>
  <c r="I107" i="13"/>
  <c r="I97" i="13"/>
  <c r="J48" i="13"/>
  <c r="J54" i="13" s="1"/>
  <c r="G46" i="1" s="1"/>
  <c r="J83" i="13"/>
  <c r="J20" i="13"/>
  <c r="J108" i="13"/>
  <c r="J43" i="13"/>
  <c r="J21" i="13"/>
  <c r="J93" i="13"/>
  <c r="J35" i="13"/>
  <c r="J104" i="13"/>
  <c r="J28" i="13"/>
  <c r="J50" i="13" s="1"/>
  <c r="J56" i="13" s="1"/>
  <c r="G49" i="1" s="1"/>
  <c r="H107" i="13"/>
  <c r="H97" i="13"/>
  <c r="G107" i="13"/>
  <c r="G97" i="13"/>
  <c r="I67" i="8"/>
  <c r="I34" i="8"/>
  <c r="F13" i="1" s="1"/>
  <c r="G34" i="8"/>
  <c r="D13" i="1" s="1"/>
  <c r="F67" i="8"/>
  <c r="F34" i="8"/>
  <c r="C13" i="1" s="1"/>
  <c r="H52" i="17"/>
  <c r="H54" i="17" s="1"/>
  <c r="H56" i="17" s="1"/>
  <c r="G7" i="1" s="1"/>
  <c r="E35" i="17"/>
  <c r="E42" i="17"/>
  <c r="E22" i="17"/>
  <c r="E25" i="17" s="1"/>
  <c r="E13" i="17"/>
  <c r="E16" i="17" s="1"/>
  <c r="G42" i="17"/>
  <c r="G22" i="17"/>
  <c r="G25" i="17" s="1"/>
  <c r="G13" i="17"/>
  <c r="G16" i="17" s="1"/>
  <c r="G35" i="17"/>
  <c r="F35" i="17"/>
  <c r="F42" i="17"/>
  <c r="F22" i="17"/>
  <c r="F25" i="17" s="1"/>
  <c r="F13" i="17"/>
  <c r="F16" i="17" s="1"/>
  <c r="D35" i="17"/>
  <c r="D13" i="17"/>
  <c r="D16" i="17" s="1"/>
  <c r="D42" i="17"/>
  <c r="D22" i="17"/>
  <c r="D25" i="17" s="1"/>
  <c r="H47" i="1"/>
  <c r="E78" i="13"/>
  <c r="E126" i="13"/>
  <c r="C67" i="17"/>
  <c r="D71" i="17"/>
  <c r="C71" i="17" s="1"/>
  <c r="H23" i="1"/>
  <c r="D42" i="4"/>
  <c r="D50" i="9"/>
  <c r="C50" i="9" s="1"/>
  <c r="F76" i="8"/>
  <c r="E76" i="8" s="1"/>
  <c r="F148" i="13"/>
  <c r="H20" i="1"/>
  <c r="C70" i="17"/>
  <c r="H11" i="1"/>
  <c r="E145" i="13"/>
  <c r="H43" i="1"/>
  <c r="H53" i="1"/>
  <c r="E16" i="13"/>
  <c r="E79" i="13"/>
  <c r="I50" i="13"/>
  <c r="I56" i="13" s="1"/>
  <c r="F49" i="1" s="1"/>
  <c r="F43" i="13" l="1"/>
  <c r="F21" i="13"/>
  <c r="F48" i="13" s="1"/>
  <c r="F54" i="13" s="1"/>
  <c r="C46" i="1" s="1"/>
  <c r="F35" i="13"/>
  <c r="F28" i="13"/>
  <c r="F93" i="13"/>
  <c r="F104" i="13"/>
  <c r="F83" i="13"/>
  <c r="F112" i="13" s="1"/>
  <c r="F20" i="13"/>
  <c r="F108" i="13"/>
  <c r="H13" i="1"/>
  <c r="E34" i="8"/>
  <c r="F51" i="13"/>
  <c r="F57" i="13" s="1"/>
  <c r="C48" i="1" s="1"/>
  <c r="I51" i="13"/>
  <c r="I57" i="13" s="1"/>
  <c r="F48" i="1" s="1"/>
  <c r="G51" i="13"/>
  <c r="G57" i="13" s="1"/>
  <c r="D48" i="1" s="1"/>
  <c r="H51" i="13"/>
  <c r="H57" i="13" s="1"/>
  <c r="E48" i="1" s="1"/>
  <c r="J51" i="13"/>
  <c r="J57" i="13" s="1"/>
  <c r="G48" i="1" s="1"/>
  <c r="E148" i="13"/>
  <c r="F50" i="13"/>
  <c r="F56" i="13" s="1"/>
  <c r="F117" i="13"/>
  <c r="D52" i="17"/>
  <c r="D54" i="17" s="1"/>
  <c r="D56" i="17" s="1"/>
  <c r="C7" i="1" s="1"/>
  <c r="E52" i="17"/>
  <c r="E54" i="17" s="1"/>
  <c r="E56" i="17" s="1"/>
  <c r="D7" i="1" s="1"/>
  <c r="F52" i="17"/>
  <c r="F54" i="17" s="1"/>
  <c r="F56" i="17" s="1"/>
  <c r="E7" i="1" s="1"/>
  <c r="G52" i="17"/>
  <c r="G54" i="17" s="1"/>
  <c r="G56" i="17" s="1"/>
  <c r="F7" i="1" s="1"/>
  <c r="H118" i="13"/>
  <c r="H128" i="13" s="1"/>
  <c r="I114" i="13"/>
  <c r="I124" i="13" s="1"/>
  <c r="F57" i="1" s="1"/>
  <c r="J118" i="13"/>
  <c r="J128" i="13" s="1"/>
  <c r="J114" i="13"/>
  <c r="J124" i="13" s="1"/>
  <c r="G57" i="1" s="1"/>
  <c r="G114" i="13"/>
  <c r="G124" i="13" s="1"/>
  <c r="D57" i="1" s="1"/>
  <c r="F114" i="13"/>
  <c r="I118" i="13"/>
  <c r="I128" i="13" s="1"/>
  <c r="G118" i="13"/>
  <c r="G128" i="13" s="1"/>
  <c r="H114" i="13"/>
  <c r="H124" i="13" s="1"/>
  <c r="E57" i="1" s="1"/>
  <c r="J120" i="13"/>
  <c r="J130" i="13" s="1"/>
  <c r="G58" i="1" s="1"/>
  <c r="H120" i="13"/>
  <c r="H130" i="13" s="1"/>
  <c r="E58" i="1" s="1"/>
  <c r="I120" i="13"/>
  <c r="I130" i="13" s="1"/>
  <c r="F58" i="1" s="1"/>
  <c r="G120" i="13"/>
  <c r="G130" i="13" s="1"/>
  <c r="D58" i="1" s="1"/>
  <c r="H112" i="13"/>
  <c r="H122" i="13" s="1"/>
  <c r="E56" i="1" s="1"/>
  <c r="I112" i="13"/>
  <c r="I122" i="13" s="1"/>
  <c r="F56" i="1" s="1"/>
  <c r="G112" i="13"/>
  <c r="G122" i="13" s="1"/>
  <c r="D56" i="1" s="1"/>
  <c r="J117" i="13"/>
  <c r="J127" i="13" s="1"/>
  <c r="G60" i="1" s="1"/>
  <c r="G53" i="13"/>
  <c r="F24" i="9"/>
  <c r="G24" i="9"/>
  <c r="G22" i="9"/>
  <c r="I23" i="9"/>
  <c r="I25" i="9"/>
  <c r="D25" i="9"/>
  <c r="D22" i="9"/>
  <c r="F25" i="9"/>
  <c r="H22" i="9"/>
  <c r="H25" i="9"/>
  <c r="D23" i="9"/>
  <c r="F23" i="9"/>
  <c r="I24" i="9"/>
  <c r="E24" i="9"/>
  <c r="I22" i="9"/>
  <c r="E25" i="9"/>
  <c r="E22" i="9"/>
  <c r="G25" i="9"/>
  <c r="E23" i="9"/>
  <c r="H23" i="9"/>
  <c r="G23" i="9"/>
  <c r="D24" i="9"/>
  <c r="F22" i="9"/>
  <c r="H24" i="9"/>
  <c r="J112" i="13"/>
  <c r="J122" i="13" s="1"/>
  <c r="G56" i="1" s="1"/>
  <c r="H117" i="13"/>
  <c r="H127" i="13" s="1"/>
  <c r="E60" i="1" s="1"/>
  <c r="H53" i="13"/>
  <c r="I117" i="13"/>
  <c r="I127" i="13" s="1"/>
  <c r="F60" i="1" s="1"/>
  <c r="I53" i="13"/>
  <c r="J53" i="13"/>
  <c r="G117" i="13"/>
  <c r="G127" i="13" s="1"/>
  <c r="D60" i="1" s="1"/>
  <c r="E56" i="13" l="1"/>
  <c r="C49" i="1"/>
  <c r="E54" i="13"/>
  <c r="F127" i="13"/>
  <c r="F124" i="13"/>
  <c r="F122" i="13"/>
  <c r="H48" i="1"/>
  <c r="E57" i="13"/>
  <c r="F120" i="13"/>
  <c r="F130" i="13" s="1"/>
  <c r="H49" i="1"/>
  <c r="H7" i="1"/>
  <c r="F53" i="13"/>
  <c r="F59" i="13" s="1"/>
  <c r="C45" i="1" s="1"/>
  <c r="F118" i="13"/>
  <c r="J59" i="13"/>
  <c r="G45" i="1" s="1"/>
  <c r="J66" i="13"/>
  <c r="J67" i="13" s="1"/>
  <c r="G41" i="1" s="1"/>
  <c r="I59" i="13"/>
  <c r="F45" i="1" s="1"/>
  <c r="I66" i="13"/>
  <c r="I67" i="13" s="1"/>
  <c r="F41" i="1" s="1"/>
  <c r="H59" i="13"/>
  <c r="E45" i="1" s="1"/>
  <c r="H66" i="13"/>
  <c r="H67" i="13" s="1"/>
  <c r="E41" i="1" s="1"/>
  <c r="G59" i="13"/>
  <c r="D45" i="1" s="1"/>
  <c r="G66" i="13"/>
  <c r="G67" i="13" s="1"/>
  <c r="D41" i="1" s="1"/>
  <c r="C60" i="1" l="1"/>
  <c r="H60" i="1" s="1"/>
  <c r="C56" i="1"/>
  <c r="H56" i="1" s="1"/>
  <c r="C57" i="1"/>
  <c r="H57" i="1" s="1"/>
  <c r="C58" i="1"/>
  <c r="H58" i="1" s="1"/>
  <c r="E127" i="13"/>
  <c r="E124" i="13"/>
  <c r="F128" i="13"/>
  <c r="E128" i="13" s="1"/>
  <c r="E122" i="13"/>
  <c r="H45" i="1"/>
  <c r="E59" i="13"/>
  <c r="E130" i="13"/>
  <c r="F66" i="13"/>
  <c r="F67" i="13" s="1"/>
  <c r="C41" i="1" s="1"/>
  <c r="H41" i="1" l="1"/>
  <c r="E67" i="13"/>
  <c r="G1072" i="27"/>
  <c r="D30" i="5"/>
  <c r="D35" i="5" s="1"/>
  <c r="C26" i="1" s="1"/>
  <c r="H26" i="1" l="1"/>
  <c r="C35" i="5"/>
  <c r="C12" i="3"/>
  <c r="C13" i="3" s="1"/>
  <c r="H8" i="1" s="1"/>
  <c r="B8" i="7" l="1"/>
  <c r="D21" i="7"/>
  <c r="B21" i="7" l="1"/>
  <c r="C24" i="7" l="1"/>
  <c r="C62" i="1" s="1"/>
  <c r="E24" i="7"/>
  <c r="E62" i="1" s="1"/>
  <c r="F24" i="7"/>
  <c r="F62" i="1" s="1"/>
  <c r="G24" i="7"/>
  <c r="G62" i="1" s="1"/>
  <c r="D24" i="7"/>
  <c r="D62" i="1" s="1"/>
  <c r="G154" i="13" l="1"/>
  <c r="G105" i="13" s="1"/>
  <c r="G83" i="8"/>
  <c r="E77" i="17"/>
  <c r="J83" i="8"/>
  <c r="H77" i="17"/>
  <c r="J154" i="13"/>
  <c r="J105" i="13" s="1"/>
  <c r="G77" i="17"/>
  <c r="I154" i="13"/>
  <c r="I105" i="13" s="1"/>
  <c r="I83" i="8"/>
  <c r="F77" i="17"/>
  <c r="H154" i="13"/>
  <c r="H105" i="13" s="1"/>
  <c r="H83" i="8"/>
  <c r="F154" i="13"/>
  <c r="B24" i="7"/>
  <c r="F83" i="8"/>
  <c r="D77" i="17"/>
  <c r="C77" i="17" l="1"/>
  <c r="H119" i="13"/>
  <c r="H129" i="13" s="1"/>
  <c r="H121" i="13"/>
  <c r="J119" i="13"/>
  <c r="J129" i="13" s="1"/>
  <c r="J121" i="13"/>
  <c r="H62" i="1"/>
  <c r="I119" i="13"/>
  <c r="I129" i="13" s="1"/>
  <c r="I121" i="13"/>
  <c r="E83" i="8"/>
  <c r="F105" i="13"/>
  <c r="E154" i="13"/>
  <c r="G121" i="13"/>
  <c r="G119" i="13"/>
  <c r="G129" i="13" s="1"/>
  <c r="G131" i="13" l="1"/>
  <c r="D55" i="1" s="1"/>
  <c r="G137" i="13"/>
  <c r="G138" i="13" s="1"/>
  <c r="D51" i="1" s="1"/>
  <c r="F121" i="13"/>
  <c r="F119" i="13"/>
  <c r="F129" i="13" s="1"/>
  <c r="E129" i="13" s="1"/>
  <c r="I131" i="13"/>
  <c r="F55" i="1" s="1"/>
  <c r="I137" i="13"/>
  <c r="I138" i="13" s="1"/>
  <c r="F51" i="1" s="1"/>
  <c r="J137" i="13"/>
  <c r="J138" i="13" s="1"/>
  <c r="G51" i="1" s="1"/>
  <c r="J131" i="13"/>
  <c r="G55" i="1" s="1"/>
  <c r="H131" i="13"/>
  <c r="E55" i="1" s="1"/>
  <c r="H137" i="13"/>
  <c r="H138" i="13" s="1"/>
  <c r="E51" i="1" s="1"/>
  <c r="F137" i="13" l="1"/>
  <c r="F138" i="13" s="1"/>
  <c r="C51" i="1" s="1"/>
  <c r="F131" i="13"/>
  <c r="C55" i="1" s="1"/>
  <c r="H55" i="1" l="1"/>
  <c r="E131" i="13"/>
  <c r="E138" i="13"/>
  <c r="H51" i="1"/>
</calcChain>
</file>

<file path=xl/sharedStrings.xml><?xml version="1.0" encoding="utf-8"?>
<sst xmlns="http://schemas.openxmlformats.org/spreadsheetml/2006/main" count="20713" uniqueCount="3469">
  <si>
    <t>Schedule M Deductions - Permanent</t>
  </si>
  <si>
    <t>Schedule M Deductions - Temporary</t>
  </si>
  <si>
    <t>Transmission / Distribution</t>
  </si>
  <si>
    <t>182M</t>
  </si>
  <si>
    <t>186M</t>
  </si>
  <si>
    <t>PITA</t>
  </si>
  <si>
    <t>TROJP</t>
  </si>
  <si>
    <t>SNP</t>
  </si>
  <si>
    <t>BADDEBT</t>
  </si>
  <si>
    <t>GPS</t>
  </si>
  <si>
    <t>SCHMDEXP</t>
  </si>
  <si>
    <t>SNPD</t>
  </si>
  <si>
    <t>SITUS</t>
  </si>
  <si>
    <t>G-SG Factor</t>
  </si>
  <si>
    <t>G-SITUS</t>
  </si>
  <si>
    <t>General Plant - SITUS Factor</t>
  </si>
  <si>
    <t>I-DGP FACTOR</t>
  </si>
  <si>
    <t>I-DGU FACTOR</t>
  </si>
  <si>
    <t>I-SG FACTOR</t>
  </si>
  <si>
    <t>I-Situs FACTOR</t>
  </si>
  <si>
    <t>I-SITUS</t>
  </si>
  <si>
    <t>Intangible Plant - SITUS Factor</t>
  </si>
  <si>
    <t>SCHMAP-SO</t>
  </si>
  <si>
    <t>Schedule M Additions - Permanent-SO</t>
  </si>
  <si>
    <t>SCHMAT-GPS</t>
  </si>
  <si>
    <t>Schedule M Additions - Temporary-GPS</t>
  </si>
  <si>
    <t>SCHMAT-SE</t>
  </si>
  <si>
    <t>Schedule M Additions - Temporary-SE</t>
  </si>
  <si>
    <t>SCHMAT-SNP</t>
  </si>
  <si>
    <t>Schedule M Additions - Temporary-SNP</t>
  </si>
  <si>
    <t>SCHMAT-SO</t>
  </si>
  <si>
    <t>Schedule M Additions - Temporary-SO</t>
  </si>
  <si>
    <t>SCHMAT-SITUS</t>
  </si>
  <si>
    <t>Schedule M Additions - Temporary-SITUS</t>
  </si>
  <si>
    <t>SCHMDP-SO</t>
  </si>
  <si>
    <t>Schedule M Deductions - Permanent- SO</t>
  </si>
  <si>
    <t>SCHMDT-GPS</t>
  </si>
  <si>
    <t>Schedule M Deductions - Temporary-GPS</t>
  </si>
  <si>
    <t>SCHMDT-SG</t>
  </si>
  <si>
    <t>Schedule M Deductions - Temporary-SG</t>
  </si>
  <si>
    <t>SCHMDT-SNP</t>
  </si>
  <si>
    <t>Schedule M Deductions - Temporary-SNP</t>
  </si>
  <si>
    <t>SCHMDT-SO</t>
  </si>
  <si>
    <t>Schedule M Deductions - Temporary-SO</t>
  </si>
  <si>
    <t>SCHMDT-SITUS</t>
  </si>
  <si>
    <t>Schedule M Deductions - Temporary-SITUS</t>
  </si>
  <si>
    <t>Major Adjustment</t>
  </si>
  <si>
    <t>1998 Early Retirement</t>
  </si>
  <si>
    <t>1999 Early Retirement</t>
  </si>
  <si>
    <t>Transition Planning</t>
  </si>
  <si>
    <t>Environmental Clean-up</t>
  </si>
  <si>
    <t>Y2K</t>
  </si>
  <si>
    <t>Subtotal Major Adjustments</t>
  </si>
  <si>
    <t>Total 186M SO</t>
  </si>
  <si>
    <t>OTHSITUS</t>
  </si>
  <si>
    <t>Other Revenues - SITUS</t>
  </si>
  <si>
    <t>SCHMAF FACTOR</t>
  </si>
  <si>
    <t>Total CN Revenues</t>
  </si>
  <si>
    <t>COM_EQ</t>
  </si>
  <si>
    <t>Communication Equipment Acct 397</t>
  </si>
  <si>
    <t xml:space="preserve"> </t>
  </si>
  <si>
    <t>REVREQ</t>
  </si>
  <si>
    <t>Revenue Requirement</t>
  </si>
  <si>
    <t>Production</t>
  </si>
  <si>
    <t>Transmission</t>
  </si>
  <si>
    <t>Distribution</t>
  </si>
  <si>
    <t>General</t>
  </si>
  <si>
    <t>ACCMDIT</t>
  </si>
  <si>
    <t>P</t>
  </si>
  <si>
    <t>T</t>
  </si>
  <si>
    <t>DPW</t>
  </si>
  <si>
    <t>G</t>
  </si>
  <si>
    <t>Total</t>
  </si>
  <si>
    <t>CUST</t>
  </si>
  <si>
    <t>DMSC</t>
  </si>
  <si>
    <t>Account 456</t>
  </si>
  <si>
    <t>Main</t>
  </si>
  <si>
    <t>Primary</t>
  </si>
  <si>
    <t>Account</t>
  </si>
  <si>
    <t>Factor</t>
  </si>
  <si>
    <t>Function</t>
  </si>
  <si>
    <t>Amount</t>
  </si>
  <si>
    <t>456</t>
  </si>
  <si>
    <t>Total Situs Revenues</t>
  </si>
  <si>
    <t>CN</t>
  </si>
  <si>
    <t>SE</t>
  </si>
  <si>
    <t>Total SE Revenues</t>
  </si>
  <si>
    <t>SG</t>
  </si>
  <si>
    <t>Total SG Revenues</t>
  </si>
  <si>
    <t>SO</t>
  </si>
  <si>
    <t>Total Gen. Plant</t>
  </si>
  <si>
    <t xml:space="preserve">Total </t>
  </si>
  <si>
    <t>PTD</t>
  </si>
  <si>
    <t>Total SO Revenues</t>
  </si>
  <si>
    <t>Book Depreciation</t>
  </si>
  <si>
    <t>Description</t>
  </si>
  <si>
    <t>TD</t>
  </si>
  <si>
    <t>BookDepr Factor</t>
  </si>
  <si>
    <t>Pri-Acct</t>
  </si>
  <si>
    <t>SGCT</t>
  </si>
  <si>
    <t>ESD</t>
  </si>
  <si>
    <t>DDSO2 FACTOR</t>
  </si>
  <si>
    <t>LABOR</t>
  </si>
  <si>
    <t>DDS2 FACTOR</t>
  </si>
  <si>
    <t>DGP</t>
  </si>
  <si>
    <t>DDS6 FACTOR</t>
  </si>
  <si>
    <t>DEFSG FACTOR</t>
  </si>
  <si>
    <t>Poles &amp; Wires</t>
  </si>
  <si>
    <t>Customers</t>
  </si>
  <si>
    <t>Miscellaneous</t>
  </si>
  <si>
    <t>GP</t>
  </si>
  <si>
    <t>TAXDEPR</t>
  </si>
  <si>
    <t>PacifiCorp</t>
  </si>
  <si>
    <t>CUSTOMER</t>
  </si>
  <si>
    <t>LABOR %</t>
  </si>
  <si>
    <t>Material &amp; Supplies</t>
  </si>
  <si>
    <t>Material &amp; Supplies %</t>
  </si>
  <si>
    <t>FERC</t>
  </si>
  <si>
    <t>FERC %</t>
  </si>
  <si>
    <t>Alloc.</t>
  </si>
  <si>
    <t>Funct.</t>
  </si>
  <si>
    <t>Transmisssion</t>
  </si>
  <si>
    <t>DMISC</t>
  </si>
  <si>
    <t>Business Centers</t>
  </si>
  <si>
    <t>Utah Mine</t>
  </si>
  <si>
    <t>General Plant</t>
  </si>
  <si>
    <t>SO Factor</t>
  </si>
  <si>
    <t>Total General Plant</t>
  </si>
  <si>
    <t>G Allocator</t>
  </si>
  <si>
    <t>Functional Allocators:</t>
  </si>
  <si>
    <t>Prod</t>
  </si>
  <si>
    <t>Trans</t>
  </si>
  <si>
    <t>Production Plant</t>
  </si>
  <si>
    <t>Transmission Plant</t>
  </si>
  <si>
    <t>Distribution Plant</t>
  </si>
  <si>
    <t>Mining</t>
  </si>
  <si>
    <t>Intangible Plant</t>
  </si>
  <si>
    <t>Customer Service Sys</t>
  </si>
  <si>
    <t>Washington Hydro</t>
  </si>
  <si>
    <t>Utah Hydro</t>
  </si>
  <si>
    <t>Colorado Steam-UPD</t>
  </si>
  <si>
    <t>Oregon Trans</t>
  </si>
  <si>
    <t>Utah</t>
  </si>
  <si>
    <t>Utah G/O</t>
  </si>
  <si>
    <t>Total Intangible Plant</t>
  </si>
  <si>
    <t>Total Gross Plant</t>
  </si>
  <si>
    <t>GP Factor</t>
  </si>
  <si>
    <t>Customer</t>
  </si>
  <si>
    <t>SCHMAP</t>
  </si>
  <si>
    <t>Total SCHMAP</t>
  </si>
  <si>
    <t>SCHMAP FACTOR</t>
  </si>
  <si>
    <t>SCHMAT</t>
  </si>
  <si>
    <t>CIAC</t>
  </si>
  <si>
    <t>SCHMAT FACTOR</t>
  </si>
  <si>
    <t>SCHMAF</t>
  </si>
  <si>
    <t>SCHMA FACTOR</t>
  </si>
  <si>
    <t>SCHMDP</t>
  </si>
  <si>
    <t>SCHMDP FACTOR</t>
  </si>
  <si>
    <t>SCHMDT</t>
  </si>
  <si>
    <t>Total SCHMDT</t>
  </si>
  <si>
    <t>SCHMDT FACTOR</t>
  </si>
  <si>
    <t>SCHMDF</t>
  </si>
  <si>
    <t>SCHMDF FACTOR</t>
  </si>
  <si>
    <t>SCHMD FACTOR</t>
  </si>
  <si>
    <t>Net SCHM</t>
  </si>
  <si>
    <t>TAXDEPR Factor</t>
  </si>
  <si>
    <t>FERC FORM 1 Funtionalization Factors</t>
  </si>
  <si>
    <t>PLANT</t>
  </si>
  <si>
    <t>UNCLASSIFIED PLANT</t>
  </si>
  <si>
    <t>TOTAL PLANT</t>
  </si>
  <si>
    <t>PLANT %</t>
  </si>
  <si>
    <t>PT</t>
  </si>
  <si>
    <t>BOOKDEPR</t>
  </si>
  <si>
    <t>Distribution Retail</t>
  </si>
  <si>
    <t>CWC</t>
  </si>
  <si>
    <t>Cash Working Capital</t>
  </si>
  <si>
    <t>DDS2</t>
  </si>
  <si>
    <t>Deferred Debits - Situs</t>
  </si>
  <si>
    <t>DDS6</t>
  </si>
  <si>
    <t>DDSO2</t>
  </si>
  <si>
    <t>Deferred Debits - System Overhead</t>
  </si>
  <si>
    <t>DDSO6</t>
  </si>
  <si>
    <t>DEFSG</t>
  </si>
  <si>
    <t>Deferred Debit - System Generation</t>
  </si>
  <si>
    <t>DITEXP</t>
  </si>
  <si>
    <t>Distribution Miscellaneous</t>
  </si>
  <si>
    <t>Distribution Poles &amp; Wires</t>
  </si>
  <si>
    <t>Environmental Services Department</t>
  </si>
  <si>
    <t>FERC Fees</t>
  </si>
  <si>
    <t>FIT</t>
  </si>
  <si>
    <t>Federal Income Taxes</t>
  </si>
  <si>
    <t>G-DGP</t>
  </si>
  <si>
    <t>General Plant - DGP Factor</t>
  </si>
  <si>
    <t>G-DGU</t>
  </si>
  <si>
    <t>General Plant - DGU Factor</t>
  </si>
  <si>
    <t>Total Plant</t>
  </si>
  <si>
    <t>G-SG</t>
  </si>
  <si>
    <t>General Plant - SG Factor</t>
  </si>
  <si>
    <t>I</t>
  </si>
  <si>
    <t>IBT</t>
  </si>
  <si>
    <t>Income Before Taxes</t>
  </si>
  <si>
    <t>I-DGP</t>
  </si>
  <si>
    <t>Intangible Plant - DGP Factor</t>
  </si>
  <si>
    <t>I-DGU</t>
  </si>
  <si>
    <t>Intangible Plant - DGU Factor</t>
  </si>
  <si>
    <t>I-SG</t>
  </si>
  <si>
    <t>Intangible Plant - SG Factor</t>
  </si>
  <si>
    <t>Direct Labor Expense</t>
  </si>
  <si>
    <t>MSS</t>
  </si>
  <si>
    <t>Materials &amp; Supplies</t>
  </si>
  <si>
    <t>NONE</t>
  </si>
  <si>
    <t>Not Functionalized</t>
  </si>
  <si>
    <t>NUTIL</t>
  </si>
  <si>
    <t>Non-Utility</t>
  </si>
  <si>
    <t>OTHDGP</t>
  </si>
  <si>
    <t>Other Revenues - DGP Factor</t>
  </si>
  <si>
    <t>OTHDGU</t>
  </si>
  <si>
    <t>Other Revenues - DGU Factor</t>
  </si>
  <si>
    <t>OTHSE</t>
  </si>
  <si>
    <t>Other Revenues - SE Factor</t>
  </si>
  <si>
    <t>OTHSG</t>
  </si>
  <si>
    <t>Other Revenues - SG Factor</t>
  </si>
  <si>
    <t>OTHSGR</t>
  </si>
  <si>
    <t>Other Revenues - Rolled-In SG Factor</t>
  </si>
  <si>
    <t>OTHSO</t>
  </si>
  <si>
    <t>Other Revenues - SO Factor</t>
  </si>
  <si>
    <t>SCHMA</t>
  </si>
  <si>
    <t>Schedule M Additions</t>
  </si>
  <si>
    <t>Schedule M Additions - Flow Through</t>
  </si>
  <si>
    <t>Schedule M Additions - Permanent</t>
  </si>
  <si>
    <t>Schedule M Additions - Temporary</t>
  </si>
  <si>
    <t>SCHMD</t>
  </si>
  <si>
    <t>Schedule M Deductions</t>
  </si>
  <si>
    <t>Schedule M Deductions - Flow Through</t>
  </si>
  <si>
    <t>Retail</t>
  </si>
  <si>
    <t>Misc</t>
  </si>
  <si>
    <t>Deferred Income Tax</t>
  </si>
  <si>
    <t>acct 399 from JAM</t>
  </si>
  <si>
    <t xml:space="preserve">TAXDEPR </t>
  </si>
  <si>
    <t xml:space="preserve">FUNCTIONAL FACTORS </t>
  </si>
  <si>
    <t>Production / Transmission</t>
  </si>
  <si>
    <t>Prod, Trans, Dist Plant</t>
  </si>
  <si>
    <t>Deferred Income Tax - Expense</t>
  </si>
  <si>
    <t>Gross Plant</t>
  </si>
  <si>
    <t>TOTAL COMPANY</t>
  </si>
  <si>
    <t xml:space="preserve">Tax Depreciation </t>
  </si>
  <si>
    <t>Schedule M</t>
  </si>
  <si>
    <t>BASED ON TOTAL COMPANY DATA</t>
  </si>
  <si>
    <t>SSGCH</t>
  </si>
  <si>
    <t>DEDUCTIONS</t>
  </si>
  <si>
    <t>ADDITIONS</t>
  </si>
  <si>
    <t>Depreciation Expense</t>
  </si>
  <si>
    <t>TROJD</t>
  </si>
  <si>
    <t>SIT</t>
  </si>
  <si>
    <t>State Income Taxes</t>
  </si>
  <si>
    <t>(In 000's)</t>
  </si>
  <si>
    <t>Tax Depreciation</t>
  </si>
  <si>
    <t>Pro</t>
  </si>
  <si>
    <t>Trn</t>
  </si>
  <si>
    <t>Dis</t>
  </si>
  <si>
    <t>Conversion to COS Functions</t>
  </si>
  <si>
    <t>Percent of GenPlant in Functions</t>
  </si>
  <si>
    <t>Allocation of GenPlant to Functions</t>
  </si>
  <si>
    <t>Assignment of Mining to Prod Function</t>
  </si>
  <si>
    <t>Adjusted Totals</t>
  </si>
  <si>
    <t>TAXDEPR FACTOR</t>
  </si>
  <si>
    <t>SSGCT</t>
  </si>
  <si>
    <t>RETAIL</t>
  </si>
  <si>
    <t>Total-SO</t>
  </si>
  <si>
    <t>Total-SCHMAT</t>
  </si>
  <si>
    <t>Total-GPS</t>
  </si>
  <si>
    <t>Total-SNP</t>
  </si>
  <si>
    <t>Total SO</t>
  </si>
  <si>
    <t>Total-SITUS</t>
  </si>
  <si>
    <t>Total-SCHMAF</t>
  </si>
  <si>
    <t>Total-SCHMA</t>
  </si>
  <si>
    <t>Total-SG</t>
  </si>
  <si>
    <t>Total-SCHMDP</t>
  </si>
  <si>
    <t>Total-SCHMDF</t>
  </si>
  <si>
    <t>Total-SCHMD</t>
  </si>
  <si>
    <t>SG-P</t>
  </si>
  <si>
    <t>Total SITUS</t>
  </si>
  <si>
    <t>Total SG</t>
  </si>
  <si>
    <t>Total 182 &amp;186</t>
  </si>
  <si>
    <t>Total-DD</t>
  </si>
  <si>
    <t>Total RA</t>
  </si>
  <si>
    <t>I FACTOR</t>
  </si>
  <si>
    <t>Total-DGP</t>
  </si>
  <si>
    <t>Total-DGU</t>
  </si>
  <si>
    <t>Total-Intangible</t>
  </si>
  <si>
    <t>Total-SSGCH</t>
  </si>
  <si>
    <t>Total-SSGCT</t>
  </si>
  <si>
    <t>Total-G-SG</t>
  </si>
  <si>
    <t>Total-G-Situs</t>
  </si>
  <si>
    <t>Total-General Plant</t>
  </si>
  <si>
    <t>CN Factor</t>
  </si>
  <si>
    <t>Total Operation</t>
  </si>
  <si>
    <t>Total Operation Factor</t>
  </si>
  <si>
    <t>Total-DPW</t>
  </si>
  <si>
    <t>Total-PTD</t>
  </si>
  <si>
    <t>Total-TD</t>
  </si>
  <si>
    <t>Total-CUST</t>
  </si>
  <si>
    <t>G-SITUS Factor</t>
  </si>
  <si>
    <t>DDSO6 FACTOR</t>
  </si>
  <si>
    <t>Total-SE</t>
  </si>
  <si>
    <t>Source:</t>
  </si>
  <si>
    <t>OTHER</t>
  </si>
  <si>
    <t>Total-CN</t>
  </si>
  <si>
    <t>SCHMDT-CN</t>
  </si>
  <si>
    <t>SCHMDT-SE</t>
  </si>
  <si>
    <t>Total OTHER</t>
  </si>
  <si>
    <t>SCHMDT-OTHER</t>
  </si>
  <si>
    <t>Total TAXDEPR</t>
  </si>
  <si>
    <t>SCHMDT-TAXDEPR</t>
  </si>
  <si>
    <t>Total-OTHER</t>
  </si>
  <si>
    <t>Reg Assets / Deferred Debits</t>
  </si>
  <si>
    <t>DD-OTHER</t>
  </si>
  <si>
    <t>ACCUMDIT</t>
  </si>
  <si>
    <t>Deferred Income Tax - Balance</t>
  </si>
  <si>
    <t>DITBALRL</t>
  </si>
  <si>
    <t>Pacific Division</t>
  </si>
  <si>
    <t>Mining Plant</t>
  </si>
  <si>
    <t xml:space="preserve">     Total Pacific Division</t>
  </si>
  <si>
    <t>Utah Division</t>
  </si>
  <si>
    <t xml:space="preserve">     Total Utah Division</t>
  </si>
  <si>
    <t>PACIFICORP</t>
  </si>
  <si>
    <t xml:space="preserve">     Total PC (Post Merger)</t>
  </si>
  <si>
    <t xml:space="preserve">Total Deferred Taxes </t>
  </si>
  <si>
    <t>ACCMDITRL FACTOR</t>
  </si>
  <si>
    <t>Prod / Other Prod</t>
  </si>
  <si>
    <t>Cholla Unit 4</t>
  </si>
  <si>
    <t>Gadsby Unit 4, 5 &amp; 6</t>
  </si>
  <si>
    <t>Hydro-PPL</t>
  </si>
  <si>
    <t>Hydro-UPL</t>
  </si>
  <si>
    <t>General/ Intangibles</t>
  </si>
  <si>
    <t>WCA - CAEE 2007+</t>
  </si>
  <si>
    <t>WCA - CAGE 2007+</t>
  </si>
  <si>
    <t>WCA - CAGW 2007+</t>
  </si>
  <si>
    <t>WCA CAGW 2007+ -Goodnoe</t>
  </si>
  <si>
    <t>WCA - General 2007+</t>
  </si>
  <si>
    <t>WCA - JBG 2007+</t>
  </si>
  <si>
    <t>OREGON EXTRA BOOK DEPR</t>
  </si>
  <si>
    <t>Func Study row 96</t>
  </si>
  <si>
    <t>OR</t>
  </si>
  <si>
    <t>+</t>
  </si>
  <si>
    <t>Primary Account</t>
  </si>
  <si>
    <t>Primary Name</t>
  </si>
  <si>
    <t>Secondary Acct</t>
  </si>
  <si>
    <t>Secondary  Name</t>
  </si>
  <si>
    <t>Alloc</t>
  </si>
  <si>
    <t>Total ($000)</t>
  </si>
  <si>
    <t>Alloc4FUNC</t>
  </si>
  <si>
    <t>FUNC</t>
  </si>
  <si>
    <t>Investigate?</t>
  </si>
  <si>
    <t>Book Depr Allocated to Medicare and M&amp;E</t>
  </si>
  <si>
    <t>Non - Deductible Expenses</t>
  </si>
  <si>
    <t>PMINondeductible Exp</t>
  </si>
  <si>
    <t>Income Tax Interest</t>
  </si>
  <si>
    <t>PMIFuel Tax Cr</t>
  </si>
  <si>
    <t>PMI Dividend Gross Up for Foreign Tax Cr</t>
  </si>
  <si>
    <t>PMI Mining Rescue Training Credit Addbac</t>
  </si>
  <si>
    <t>Capitalized Labor Costs</t>
  </si>
  <si>
    <t>PMIBook Depreciation</t>
  </si>
  <si>
    <t>Highway relocation</t>
  </si>
  <si>
    <t>Avoided Costs</t>
  </si>
  <si>
    <t>Capitalization of Test Energy</t>
  </si>
  <si>
    <t>UT Kalamath Relicensing Costs</t>
  </si>
  <si>
    <t>WA</t>
  </si>
  <si>
    <t>Coal Pile Inventory Adjustment</t>
  </si>
  <si>
    <t>Prepaid Taxes-UT PUC</t>
  </si>
  <si>
    <t>UT</t>
  </si>
  <si>
    <t>Prepaid Taxes-ID PUC</t>
  </si>
  <si>
    <t>IDU</t>
  </si>
  <si>
    <t>Prepaid Taxes-property taxes</t>
  </si>
  <si>
    <t>Bad Debts Allowance - Cash Basis</t>
  </si>
  <si>
    <t>Reg Asset FAS 158 Pension Liab Adj</t>
  </si>
  <si>
    <t>Reg Asset FAS 158 Post Retire Liab</t>
  </si>
  <si>
    <t>Reg Asset - Post-Retirement Settlement L</t>
  </si>
  <si>
    <t>WYU</t>
  </si>
  <si>
    <t>Def Reg Asset-Transmission Srvc Deposit</t>
  </si>
  <si>
    <t>Reg Asset - UT STEP Pilot Programs Balan</t>
  </si>
  <si>
    <t>Environmental Costs WA</t>
  </si>
  <si>
    <t>Contra Reg Asset - Deer Creek Abandonmen</t>
  </si>
  <si>
    <t>Contra Reg Asset - UMWA Pension</t>
  </si>
  <si>
    <t>Cholla Plt Transact Costs-APS Amort</t>
  </si>
  <si>
    <t>WA Disallowed Colstrip #3 Write-off</t>
  </si>
  <si>
    <t>WYP</t>
  </si>
  <si>
    <t>CA</t>
  </si>
  <si>
    <t>CA Deferred Intervenor Funding</t>
  </si>
  <si>
    <t>Reg Asset - Lake Side Liq.</t>
  </si>
  <si>
    <t>Goodnoe Hills Liquidation Damages - WY</t>
  </si>
  <si>
    <t>Reg Liability - Tax Revenue Adjustment -</t>
  </si>
  <si>
    <t>Reg Liability - WA - Accelerated Depreci</t>
  </si>
  <si>
    <t>Reg Asset _ Pension MMT -UT</t>
  </si>
  <si>
    <t>Regulatory Asset - Post -Ret MMT -OR</t>
  </si>
  <si>
    <t>Reg Asset - Post - Ret MMT -UT</t>
  </si>
  <si>
    <t>Regulatory Asset - Post - Ret MMT -CA</t>
  </si>
  <si>
    <t>Reg Asset-Deferred OR Independent Evalua</t>
  </si>
  <si>
    <t>Powerdale Decommissioning Reg Asset - ID</t>
  </si>
  <si>
    <t>CA - January 2010 Storm Costs</t>
  </si>
  <si>
    <t>ID - Deferred Overburden Costs</t>
  </si>
  <si>
    <t>WY - Deferred Overburden Costs</t>
  </si>
  <si>
    <t>Reg Asset - UT - Solar Incentive Program</t>
  </si>
  <si>
    <t>Deferred Excess Net Power Costs - WY 08</t>
  </si>
  <si>
    <t>Deferred Excess Net PowerCosts - OR</t>
  </si>
  <si>
    <t>Deferral of Renewable Energy Credit - UT</t>
  </si>
  <si>
    <t>Deferral of Renewable Energy Credit - WY</t>
  </si>
  <si>
    <t>Deferred Coal Costs - Naughton Contract</t>
  </si>
  <si>
    <t>Reg Liability - Depreciation Decrease -</t>
  </si>
  <si>
    <t>Reg Liability - Depreciation Decrease De</t>
  </si>
  <si>
    <t>Reg Asset - Carbon Plant Decommissioning</t>
  </si>
  <si>
    <t>Reg Asset - OR Asset Sale Gain Giveback</t>
  </si>
  <si>
    <t>TGS Buyout-SG</t>
  </si>
  <si>
    <t>Joseph Settlement-SG</t>
  </si>
  <si>
    <t>Hermiston Swap</t>
  </si>
  <si>
    <t>Customer Service / Weatherization</t>
  </si>
  <si>
    <t>Reg Asset - Other - Balance Reclass</t>
  </si>
  <si>
    <t>ACCRUED ROYALTIES</t>
  </si>
  <si>
    <t>Bonus Liability</t>
  </si>
  <si>
    <t>Sick Leave Vacation &amp; Personal Time</t>
  </si>
  <si>
    <t>Sick Leave Accrual - PMI</t>
  </si>
  <si>
    <t>Accrued Retention Bonus</t>
  </si>
  <si>
    <t>Trojan Decomissioning Costs</t>
  </si>
  <si>
    <t>Environmental Liability - Regulated</t>
  </si>
  <si>
    <t>Reverse Accrued Final Reclamation</t>
  </si>
  <si>
    <t>Trapper Mine Contract Obligation</t>
  </si>
  <si>
    <t>Coal Mine Development-PMI</t>
  </si>
  <si>
    <t>WA Rate Refunds</t>
  </si>
  <si>
    <t>Reg Liability - WA Low Energy Program</t>
  </si>
  <si>
    <t>Reg Liability - CA California Alternativ</t>
  </si>
  <si>
    <t>REG LIAB-DSM</t>
  </si>
  <si>
    <t>OR Reg Asset/Liability Consolidation</t>
  </si>
  <si>
    <t>CA Alternative Rate for Energy Program(C</t>
  </si>
  <si>
    <t>REG LIABILITY - OR DIRECT ACCESS 5 YEAR</t>
  </si>
  <si>
    <t>Reg Liability - Sale of REC's-WA</t>
  </si>
  <si>
    <t>Reg Liab - OR Energy Conservation Charge</t>
  </si>
  <si>
    <t>Reg Liability - Energy Savings Assistanc</t>
  </si>
  <si>
    <t>Reg Liability - WA Decoupling Mechanism</t>
  </si>
  <si>
    <t>Reg Liability - Sale of Renewable Energy</t>
  </si>
  <si>
    <t>Reg Liability - OR Injuries &amp; Damages Re</t>
  </si>
  <si>
    <t>Reg Liability - CA GHG Allowance Revenue</t>
  </si>
  <si>
    <t>Reg Liability - OR Property Insurance Re</t>
  </si>
  <si>
    <t>Reg Liability - ID Property Insurance Re</t>
  </si>
  <si>
    <t>Reg Liability - WY Property Insurance Re</t>
  </si>
  <si>
    <t>Regulatory Liability - OR Deferred Exces</t>
  </si>
  <si>
    <t>Regulatory Liability - UT Deferred Exces</t>
  </si>
  <si>
    <t>Regulatory Liability - WA Deferred Exces</t>
  </si>
  <si>
    <t>Regulatory Liability - WY Deferred Exces</t>
  </si>
  <si>
    <t>Regulatory Liability - CA Solar Feed-in</t>
  </si>
  <si>
    <t>Regulatory Liability - UT Solar Feed-in</t>
  </si>
  <si>
    <t>MCI FOG Wire Lease</t>
  </si>
  <si>
    <t>NW Power Act-WA</t>
  </si>
  <si>
    <t>Chehalis WA EFSEC C02 Mitigation Obligat</t>
  </si>
  <si>
    <t>Deferred Comp Plan Benefits-PPL</t>
  </si>
  <si>
    <t>Pension / Retirement (Accrued / Prepaid)</t>
  </si>
  <si>
    <t>Pension Liability - UMWA Withdrawal Obli</t>
  </si>
  <si>
    <t>Post Merger Loss-Reacquired Debt</t>
  </si>
  <si>
    <t>Contra Receivable from Joint Owners</t>
  </si>
  <si>
    <t>Injuries and Damages Reserve</t>
  </si>
  <si>
    <t>Bridger Coal Company Underground Mine Co</t>
  </si>
  <si>
    <t>PMIWY Extraction Tax</t>
  </si>
  <si>
    <t>Book Depreciation Allocated to Medicare</t>
  </si>
  <si>
    <t>TAX PERCENTAGE DEPLETION - DEDUCTION</t>
  </si>
  <si>
    <t>Preferred Dividend - PPL</t>
  </si>
  <si>
    <t>2004 JCA-Qualified Prod Activities Deduc</t>
  </si>
  <si>
    <t>PMI 2004 JCA-Qualified Prod Activities D</t>
  </si>
  <si>
    <t>PMIDepletion</t>
  </si>
  <si>
    <t>Repair Deduction</t>
  </si>
  <si>
    <t>PMITax Depreciation</t>
  </si>
  <si>
    <t>Capitalized Depreciation</t>
  </si>
  <si>
    <t>AFUDC - DEBT</t>
  </si>
  <si>
    <t>AFUDC - Equity</t>
  </si>
  <si>
    <t>Basis Intangible Difference</t>
  </si>
  <si>
    <t>Gain/(Loss) on Prop Dispositions</t>
  </si>
  <si>
    <t>Contract Liability Basis Adjustment -Che</t>
  </si>
  <si>
    <t>PMI Coal Mine Receding Face (Extension)</t>
  </si>
  <si>
    <t>Removal Cost (net of salvage)</t>
  </si>
  <si>
    <t>Cholla SHL-NOPA (Lease Amortization)</t>
  </si>
  <si>
    <t>Book Gain/Loss on Land Sales</t>
  </si>
  <si>
    <t>Tax Percentage Depletion - Deduction</t>
  </si>
  <si>
    <t>PMI - Fuel Cost Adjustment</t>
  </si>
  <si>
    <t>Coal M&amp;S Inventory Write-Off</t>
  </si>
  <si>
    <t>PMISEC 263A Adjustment</t>
  </si>
  <si>
    <t>Prepaid Taxes-OR PUC</t>
  </si>
  <si>
    <t>OTHER PREPAIDS</t>
  </si>
  <si>
    <t>Prepaid Aircraft Maintenance Costs</t>
  </si>
  <si>
    <t>Prepaid Water Rights</t>
  </si>
  <si>
    <t>Prepaid Surety Bond Costs</t>
  </si>
  <si>
    <t>Contra Reg Asset - Pension Plan CTG</t>
  </si>
  <si>
    <t>Reg Asset-Post Employment Costs</t>
  </si>
  <si>
    <t>LT Prepaid IBEW 57 Pension Contribution</t>
  </si>
  <si>
    <t>Hazardous Waste Clean-up Costs</t>
  </si>
  <si>
    <t>Reg Asset - Energy West Mining</t>
  </si>
  <si>
    <t>ContraRA DeerCreekAband CA</t>
  </si>
  <si>
    <t>ContraRA DeerCreekAband ID</t>
  </si>
  <si>
    <t>ContraRA DeerCreekAband OR</t>
  </si>
  <si>
    <t>ContraRA DeerCreekAband UT</t>
  </si>
  <si>
    <t>ContraRA DeerCreekAband WA</t>
  </si>
  <si>
    <t>ContraRA DeerCreekAband WY</t>
  </si>
  <si>
    <t>Contra RA UMWA Pension CA</t>
  </si>
  <si>
    <t>Contra RA UMWA Pension WA</t>
  </si>
  <si>
    <t>Cholla Plt Transact Costs- APS Amort - I</t>
  </si>
  <si>
    <t>Cholla Plt Transact Costs- APS Amort - O</t>
  </si>
  <si>
    <t>Reg Asset - ID 2017 Protocol - MSP Defer</t>
  </si>
  <si>
    <t>Reg Asset - UT 2017 Protocol - MSP Defer</t>
  </si>
  <si>
    <t>Reg Asset - WY 2017 Protocol - MSP Defer</t>
  </si>
  <si>
    <t>Reg Asset - WA Merwin Project</t>
  </si>
  <si>
    <t>CA GHG Allowance</t>
  </si>
  <si>
    <t>Reg Asset - UT - Deferred Stock Redempti</t>
  </si>
  <si>
    <t>Reg Asset - WY - Deferred Stock Redempti</t>
  </si>
  <si>
    <t>Reg Asset - Pref Stock Redemp Loss WA</t>
  </si>
  <si>
    <t>Deferred Intervenor Funding Grants-OR</t>
  </si>
  <si>
    <t>Insurance Reserve</t>
  </si>
  <si>
    <t>Contra Pension Reg Asset MMT &amp; CTG _OR</t>
  </si>
  <si>
    <t>Contra Pension Reg Asset MMT &amp; CTG _CA</t>
  </si>
  <si>
    <t>Reg Asset - CA Mobile Home Park Conversi</t>
  </si>
  <si>
    <t>Reg Asset - UT Subscriber Solar Program</t>
  </si>
  <si>
    <t>Reg Asset - OR Solar Feed-in Tariff</t>
  </si>
  <si>
    <t>Reg Asset - CA Deferred Net Power Costs</t>
  </si>
  <si>
    <t>CA Def Excess NPC</t>
  </si>
  <si>
    <t>Deferred Excess Net Power Costs - UT</t>
  </si>
  <si>
    <t>REG ASSET - UT LIQUIDATED DAMAGES NAUGHT</t>
  </si>
  <si>
    <t>Reg Asset - WY Liquidation Damages N2</t>
  </si>
  <si>
    <t>UT Def Independent Evaluation Fee</t>
  </si>
  <si>
    <t>Deferral of Renewable Energy Credit - WA</t>
  </si>
  <si>
    <t>Reg Asset - Noncurrent Reclass - Other</t>
  </si>
  <si>
    <t>Deferred Excess Net Power Costs - ID 09</t>
  </si>
  <si>
    <t>Reg Asset - REC Sales Deferral - CA - No</t>
  </si>
  <si>
    <t>Reg Asset - REC Sales Deferral - OR - No</t>
  </si>
  <si>
    <t>Reg Asset - RPS Compliance Purchases</t>
  </si>
  <si>
    <t>Reg Asset - Depreciation Increase - ID</t>
  </si>
  <si>
    <t>Reg Asset - Depreciation Increase - UT</t>
  </si>
  <si>
    <t>Reg Asset - Depreciation Increase - WY</t>
  </si>
  <si>
    <t>Reg Asset - Carbon Unrecovered Plant - I</t>
  </si>
  <si>
    <t>Reg Asset - Carbon Unrecovered Plant - U</t>
  </si>
  <si>
    <t>Reg Asset - Carbon Unrecovered Plant - W</t>
  </si>
  <si>
    <t>Reg Liability - Contra - Carbon Decommis</t>
  </si>
  <si>
    <t>REG ASSET - CARBON PLANT DECOMMISSIONING</t>
  </si>
  <si>
    <t>Deferred Regulatory Expense-IDU</t>
  </si>
  <si>
    <t>Unearned Joint Use Pole Contact Revenue</t>
  </si>
  <si>
    <t>Reg Asset balance reclass</t>
  </si>
  <si>
    <t>Vacation Accrual - PMI</t>
  </si>
  <si>
    <t>ARO/Reg Diff - Trojan - WA</t>
  </si>
  <si>
    <t>PMIDEVT COST AMORT</t>
  </si>
  <si>
    <t>AMORT NOPAS 99-00 RAR</t>
  </si>
  <si>
    <t>Bridger Coal Company Gain/Loss on Assets</t>
  </si>
  <si>
    <t>PMI EITF Pre Stripping Costs</t>
  </si>
  <si>
    <t>Reg. Liability - UT Home Energy Lifeline</t>
  </si>
  <si>
    <t>Reg Liability - UT Property Insurance Re</t>
  </si>
  <si>
    <t>Reg Liability - Non current Reclass - Ot</t>
  </si>
  <si>
    <t>Severance Accrual</t>
  </si>
  <si>
    <t>FAS 158 Pension Liability</t>
  </si>
  <si>
    <t>FAS 158 - Funded Pension Asset</t>
  </si>
  <si>
    <t>FAS 158 Post-Retirement Liability</t>
  </si>
  <si>
    <t>MS DEF DB-OTH WIP</t>
  </si>
  <si>
    <t>EMISSION REDUCTION CREDITS PURCHASED</t>
  </si>
  <si>
    <t>ERCs - Impairment Reserve</t>
  </si>
  <si>
    <t>FINANCING COSTS DEFR</t>
  </si>
  <si>
    <t>FINANCING COST DEFERRED</t>
  </si>
  <si>
    <t>DEFERRED - S-3 SHELF REGISTRATION COSTS</t>
  </si>
  <si>
    <t>UNAMORTIZED CREDIT AGREEMENT COSTS</t>
  </si>
  <si>
    <t>UNAMORTIZED PCRB LOC/SBBPA COSTS</t>
  </si>
  <si>
    <t>UNAMORTIZED PCRB MADE CONVERSION COSTS</t>
  </si>
  <si>
    <t>UNAMORTIZED '94 SERIES RESTRUCTURING COS</t>
  </si>
  <si>
    <t>DEF COAL MINE COSTS</t>
  </si>
  <si>
    <t>DEFERRED COAL COSTS - WYODAK SETTLEMENT</t>
  </si>
  <si>
    <t>MSC DF DR-BAL TRAN</t>
  </si>
  <si>
    <t>DEFERRED CHARGES</t>
  </si>
  <si>
    <t>MISC DF DR-OTH-CST</t>
  </si>
  <si>
    <t>Oth Def Chrg - IT Licenses/Maintenance</t>
  </si>
  <si>
    <t>TGS BUYOUT</t>
  </si>
  <si>
    <t>LAKEVIEW BUYOUT</t>
  </si>
  <si>
    <t>BUFFALO SETTLEMENT</t>
  </si>
  <si>
    <t>JOSEPH SETTLEMENT</t>
  </si>
  <si>
    <t>TRI-STATE FIRM WHEELING</t>
  </si>
  <si>
    <t>MEAD-PHOENIX-AVAILABILITY &amp; TRANS CHARGE</t>
  </si>
  <si>
    <t>LACOMB IRRIGATION</t>
  </si>
  <si>
    <t>BOGUS CREEK</t>
  </si>
  <si>
    <t>POINT-TO-POINT TRANS RESERVATIONS</t>
  </si>
  <si>
    <t>BPA LT TRANSMISSION PREPAID</t>
  </si>
  <si>
    <t>LT Prepaid RECs for RPS (OR)</t>
  </si>
  <si>
    <t>LT Prepaid RECs for RPS (CA)</t>
  </si>
  <si>
    <t>LT Lake Side 2 Maint. Prepayment</t>
  </si>
  <si>
    <t>LT LAKE SIDE MAINT PREPAYMENT</t>
  </si>
  <si>
    <t>LT CHEHALIS CSA MAINT. PREPAYMENT</t>
  </si>
  <si>
    <t>LT Currant Creek CSA Maint Prepayment</t>
  </si>
  <si>
    <t>LT Chehalis CSA Prepaid O&amp;M</t>
  </si>
  <si>
    <t>LT Currant Creek CSA Prepaid O&amp;M</t>
  </si>
  <si>
    <t>MISC DF DR-OTH-NC</t>
  </si>
  <si>
    <t>HERMISTON SWAP</t>
  </si>
  <si>
    <t>OTH REGA-ENERGY WEST</t>
  </si>
  <si>
    <t>Reg Asset-Deer Creek-Elec Plt In Svc</t>
  </si>
  <si>
    <t>Reg Asset-Deer Creek-EPIS Intangibles</t>
  </si>
  <si>
    <t>Reg Asset-Deer Creek-CWIP</t>
  </si>
  <si>
    <t>Reg Asset-Deer Creek-PS&amp;I</t>
  </si>
  <si>
    <t>Reg Asset-Deer Creek Sale-EPIS</t>
  </si>
  <si>
    <t>Contra RA-DCM PP&amp;E-OR-To G/L Bal Acct</t>
  </si>
  <si>
    <t>Reg Asset-Deer Creek Sale-CWIP</t>
  </si>
  <si>
    <t>Contra RA-DCM PP&amp;E-To Joint Owners</t>
  </si>
  <si>
    <t>Contra RA-DCM PP&amp;E-Amortz &amp; Oth Adjs</t>
  </si>
  <si>
    <t>Reg Asset-Deer Creek Mine ARO</t>
  </si>
  <si>
    <t>Reg Asset-Deer Creek Mine M&amp;S</t>
  </si>
  <si>
    <t>Reg Asset-Deer Creek-Prepaid Royalties</t>
  </si>
  <si>
    <t>Reg Asset-Deer Creek-Recovery Royalties</t>
  </si>
  <si>
    <t>Reg Asset-Deer Creek-Union Suppl Ben</t>
  </si>
  <si>
    <t>Reg Asset-Deer Creek-Nonunion Severance</t>
  </si>
  <si>
    <t>Reg Asset-Deer Creek-Misc Closure Costs</t>
  </si>
  <si>
    <t>Contra RA-DCM Closure-To Joint Owners</t>
  </si>
  <si>
    <t>Contra RA-DCM Closure-Amortz &amp; Oth Adjs</t>
  </si>
  <si>
    <t>Reg Asset-Deer Creek-Tax Flow-Through</t>
  </si>
  <si>
    <t>Contra Reg Asset-Deer Creek Aband-CA</t>
  </si>
  <si>
    <t>Contra Reg Asset-Deer Creek Aband-UT</t>
  </si>
  <si>
    <t>Contra Reg Asset-Deer Creek Aband-WA</t>
  </si>
  <si>
    <t>Contra Reg Asset-Deer Creek Aband-WY</t>
  </si>
  <si>
    <t>Contra Reg Asset-Deer Creek Closure-CA</t>
  </si>
  <si>
    <t>CONTRA REG ASSET-DEER CREEK CLOSURE-ID</t>
  </si>
  <si>
    <t>Contra Reg Asset-Deer Creek Closure-OR</t>
  </si>
  <si>
    <t>CONTRA REG ASSET-DEER CREEK CLOSURE-UT</t>
  </si>
  <si>
    <t>Contra Reg Asset-Deer Creek Closure-WA</t>
  </si>
  <si>
    <t>CONTRA REG ASSET-DEER CREEK CLOSURE-WY</t>
  </si>
  <si>
    <t>RA-Deer Creek-ROR Offset-Assets Sold</t>
  </si>
  <si>
    <t>RA-Deer Creek-ROR Offset-Fuel Inventory</t>
  </si>
  <si>
    <t>RA-Deer Creek-ROR Offset-Fossil Rock</t>
  </si>
  <si>
    <t>RA-Deer Creek-ROR Offset-Note Intrst-ID</t>
  </si>
  <si>
    <t>RA-DC ROR Offset-Assets Sold-Amortz</t>
  </si>
  <si>
    <t>RA-DC ROR Offset-Fuel Inventory-Amortz</t>
  </si>
  <si>
    <t>RA-DC ROR Offset-Fossil Rock-Amortz</t>
  </si>
  <si>
    <t>Reg Asset-UMWA Pension Trust Oblig</t>
  </si>
  <si>
    <t>Contra RA-UMWA Pens W/D-To Joint Owners</t>
  </si>
  <si>
    <t>Contra Reg Asset-UMWA Pension Trust-CA</t>
  </si>
  <si>
    <t>Contra Reg Asset-UMWA Pension Trust-WA</t>
  </si>
  <si>
    <t>DEFERRED PENSION</t>
  </si>
  <si>
    <t>FAS 158 Pen Liab Adj</t>
  </si>
  <si>
    <t>Contra Pension Reg Asset MMT &amp; CTG - OR</t>
  </si>
  <si>
    <t>Reg Asset -  Pension MMT - UT</t>
  </si>
  <si>
    <t>Contra Pension Reg Asset MMT &amp; CTG - CA</t>
  </si>
  <si>
    <t>Contra Reg Asset 2016 Pension Plan CTG</t>
  </si>
  <si>
    <t>Reg Asset FAS - 158</t>
  </si>
  <si>
    <t>Reg Asset - Post-Ret MMT - OR</t>
  </si>
  <si>
    <t>Reg Asset - Post-Ret MMT - UT</t>
  </si>
  <si>
    <t>Reg Asset - Post-Ret MMT - CA</t>
  </si>
  <si>
    <t>Reg Asset - Post-Ret - Settlement Loss</t>
  </si>
  <si>
    <t>Reg Asset-PostRet Sttlmt Loss-CC-UT</t>
  </si>
  <si>
    <t>Reg Asset-PostRet Sttlmt Loss-CC-WY</t>
  </si>
  <si>
    <t>ENVIR CST UNDR AMORT</t>
  </si>
  <si>
    <t>UTAH METALS CLEANUP</t>
  </si>
  <si>
    <t>D-SM RETAIL MINOR SITES</t>
  </si>
  <si>
    <t>ASTORIA YOUNGS BAY CLEANUP</t>
  </si>
  <si>
    <t>SILVER BELL MINE ENVIRONMENTAL REMED</t>
  </si>
  <si>
    <t>WASHINGTON NON-DEFERRED COSTS</t>
  </si>
  <si>
    <t>American Barrel (UT)</t>
  </si>
  <si>
    <t>Astoria/Unocal (Downtown)</t>
  </si>
  <si>
    <t>Big Fork Hydro Plant (MT)</t>
  </si>
  <si>
    <t>Bridger Coal Fuel Oil Spill</t>
  </si>
  <si>
    <t>Bridger FGD Pond 1 Closure</t>
  </si>
  <si>
    <t>Bridger Plant Oil Spills</t>
  </si>
  <si>
    <t>Cedar Stream Plant (UT)</t>
  </si>
  <si>
    <t>Dave Johnston Oil Spill</t>
  </si>
  <si>
    <t>Eugene MGP (50% PCRP)</t>
  </si>
  <si>
    <t>Everett MGP (2/3 PCRP)</t>
  </si>
  <si>
    <t>Hunter Fuel Oil Spills</t>
  </si>
  <si>
    <t>Huntington Ash Landfill</t>
  </si>
  <si>
    <t>Idaho Falls Pole Yard</t>
  </si>
  <si>
    <t>Jordan Plant Substation</t>
  </si>
  <si>
    <t>Little Mountain Gas Plant</t>
  </si>
  <si>
    <t>Montague Ranch (CA)</t>
  </si>
  <si>
    <t>Naughton FGD Pond Closure</t>
  </si>
  <si>
    <t>Ogden MGP</t>
  </si>
  <si>
    <t>Powerdale Hydro Plant</t>
  </si>
  <si>
    <t>Tacoma A St. (25% PCRP)</t>
  </si>
  <si>
    <t>Portland Harbor Service Ctr</t>
  </si>
  <si>
    <t>Wyodak Fuel Oil Spill</t>
  </si>
  <si>
    <t>CLINE FALLS-HYDRO</t>
  </si>
  <si>
    <t>Geneva Rock Bldg - Hunter Plant</t>
  </si>
  <si>
    <t>Alturas Service Center (CA)</t>
  </si>
  <si>
    <t>Pendleton Service Center  (OR)</t>
  </si>
  <si>
    <t>Sunnyside Service Center (WA)</t>
  </si>
  <si>
    <t>D-SM Retail Minor Sites - RMP - 2012</t>
  </si>
  <si>
    <t>D-SM Retail Minor Sites - RMP - 2013</t>
  </si>
  <si>
    <t>D-SM Retail Minor Sites - RMP - 2014</t>
  </si>
  <si>
    <t>D-SM Retail Minor Sites - RMP - 2007</t>
  </si>
  <si>
    <t>D-SM Retail Minor Sites - RMP - 2008</t>
  </si>
  <si>
    <t>D-SM Retail Minor Sites - RMP - 2009</t>
  </si>
  <si>
    <t>D-SM Retail Minor Sites - RMP - 2010</t>
  </si>
  <si>
    <t>D-SM Retail Minor Sites - RMP - 2011</t>
  </si>
  <si>
    <t>WASHINGTON NON-DEFERRED COSTS-SPPC PACIF</t>
  </si>
  <si>
    <t>WASHINGTON NON-DEFERRED COSTS-SPPC ROCKY</t>
  </si>
  <si>
    <t>WASHINGTON NON-DEFERRED COSTS-REMEDIATIO</t>
  </si>
  <si>
    <t>Wash Non-Def Costs - SPPC - RMP - 2012</t>
  </si>
  <si>
    <t>Wash Non-Def Costs - SPPC - RMP - 2013</t>
  </si>
  <si>
    <t>Wash Non-Def Costs - SPPC - RMP - 2014</t>
  </si>
  <si>
    <t>D-SM RETAIL MINOR SITES - RMP</t>
  </si>
  <si>
    <t>FREEPORT SUBSTATION</t>
  </si>
  <si>
    <t>Bors Property  (OR) - 2016</t>
  </si>
  <si>
    <t>Carbon Ash Spill  (UT) - 2016</t>
  </si>
  <si>
    <t>DSR COSTS AMORTIZED</t>
  </si>
  <si>
    <t>DSR COST AMORT</t>
  </si>
  <si>
    <t>ENERGY FINANSWER - WASHINGTON</t>
  </si>
  <si>
    <t>INDUSTRIAL FINANSWER - WASHINGTON</t>
  </si>
  <si>
    <t>LOW INCOME - WASHINGTON</t>
  </si>
  <si>
    <t>SELF AUDIT - WASHINGTON</t>
  </si>
  <si>
    <t>COMMERCIAL SMALL RETROFIT - WASHINGTON</t>
  </si>
  <si>
    <t>INDUSTRIAL SMALL RETROFIT - WASHINGTON</t>
  </si>
  <si>
    <t>COMMERCIAL RETROFIT LIGHTING - WASHINGTO</t>
  </si>
  <si>
    <t>INDUSTRIAL RETROFIT LIGHTING-WA</t>
  </si>
  <si>
    <t>NEEA - WASHINGTON</t>
  </si>
  <si>
    <t>ENERGY CODE DEVELOPMENT</t>
  </si>
  <si>
    <t>HOME COMFORT - WASHINGTON</t>
  </si>
  <si>
    <t>WEATHERIZATION - WASHINGTON</t>
  </si>
  <si>
    <t>HASSLE FREE</t>
  </si>
  <si>
    <t>COMPACT FLUORESCENT LAMPS - WASHINGTON</t>
  </si>
  <si>
    <t>RESIDENTIAL PROGRAM RESEARCH - WA</t>
  </si>
  <si>
    <t>WA REVENUE RECOVERY - SBC OFFSET</t>
  </si>
  <si>
    <t>ENERGY FINANSWER - UTAH 2001/2002</t>
  </si>
  <si>
    <t>INDUSTRIAL FINANSWER - UTAH 2001/2002</t>
  </si>
  <si>
    <t>COMPACT FLUOR LAMPS (CFL) UT 2001/2002</t>
  </si>
  <si>
    <t>COMMERCIAL SMALL RETROFIT - UT 2001/2002</t>
  </si>
  <si>
    <t>INDUSTRIAL SMALL RETROFIT - UT 2002</t>
  </si>
  <si>
    <t>COMMERCIAL RETROFIT LIGHTING - UT 2001/2</t>
  </si>
  <si>
    <t>INDUSTRIAL RETROFIT LIGHTING - UT 2001/2</t>
  </si>
  <si>
    <t>WEB AUDIT PILOT - WA</t>
  </si>
  <si>
    <t>APPLIANCE REBATE - WA</t>
  </si>
  <si>
    <t>INDUSTRIAL RETROFIT LIGHTING - UT 2002</t>
  </si>
  <si>
    <t>POWER FORWARD UT 2002</t>
  </si>
  <si>
    <t>A/C LOAD CONTROL PGM - RESIDENTIAL - UT</t>
  </si>
  <si>
    <t>SCHOOL ENERGY EDUCATION - WA</t>
  </si>
  <si>
    <t>AIR CONDITIONING - UT 2002</t>
  </si>
  <si>
    <t>REFRIGERATOR RECYCLING PGM - UT 2003</t>
  </si>
  <si>
    <t>REFRIGERATOR RECYCLING PGM - WA</t>
  </si>
  <si>
    <t>A/C LOAD CONTROL - RESIDENTIAL UT 2003</t>
  </si>
  <si>
    <t>AIR CONDITIONING - UT 2003</t>
  </si>
  <si>
    <t>COMMERCIAL RETROFIT LIGHTING - UT 2003</t>
  </si>
  <si>
    <t>COMMERCIAL SMALL RETROFIT - UT 2003</t>
  </si>
  <si>
    <t>COMPACT FLOURESCENT LAMP (CFL) - UT 2002</t>
  </si>
  <si>
    <t>ENERGY FINANSWER - UT 2003</t>
  </si>
  <si>
    <t>INDUSTRIAL FINANSWER - UT 2003</t>
  </si>
  <si>
    <t>INDUSTRIAL RETROFIT LIGHTING - UT 2003</t>
  </si>
  <si>
    <t>INDUSTRIAL SMALL RETROFIT - UTAH - 2003</t>
  </si>
  <si>
    <t>POWER FORWARD - UT 2003</t>
  </si>
  <si>
    <t>CA REVENUE RECOVERY - BALANCING ACCT</t>
  </si>
  <si>
    <t>COMMERCIAL SELF-DIRECT UT 2003</t>
  </si>
  <si>
    <t>INDUSTRIAL SELF-DIRECT UT 2003</t>
  </si>
  <si>
    <t>LOW INCOME - UTAH - 2004</t>
  </si>
  <si>
    <t>REFRIGERATOR RECYCLING PGM - UT 2004</t>
  </si>
  <si>
    <t>AC LOAD CONTROL - RESIDENTIAL UT 2004</t>
  </si>
  <si>
    <t>AIR CONDITIONING - UT 2004</t>
  </si>
  <si>
    <t>COMMERCIAL RETROFIT LIGHTING - UT 2004</t>
  </si>
  <si>
    <t>COMMERCIAL SMALL RETROFIT - UT 2004</t>
  </si>
  <si>
    <t>COMPACT FLOURESCENT LAMPS (CFL) UT 2004</t>
  </si>
  <si>
    <t>ENERGY FINANSWER - UT 2004</t>
  </si>
  <si>
    <t>INDUSTRIAL FINANSWER - UT 2004</t>
  </si>
  <si>
    <t>INDUSTRIAL RETROFIT - UT 2004</t>
  </si>
  <si>
    <t>INDUSTRIAL SMALL RETROFIT - UT 2004</t>
  </si>
  <si>
    <t>POWER FORWARD - UT 2004</t>
  </si>
  <si>
    <t>COMMERCIAL SELF-DIRECT - UT 2004</t>
  </si>
  <si>
    <t>INDUSTRIAL SELF-DIRECT - UT 2004</t>
  </si>
  <si>
    <t>ESIDENTIAL NEW CONSTRUCTION - WASHINGTON</t>
  </si>
  <si>
    <t>RESIDENTIAL NEW CONSTRUCTION - UTAH - 20</t>
  </si>
  <si>
    <t>COMMERCIAL FINANSWER EXPRESS - WASHINGTO</t>
  </si>
  <si>
    <t>INDUSTRIAL FINANSWER EXPRESS - WASHINGTO</t>
  </si>
  <si>
    <t>COMMERCIAL FINANSWER EXPRESS - UTAH - 20</t>
  </si>
  <si>
    <t>INDUSTRIAL FINANSWER EXPRESS - UTAH - 20</t>
  </si>
  <si>
    <t>UTAH REVENUE RECOVERY - SBC OFFSET</t>
  </si>
  <si>
    <t>RETROFIT COMMISSIONING PROGRAM  - UTAH</t>
  </si>
  <si>
    <t>C&amp;I LIGHTING LOAD CONTROL  - UTAH - 2004</t>
  </si>
  <si>
    <t>ENERGY FINANSWER - ID/UT 2005</t>
  </si>
  <si>
    <t>REFRIGERATOR RECYCLING PGM - IDAHO - 200</t>
  </si>
  <si>
    <t>COMMERCIAL FINANSWER EXPRESS - IDAHO - 2</t>
  </si>
  <si>
    <t>INDUSTRIAL FINANSWER EXPRESS - IDAHO - 2</t>
  </si>
  <si>
    <t>IRRIGATION EFFICIENCY PROGRAM - IDAHO -</t>
  </si>
  <si>
    <t>LOW INCOME - UTAH - 2005</t>
  </si>
  <si>
    <t>REFRIGERATOR RECYCLING PGM- UTAH - 2005</t>
  </si>
  <si>
    <t>A/C LOAD CONTROL - RESIDENTIAL/UTAH - 20</t>
  </si>
  <si>
    <t>AIR CONDITIONING - UTAH - 2005</t>
  </si>
  <si>
    <t>COMMERCIAL RETROFIT LIGHTING - UTAH - 20</t>
  </si>
  <si>
    <t>COMMERCIAL SMALL RETROFIT - UTAH - 2005</t>
  </si>
  <si>
    <t>ENERGY FINANSWER - UTAH - 2005</t>
  </si>
  <si>
    <t>INDUSTRIAL FINANSWER - UTAH - 2005</t>
  </si>
  <si>
    <t>INDUSTRIAL RETROFIT LIGHTING - UTAH - 20</t>
  </si>
  <si>
    <t>POWER FORWARD - UTAH - 2005</t>
  </si>
  <si>
    <t>COMMERCIAL SELF-DIRECT - UTAH - 2005</t>
  </si>
  <si>
    <t>INDUSTRIAL SELF-DIRECT - UTAH - 2005</t>
  </si>
  <si>
    <t>RETROFIT COMMISSIONING PROGRAM  - UTAH -</t>
  </si>
  <si>
    <t>C&amp;I LIGHTING LOAD CONTROL  - UTAH - 2005</t>
  </si>
  <si>
    <t>1823920/102556</t>
  </si>
  <si>
    <t>APPLIANCE INCENTIVE - WASHWISE - WASHING</t>
  </si>
  <si>
    <t>IRRIGATION LOAD CONTROL - UTAH - 2005</t>
  </si>
  <si>
    <t>LOW INCOME-UTAH-2006</t>
  </si>
  <si>
    <t>REFRIGERATOR RECYCLING PGM-UTAH-2006</t>
  </si>
  <si>
    <t>A/C LOAD CONTROL-RESIDENTIAL/UTAH-2006</t>
  </si>
  <si>
    <t>AIR CONDITIONING-UTAH-2006</t>
  </si>
  <si>
    <t>ENERGY FINANSWER-UTAH-2006</t>
  </si>
  <si>
    <t>INDUSTRIAL FINANSWER-WYOMING-UTAH-2006</t>
  </si>
  <si>
    <t>COMMERCIAL SELF-DIRECT-UTAH-2006</t>
  </si>
  <si>
    <t>INDUSTRIAL SELF-DIRECT-UTAH-2006</t>
  </si>
  <si>
    <t>RESIDENTIAL NEW CONSTRUCTION-UTAH-2006</t>
  </si>
  <si>
    <t>COMMERCIAL FINANSWER EXPRESS-UTAH-2006</t>
  </si>
  <si>
    <t>INDUSTRIAL FINANSWER-UTAH-2006</t>
  </si>
  <si>
    <t>RETROFIT COMMISSIONING PROGRAM -UTAH-200</t>
  </si>
  <si>
    <t>C&amp;I LIGHTING LOAD CONTROL -UTAH-2006</t>
  </si>
  <si>
    <t>CALIFORNIA DSM EXPENSE-2006</t>
  </si>
  <si>
    <t>HOME ENERGY EFF INCENTIVE PROG-UTAH-2006</t>
  </si>
  <si>
    <t>HOME ENERGY EFF INCENTIVE PROG-WA-2006</t>
  </si>
  <si>
    <t>DSR COSTS BEING AMORTIZED</t>
  </si>
  <si>
    <t>ENERGY FINANSWER - WYOMING PPL - 2007</t>
  </si>
  <si>
    <t>MAJOR CUSTOMER  99</t>
  </si>
  <si>
    <t>HOME ENERGY EFF INCENTIVE PRO - PPL WYOM</t>
  </si>
  <si>
    <t>LOW-INCOME WEATHERIZATION - WYOMING PPL-</t>
  </si>
  <si>
    <t>COMMERCIAL FINANSWER EXPRESS - WY - 2007</t>
  </si>
  <si>
    <t>INDUSTRIAL FINANSWER EXPRESS - WY - 2007</t>
  </si>
  <si>
    <t>SELF DIRECT - COMMERCIAL - WY - 2007</t>
  </si>
  <si>
    <t>SELF DIRECT - INDUSTRIAL - WY - 2007</t>
  </si>
  <si>
    <t>AIR CONDITIONING - UTAH - 2007</t>
  </si>
  <si>
    <t>ENERGY FINANSWER - UTAH - 2007</t>
  </si>
  <si>
    <t>INDUSTRIAL FINANSWER - UTAH - 2007</t>
  </si>
  <si>
    <t>LOW INCOME - UTAH - 2007</t>
  </si>
  <si>
    <t>POWER FORWARD - UTAH - 2007</t>
  </si>
  <si>
    <t>REFRIGERATOR RECYCLING PGM- UTAH - 2007</t>
  </si>
  <si>
    <t>COMMERCIAL SELF-DIRECT - UTAH - 2007</t>
  </si>
  <si>
    <t>INDUSTRIAL SELF-DIRECT - UTAH - 2007</t>
  </si>
  <si>
    <t>RETROFIT COMMISSIONING PROGRAM - UTAH -</t>
  </si>
  <si>
    <t>IRRIGATION LOAD CONTROL  - UTAH - 2007</t>
  </si>
  <si>
    <t>HOME ENERGY EFF INCENTIVE PROG - UT 2007</t>
  </si>
  <si>
    <t>CALIFORNIA DSM EXPENSE - 2008</t>
  </si>
  <si>
    <t>ENERGY FINANSWER - WYOMING PPL - 2008</t>
  </si>
  <si>
    <t>INDUSTRIAL FINANSWER - WYOMING PPL - 200</t>
  </si>
  <si>
    <t>REFRIGERATOR RECYCLING - WYOMING 2008</t>
  </si>
  <si>
    <t>HOME ENERGY EFF INCENTIVE PROGRAM - WYOM</t>
  </si>
  <si>
    <t>LOW INCOME WEATHERIZATION - WYOMING 2008</t>
  </si>
  <si>
    <t>COMMERCIAL FINANSWER EXPRESS - WYOMING 2</t>
  </si>
  <si>
    <t>INDUSTRIAL FINANSWER EXPRESS - WY - 2008</t>
  </si>
  <si>
    <t>SELF DIRECT COMMERCIAL - WYOMING 2008</t>
  </si>
  <si>
    <t>SELF DIRECT INDUSTRIAL - WYOMING 2008</t>
  </si>
  <si>
    <t>AC LOAD CONTROL - RESIDENTIAL - UTAH 200</t>
  </si>
  <si>
    <t>AIR CONDITIONING - UTAH 2008</t>
  </si>
  <si>
    <t>ENERGY FINANSWER - UTAH - 2008</t>
  </si>
  <si>
    <t>INDUSTRIAL FINANSWER - UTAH - 2008</t>
  </si>
  <si>
    <t>LOW INCOME - UTAH 2008</t>
  </si>
  <si>
    <t>POWER FORWARD - UTAH - 2008</t>
  </si>
  <si>
    <t>REFRIGERATOR RECYCLING - UTAH - 2008</t>
  </si>
  <si>
    <t>COMMERCIAL SELF DIRECT - UTAH - 2008</t>
  </si>
  <si>
    <t>INDUSTRIAL SELF DIRECT - UTAH - 2008</t>
  </si>
  <si>
    <t>RESIDENTIAL NEW CONSTRUCTION - UTAH 2008</t>
  </si>
  <si>
    <t>COMMERCIAL FINANSWER EXPRESS - UTAH 2008</t>
  </si>
  <si>
    <t>INDUSTRIAL FINANSWER EXPRESS - UTAH 2008</t>
  </si>
  <si>
    <t>C&amp;I LIGHTING LOAD CONTROL  - UTAH - 2008</t>
  </si>
  <si>
    <t>IRRIGATION LOAD CONTROL - UTAH</t>
  </si>
  <si>
    <t>HOME ENERGY EFF INCENTIVE PROGRAM - UTAH</t>
  </si>
  <si>
    <t>CALIFORNIA DSM EXPENSE - 2009</t>
  </si>
  <si>
    <t>AIR CONDITIONING - UTAH - 2009</t>
  </si>
  <si>
    <t>ENERGY FINANSWER - UTAH - 2009</t>
  </si>
  <si>
    <t>INDUSTRIAL FINANSWER - UTAH - 2009</t>
  </si>
  <si>
    <t>LOW INCOME - UTAH - 2009</t>
  </si>
  <si>
    <t>POWER FORWARD - UTAH - 2009</t>
  </si>
  <si>
    <t>REFRIGERATOR RECYCLING PGM- UTAH - 2009</t>
  </si>
  <si>
    <t>COMMERCIAL SELF-DIRECT - UTAH - 2009</t>
  </si>
  <si>
    <t>INDUSTRIAL SELF-DIRECT - UTAH - 2009</t>
  </si>
  <si>
    <t>IRRIGATION LOAD CONTROL  - UTAH - 2009</t>
  </si>
  <si>
    <t>HOME ENERGY EFF INCENTIVE PROG - UT 2009</t>
  </si>
  <si>
    <t>ENERGY FINANSWER - WYOMING PPL - 2009</t>
  </si>
  <si>
    <t>INDUSTRIAL FINANSWER-WYOMING - PPL 2009</t>
  </si>
  <si>
    <t>REFRIGERATOR RECYCLING - PPL WYOMING - 2</t>
  </si>
  <si>
    <t>LOW-INCOME WEATHERIZATION - WYOMING PPL</t>
  </si>
  <si>
    <t>COMMERCIAL FINANSWER EXPRESS - WY - 2009</t>
  </si>
  <si>
    <t>INDUSTRIAL FINANSWER EXPRESS - WY - 2009</t>
  </si>
  <si>
    <t>SELF DIRECT - COMMERCIAL - WY - 2009</t>
  </si>
  <si>
    <t>SELF DIRECT - INDUSTRIAL  - WY - 2009</t>
  </si>
  <si>
    <t>MAIN CHECK DISB-WIRES/ACH IN CLEAR ACCT</t>
  </si>
  <si>
    <t>MAIN CHECK DISB-WIRES/ACH OUT CLEAR ACCT</t>
  </si>
  <si>
    <t>COMMERCIAL FINANSWER EXPRESS Cat 2- WY -</t>
  </si>
  <si>
    <t>INDUSTRIAL FINANSWER EXPRESS Cat 2- WY -</t>
  </si>
  <si>
    <t>ENERGY FINANSWER Cat 2 - WY 2009</t>
  </si>
  <si>
    <t>INDUSTRIAL FINANSWER Cat 2 -WY 2009</t>
  </si>
  <si>
    <t>WYOMING REV RECOVERY - SBC OFFSET CAT 1</t>
  </si>
  <si>
    <t>WYOMING REV RECOVERY - SBC OFFSET CAT 2</t>
  </si>
  <si>
    <t>WYOMING REV RECOVERY - SBC OFFSET CAT 3</t>
  </si>
  <si>
    <t>OUTREACH and COMMUNICATIONS - UT 2009</t>
  </si>
  <si>
    <t>CALIFORNIA DSM EXPENSE - 2010</t>
  </si>
  <si>
    <t>AIR CONDITIONING - UTAH - 2010</t>
  </si>
  <si>
    <t>ENERGY FINANSWER - UTAH - 2010</t>
  </si>
  <si>
    <t>INDUSTRIAL FINANSWER - UTAH - 2010</t>
  </si>
  <si>
    <t>LOW INCOME - UTAH - 2010</t>
  </si>
  <si>
    <t>POWER FORWARD - UTAH # 2010</t>
  </si>
  <si>
    <t>REFRIGERATOR RECYCLING PGM- UTAH - 2010</t>
  </si>
  <si>
    <t>COMMERCIAL SELF-DIRECT - UTAH - 2010</t>
  </si>
  <si>
    <t>INDUSTRIAL SELF-DIRECT - UTAH - 2010</t>
  </si>
  <si>
    <t>IRRIGATION LOAD CONTROL  - UTAH - 2010</t>
  </si>
  <si>
    <t>HOME ENERGY EFF INCENTIVE PROG - UT 2010</t>
  </si>
  <si>
    <t>OUTREACH and COMMUNICATIONS - UT 2010</t>
  </si>
  <si>
    <t>ENERGY FINANSWER-WY-2010 CAT3</t>
  </si>
  <si>
    <t>INDUSTRIAL FINANSWER-WY-2010 CAT3</t>
  </si>
  <si>
    <t>REFRIGERATOR RECYCLING-WY -2010 CAT1</t>
  </si>
  <si>
    <t>HOME ENERGY EFF INCENT PROG Y-2010 CAT1</t>
  </si>
  <si>
    <t>LOW-INCOME WEATHERZTN - WY 2010 CAT1</t>
  </si>
  <si>
    <t>COMMERCIAL FINANSWER EXP WY-2010 CAT3</t>
  </si>
  <si>
    <t>INDUSTRIAL FINANSWER EXP WY-2010 CAT3</t>
  </si>
  <si>
    <t>SELF DIRECT - COMMERCIAL -WY-2010 CAT3</t>
  </si>
  <si>
    <t>SELF DIRECT -INDUSTRIAL -WY-2010 CAT3</t>
  </si>
  <si>
    <t>COMMERCIAL FINANSWER EXP- WY-2010 CAT2</t>
  </si>
  <si>
    <t>INDUSTRIAL FINAN EXPRESS WY-2010 CAT2</t>
  </si>
  <si>
    <t>ENERGY FINANSWER -WY 2010 CAT2</t>
  </si>
  <si>
    <t>INDUSTRIAL FINANSWER -WY 2010 CAT2</t>
  </si>
  <si>
    <t>Check Disb-Wires/ACH In Clearing - BT</t>
  </si>
  <si>
    <t>Check Disb-Wires/ACH Out Clearing - BT</t>
  </si>
  <si>
    <t>Company Initiatives DEI Study- Washingto</t>
  </si>
  <si>
    <t>Commercial Direct Install - Utah - 2011</t>
  </si>
  <si>
    <t>Commercial Curtailment - Utah - 2011</t>
  </si>
  <si>
    <t>Commercial Direct Install - Washington</t>
  </si>
  <si>
    <t>CALIFORNIA DSM EXPENSE - 2011</t>
  </si>
  <si>
    <t>Commercial Curtailment - Oregon</t>
  </si>
  <si>
    <t>AIR CONDITIONING - UTAH - 2011</t>
  </si>
  <si>
    <t>ENERGY FINANSWER - UTAH - 2011</t>
  </si>
  <si>
    <t>INDUSTRIAL FINANSWER - UTAH - 2011</t>
  </si>
  <si>
    <t>LOW INCOME - UTAH - 2011</t>
  </si>
  <si>
    <t>Power Forward - Utah - 2011</t>
  </si>
  <si>
    <t>REFRIGERATOR RECYCLING PGM- UTAH - 2011</t>
  </si>
  <si>
    <t>COMMERCIAL SELF-DIRECT - UTAH - 2011</t>
  </si>
  <si>
    <t>INDUSTRIAL SELF-DIRECT - UTAH - 2011</t>
  </si>
  <si>
    <t>IRRIGATION LOAD CONTROL  - UTAH - 2011</t>
  </si>
  <si>
    <t>HOME ENERGY EFF INCENTIVE PROG - UT 2011</t>
  </si>
  <si>
    <t>OUTREACH and COMMUNICATIONS - UT 2011</t>
  </si>
  <si>
    <t>ENERGY FINANSWER-WY-2011 CAT3</t>
  </si>
  <si>
    <t>INDUSTRIAL FINANSWER-WY-2011 CAT3</t>
  </si>
  <si>
    <t>REFRIGERATOR RECYCLING-WY -2011 CAT1</t>
  </si>
  <si>
    <t>HOME ENERGY EFF INCENT PROG Y-2011 CAT1</t>
  </si>
  <si>
    <t>Low-Income Weatherztn - Wy 2011 CAT1</t>
  </si>
  <si>
    <t>COMMERCIAL FINANSWER EXP WY-2011 CAT3</t>
  </si>
  <si>
    <t>INDUSTRIAL FINANSWER EXP WY-2011 CAT3</t>
  </si>
  <si>
    <t>Self Direct - Commercial -Wy-2011 CAT3</t>
  </si>
  <si>
    <t>Self Direct -Industrial -Wy-2011 CAT3</t>
  </si>
  <si>
    <t>COMMERCIAL FINANSWER EXP- WY-2011 CAT2</t>
  </si>
  <si>
    <t>INDUSTRIAL FINAN EXPRESS WY-2011 CAT2</t>
  </si>
  <si>
    <t>ENERGY FINANSWER -WY 2011 CAT2</t>
  </si>
  <si>
    <t>INDUSTRIAL FINANSWER -WY 2011 CAT2</t>
  </si>
  <si>
    <t>Self Direct - Commercial Wy-2011 CAT2</t>
  </si>
  <si>
    <t>Self Direct- Industrial Wy-2011 CAT2</t>
  </si>
  <si>
    <t>OUTREACH &amp; COMM- WATTSMART - EVALUATION</t>
  </si>
  <si>
    <t>COMPANY INITIATIVES -PRODUCTION EFFICIEN</t>
  </si>
  <si>
    <t>Portfolio -WY-2011   Cat4</t>
  </si>
  <si>
    <t>Portfolio - Washington</t>
  </si>
  <si>
    <t>Energy Storage Demonstration Project -UT</t>
  </si>
  <si>
    <t>Outreach And Communication-WY-2011</t>
  </si>
  <si>
    <t>AGRICULURAL FINANSWER EXPRESS - UTAH - 2</t>
  </si>
  <si>
    <t>AGRICULTURAL FINANSWER EXPRESS - WASHING</t>
  </si>
  <si>
    <t>PORTFOLIO -WY-2011   CAT2</t>
  </si>
  <si>
    <t>PORTFOLIO -WY-2011   CAT3</t>
  </si>
  <si>
    <t>Home Energy Reporting -OPower -WA 2011</t>
  </si>
  <si>
    <t>CALIFORNIA DSM EXPENSE - 2012</t>
  </si>
  <si>
    <t>AIR CONDITIONING - UTAH - 2012</t>
  </si>
  <si>
    <t>ENERGY FINANSWER - UTAH - 2012</t>
  </si>
  <si>
    <t>INDUSTRIAL FINANSWER - UTAH - 2012</t>
  </si>
  <si>
    <t>LOW INCOME - UTAH - 2012</t>
  </si>
  <si>
    <t>REFRIGERATOR RECYCLING PGM- UTAH - 2012</t>
  </si>
  <si>
    <t>COMMERCIAL SELF-DIRECT - UTAH - 2012</t>
  </si>
  <si>
    <t>INDUSTRIAL SELF-DIRECT - UTAH - 2012</t>
  </si>
  <si>
    <t>IRRIGATION LOAD CONTROL  - UTAH - 2012</t>
  </si>
  <si>
    <t>HOME ENERGY EFF INCENTIVE PROG - UT 2012</t>
  </si>
  <si>
    <t>OUTREACH and COMMUNICATIONS - UT 2012</t>
  </si>
  <si>
    <t>COMMERCIAL DIRECT INSTALL - UT 2012</t>
  </si>
  <si>
    <t>COMMERCIAL CURTAILMENT - UT 2012</t>
  </si>
  <si>
    <t>ENERGY STORAGE DEMO PROJECT - UT 2012</t>
  </si>
  <si>
    <t>AGRICULTURAL FINANSWER EXPRESS - UTAH -</t>
  </si>
  <si>
    <t>HOME ENERGY REPORTING - UT 2012</t>
  </si>
  <si>
    <t>ENERGY FINANSWER-WY-2012 CAT3</t>
  </si>
  <si>
    <t>INDUSTRIAL FINANSWER-WY-2012 CAT3</t>
  </si>
  <si>
    <t>REFRIGERATOR RECYCLING-WY -2012 CAT1</t>
  </si>
  <si>
    <t>HOME ENERGY EFF INCENT PROG Y-2012 CAT1</t>
  </si>
  <si>
    <t>LOW-INCOME WEATHERZTN - WY 2012 CAT1</t>
  </si>
  <si>
    <t>COMMERCIAL FINANSWER EXP WY-2012 CAT3</t>
  </si>
  <si>
    <t>INDUSTRIAL FINANSWER EXP WY-2012 CAT3</t>
  </si>
  <si>
    <t>SELF DIRECT - COMMERCIAL -WY-2012 CAT3</t>
  </si>
  <si>
    <t>SELF DIRECT -INDUSTRIAL -WY-2012 CAT3</t>
  </si>
  <si>
    <t>COMMERCIAL FINANSWER EXP- WY-2012 CAT2</t>
  </si>
  <si>
    <t>INDUSTRIAL FINAN EXPRESS WY-2012 CAT2</t>
  </si>
  <si>
    <t>ENERGY FINANSWER -WY 2012 CAT2</t>
  </si>
  <si>
    <t>INDUSTRIAL FINANSWER -WY 2012 CAT2</t>
  </si>
  <si>
    <t>SELF DIRECT - COMMERCIAL WY-2012 CAT2</t>
  </si>
  <si>
    <t>SELF DIRECT- INDUSTRIAL WY-2012 CAT2</t>
  </si>
  <si>
    <t>PORTFOLIO WY-2012 CAT1</t>
  </si>
  <si>
    <t>OUTREACH AND COMMUNICATION WATTSMT  WY-2</t>
  </si>
  <si>
    <t>AGRICULURAL FINANSWER EXP WY-2012 CAT2</t>
  </si>
  <si>
    <t>AGRICULURAL FINANSWER EXP WY-2012 CAT3</t>
  </si>
  <si>
    <t>PORTFOLIO WY-2012 CAT2</t>
  </si>
  <si>
    <t>PORTFOLIO WY-2012 CAT3</t>
  </si>
  <si>
    <t>COMMERCIAL CURTAILMENT - OR 2012</t>
  </si>
  <si>
    <t>U.of Utah Student Energy Sponsorship- UT</t>
  </si>
  <si>
    <t>PORTFOLIO - IDAHO</t>
  </si>
  <si>
    <t>PORTFOLIO - UTAH</t>
  </si>
  <si>
    <t>CALIFORNIA DSM EXPENSE - 2013</t>
  </si>
  <si>
    <t>PORTFOLIO - IDAHO 2013</t>
  </si>
  <si>
    <t>AIR CONDITIONING - UTAH - 2013</t>
  </si>
  <si>
    <t>ENERGY FINANSWER - UTAH - 2013</t>
  </si>
  <si>
    <t>INDUSTRIAL FINANSWER - UTAH - 2013</t>
  </si>
  <si>
    <t>LOW INCOME - UTAH - 2013</t>
  </si>
  <si>
    <t>REFRIGERATOR RECYCLING PGM- UTAH - 2013</t>
  </si>
  <si>
    <t>COMMERCIAL SELF-DIRECT - UTAH - 2013</t>
  </si>
  <si>
    <t>INDUSTRIAL SELF-DIRECT - UTAH - 2013</t>
  </si>
  <si>
    <t>IRRIGATION LOAD CONTROL  - UTAH - 2013</t>
  </si>
  <si>
    <t>HOME ENERGY EFF INCENTIVE PROG - UT 2013</t>
  </si>
  <si>
    <t>OUTREACH and COMMUNICATIONS - UT 2013</t>
  </si>
  <si>
    <t>HOME ENERGY REPORTING - UT 2013</t>
  </si>
  <si>
    <t>ENERGY FINANSWER-WY-2013 CAT3</t>
  </si>
  <si>
    <t>INDUSTRIAL FINANSWER-WY-2013 CAT3</t>
  </si>
  <si>
    <t>REFRIGERATOR RECYCLING-WY -2013 CAT1</t>
  </si>
  <si>
    <t>HOME ENERGY EFF INCENT PROG Y-2013 CAT1</t>
  </si>
  <si>
    <t>LOW-INCOME WEATHERZTN - WY 2013 CAT1</t>
  </si>
  <si>
    <t>COMMERCIAL FINANSWER EXP WY-2013 CAT3</t>
  </si>
  <si>
    <t>INDUSTRIAL FINANSWER EXP WY-2013 CAT3</t>
  </si>
  <si>
    <t>SELF DIRECT - COMMERCIAL -WY-2013 CAT3</t>
  </si>
  <si>
    <t>SELF DIRECT -INDUSTRIAL -WY-2013 CAT3</t>
  </si>
  <si>
    <t>COMMERCIAL FINANSWER EXP- WY-2013 CAT2</t>
  </si>
  <si>
    <t>INDUSTRIAL FINAN EXPRESS WY-2013 CAT2</t>
  </si>
  <si>
    <t>ENERGY FINANSWER -WY 2013 CAT2</t>
  </si>
  <si>
    <t>INDUSTRIAL FINANSWER -WY 2013 CAT2</t>
  </si>
  <si>
    <t>SELF DIRECT - COMMERCIAL WY-2013 CAT2</t>
  </si>
  <si>
    <t>SELF DIRECT- INDUSTRIAL WY-2013 CAT2</t>
  </si>
  <si>
    <t>PORTFOLIO WY-2013 CAT1</t>
  </si>
  <si>
    <t>AGRICULTURAL FINANSWER EXP WY-2013 CAT2</t>
  </si>
  <si>
    <t>AGRICULURAL FINANSWER EXP WY-2013 CAT3</t>
  </si>
  <si>
    <t>PORTFOLIO WY-2013 CAT2</t>
  </si>
  <si>
    <t>PORTFOLIO WY-2013 CAT3</t>
  </si>
  <si>
    <t>PORTFOLIO - UTAH 2013</t>
  </si>
  <si>
    <t>COMMERCIAL (WSB) WATTSMART BUSINESS - UT</t>
  </si>
  <si>
    <t>INDUSTRIAL (WSB) WATTSMART BUSINESS - UT</t>
  </si>
  <si>
    <t>WSB - WATTSMART BUSINESS - UT- 2013</t>
  </si>
  <si>
    <t>COMMERCIAL (WSB) WATTSMART BUSINESS - WA</t>
  </si>
  <si>
    <t>INDUSTRIAL WATTSMART BUSINESS - WA-2013</t>
  </si>
  <si>
    <t>WSB - WATTSMART BUSINESS - WA- 2013</t>
  </si>
  <si>
    <t>AGRICULTURAL (WSB) WATTSMART BUSINESS -</t>
  </si>
  <si>
    <t>CALIFORNIA DSM EXPENSE - 2014</t>
  </si>
  <si>
    <t>PORTFOLIO - IDAHO 2014</t>
  </si>
  <si>
    <t>AIR CONDITIONING - UTAH - 2014</t>
  </si>
  <si>
    <t>ENERGY FINANSWER - UTAH - 2014</t>
  </si>
  <si>
    <t>HOME ENERGY EFF INCENTIVE PROG - UT 2014</t>
  </si>
  <si>
    <t>HOME ENERGY REPORTING - UT 2014</t>
  </si>
  <si>
    <t>INDUSTRIAL FINANSWER - UTAH - 2014</t>
  </si>
  <si>
    <t>IRRIGATION LOAD CONTROL  - UTAH - 2014</t>
  </si>
  <si>
    <t>LOW INCOME - UTAH - 2014</t>
  </si>
  <si>
    <t>OUTREACH and COMMUNICATIONS - UT 2014</t>
  </si>
  <si>
    <t>PORTFOLIO - UTAH 2014</t>
  </si>
  <si>
    <t>REFRIGERATOR RECYCLING PGM- UTAH - 2014</t>
  </si>
  <si>
    <t>COMMERCIAL SELF-DIRECT - UTAH - 2014</t>
  </si>
  <si>
    <t>INDUSTRIAL SELF-DIRECT - UTAH - 2014</t>
  </si>
  <si>
    <t>COMMERCIAL (WSB) WATTSMART BUS - UT- 201</t>
  </si>
  <si>
    <t>INDUSTRIAL (WSB) WATTSMART BUS- UT- 2014</t>
  </si>
  <si>
    <t>WSB - WATTSMART BUS- UT- 2014</t>
  </si>
  <si>
    <t>AGRICULTURAL (WSB) WATTSMART BUS- UT- 20</t>
  </si>
  <si>
    <t>AGRICULURAL FINANSWER EXP WY-2014 CAT2</t>
  </si>
  <si>
    <t>AGRICULURAL FINANSWER EXP WY-2014 CAT3</t>
  </si>
  <si>
    <t>COMMERCIAL FINANSWER EXP- WY-2014 CAT2</t>
  </si>
  <si>
    <t>COMMERCIAL FINANSWER EXP WY-2014 CAT3</t>
  </si>
  <si>
    <t>ENERGY FINANSWER -WY 2014 CAT2</t>
  </si>
  <si>
    <t>ENERGY FINANSWER-WY-2014 CAT3</t>
  </si>
  <si>
    <t>HOME ENERGY EFF INCENT PROG Y-2014 CAT1</t>
  </si>
  <si>
    <t>INDUSTRIAL FINANSWER -WY 2014 CAT2</t>
  </si>
  <si>
    <t>INDUSTRIAL FINANSWER-WY-2014 CAT3</t>
  </si>
  <si>
    <t>INDUSTRIAL FINAN EXPRESS WY-2014 CAT2</t>
  </si>
  <si>
    <t>INDUSTRIAL FINANSWER EXP WY-2014 CAT3</t>
  </si>
  <si>
    <t>LOW-INCOME WEATHERZTN - WY 2014 CAT1</t>
  </si>
  <si>
    <t>PORTFOLIO WY-2014 CAT1</t>
  </si>
  <si>
    <t>PORTFOLIO WY-2014 CAT2</t>
  </si>
  <si>
    <t>PORTFOLIO WY-2014 CAT3</t>
  </si>
  <si>
    <t>REFRIGERATOR RECYCLING-WY -2014 CAT1</t>
  </si>
  <si>
    <t>SELF DIRECT - COMMERCIAL WY-2014 CAT2</t>
  </si>
  <si>
    <t>SELF DIRECT - COMMERCIAL -WY-2014 CAT3</t>
  </si>
  <si>
    <t>SELF DIRECT- INDUSTRIAL WY-2014 CAT2</t>
  </si>
  <si>
    <t>SELF DIRECT -INDUSTRIAL -WY-2014 CAT3</t>
  </si>
  <si>
    <t>WSB - WATTSMART BUSINESS - CA- 2014</t>
  </si>
  <si>
    <t>WSB - WATTSMART BUSINESS - ID- 2014</t>
  </si>
  <si>
    <t>WSB Small Business Comm - ID-2014</t>
  </si>
  <si>
    <t>WSB Small Business Ind - ID 2014</t>
  </si>
  <si>
    <t>WSB - Wattsmart Business - WY Cat 2- 201</t>
  </si>
  <si>
    <t>WSB - Small Business Comm - WY Cat2 -201</t>
  </si>
  <si>
    <t>WBS Small Business Ind - WY Cat2-2014</t>
  </si>
  <si>
    <t>WSB Small Business Comm- UT-2014</t>
  </si>
  <si>
    <t>WBS Small Business Ind- UT-2014</t>
  </si>
  <si>
    <t>WSB Small Business Comm- WA-2014</t>
  </si>
  <si>
    <t>WBS Small Business Ind- WA-2014</t>
  </si>
  <si>
    <t>HOME ENERGY REPORTING - ID 2014</t>
  </si>
  <si>
    <t>HOME ENERGY REPORTING - WY 2014</t>
  </si>
  <si>
    <t>REFRIGERATOR RECYCLING COMM - WASHINGTON</t>
  </si>
  <si>
    <t>WSB Wattsmart Business Agric - ID-2014</t>
  </si>
  <si>
    <t>WSB Wattsmart Business Comm- WY Cat3 -20</t>
  </si>
  <si>
    <t>WBS Wattsmart Business Ind- WY Cat2-2014</t>
  </si>
  <si>
    <t>WSB- Wattsmart Business- WY Cat 3- 2014</t>
  </si>
  <si>
    <t>OUTREACH AND COMMUNICATION  ID-2014</t>
  </si>
  <si>
    <t>CALIFORNIA DSM EXPENSE - 2015</t>
  </si>
  <si>
    <t>PORTFOLIO - IDAHO 2015</t>
  </si>
  <si>
    <t>WSB - WATTSMART BUSINESS - ID- 2015</t>
  </si>
  <si>
    <t>WSB Small Business Comm - ID-2015</t>
  </si>
  <si>
    <t>WSB Small Business Ind - ID 2015</t>
  </si>
  <si>
    <t>HOME ENERGY REPORTING - ID 2015</t>
  </si>
  <si>
    <t>WSB Wattsmart Business Agric - ID-2015</t>
  </si>
  <si>
    <t>OUTREACH AND COMMUNICATION  ID-2015</t>
  </si>
  <si>
    <t>HOME ENERGY EFF INCENTIVE PROG - UT 2015</t>
  </si>
  <si>
    <t>HOME ENERGY REPORTING - UT 2015</t>
  </si>
  <si>
    <t>IRRIGATION LOAD CONTROL  - UTAH - 2015</t>
  </si>
  <si>
    <t>LOW INCOME - UTAH - 2015</t>
  </si>
  <si>
    <t>OUTREACH and COMMUNICATIONS - UT 2015</t>
  </si>
  <si>
    <t>PORTFOLIO - UTAH 2015</t>
  </si>
  <si>
    <t>REFRIGERATOR RECYCLING PGM- UTAH - 2015</t>
  </si>
  <si>
    <t>INDUSTRIAL (WSB) WATTSMART BUS- UT- 2015</t>
  </si>
  <si>
    <t>WSB - WATTSMART BUS- UT- 2015</t>
  </si>
  <si>
    <t>WSB Small Business Comm- UT-2015</t>
  </si>
  <si>
    <t>WBS Small Business Ind- UT-2015</t>
  </si>
  <si>
    <t>AGRICULURAL FINANSWER EXP WY-2015 CAT2</t>
  </si>
  <si>
    <t>COMMERCIAL FINANSWER EXP- WY-2015 CAT2</t>
  </si>
  <si>
    <t>COMMERCIAL FINANSWER EXP WY-2015 CAT3</t>
  </si>
  <si>
    <t>ENERGY FINANSWER -WY 2015 CAT2</t>
  </si>
  <si>
    <t>ENERGY FINANSWER-WY-2015 CAT3</t>
  </si>
  <si>
    <t>HOME ENERGY EFF INCENT PROG Y-2015 CAT1</t>
  </si>
  <si>
    <t>INDUSTRIAL FINANSWER -WY 2015 CAT2</t>
  </si>
  <si>
    <t>INDUSTRIAL FINANSWER-WY-2015 CAT3</t>
  </si>
  <si>
    <t>INDUSTRIAL FINAN EXPRESS WY-2015 CAT2</t>
  </si>
  <si>
    <t>INDUSTRIAL FINANSWER EXP WY-2015 CAT3</t>
  </si>
  <si>
    <t>LOW-INCOME WEATHERZTN - WY 2015 CAT1</t>
  </si>
  <si>
    <t>PORTFOLIO WY-2015 CAT1</t>
  </si>
  <si>
    <t>PORTFOLIO WY-2015 CAT2</t>
  </si>
  <si>
    <t>PORTFOLIO WY-2015 CAT3</t>
  </si>
  <si>
    <t>REFRIGERATOR RECYCLING-WY -2015 CAT1</t>
  </si>
  <si>
    <t>SELF DIRECT - COMMERCIAL -WY-2015 CAT3</t>
  </si>
  <si>
    <t>SELF DIRECT -INDUSTRIAL -WY-2015 CAT3</t>
  </si>
  <si>
    <t>WBS- Wattsmart Business Ind -WY Cat2-201</t>
  </si>
  <si>
    <t>HOME ENERGY REPORTING - WY 2015</t>
  </si>
  <si>
    <t>WSB- Wattsmart Business- WY Cat 3- 2015</t>
  </si>
  <si>
    <t>REFRIG RECYCLE COMM -WY 2015 CAT2</t>
  </si>
  <si>
    <t>REFRIG RECYCLE COMM -WY 2015 CAT3</t>
  </si>
  <si>
    <t>WBS- Wattsmart Bus Ind- WY Cat3-2015</t>
  </si>
  <si>
    <t>WSB- Wattsmart Business Agric- WY Cat2 -</t>
  </si>
  <si>
    <t>WSB- Wattsmart Business Agric- WY Cat3 -</t>
  </si>
  <si>
    <t>COMMERCIAL ENERGY REPORTS-SMB -UT 2015</t>
  </si>
  <si>
    <t>Portfolio - EM&amp;V C&amp;I - ID- 2015</t>
  </si>
  <si>
    <t>Portfolio - EM&amp;V RES - ID- 2015</t>
  </si>
  <si>
    <t>CALIFORNIA DSM EXPENSE - 2016</t>
  </si>
  <si>
    <t>HOME ENERGY REPORTING - ID 2016</t>
  </si>
  <si>
    <t>OUTREACH AND COMMUNICATION  ID-2016</t>
  </si>
  <si>
    <t>PORTFOLIO - IDAHO 2016</t>
  </si>
  <si>
    <t>Portfolio - EM&amp;V C&amp;I - ID- 2016</t>
  </si>
  <si>
    <t>Portfolio - EM&amp;V RES - ID- 2016</t>
  </si>
  <si>
    <t>WSB Small Business Comm - ID-2016</t>
  </si>
  <si>
    <t>WSB Small Business Ind - ID 2016</t>
  </si>
  <si>
    <t>WSB - WATTSMART BUSINESS - ID- 2016</t>
  </si>
  <si>
    <t>WSB Wattsmart Business Agric - ID-2016</t>
  </si>
  <si>
    <t>HOME ENERGY EFF INCENTIVE PROG - UT 2016</t>
  </si>
  <si>
    <t>HOME ENERGY REPORTING - UT 2016</t>
  </si>
  <si>
    <t>IRRIGATION LOAD CONTROL  - UTAH - 2016</t>
  </si>
  <si>
    <t>LOW INCOME - UTAH - 2016</t>
  </si>
  <si>
    <t>OUTREACH and COMMUNICATIONS - UT 2016</t>
  </si>
  <si>
    <t>PORTFOLIO - UTAH 2016</t>
  </si>
  <si>
    <t>REFRIGERATOR RECYCLING PGM- UTAH - 2016</t>
  </si>
  <si>
    <t>INDUSTRIAL (WSB) WATTSMART BUS- UT- 2016</t>
  </si>
  <si>
    <t>WSB Small Business Comm- UT-2016</t>
  </si>
  <si>
    <t>WSB - WATTSMART BUS- UT- 2016</t>
  </si>
  <si>
    <t>HOME ENERGY REPORTING - WY 2016</t>
  </si>
  <si>
    <t>HOME ENERGY EFF INCENT PROG Y-2016 CAT1</t>
  </si>
  <si>
    <t>LOW-INCOME WEATHERZTN - WY 2016 CAT1</t>
  </si>
  <si>
    <t>PORTFOLIO WY-2016 CAT1</t>
  </si>
  <si>
    <t>PORTFOLIO WY-2016 CAT2</t>
  </si>
  <si>
    <t>PORTFOLIO WY-2016 CAT3</t>
  </si>
  <si>
    <t>REFRIGERATOR RECYCLING-WY -2016 CAT1</t>
  </si>
  <si>
    <t>REFRIG RECYCLE COMM -WY 2016 CAT2</t>
  </si>
  <si>
    <t>REFRIG RECYCLE COMM -WY 2016 CAT3</t>
  </si>
  <si>
    <t>WSB- Wattsmart Bus Comm- WY Cat2 -2016</t>
  </si>
  <si>
    <t>WBS- Wattsmart Bus Ind- WY Cat3-2016</t>
  </si>
  <si>
    <t>WSB- Wattsmart Business- WY Cat 3- 2016</t>
  </si>
  <si>
    <t>OUTREACH &amp; COMM WATTSMT WY-2016 CAT2</t>
  </si>
  <si>
    <t>OUTREACH &amp; COMM WATTSMT WY-2016 CAT3</t>
  </si>
  <si>
    <t>WA DSM - 186055 Clear Acct Balance</t>
  </si>
  <si>
    <t>ID DSM - 186025 Clear Acct Balance</t>
  </si>
  <si>
    <t>WY DSM - 186065 Clear Acct Balance</t>
  </si>
  <si>
    <t>DSR COSTS NOT AMORT</t>
  </si>
  <si>
    <t>INDUSTRIAL FINANSWER - IDU 2004</t>
  </si>
  <si>
    <t>LOW INCOME WZ - IDU 2004</t>
  </si>
  <si>
    <t>NEEA - IDU 2004</t>
  </si>
  <si>
    <t>IRRIGATION INTERRUPTIBLE - IDU 2004</t>
  </si>
  <si>
    <t>INDUSTRIAL FINANSWER - IDAHO-UT 2005</t>
  </si>
  <si>
    <t>LOW INCOME WZ  - IDAHO-UT 2005</t>
  </si>
  <si>
    <t>NEEA - IDAHO - UTAH 2005</t>
  </si>
  <si>
    <t>SELF AUDIT - IDAHO-UT 2005</t>
  </si>
  <si>
    <t>IRRIGATION INTERRUPTIBLE IDAHO - UT 2005</t>
  </si>
  <si>
    <t>WEATHERIZATION LOANS - RESIDENTIAL/ID-UT</t>
  </si>
  <si>
    <t>ENERGY FINANSWER ID/UT 2006</t>
  </si>
  <si>
    <t>INDUSTRIAL FINANSWER-ID-UT 2006</t>
  </si>
  <si>
    <t>LOW INCOME WZ -ID-UT 2006</t>
  </si>
  <si>
    <t>NEEA-IDAHO-UTAH 2006</t>
  </si>
  <si>
    <t>IRRIGATION INTERRUPTIBLE ID-UT 2006</t>
  </si>
  <si>
    <t>WEATHERIZATION LOANS-RESDL/ID-UT 2006</t>
  </si>
  <si>
    <t>REFRIGERATOR RECYCLING PGM-ID-UT 2006</t>
  </si>
  <si>
    <t>COMMERCIAL FINANSWER EXPR-ID-UT 2006</t>
  </si>
  <si>
    <t>INDUSTRIAL FINANSWER EXPR-ID-UT 2006</t>
  </si>
  <si>
    <t>IRRIGATION EFFICIENCY PRGRM-ID-UT 2006</t>
  </si>
  <si>
    <t>HOME ENERGY EFFICIENCY INCENTIVE PROGM-I</t>
  </si>
  <si>
    <t>WEATHERIZATION LOANS RESIDTL/ ID-UT 2007</t>
  </si>
  <si>
    <t>ENERGY FINANSWER IDU 2007</t>
  </si>
  <si>
    <t>Industrial Finanswer ID - 2007</t>
  </si>
  <si>
    <t>IRRIGATION INTERRUPTIBLE ID-UT 2007</t>
  </si>
  <si>
    <t>LOW INCOME WZ  - ID-UT 2007</t>
  </si>
  <si>
    <t>NEEA - IDAHO - UTAH 2007</t>
  </si>
  <si>
    <t>REFRIGERATOR RECYCLING PGM - ID-UT 2007</t>
  </si>
  <si>
    <t>COMMERCIAL FINANSWER EXPR - ID-UT 2007</t>
  </si>
  <si>
    <t>INDUSTRIAL FINANSWER EXPR - ID-UT 2007</t>
  </si>
  <si>
    <t>IRRIGATION EFFICIENCY PRGRM - ID-UT 2007</t>
  </si>
  <si>
    <t>HOME ENERGY EFFICIENCY INCENTIVE PROG  -</t>
  </si>
  <si>
    <t>ENERGY FINANSWER - ID/UT 2008</t>
  </si>
  <si>
    <t>INDUSTRIAL FINANSWER - ID-UT 2008</t>
  </si>
  <si>
    <t>IRRIGATION INTERRUPTIBLE - IDAHO - 2008</t>
  </si>
  <si>
    <t>LOW INCOME WEATHERIZATION - IDAHO 2008</t>
  </si>
  <si>
    <t>NEEA - IDAHO - 2008</t>
  </si>
  <si>
    <t>REFRIGERATOR RECYCLING PRGM - IDAHO 2008</t>
  </si>
  <si>
    <t>COMMERCIAL FINANSWER EXPRESS - IDAHO 200</t>
  </si>
  <si>
    <t>INDUSTRIAL FINANSWER - IDAHO - 2008</t>
  </si>
  <si>
    <t>IRRIGATION EFFICIENCY PRGM - IDAHO - 200</t>
  </si>
  <si>
    <t>HOME ENERGY EFF INCENTIVE PROGRAM - IDAH</t>
  </si>
  <si>
    <t>CATEGORY 1 - WYOMING - 2008</t>
  </si>
  <si>
    <t>CATEGORY 2 - WYOMING - 2008</t>
  </si>
  <si>
    <t>CATEGORY 3 - WYOMING - 2008</t>
  </si>
  <si>
    <t>ENERGY FINANSWER - ID/UT 2009</t>
  </si>
  <si>
    <t>INDUSTRIAL FINANSWER - ID-UT 2009</t>
  </si>
  <si>
    <t>IRRIGATION INTERRUPTIBLE ID-UT 2009</t>
  </si>
  <si>
    <t>LOW INCOME WZ  - ID-UT 2009</t>
  </si>
  <si>
    <t>NEEA - IDAHO - UTAH 2009</t>
  </si>
  <si>
    <t>REFRIGERATOR RECYCLING PGM - ID-UT 2009</t>
  </si>
  <si>
    <t>COMMERCIAL FINANSWER EXPR - ID-UT 2009</t>
  </si>
  <si>
    <t>INDUSTRIAL FINANSWER EXPR - ID-UT 2009</t>
  </si>
  <si>
    <t>IRRIGATION EFFICIENCY PRGRM - ID-UT 2009</t>
  </si>
  <si>
    <t>ENERGY FINANSWER - ID/UT 2010</t>
  </si>
  <si>
    <t>INDUSTRIAL FINANSWER - ID-UT 2010</t>
  </si>
  <si>
    <t>IRRIGATION INTERRUPTIBLE ID-UT 2010</t>
  </si>
  <si>
    <t>LOW INCOME WZ  - ID-UT 2010</t>
  </si>
  <si>
    <t>NEEA - IDAHO - UTAH 2010</t>
  </si>
  <si>
    <t>REFRIGERATOR RECYCLING PGM - ID-UT 2010</t>
  </si>
  <si>
    <t>COMMERCIAL FINANSWER EXPR - ID-UT 2010</t>
  </si>
  <si>
    <t>INDUSTRIAL FINANSWER EXPR - ID-UT 2010</t>
  </si>
  <si>
    <t>IRRIGATION EFFICIENCY PRGRM - ID-UT 2010</t>
  </si>
  <si>
    <t>ENERGY FINANSWER - ID/UT 2011</t>
  </si>
  <si>
    <t>INDUSTRIAL FINANSWER - ID-UT 2011</t>
  </si>
  <si>
    <t>IRRIGATION INTERRUPTIBLE ID-UT 2011</t>
  </si>
  <si>
    <t>LOW INCOME WZ  - ID-UT 2011</t>
  </si>
  <si>
    <t>REFRIGERATOR RECYCLING PGM - ID-UT 2011</t>
  </si>
  <si>
    <t>COMMERCIAL FINANSWER EXPR - ID-UT 2011</t>
  </si>
  <si>
    <t>INDUSTRIAL FINANSWER EXPR - ID-UT 2011</t>
  </si>
  <si>
    <t>IRRIGATION EFFICIENCY PRGRM - ID-UT 2011</t>
  </si>
  <si>
    <t>ENERGY FINANSWER - ID 2012</t>
  </si>
  <si>
    <t>INDUSTRIAL FINANSWER - ID 2012</t>
  </si>
  <si>
    <t>IRRIGATION INTERRUPTIBLE- ID 2012</t>
  </si>
  <si>
    <t>LOW INCOME WZ  - ID- 2012</t>
  </si>
  <si>
    <t>REFRIGERATOR RECYCLING PGM - ID 2012</t>
  </si>
  <si>
    <t>COMMERCIAL FINANSWER EXPR - ID 2012</t>
  </si>
  <si>
    <t>INDUSTRIAL FINANSWER EXPR - ID 2012</t>
  </si>
  <si>
    <t>IRRIGATION EFFICIENCY PRGRM - ID 2012</t>
  </si>
  <si>
    <t>COMMERCIAL DIRECT INSTALL - ID 2012</t>
  </si>
  <si>
    <t>AGRICULURAL FINANSWER EXPR - ID 2012</t>
  </si>
  <si>
    <t>RECOMMISSIONING INDUSTRIAL - UT 2012</t>
  </si>
  <si>
    <t>AGRICULURAL FINANSWER EXPR - ID 2013</t>
  </si>
  <si>
    <t>ENERGY FINANSWER - ID 2013</t>
  </si>
  <si>
    <t>INDUSTRIAL FINANSWER - ID 2013</t>
  </si>
  <si>
    <t>LOW INCOME WZ  - ID- 2013</t>
  </si>
  <si>
    <t>REFRIGERATOR RECYCLING PGM - ID 2013</t>
  </si>
  <si>
    <t>COMMERCIAL FINANSWER EXPR - ID 2013</t>
  </si>
  <si>
    <t>INDUSTRIAL FINANSWER EXPR - ID 2013</t>
  </si>
  <si>
    <t>IRRIGATION EFFICIENCY PRGRM - ID 2013</t>
  </si>
  <si>
    <t>RECOMMISSIONING INDUSTRIAL - UT 2013</t>
  </si>
  <si>
    <t>AGRICULURAL FINANSWER EXPR - ID 2014</t>
  </si>
  <si>
    <t>COMMERCIAL FINANSWER EXPR - ID 2014</t>
  </si>
  <si>
    <t>ENERGY FINANSWER - ID 2014</t>
  </si>
  <si>
    <t>INDUSTRIAL FINANSWER - ID 2014</t>
  </si>
  <si>
    <t>INDUSTRIAL FINANSWER EXPR - ID 2014</t>
  </si>
  <si>
    <t>IRRIGATION EFFICIENCY PRGRM - ID 2014</t>
  </si>
  <si>
    <t>LOW INCOME WZ  - ID- 2014</t>
  </si>
  <si>
    <t>REFRIGERATOR RECYCLING PGM - ID 2014</t>
  </si>
  <si>
    <t>AGRICULURAL FINANSWER EXPR - ID 2015</t>
  </si>
  <si>
    <t>COMMERCIAL FINANSWER EXPR - ID 2015</t>
  </si>
  <si>
    <t>ENERGY FINANSWER - ID 2015</t>
  </si>
  <si>
    <t>INDUSTRIAL FINANSWER - ID 2015</t>
  </si>
  <si>
    <t>INDUSTRIAL FINANSWER EXPR - ID 2015</t>
  </si>
  <si>
    <t>IRRIGATION EFFICIENCY PRGRM - ID 2015</t>
  </si>
  <si>
    <t>LOW INCOME WZ  - ID- 2015</t>
  </si>
  <si>
    <t>REFRIGERATOR RECYCLING PGM - ID 2015</t>
  </si>
  <si>
    <t>IRRIGATION EFFICIENCY PRGRM - ID 2016</t>
  </si>
  <si>
    <t>LOW INCOME WZ  - ID- 2016</t>
  </si>
  <si>
    <t>REFRIGERATOR RECYCLING PGM - ID 2016</t>
  </si>
  <si>
    <t>DSR CARRYING CHARGES</t>
  </si>
  <si>
    <t>UT CARRYING CHARGE - 2001/2002</t>
  </si>
  <si>
    <t>WA REVENUE RECOVERY - CARRYING CHG PENAL</t>
  </si>
  <si>
    <t>Wy DSM - Cat1 - Carrying Charges</t>
  </si>
  <si>
    <t>Wy DSM - Cat2 - Carrying Charges</t>
  </si>
  <si>
    <t>Wy DSM - Cat3 - Carrying Charges</t>
  </si>
  <si>
    <t>CA CARRYING CHRG LIEE - 2011</t>
  </si>
  <si>
    <t>OTHR REG ASSET-N CST</t>
  </si>
  <si>
    <t>Reg Asset Current - Energy West Mining</t>
  </si>
  <si>
    <t>Reg Asset Current - DSM</t>
  </si>
  <si>
    <t>Reg Asset Current - GHG Allowances</t>
  </si>
  <si>
    <t>Reg Asset Current - Def Net Power Costs</t>
  </si>
  <si>
    <t>Reg Asset Current - Def RECs in Rates</t>
  </si>
  <si>
    <t>Reg Asset Current - BPA Balancing Accts</t>
  </si>
  <si>
    <t>Reg Asset Current - Solar Feed-In</t>
  </si>
  <si>
    <t>p</t>
  </si>
  <si>
    <t>Reg Asset Current - Other</t>
  </si>
  <si>
    <t>RegA - DSM - Recl to Curr</t>
  </si>
  <si>
    <t>Regulatory Asset - Balance Reclass</t>
  </si>
  <si>
    <t>Calif Alternative Rate for Energy (CARE)</t>
  </si>
  <si>
    <t>Reg Asset - DSM - CA - Balance Reclass</t>
  </si>
  <si>
    <t>Reg Asset - DSM - ID - Balance Reclass</t>
  </si>
  <si>
    <t>RegA - DSM - OR - Reclass to Current</t>
  </si>
  <si>
    <t>Reg Asset - DSM - OR - Balance Reclass</t>
  </si>
  <si>
    <t>Reg Asset - DSM - UT - Balance Reclass</t>
  </si>
  <si>
    <t>RegA - DSM - WA - Reclass to Current</t>
  </si>
  <si>
    <t>RegA - DSM - WY - Reclass to Current</t>
  </si>
  <si>
    <t>POWERDALE HYDRO DECOM REG ASSET - ID</t>
  </si>
  <si>
    <t>RegA - Deer Creek - OR - Recl to Curr</t>
  </si>
  <si>
    <t>TRANSITION COSTS-RETIREMENT &amp; DISPLACE</t>
  </si>
  <si>
    <t>Reg Asset - CA GHG Allowances</t>
  </si>
  <si>
    <t>RegA - CA GHG Allowances - Recl to Curr</t>
  </si>
  <si>
    <t>RegA - CA GHG Allowances - Balance Recl</t>
  </si>
  <si>
    <t>CHOLLA PLANT TRANSACTION COSTS</t>
  </si>
  <si>
    <t>WASHINGTON COLSTRIP #3 REGULATORY ASSET</t>
  </si>
  <si>
    <t>TRAIL MOUNTAIN MINE CLOSURE COSTS</t>
  </si>
  <si>
    <t>Trail Mtn Mine Costs - Deseret Settlemen</t>
  </si>
  <si>
    <t>Reg Asset-WA REC CY2014 Forward</t>
  </si>
  <si>
    <t>Reg Asset  - WA RPS Purchase</t>
  </si>
  <si>
    <t>Reg Asset - Tax Adj on PR Benefits - OR</t>
  </si>
  <si>
    <t>RegA - BPA Balancing Accts - Recl to Cur</t>
  </si>
  <si>
    <t>CA - Jan 2010 Storm Costs</t>
  </si>
  <si>
    <t>RegA - ID 2017 Protocol - MSP Deferral</t>
  </si>
  <si>
    <t>RegA - UT 2017 Protocol - MSP Deferral</t>
  </si>
  <si>
    <t>RegA - WY 2017 Protocol - MSP Deferral</t>
  </si>
  <si>
    <t>Contra Reg Asset-Carbon Plt Dec/Inv-CA</t>
  </si>
  <si>
    <t>Reg Asset - Deprec Increase - ID</t>
  </si>
  <si>
    <t>Reg Asset - Deprec Increase - UT</t>
  </si>
  <si>
    <t>Reg Asset - Deprec Increase - WY</t>
  </si>
  <si>
    <t>Reg Asset - Carbon Unrec Plant - ID</t>
  </si>
  <si>
    <t>Reg Asset - Carbon Unrec Plant - UT</t>
  </si>
  <si>
    <t>Reg Asset - Carbon Unrec Plant - WY</t>
  </si>
  <si>
    <t>Reg Asset - UT - Pref Stock Redemp Loss</t>
  </si>
  <si>
    <t>Reg Asset - WY - Pref Stock Redemp Loss</t>
  </si>
  <si>
    <t>Reg Asset - WA - Pref Stock Redemp Loss</t>
  </si>
  <si>
    <t>Reg Asset-WA-Merwin Project</t>
  </si>
  <si>
    <t>CA Mobile Home Park Conversion (MHPCBA)</t>
  </si>
  <si>
    <t>REG ASSET - CA SOLAR FEED-IN TARIFF</t>
  </si>
  <si>
    <t>Reg Asset-OR Solar Feed-In Tariff 2015</t>
  </si>
  <si>
    <t>Reg Asset-OR Solar Feed-In Tariff 2016</t>
  </si>
  <si>
    <t>Reg Asset-OR Solar Feed-In Tariff 2017</t>
  </si>
  <si>
    <t>Reg Asset - UT Solar Incentive Program</t>
  </si>
  <si>
    <t>RegA - OR Solar Feed-In - Recl to Curr</t>
  </si>
  <si>
    <t>RegA - UT Solar Feed-In - Recl to Curr</t>
  </si>
  <si>
    <t>Reg Asset-Utah STEP Pilot Prog Bal Acct</t>
  </si>
  <si>
    <t>UT-Klamath Hydro Relicensing Costs</t>
  </si>
  <si>
    <t>RegA - CA Solar Feed-In - Recl to Liab</t>
  </si>
  <si>
    <t>RegA - UT Solar Feed-In - Recl to Liab</t>
  </si>
  <si>
    <t>Reg Asset-UT Subscriber Solar Program</t>
  </si>
  <si>
    <t>Reg A-WA Decoupling Mech Sep16-Jun17</t>
  </si>
  <si>
    <t>Contra Reg A-WA Decoupling Sep16-Jun17</t>
  </si>
  <si>
    <t>Reg A-WA Decoupling Mechanism-Reclass</t>
  </si>
  <si>
    <t>RegA - Other - Recl to Curr</t>
  </si>
  <si>
    <t>Reg Asset - UT EIM Expense Deferral</t>
  </si>
  <si>
    <t>Contra Reg Asset - UT EIM  Deferral</t>
  </si>
  <si>
    <t>Reg Asset  - CA ECAC CY2015</t>
  </si>
  <si>
    <t>Reg Asset  - CA ECAC CY2016</t>
  </si>
  <si>
    <t>Reg Asset  - UT EBA CY2014</t>
  </si>
  <si>
    <t>Reg Asset  - UT EBA CY2015</t>
  </si>
  <si>
    <t>Reg Asset  - UT EBA CY2016</t>
  </si>
  <si>
    <t>Reg Asset - UT EBA CY2017</t>
  </si>
  <si>
    <t>Reg Asset  - UT RBA CY2014</t>
  </si>
  <si>
    <t>Reg Asset  - UT RBA CY2015</t>
  </si>
  <si>
    <t>Reg Asset  - UT RBA CY2016</t>
  </si>
  <si>
    <t>Reg Asset - UT RBA CY2017</t>
  </si>
  <si>
    <t>Contra Reg Asset - UT EBA CY2015</t>
  </si>
  <si>
    <t>Contra Reg Asset - UT EBA CY2016</t>
  </si>
  <si>
    <t>Contra Reg Asset - UT EBA CY2017</t>
  </si>
  <si>
    <t>Reg Asset  - WY ECAM CY2015</t>
  </si>
  <si>
    <t>Reg Asset  - WY ECAM CY2016</t>
  </si>
  <si>
    <t>Reg Asset - WY ECAM CY2017</t>
  </si>
  <si>
    <t>Reg Asset  - WY RRA CY2015</t>
  </si>
  <si>
    <t>Reg Asset  - WY RRA CY2016</t>
  </si>
  <si>
    <t>Reg Asset - WY RRA CY2017</t>
  </si>
  <si>
    <t>Contra Reg Asset - WY ECAM CY2015</t>
  </si>
  <si>
    <t>CONTRA REG ASSET - WY ECAM CY2016</t>
  </si>
  <si>
    <t>Contra Reg Asset - WY ECAM CY2017</t>
  </si>
  <si>
    <t>Reg Asset-OR RPS Compliance Purchases</t>
  </si>
  <si>
    <t>RegA - WA RECs in Rates - Recl to Curr</t>
  </si>
  <si>
    <t>RegA - WA RECs in Rates - Balance Recl</t>
  </si>
  <si>
    <t>Deferral of Excess RECs in Rates - WA</t>
  </si>
  <si>
    <t>RegA - OR RECs in Rates - Balance Recl</t>
  </si>
  <si>
    <t>RegA - UT RECs in Rates - Recl to Curr</t>
  </si>
  <si>
    <t>RegA - UT RECs in Rates - Recl to Liab</t>
  </si>
  <si>
    <t>RegA - Def RECs in Rates - Recl to Curr</t>
  </si>
  <si>
    <t>RegA - WY RECs in Rates - Recl to Liab</t>
  </si>
  <si>
    <t>REG ASSET - LAKE SIDE LIQ. DAMAGES - WY</t>
  </si>
  <si>
    <t>CONTRA - REGULATORY ASSETS</t>
  </si>
  <si>
    <t>Reg Asset - Goodnoe Hills Liq. Damages -</t>
  </si>
  <si>
    <t>"Reg Asset-UT-Liq. Damages JB4, N1&amp;2"</t>
  </si>
  <si>
    <t>Reg Asset-WY-Liq. Damages N2</t>
  </si>
  <si>
    <t>DEFERRED INTERVENER</t>
  </si>
  <si>
    <t>CA DEFERRED INTERVENOR FUNDING</t>
  </si>
  <si>
    <t>ID Deferred Intervenor Funding</t>
  </si>
  <si>
    <t>RegA - OR Asset Sale Gain-Balance Recl</t>
  </si>
  <si>
    <t>Reg A - Insurance Reserves - Reclass</t>
  </si>
  <si>
    <t>Contra Reg Asset - CA ECAC CY2015</t>
  </si>
  <si>
    <t>Contra Reg Asset - CA ECAC CY2016</t>
  </si>
  <si>
    <t>Reg Asset - CA ECAC</t>
  </si>
  <si>
    <t>Reg Asset - CA ECAC CY2017</t>
  </si>
  <si>
    <t>Contra Reg Asset - CA ECAC CY2017</t>
  </si>
  <si>
    <t>RegA - CA Def Exc NPC - Recl to Curr</t>
  </si>
  <si>
    <t>Reg Asset  - ID ECAM Dec14-Nov15</t>
  </si>
  <si>
    <t>Reg Asset  - ID ECAM Dec15-Dec16</t>
  </si>
  <si>
    <t>Reg Asset  - ID ECAM CY 2017</t>
  </si>
  <si>
    <t>Contra Reg Asset - ID ECAM Dec15-Dec16</t>
  </si>
  <si>
    <t>Contra Reg Asset - ID ECAM CY 2017</t>
  </si>
  <si>
    <t>RegA - ID Def Exc NPC - Recl to Curr</t>
  </si>
  <si>
    <t>RegA - UT Def Exc NPC - Recl to Curr</t>
  </si>
  <si>
    <t>RegA - UT Def Exc NPC - Recl to Liab</t>
  </si>
  <si>
    <t>RegA - WA Def Exc NPC - Recl to Liab</t>
  </si>
  <si>
    <t>RegA - WY Def Exc NPC - Recl to Curr</t>
  </si>
  <si>
    <t>RegA - WY Def Exc NPC - Recl to Liab</t>
  </si>
  <si>
    <t>Reg Liab - OR Property Insurance Reserve</t>
  </si>
  <si>
    <t>OTH REG ASSET-NON CO</t>
  </si>
  <si>
    <t>CHOLLA PLANT TRANSACTION COSTS-OR</t>
  </si>
  <si>
    <t>CHOLLA PLANT TRANSACTION COSTS-WA</t>
  </si>
  <si>
    <t>CHOLLA PLANT TRANSACTION COSTS-ID</t>
  </si>
  <si>
    <t>REGULATORY ASST-OTH</t>
  </si>
  <si>
    <t>DSM Regulatory Assets-Accruals</t>
  </si>
  <si>
    <t>DSM Reg Asset - Accruals - CA</t>
  </si>
  <si>
    <t>DSM Reg Asset - Balancing Acct - CA</t>
  </si>
  <si>
    <t>DSM Reg Asset - Accruals - ID</t>
  </si>
  <si>
    <t>DSM Reg Asset - Balancing Acct - ID</t>
  </si>
  <si>
    <t>DSM Reg Asset - Balancing Acct - OR</t>
  </si>
  <si>
    <t>DSM Reg Asset - Accruals - UT</t>
  </si>
  <si>
    <t>DSM Reg Asset - Balancing Acct - UT</t>
  </si>
  <si>
    <t>DSM Reg Asset - Accruals - WA</t>
  </si>
  <si>
    <t>DSM Reg Asset - Balancing Acct - WA</t>
  </si>
  <si>
    <t>DSM Reg Asset - Accruals - WY</t>
  </si>
  <si>
    <t>DSM Reg Asset - Balancing Acct - WY</t>
  </si>
  <si>
    <t>Reg Asset-FAS 158 Post-Ret - Reclass</t>
  </si>
  <si>
    <t>Hunter Fuel Oil Spills - 2017</t>
  </si>
  <si>
    <t>Naughton Oil Spill</t>
  </si>
  <si>
    <t>Ririe Substation</t>
  </si>
  <si>
    <t>Bridger Plant - FGD Pond 1</t>
  </si>
  <si>
    <t>Naughton Plant - FGD Pond 1</t>
  </si>
  <si>
    <t>Reg Asset - DSM - WA - Balance Reclass</t>
  </si>
  <si>
    <t>REG ASSET - CARBON PLT DECOM/INVENTORY</t>
  </si>
  <si>
    <t>Reg Asset-OR Solar Feed-In Tariff 2018</t>
  </si>
  <si>
    <t>Reg A-WA Decoupling Mech Jul17-Jun18</t>
  </si>
  <si>
    <t>Contra Reg A-WA Decoupling Jul17-Jun18</t>
  </si>
  <si>
    <t>Reg Asset - WY ECAM CY2018</t>
  </si>
  <si>
    <t>Contra Reg Asset - WY ECAM CY2018</t>
  </si>
  <si>
    <t>RegA - OR RECs in Rates - Recl to Curr</t>
  </si>
  <si>
    <t>Defd UT Ind Eval Fee</t>
  </si>
  <si>
    <t>DEFERRED OR INDEPENDENT EVALUATOR FEES</t>
  </si>
  <si>
    <t>RegA - Intervenor Fees - Recl to Liab</t>
  </si>
  <si>
    <t>RegA - CA (CARE) Program - Recl to Liab</t>
  </si>
  <si>
    <t>Reg Asset - UT EBA CY2018</t>
  </si>
  <si>
    <t>Contra Reg Asset - UT EBA CY2018</t>
  </si>
  <si>
    <t>Miscellaneous Contracts &amp; Services</t>
  </si>
  <si>
    <t>ELEC PLANT IN SERV</t>
  </si>
  <si>
    <t>FRANCHISES AND CONSENTS</t>
  </si>
  <si>
    <t>SG-U</t>
  </si>
  <si>
    <t>TRANSMISSION INTANGIBLE ASSETS</t>
  </si>
  <si>
    <t>RCMS - REGION CONSTRUCTION MGMT SYSTEM</t>
  </si>
  <si>
    <t>FUEL MANAGEMENT SYSTEM</t>
  </si>
  <si>
    <t>AUTOMATE POLE CARD SYSTEM</t>
  </si>
  <si>
    <t>DISTRIBUTION AUTOMATION PILOT PROJECT</t>
  </si>
  <si>
    <t>RECORD CENTER MANAGEMENT SOFTWARE</t>
  </si>
  <si>
    <t>CUSTOMER SERVICE SYSTEM (CSS)</t>
  </si>
  <si>
    <t>S A P</t>
  </si>
  <si>
    <t>ENTERPRISE DATA WRHSE - BI RPTG TOOL</t>
  </si>
  <si>
    <t>DWHS - DATA WAREHOUSE</t>
  </si>
  <si>
    <t>ENTERPRISE DATA WAREHOUSE</t>
  </si>
  <si>
    <t>FIELDNET PRO METER READING SYST -HRP REP</t>
  </si>
  <si>
    <t>FACILITY INSPECTION REPORTING SYSTEM</t>
  </si>
  <si>
    <t>2002 GRID NET POWER COST MODELING</t>
  </si>
  <si>
    <t>MID OFFICE IMPROVEMENT PROJECT</t>
  </si>
  <si>
    <t>OUTAGE CALL HANDLING INTEGRATION</t>
  </si>
  <si>
    <t>OPERATIONS MAPPING SYSTEM</t>
  </si>
  <si>
    <t>POLE ATTACHMENT MGMT SYSTEM</t>
  </si>
  <si>
    <t>SUBSTATION/CIRCUIT HISTORY OF OPERATIONS</t>
  </si>
  <si>
    <t>SINGLE PERSON SCHEDULING</t>
  </si>
  <si>
    <t>TIBCO SOFTWARE</t>
  </si>
  <si>
    <t>C&amp;T OFFICIAL RECORD INFO SYSTEM</t>
  </si>
  <si>
    <t>TRANSMISSION WHOLESALE BILLING SYSTEM</t>
  </si>
  <si>
    <t>UTILITY INTERNATIONAL FORECASTING MODEL</t>
  </si>
  <si>
    <t>ROUGE RIVER HYDRO INTANGIBLES</t>
  </si>
  <si>
    <t>SWIFT 2 IMPROVEMENTS</t>
  </si>
  <si>
    <t>NORTH UMPQUA - SETTLEMENT AGREEMENT</t>
  </si>
  <si>
    <t>BEAR RIVER-SETTLEMENT AGREEMENT</t>
  </si>
  <si>
    <t>VCPRO - XEROX CUST STMT FRMTR ENHANCE -</t>
  </si>
  <si>
    <t>WEB SOFTWARE</t>
  </si>
  <si>
    <t>IDAHO TRANSMISSION CUSTOMER-OWNED ASSETS</t>
  </si>
  <si>
    <t>WYOMING VHF (VPC) SPECTRUM</t>
  </si>
  <si>
    <t>IDAHO VHF (VPC) SPECTRUM</t>
  </si>
  <si>
    <t>UTAH VHF (VPC) SPECTRUM</t>
  </si>
  <si>
    <t>P8DM - FILENET P8</t>
  </si>
  <si>
    <t>STEAM PLANT INTANGIBLE ASSETS</t>
  </si>
  <si>
    <t>RANGER EMS/SCADA SYSTEM</t>
  </si>
  <si>
    <t>GTX VERSION 7 SOFTWARE</t>
  </si>
  <si>
    <t>ITRON METER READING SOFTWARE</t>
  </si>
  <si>
    <t>ArcFM Software</t>
  </si>
  <si>
    <t>MONARCH EMS/SCADA</t>
  </si>
  <si>
    <t>VREALIZE VMWARE - SHARED</t>
  </si>
  <si>
    <t>IEE - Itron Enterprise Addition</t>
  </si>
  <si>
    <t>SECID - CUST SECURE WEB LOGIN</t>
  </si>
  <si>
    <t>C&amp;T - Energy Trading System</t>
  </si>
  <si>
    <t>CAS - CONTROL AREA SCHEDULING (TRANSM)</t>
  </si>
  <si>
    <t>OR VHF (VPC) SPECTRUM</t>
  </si>
  <si>
    <t>WA VHF (VPC) SPECTRUM</t>
  </si>
  <si>
    <t>CA VHF (VPC) SPECTRUM</t>
  </si>
  <si>
    <t>DISTRIBUTION INTANGIBLES</t>
  </si>
  <si>
    <t>MISCELLANEOUS SMALL SOFTWARE PACKAGES</t>
  </si>
  <si>
    <t>RMT TRADE SYSTEM</t>
  </si>
  <si>
    <t>MISC - MISCELLANEOUS</t>
  </si>
  <si>
    <t>HYDRO PLANT INTANGIBLES</t>
  </si>
  <si>
    <t>ACD–Call Center Automated Call Distribut</t>
  </si>
  <si>
    <t>OATI-OASIS INTERFACE</t>
  </si>
  <si>
    <t>LAND AND LAND RIGHTS</t>
  </si>
  <si>
    <t>LAND OWNED IN FEE</t>
  </si>
  <si>
    <t>LAND RIGHTS</t>
  </si>
  <si>
    <t>STRUCTURES AND IMPROVEMENTS</t>
  </si>
  <si>
    <t>LEASEHOLD IMPROVEMENTS-OFFICE STR</t>
  </si>
  <si>
    <t>OFFICE FURNITURE</t>
  </si>
  <si>
    <t>COMPUTER EQUIPMENT - PERSONAL COMPUTERS</t>
  </si>
  <si>
    <t>OFFICE EQUIPMENT</t>
  </si>
  <si>
    <t>1/4 TON MINI-PICKUPS AND VANS</t>
  </si>
  <si>
    <t>MID AND FULL SIZE AUTOMOBILES</t>
  </si>
  <si>
    <t>"1/2 &amp; 3/4 TON PICKUPS, VANS, SERV TRUCK</t>
  </si>
  <si>
    <t>"1 TON AND ABOVE, TWO-AXLE TRUCKS"</t>
  </si>
  <si>
    <t>DUMP TRUCKS</t>
  </si>
  <si>
    <t>TRAILERS</t>
  </si>
  <si>
    <t>"SNOWMOBILES, MOTORCYCLES (4-WHEELED ATV</t>
  </si>
  <si>
    <t>OVER-THE-ROAD SEMI-TRACTORS</t>
  </si>
  <si>
    <t>TRANSPORTATION EQUIPMENT</t>
  </si>
  <si>
    <t>STORES EQUIPMENT</t>
  </si>
  <si>
    <t>"TLS, SHOP, GAR EQUIPMENT"</t>
  </si>
  <si>
    <t>LABORATORY EQUIPMENT</t>
  </si>
  <si>
    <t>"AERIAL LIFT PB TRUCKS, 10000#-16000# GV</t>
  </si>
  <si>
    <t>TWO-AXLE DIGGER/DERRICK LINE TRUCKS</t>
  </si>
  <si>
    <t>"AERIAL LIFT P.B. TRUCKS, ABOVE 16000#GV</t>
  </si>
  <si>
    <t>CRANES</t>
  </si>
  <si>
    <t>HEAVY CONSTRUCTION EQUIP, PRODUCT DIGGER</t>
  </si>
  <si>
    <t>THREE-AXLE DIGGER/DERRICK LINE TRUCKS</t>
  </si>
  <si>
    <t>SNOWCATS, BACKHOES, TRENCHERS, SNOWBLOWR</t>
  </si>
  <si>
    <t>COMMUNICATION EQUIPMENT</t>
  </si>
  <si>
    <t>MOBILE RADIO EQUIPMENT</t>
  </si>
  <si>
    <t>MISCELLANEOUS EQUIPMENT</t>
  </si>
  <si>
    <t>Other Wheeling Rev</t>
  </si>
  <si>
    <t>Ancil Revenue Sch 2-Reactive (C&amp;T)</t>
  </si>
  <si>
    <t>Ancil Revenue Sch 3a-Regulation (C&amp;T)</t>
  </si>
  <si>
    <t>Ancillary Rev Sch 6-Supp (C&amp;T)</t>
  </si>
  <si>
    <t>Ancillary Revenue Sch 1 - Scheduling</t>
  </si>
  <si>
    <t>Ancillary Revenue Sch 3 - Reg&amp;Freq (C&amp;T)</t>
  </si>
  <si>
    <t>Ancillary Revenue Sch 5&amp;6-Spin&amp;Supp (C&amp;T</t>
  </si>
  <si>
    <t>I/C Anc Rev Sch 1-Scheduling-Nevada Pwr</t>
  </si>
  <si>
    <t>I/C Anc Rev Sch 2-Reactive-Nevada Pwr</t>
  </si>
  <si>
    <t>I/C Other Wheeling Revenue-Sierra Pac</t>
  </si>
  <si>
    <t>Primary Delivery and Distribution Sub Ch</t>
  </si>
  <si>
    <t>Transmission Resales to Other Parties</t>
  </si>
  <si>
    <t>Transmission Rev-Unreserved Use Charges</t>
  </si>
  <si>
    <t>USE OF FACILITY REVENUE</t>
  </si>
  <si>
    <t>S/T FIRM WHEEL REV</t>
  </si>
  <si>
    <t>SHORT TERM FIRM WHEELING</t>
  </si>
  <si>
    <t>L/T FIRM WHEEL REV</t>
  </si>
  <si>
    <t>POST-MERGER FIRM WHEELING</t>
  </si>
  <si>
    <t>PRE-MERGER FIRM WHEELING</t>
  </si>
  <si>
    <t>TRANSM CAPACITY RE-ASSIGNMENT REVENUE</t>
  </si>
  <si>
    <t>TRANSM CAPACITY RE-ASSIGNMENT CONTRA REV</t>
  </si>
  <si>
    <t>Transmisson Point-to-Point Revenue</t>
  </si>
  <si>
    <t>NON-FIRM WHEEL REV</t>
  </si>
  <si>
    <t>NON-FIRM WHEELING REVENUE</t>
  </si>
  <si>
    <t>I/C Non-Firm Wheeling Revenue-Nevada Pwr</t>
  </si>
  <si>
    <t>TRANSMN REV REFUND</t>
  </si>
  <si>
    <t>Transmission Tariff True-up</t>
  </si>
  <si>
    <t>USE OF FACIL REV</t>
  </si>
  <si>
    <t>"INCOME FROM FISH, WILDLIFE"</t>
  </si>
  <si>
    <t>MISC OTHER REV</t>
  </si>
  <si>
    <t>ELECTRIC INCOME OTHER</t>
  </si>
  <si>
    <t>WASHINGTON - COLSTRIP 3</t>
  </si>
  <si>
    <t>OTHER ELEC REV - MISC</t>
  </si>
  <si>
    <t>OTHER REV WY REG KENNECOTT</t>
  </si>
  <si>
    <t>Estimated Other Electric Revenue</t>
  </si>
  <si>
    <t>FLYASH &amp; BY-PRODUCT SALES</t>
  </si>
  <si>
    <t>THIRD PARTY TRN O&amp;M REV</t>
  </si>
  <si>
    <t>NON-WHEELING SYS REV</t>
  </si>
  <si>
    <t>Wind-based Ancillary Services Estimate</t>
  </si>
  <si>
    <t>Wind-based Ancillary Services/Revenue</t>
  </si>
  <si>
    <t>I/C Transmission O&amp;M Revenue-Sierra Pac</t>
  </si>
  <si>
    <t>STEAM SALES</t>
  </si>
  <si>
    <t>Timber Sales - Utility Property</t>
  </si>
  <si>
    <t>EIM - MISCELLANEOUS</t>
  </si>
  <si>
    <t>EIM Rev-Forecasting Fee: Pac to TC</t>
  </si>
  <si>
    <t>M&amp;S INVENTORY SALES</t>
  </si>
  <si>
    <t>M&amp;S INV COST OF SALE</t>
  </si>
  <si>
    <t>M&amp;S INVENTORY COST OF SALES</t>
  </si>
  <si>
    <t>RNW ENRGY CRDT SALES</t>
  </si>
  <si>
    <t>Renewable Energy Credit Sales-Deferral</t>
  </si>
  <si>
    <t>Renewable Energy Credit Sales-Estimate</t>
  </si>
  <si>
    <t>Renewable Energy Credit Sales</t>
  </si>
  <si>
    <t>Renwbl En Cr Sls-Amt</t>
  </si>
  <si>
    <t>REC Sales - Wind Wake Loss Indemnity</t>
  </si>
  <si>
    <t>CA GHG Emission Allo</t>
  </si>
  <si>
    <t>CA GHG Allowance Revenues</t>
  </si>
  <si>
    <t>CA GHG Allowance Revenues - Deferral</t>
  </si>
  <si>
    <t>CA GHG Allowance Revenues – Amortz</t>
  </si>
  <si>
    <t>Oth Elec Rev-Def Trn</t>
  </si>
  <si>
    <t>FERC Transmission Refund-Deferral</t>
  </si>
  <si>
    <t>FERC Transmission Refund-Amortz</t>
  </si>
  <si>
    <t>Alloc4Func</t>
  </si>
  <si>
    <t>Ancillary Revenue Sch 3 - Reg&amp;Freq (Tran</t>
  </si>
  <si>
    <t>Ancil Revenue Sch 3a-Regulation (Trans)</t>
  </si>
  <si>
    <t>Ancillary Rev Sch 6-Supp (Transm)</t>
  </si>
  <si>
    <t>Ancillary Revenue Sch 5&amp;6-Spin&amp;Supp (Tra</t>
  </si>
  <si>
    <t>Ancil Revenue Sch 5 - Subject to Refund</t>
  </si>
  <si>
    <t>Ancil Revenue Sch 6 - Subject to Refund</t>
  </si>
  <si>
    <t>Ancil Revenue Sch 3a - Subject to Refund</t>
  </si>
  <si>
    <t>Ancil Revenue Sch 3 - Subject to Refund</t>
  </si>
  <si>
    <t>DEPN EXPENSE-ELECT</t>
  </si>
  <si>
    <t>BOILER PLANT EQUIPMENT</t>
  </si>
  <si>
    <t>TURBOGENERATOR UNITS</t>
  </si>
  <si>
    <t>ACCESSORY ELECTRIC EQUIPMENT</t>
  </si>
  <si>
    <t>ACCESSORY ELECTRIC EQUIP-SUPV &amp; ALARM</t>
  </si>
  <si>
    <t>MISCELLANEOUS POWER PLANT EQUIPMENT</t>
  </si>
  <si>
    <t>WATER RIGHTS</t>
  </si>
  <si>
    <t>FLOOD RIGHTS</t>
  </si>
  <si>
    <t>LAND RIGHTS - FISH/WILDLIFE</t>
  </si>
  <si>
    <t>STRUCTURES AND IMPROVE</t>
  </si>
  <si>
    <t>STRUCTURES AND IMPROVE-PRODUCTION</t>
  </si>
  <si>
    <t>STRUCTURES AND IMPROVE-FISH/WILDLIFE</t>
  </si>
  <si>
    <t>STRUCTURES AND IMPROVE-RECREATION</t>
  </si>
  <si>
    <t>"RESERVOIRS, DAMS &amp; WATERWAYS"</t>
  </si>
  <si>
    <t>"RESERVOIRS, DAMS, &amp; WTRWYS-PRODUCTION"</t>
  </si>
  <si>
    <t>"RESERVOIRS, DAMS, &amp; WTRWYS-FISH/WILDLIF</t>
  </si>
  <si>
    <t>"RESERVOIRS, DAMS, &amp; WTRWYS-RECREATION"</t>
  </si>
  <si>
    <t>"WATER WHEELS, TURB &amp; GENERATORS"</t>
  </si>
  <si>
    <t>ACCESSORY ELECT EQUIP - SUPV &amp; ALARM</t>
  </si>
  <si>
    <t>MISC POWER PLANT EQUIP</t>
  </si>
  <si>
    <t>MISC POWER PLANT EQUIP - PRODUCTION</t>
  </si>
  <si>
    <t>MISC POWER PLANT EQUIP - RECREATION</t>
  </si>
  <si>
    <t>"ROADS, RAILROADS &amp; BRIDGES"</t>
  </si>
  <si>
    <t>STRUCTURES &amp; IMPROVEMENTS</t>
  </si>
  <si>
    <t>"FUEL HOLDERS,PRODUCERS, ACCES"</t>
  </si>
  <si>
    <t>PRIME MOVERS</t>
  </si>
  <si>
    <t>GENERATORS</t>
  </si>
  <si>
    <t>MISCELLANEOUS PWR PLANT EQUIP</t>
  </si>
  <si>
    <t>STATION EQUIPMENT</t>
  </si>
  <si>
    <t>STATION EQUIPMENT, STEP-UP TRANSFORMERS</t>
  </si>
  <si>
    <t>STATION EQUIPMENT-SUPERVISORY &amp; ALARM</t>
  </si>
  <si>
    <t>TOWERS AND FIXTURES</t>
  </si>
  <si>
    <t>POLES AND FIXTURES</t>
  </si>
  <si>
    <t>OVERHEAD CONDUCTORS &amp; DEVICES</t>
  </si>
  <si>
    <t>UNDERGROUND CONDUIT</t>
  </si>
  <si>
    <t>UNDERGROUND CONDUCTORS &amp; DEVICES</t>
  </si>
  <si>
    <t>ROADS AND TRAILS</t>
  </si>
  <si>
    <t>"POLES, TOWERS AND FIXTURES"</t>
  </si>
  <si>
    <t>LINE TRANSFORMERS</t>
  </si>
  <si>
    <t>SERVICES - OVERHEAD</t>
  </si>
  <si>
    <t>SERVICES - UNDERGROUND</t>
  </si>
  <si>
    <t>METERS</t>
  </si>
  <si>
    <t>INSTALL ON CUSTOMERS PREMISES</t>
  </si>
  <si>
    <t>STREET LIGHTING &amp; SIGNAL SYSTEMS</t>
  </si>
  <si>
    <t>DEPR - STEAM</t>
  </si>
  <si>
    <t>DEPR - PROD STEAM NOT CLASSIFIED</t>
  </si>
  <si>
    <t>DEPR - HYDRO</t>
  </si>
  <si>
    <t>DEPR - PROD HYDRO NOT CLASSIFIED</t>
  </si>
  <si>
    <t>DEPR - OTHER</t>
  </si>
  <si>
    <t>DEPR - PROD OTHER NOT CLASSIFIED</t>
  </si>
  <si>
    <t>DEPR-TRANSMISSION</t>
  </si>
  <si>
    <t>DEPR - TRANS ASSETS NOT CLASSIFIED</t>
  </si>
  <si>
    <t>DEPR-DISTRIBUTION</t>
  </si>
  <si>
    <t>DEPR - DIST ASSETS NOT CLASSIFIED</t>
  </si>
  <si>
    <t>DEPR - GENERAL</t>
  </si>
  <si>
    <t>DEPR - GEN ASSETS NOT CLASSIFIED</t>
  </si>
  <si>
    <t>DEPR EXP-ELEC, OTH</t>
  </si>
  <si>
    <t>DEPRECIATION-JOINT OWNER BILLED-CREDIT</t>
  </si>
  <si>
    <t>Reg Asset - Carbon Plt Decom/Inventory</t>
  </si>
  <si>
    <t>TRANSMISSION IMBALANCE PENALTY REVENUE</t>
  </si>
  <si>
    <t>Concat</t>
  </si>
  <si>
    <r>
      <t>1010000</t>
    </r>
    <r>
      <rPr>
        <sz val="10"/>
        <color rgb="FFFF0000"/>
        <rFont val="Calibri"/>
        <family val="2"/>
        <scheme val="minor"/>
      </rPr>
      <t>X</t>
    </r>
  </si>
  <si>
    <t>Bridger Mine Adj file from RevReq, tab '8.3.1 - 13M Avg'</t>
  </si>
  <si>
    <t>Trapper Mine Adj file from RevReq, tab '8.2.1 - 13M Avg'</t>
  </si>
  <si>
    <t>Column1</t>
  </si>
  <si>
    <t>I/C Other Wheeling Revenue-Nevada Pwr</t>
  </si>
  <si>
    <t>Transmission Revenue - Deferral Fees</t>
  </si>
  <si>
    <t>I/C ST Firm Wheeling Revenue-Nevada Pwr</t>
  </si>
  <si>
    <t>CA GHG Allow Revenues - SOMAH Amortz</t>
  </si>
  <si>
    <t>GADSBY INTANGIBLE ASSETS</t>
  </si>
  <si>
    <t>AMI Metering Software</t>
  </si>
  <si>
    <t>Nondeductible Fringe Benefits</t>
  </si>
  <si>
    <t>Reg Liability - Excess Income Tax Deferr</t>
  </si>
  <si>
    <t>Inventory Reserve - PMI</t>
  </si>
  <si>
    <t>Reg Liability - FAS 158 Post Retirement</t>
  </si>
  <si>
    <t>FAS 158 Post Retirement Liability</t>
  </si>
  <si>
    <t>Bridger Plant - FGD Pond 2</t>
  </si>
  <si>
    <t>Naughton Plant - FGD Pond 2</t>
  </si>
  <si>
    <t>Huntington Plant Ash Landfill</t>
  </si>
  <si>
    <t>Dave Johnston Pond 4A &amp; 4B</t>
  </si>
  <si>
    <t>Naughton North Ash Pond</t>
  </si>
  <si>
    <t>Naughton South Ash Pond</t>
  </si>
  <si>
    <t>American Barrel (UT)-WA</t>
  </si>
  <si>
    <t>Astoria/Unocal (Downtown)-WA</t>
  </si>
  <si>
    <t>ASTORIA YOUNGS BAY CLEANUP-WA</t>
  </si>
  <si>
    <t>Big Fork Hydro Plant (MT)-WA</t>
  </si>
  <si>
    <t>Bors Property  (OR) - WA</t>
  </si>
  <si>
    <t>Bridger Coal Fuel Oil Spill - WA</t>
  </si>
  <si>
    <t>Bridger FGD Pond 1 Closure-WA</t>
  </si>
  <si>
    <t>Bridger Plant - FGD Pond 1-WA</t>
  </si>
  <si>
    <t>Bridger Plant - FGD Pond 2-WA</t>
  </si>
  <si>
    <t>Bridger Plant Oil Spills-2018</t>
  </si>
  <si>
    <t>Carbon Ash Spill  (UT) - WA</t>
  </si>
  <si>
    <t>Cedar Steam - WA</t>
  </si>
  <si>
    <t>DJ Oil Spill - WA</t>
  </si>
  <si>
    <t>DJ 4A&amp;4B - WA</t>
  </si>
  <si>
    <t>Eugene MGP (50%PCRP) - WA</t>
  </si>
  <si>
    <t>Everett MGP (2/3 PCRP) - WA</t>
  </si>
  <si>
    <t>Hunter Plant - WA</t>
  </si>
  <si>
    <t>Huntington Ash- WA</t>
  </si>
  <si>
    <t>Idaho Falls Pole Yard- WA</t>
  </si>
  <si>
    <t>Jordan Plant Substation- WA</t>
  </si>
  <si>
    <t>Montague Ranch - WA</t>
  </si>
  <si>
    <t>Naughton Plant FGDP 1 - WA</t>
  </si>
  <si>
    <t>Naughton Plant FGDP 2 - WA</t>
  </si>
  <si>
    <t>Naughton Plant FGDP Closure - WA</t>
  </si>
  <si>
    <t>Naughton South Ash Pond - WA</t>
  </si>
  <si>
    <t>Ogden MGP - WA</t>
  </si>
  <si>
    <t>Olympia - WA</t>
  </si>
  <si>
    <t>Portland Harbor Srce Cntrl - WA</t>
  </si>
  <si>
    <t>Silver Bell/Telluride - WA</t>
  </si>
  <si>
    <t>Tacoma A St. (25% PCRP) - WA</t>
  </si>
  <si>
    <t>Utah Metal East - WA</t>
  </si>
  <si>
    <t>Wyodak Oil Spill - WA</t>
  </si>
  <si>
    <t>Rocky Mountain - WA</t>
  </si>
  <si>
    <t>Pac Power - WA</t>
  </si>
  <si>
    <t>NTO Parking Lot-Asbestos 2018</t>
  </si>
  <si>
    <t>NTO Parking Lot Asbestos - WA 2018</t>
  </si>
  <si>
    <t>Reg Asset - DSM - WY - Balance Reclass</t>
  </si>
  <si>
    <t>Reg Asset-OR Solar Feed-In Tariff 2019</t>
  </si>
  <si>
    <t>Reg A-WA Decoupling Mech Jul18-Jun19</t>
  </si>
  <si>
    <t>Contra Reg A-WA Decoupling Jul18-Jun19</t>
  </si>
  <si>
    <t>RegA-OR Transp Electrification Pilot</t>
  </si>
  <si>
    <t>RegA-CA Transp Electrification Pilot</t>
  </si>
  <si>
    <t>Reg Asset - UT RBA CY2018</t>
  </si>
  <si>
    <t>Reg Asset - WY ECAM CY2019</t>
  </si>
  <si>
    <t>Reg Asset - WY RRA CY2018</t>
  </si>
  <si>
    <t>Contra Reg Asset - WY ECAM CY2019</t>
  </si>
  <si>
    <t>Reg Asset - CA ECAC CY2018</t>
  </si>
  <si>
    <t>Contra Reg Asset - CA ECAC CY2018</t>
  </si>
  <si>
    <t>Reg Asset - CA ECAC CY2019</t>
  </si>
  <si>
    <t>Contra Reg Asset - CA ECAC CY2019</t>
  </si>
  <si>
    <t>Reg Asset  - ID ECAM CY 2018</t>
  </si>
  <si>
    <t>Reg Asset-ID ECAM CY 2019</t>
  </si>
  <si>
    <t>Contra Reg Asset - ID ECAM CY 2018</t>
  </si>
  <si>
    <t>Contra Reg Asset - ID ECAM CY 2019</t>
  </si>
  <si>
    <t>Reg Asset - UT EBA CY2019</t>
  </si>
  <si>
    <t>Contra Reg Asset - UT EBA CY2019</t>
  </si>
  <si>
    <t>DSM Reg Asset - Accruals - WY Cat 1</t>
  </si>
  <si>
    <t>DSM Reg Asset-Balancing Acct-WY Cat 1</t>
  </si>
  <si>
    <t>DSM Reg Asset - Accruals - WY Cat 2</t>
  </si>
  <si>
    <t>DSM Reg Asset-Balancing Acct-WY Cat 2</t>
  </si>
  <si>
    <t>FERC (MWh)</t>
  </si>
  <si>
    <t>Refined Coal Transaction Fee Revenue</t>
  </si>
  <si>
    <t>Nondeductible Parking Costs</t>
  </si>
  <si>
    <t>Reg Asset - CA - Transportation  Electri</t>
  </si>
  <si>
    <t>REG ASSET - OR TRANSPORTATION ELECTRIFIC</t>
  </si>
  <si>
    <t>Reg Asset - WA Transportation Electrific</t>
  </si>
  <si>
    <t>Reg Asset - Community Solar - OR</t>
  </si>
  <si>
    <t>Big Data &amp; Analytics</t>
  </si>
  <si>
    <t>Contra RA-DCM Closure-Royalties Amortz</t>
  </si>
  <si>
    <t>CONTRA FAS 158 PENSION REG ASSET</t>
  </si>
  <si>
    <t>Colstrip Pond</t>
  </si>
  <si>
    <t>Cholla Ash-Flyash Pond</t>
  </si>
  <si>
    <t>Colstrip Pond - WA</t>
  </si>
  <si>
    <t>Cholla Ash - WA</t>
  </si>
  <si>
    <t>Naughton Oil Spill - WA</t>
  </si>
  <si>
    <t>Hunter Fuel Oil Spill-WA</t>
  </si>
  <si>
    <t>RegA - DSM - UT - Reclass to Current</t>
  </si>
  <si>
    <t>RegA - OR Community Solar</t>
  </si>
  <si>
    <t>RegA-WA Transp Electrification Pilot</t>
  </si>
  <si>
    <t>Reg Asset - WY RRA CY2019</t>
  </si>
  <si>
    <t>Reg Asset - UT RBA CY2019</t>
  </si>
  <si>
    <t>Reg Asset - CA ECAC CY2020</t>
  </si>
  <si>
    <t>Contra Reg Asset - CA ECAC CY2020</t>
  </si>
  <si>
    <t>Reg Asset - CA ECAC CY2021</t>
  </si>
  <si>
    <t>Contra Reg Asset - CA ECAC CY2021</t>
  </si>
  <si>
    <t>Reg Asset-ID ECAM CY 2020</t>
  </si>
  <si>
    <t>Reg Asset-ID ECAM CY 2021</t>
  </si>
  <si>
    <t>Contra Reg Asset - ID ECAM CY 2020</t>
  </si>
  <si>
    <t>Contra Reg Asset - ID ECAM CY 2021</t>
  </si>
  <si>
    <t>Reg Asset - OR TAM CY2020</t>
  </si>
  <si>
    <t>Reg Asset - OR TAM CY2021</t>
  </si>
  <si>
    <t>Contra Reg Asset - OR TAM CY2020</t>
  </si>
  <si>
    <t>Contra Reg Asset - OR TAM CY2021</t>
  </si>
  <si>
    <t>Reg Asset - UT EBA CY2020</t>
  </si>
  <si>
    <t>Reg Asset - UT EBA CY2021</t>
  </si>
  <si>
    <t>Contra Reg Asset - UT EBA CY2020</t>
  </si>
  <si>
    <t>Contra Reg Asset - UT EBA CY2021</t>
  </si>
  <si>
    <t>Reg Asset - WY ECAM CY2020</t>
  </si>
  <si>
    <t>Reg Asset - WY ECAM CY2021</t>
  </si>
  <si>
    <t>Contra Reg Asset - WY ECAM CY2020</t>
  </si>
  <si>
    <t>Contra Reg Asset - WY ECAM CY2021</t>
  </si>
  <si>
    <t>3892000</t>
  </si>
  <si>
    <t>3900000</t>
  </si>
  <si>
    <t>3910000</t>
  </si>
  <si>
    <t>3912000</t>
  </si>
  <si>
    <t>3913000</t>
  </si>
  <si>
    <t>3930000</t>
  </si>
  <si>
    <t>3940000</t>
  </si>
  <si>
    <t>3950000</t>
  </si>
  <si>
    <t>3970000</t>
  </si>
  <si>
    <t>3972000</t>
  </si>
  <si>
    <t>3980000</t>
  </si>
  <si>
    <t>Depr - Prod Steam UT STEP</t>
  </si>
  <si>
    <t>4562700</t>
  </si>
  <si>
    <t>REC Sales - Blue Sky Program - Actual</t>
  </si>
  <si>
    <t>1010000</t>
  </si>
  <si>
    <t>3890000</t>
  </si>
  <si>
    <t>3891000</t>
  </si>
  <si>
    <t>3901000</t>
  </si>
  <si>
    <t>3920100</t>
  </si>
  <si>
    <t>3920200</t>
  </si>
  <si>
    <t>3920400</t>
  </si>
  <si>
    <t>3920500</t>
  </si>
  <si>
    <t>3920600</t>
  </si>
  <si>
    <t>3920900</t>
  </si>
  <si>
    <t>3921400</t>
  </si>
  <si>
    <t>3921900</t>
  </si>
  <si>
    <t>3923000</t>
  </si>
  <si>
    <t>3960300</t>
  </si>
  <si>
    <t>3960700</t>
  </si>
  <si>
    <t>3960800</t>
  </si>
  <si>
    <t>3961000</t>
  </si>
  <si>
    <t>3961100</t>
  </si>
  <si>
    <t>3961200</t>
  </si>
  <si>
    <t>3961300</t>
  </si>
  <si>
    <t>3992100</t>
  </si>
  <si>
    <t>Reg Asset - Pension Settlement - CA</t>
  </si>
  <si>
    <t>Reg Asset Current - Cholla Closure</t>
  </si>
  <si>
    <t>Reg A - Cholla Closure - Recl to Curr</t>
  </si>
  <si>
    <t>RegA - DSM - ID - Reclass to Current</t>
  </si>
  <si>
    <t>RegA - Oregon OCAT Expense Deferral</t>
  </si>
  <si>
    <t>Reg Asset - CA - CEMA Costs Deferral</t>
  </si>
  <si>
    <t>RegA-CA Emerg Svc Prgms-Battery Storage</t>
  </si>
  <si>
    <t>Contra Reg Asset-Carbon Plt Dec/Inv-WY</t>
  </si>
  <si>
    <t>RegA-Depr/Amortz Deferral-Bal Reclass</t>
  </si>
  <si>
    <t>Reg Asset - Carbon Decomm - CA</t>
  </si>
  <si>
    <t>RegA-OR 2020 GRC-Meters Replcd by AMI</t>
  </si>
  <si>
    <t>Reg Asset-OR Solar Feed-In Tariff 2020</t>
  </si>
  <si>
    <t>Reg Asset-OR Solar Feed-In Tariff 2021</t>
  </si>
  <si>
    <t>Reg A - Post-Retirement - Recl to Curr</t>
  </si>
  <si>
    <t>Reg Asset - UT RBA CY2020</t>
  </si>
  <si>
    <t>Reg Asset - WY RRA CY2020</t>
  </si>
  <si>
    <t>RegA-CA Fire Risk Mitigation (FRMMA)</t>
  </si>
  <si>
    <t>RegA-CA Wildfire Mitigation Plan(WMPMA)</t>
  </si>
  <si>
    <t>Contra RegA-CA Fire/Wildlife Mitigation</t>
  </si>
  <si>
    <t>RegA-CA Fire Hazard Prevention (FHPMA)</t>
  </si>
  <si>
    <t>Reg Asset - CA ECAC CY2022</t>
  </si>
  <si>
    <t>Contra Reg Asset - CA ECAC CY2022</t>
  </si>
  <si>
    <t>RegA - CA Def Exc NPC - Recl to Liab</t>
  </si>
  <si>
    <t>Reg Asset-ID ECAM CY 2022</t>
  </si>
  <si>
    <t>Contra Reg Asset - ID ECAM CY 2022</t>
  </si>
  <si>
    <t>RegA - OR Def Exc NPC - Recl to Curr</t>
  </si>
  <si>
    <t>Reg Asset - UT EBA CY2022</t>
  </si>
  <si>
    <t>Contra Reg Asset - UT EBA CY2022</t>
  </si>
  <si>
    <t>Reg Asset - WY ECAM CY2022</t>
  </si>
  <si>
    <t>Contra Reg Asset - WY ECAM CY2022</t>
  </si>
  <si>
    <t>LT Prepaid-FSA Capital - Dunlap</t>
  </si>
  <si>
    <t>LT Prepaid-FSA Capital - Glenrock I</t>
  </si>
  <si>
    <t>LT Prepaid-FSA Capital - Glenrock III</t>
  </si>
  <si>
    <t>LT Prepaid-FSA Capital - Goodnoe Hills</t>
  </si>
  <si>
    <t>LT Prepaid-FSA Capital - High Plains</t>
  </si>
  <si>
    <t>LT Prepaid-FSA Capital - Leaning Juniper</t>
  </si>
  <si>
    <t>LT Prepaid-FSA Capital - Marengo I</t>
  </si>
  <si>
    <t>LT Prepaid-FSA Capital - Marengo II</t>
  </si>
  <si>
    <t>LT Prepaid-FSA Capital - McFadden Ridge</t>
  </si>
  <si>
    <t>LT Prepaid-FSA Capital - Rolling Hills</t>
  </si>
  <si>
    <t>LT Prepaid-FSA Capital - Seven Mile I</t>
  </si>
  <si>
    <t>LT Prepaid-FSA Capital - Seven Mile II</t>
  </si>
  <si>
    <t>Executive Compensation 162(m)</t>
  </si>
  <si>
    <t>Contra Reg Asset - Cholla U4 Closure - O</t>
  </si>
  <si>
    <t>Contra Reg Asset - Cholla U4 Closure - U</t>
  </si>
  <si>
    <t>Contra Reg Asset - Cholla U4 Closure - W</t>
  </si>
  <si>
    <t>Reg Asset - Emergency Service Programs -</t>
  </si>
  <si>
    <t>Accrued Payroll Taxes</t>
  </si>
  <si>
    <t>Bonus Accrual - PMI</t>
  </si>
  <si>
    <t>Reg Liability - Cholla Decommissioning -</t>
  </si>
  <si>
    <t>Reg Liability - Property Insurance Reser</t>
  </si>
  <si>
    <t>Regulatory Liability - CA Deferred Exces</t>
  </si>
  <si>
    <t>Prepaid Lease-Gadsby Gas Turbine</t>
  </si>
  <si>
    <t>Prepaid - FSA O&amp;M - East</t>
  </si>
  <si>
    <t>Reg Asset - Fire Risk Mitigation - CA</t>
  </si>
  <si>
    <t>Reg Asset - WA Decoupling Mechanism</t>
  </si>
  <si>
    <t>Reg Asset - Carbon Decommissioning - CA</t>
  </si>
  <si>
    <t>JAM (Report tab)</t>
  </si>
  <si>
    <t>FERC Form 1 (Dec 2021) - pg. 354</t>
  </si>
  <si>
    <t>FERC Form 1 (Dec 2021) - pg. 227, Total Company</t>
  </si>
  <si>
    <t>4030000</t>
  </si>
  <si>
    <t>3102000</t>
  </si>
  <si>
    <t>3110000</t>
  </si>
  <si>
    <t>3120000</t>
  </si>
  <si>
    <t>3140000</t>
  </si>
  <si>
    <t>3150000</t>
  </si>
  <si>
    <t>3157000</t>
  </si>
  <si>
    <t>3160000</t>
  </si>
  <si>
    <t>3302000</t>
  </si>
  <si>
    <t>3303000</t>
  </si>
  <si>
    <t>3304000</t>
  </si>
  <si>
    <t>3305000</t>
  </si>
  <si>
    <t>3310000</t>
  </si>
  <si>
    <t>3311000</t>
  </si>
  <si>
    <t>3312000</t>
  </si>
  <si>
    <t>3313000</t>
  </si>
  <si>
    <t>3320000</t>
  </si>
  <si>
    <t>3321000</t>
  </si>
  <si>
    <t>3322000</t>
  </si>
  <si>
    <t>3323000</t>
  </si>
  <si>
    <t>3330000</t>
  </si>
  <si>
    <t>3340000</t>
  </si>
  <si>
    <t>3347000</t>
  </si>
  <si>
    <t>3350000</t>
  </si>
  <si>
    <t>3351000</t>
  </si>
  <si>
    <t>3360000</t>
  </si>
  <si>
    <t>3402000</t>
  </si>
  <si>
    <t>3410000</t>
  </si>
  <si>
    <t>3420000</t>
  </si>
  <si>
    <t>3430000</t>
  </si>
  <si>
    <t>3440000</t>
  </si>
  <si>
    <t>3450000</t>
  </si>
  <si>
    <t>3460000</t>
  </si>
  <si>
    <t>3502000</t>
  </si>
  <si>
    <t>3520000</t>
  </si>
  <si>
    <t>3530000</t>
  </si>
  <si>
    <t>3534000</t>
  </si>
  <si>
    <t>3537000</t>
  </si>
  <si>
    <t>3540000</t>
  </si>
  <si>
    <t>3550000</t>
  </si>
  <si>
    <t>3560000</t>
  </si>
  <si>
    <t>3570000</t>
  </si>
  <si>
    <t>3580000</t>
  </si>
  <si>
    <t>3590000</t>
  </si>
  <si>
    <t>3602000</t>
  </si>
  <si>
    <t>3610000</t>
  </si>
  <si>
    <t>3620000</t>
  </si>
  <si>
    <t>3627000</t>
  </si>
  <si>
    <t>3640000</t>
  </si>
  <si>
    <t>3650000</t>
  </si>
  <si>
    <t>3660000</t>
  </si>
  <si>
    <t>3670000</t>
  </si>
  <si>
    <t>3680000</t>
  </si>
  <si>
    <t>3691000</t>
  </si>
  <si>
    <t>3692000</t>
  </si>
  <si>
    <t>3700000</t>
  </si>
  <si>
    <t>3710000</t>
  </si>
  <si>
    <t>3730000</t>
  </si>
  <si>
    <t>4032000</t>
  </si>
  <si>
    <t>565131</t>
  </si>
  <si>
    <t>565247</t>
  </si>
  <si>
    <t>4033000</t>
  </si>
  <si>
    <t>565133</t>
  </si>
  <si>
    <t>4034000</t>
  </si>
  <si>
    <t>565134</t>
  </si>
  <si>
    <t>4035000</t>
  </si>
  <si>
    <t>565141</t>
  </si>
  <si>
    <t>4036000</t>
  </si>
  <si>
    <t>565161</t>
  </si>
  <si>
    <t>4037000</t>
  </si>
  <si>
    <t>565201</t>
  </si>
  <si>
    <t>4039999</t>
  </si>
  <si>
    <t>565970</t>
  </si>
  <si>
    <t>3020000</t>
  </si>
  <si>
    <t>3031040</t>
  </si>
  <si>
    <t>3031050</t>
  </si>
  <si>
    <t>3031080</t>
  </si>
  <si>
    <t>3031230</t>
  </si>
  <si>
    <t>3031680</t>
  </si>
  <si>
    <t>3031830</t>
  </si>
  <si>
    <t>3032040</t>
  </si>
  <si>
    <t>3032130</t>
  </si>
  <si>
    <t>PROD &amp; TRANS PLANT</t>
  </si>
  <si>
    <t>3032140</t>
  </si>
  <si>
    <t>MINING PLANT</t>
  </si>
  <si>
    <t>3032150</t>
  </si>
  <si>
    <t>HYDRO PLANT</t>
  </si>
  <si>
    <t>3032160</t>
  </si>
  <si>
    <t>ENGINEERING SMALL SOFTWARE</t>
  </si>
  <si>
    <t>3032170</t>
  </si>
  <si>
    <t>EDMS SOFTWARE ACCT 141140</t>
  </si>
  <si>
    <t>3032180</t>
  </si>
  <si>
    <t>AUTOMATED MAPPING PROJECT</t>
  </si>
  <si>
    <t>3032190</t>
  </si>
  <si>
    <t>PCI GenTrader</t>
  </si>
  <si>
    <t>3032200</t>
  </si>
  <si>
    <t>OUTAGE MANAGEMENT SYSTEM</t>
  </si>
  <si>
    <t>3032220</t>
  </si>
  <si>
    <t>3032270</t>
  </si>
  <si>
    <t>3032330</t>
  </si>
  <si>
    <t>3032340</t>
  </si>
  <si>
    <t>3032360</t>
  </si>
  <si>
    <t>3032450</t>
  </si>
  <si>
    <t>3032510</t>
  </si>
  <si>
    <t>3032530</t>
  </si>
  <si>
    <t>3032590</t>
  </si>
  <si>
    <t>3032600</t>
  </si>
  <si>
    <t>3032640</t>
  </si>
  <si>
    <t>3032680</t>
  </si>
  <si>
    <t>3032690</t>
  </si>
  <si>
    <t>3032710</t>
  </si>
  <si>
    <t>3032740</t>
  </si>
  <si>
    <t>3032760</t>
  </si>
  <si>
    <t>3032770</t>
  </si>
  <si>
    <t>3032780</t>
  </si>
  <si>
    <t>3032830</t>
  </si>
  <si>
    <t>3032860</t>
  </si>
  <si>
    <t>3032900</t>
  </si>
  <si>
    <t>3032910</t>
  </si>
  <si>
    <t>3032920</t>
  </si>
  <si>
    <t>3032930</t>
  </si>
  <si>
    <t>3032990</t>
  </si>
  <si>
    <t>3033090</t>
  </si>
  <si>
    <t>3033170</t>
  </si>
  <si>
    <t>3033190</t>
  </si>
  <si>
    <t>3033210</t>
  </si>
  <si>
    <t>3033220</t>
  </si>
  <si>
    <t>3033240</t>
  </si>
  <si>
    <t>3033250</t>
  </si>
  <si>
    <t>3033260</t>
  </si>
  <si>
    <t>3033270</t>
  </si>
  <si>
    <t>CES - Customer Experience System</t>
  </si>
  <si>
    <t>3033280</t>
  </si>
  <si>
    <t>MAPAPPS - Mapping Systems Application</t>
  </si>
  <si>
    <t>3033290</t>
  </si>
  <si>
    <t>CUSTOMER CONTACTS</t>
  </si>
  <si>
    <t>3033300</t>
  </si>
  <si>
    <t>3033310</t>
  </si>
  <si>
    <t>3033320</t>
  </si>
  <si>
    <t>3033330</t>
  </si>
  <si>
    <t>3033340</t>
  </si>
  <si>
    <t>3033350</t>
  </si>
  <si>
    <t>3033370</t>
  </si>
  <si>
    <t>3033380</t>
  </si>
  <si>
    <t>3033390</t>
  </si>
  <si>
    <t>3033410</t>
  </si>
  <si>
    <t>M365</t>
  </si>
  <si>
    <t>3034900</t>
  </si>
  <si>
    <t>3035320</t>
  </si>
  <si>
    <t>3035322</t>
  </si>
  <si>
    <t>3035330</t>
  </si>
  <si>
    <t>130400</t>
  </si>
  <si>
    <t>610106</t>
  </si>
  <si>
    <t>920145</t>
  </si>
  <si>
    <t>105121</t>
  </si>
  <si>
    <t>415261</t>
  </si>
  <si>
    <t>Reg Asset-UT Wildland Fire Protection</t>
  </si>
  <si>
    <t>415424</t>
  </si>
  <si>
    <t>415426</t>
  </si>
  <si>
    <t>Reg Asset - 2020 GRC - Meters Replaced b</t>
  </si>
  <si>
    <t>415734</t>
  </si>
  <si>
    <t>Reg Asset - Cholla Unrecovered Plant - C</t>
  </si>
  <si>
    <t>415736</t>
  </si>
  <si>
    <t>Reg Asset - Cholla Unrecovered Plant - W</t>
  </si>
  <si>
    <t>415942</t>
  </si>
  <si>
    <t>Reg Liability - Steam Decommissioning -</t>
  </si>
  <si>
    <t>425360</t>
  </si>
  <si>
    <t>505125</t>
  </si>
  <si>
    <t>5054501</t>
  </si>
  <si>
    <t>Accrued Payroll Taxes - PMI</t>
  </si>
  <si>
    <t>505520</t>
  </si>
  <si>
    <t>505525</t>
  </si>
  <si>
    <t>Accrued Severance -PMI</t>
  </si>
  <si>
    <t>505601</t>
  </si>
  <si>
    <t>605715</t>
  </si>
  <si>
    <t>610141</t>
  </si>
  <si>
    <t>610150</t>
  </si>
  <si>
    <t>REG LIABILITY - BRIDGER MINE ACCELERATED</t>
  </si>
  <si>
    <t>610155</t>
  </si>
  <si>
    <t>Reg Liability - Plant Closure Cost - WA</t>
  </si>
  <si>
    <t>705352</t>
  </si>
  <si>
    <t>Reg Liability - CA Klamath River Dams Re</t>
  </si>
  <si>
    <t>705410</t>
  </si>
  <si>
    <t>705411</t>
  </si>
  <si>
    <t>705414</t>
  </si>
  <si>
    <t>705425</t>
  </si>
  <si>
    <t>Reg Liability - Bridger Mine Accelerated</t>
  </si>
  <si>
    <t>705452</t>
  </si>
  <si>
    <t>1102051</t>
  </si>
  <si>
    <t>320286</t>
  </si>
  <si>
    <t>Reg Asset - Pension Settlement - OR</t>
  </si>
  <si>
    <t>320287</t>
  </si>
  <si>
    <t>Reg Asset - Pension Settlement - UT</t>
  </si>
  <si>
    <t>320288</t>
  </si>
  <si>
    <t>Reg Asset - Pension Settlement - WY</t>
  </si>
  <si>
    <t>415100</t>
  </si>
  <si>
    <t>Reg Asset -WA Equity Advisory Group (CET</t>
  </si>
  <si>
    <t>415255</t>
  </si>
  <si>
    <t>Reg Asset-WY Wind Test Energy Deferral</t>
  </si>
  <si>
    <t>415755</t>
  </si>
  <si>
    <t>Reg Asset - Major Mtc Exp - Colstrip U4</t>
  </si>
  <si>
    <t>415943</t>
  </si>
  <si>
    <t>Reg Asset - Covid-19 Bill Assistance Pro</t>
  </si>
  <si>
    <t>415944</t>
  </si>
  <si>
    <t>720805</t>
  </si>
  <si>
    <t>4561100</t>
  </si>
  <si>
    <t>301953</t>
  </si>
  <si>
    <t>301962</t>
  </si>
  <si>
    <t>Ancil Revenue Sch 2-Reactive (Trans)</t>
  </si>
  <si>
    <t>301963</t>
  </si>
  <si>
    <t>301966</t>
  </si>
  <si>
    <t>301967</t>
  </si>
  <si>
    <t>301969</t>
  </si>
  <si>
    <t>301973</t>
  </si>
  <si>
    <t>301974</t>
  </si>
  <si>
    <t>302082</t>
  </si>
  <si>
    <t>302092</t>
  </si>
  <si>
    <t>302831</t>
  </si>
  <si>
    <t>302901</t>
  </si>
  <si>
    <t>302982</t>
  </si>
  <si>
    <t>302983</t>
  </si>
  <si>
    <t>4561910</t>
  </si>
  <si>
    <t>301926</t>
  </si>
  <si>
    <t>4561920</t>
  </si>
  <si>
    <t>301912</t>
  </si>
  <si>
    <t>301916</t>
  </si>
  <si>
    <t>301917</t>
  </si>
  <si>
    <t>302980</t>
  </si>
  <si>
    <t>4561930</t>
  </si>
  <si>
    <t>301922</t>
  </si>
  <si>
    <t>302822</t>
  </si>
  <si>
    <t>4561990</t>
  </si>
  <si>
    <t>301913</t>
  </si>
  <si>
    <t>4562100</t>
  </si>
  <si>
    <t>301911</t>
  </si>
  <si>
    <t>4562300</t>
  </si>
  <si>
    <t>301900</t>
  </si>
  <si>
    <t>301915</t>
  </si>
  <si>
    <t>301939</t>
  </si>
  <si>
    <t>301940</t>
  </si>
  <si>
    <t>301949</t>
  </si>
  <si>
    <t>301951</t>
  </si>
  <si>
    <t>301955</t>
  </si>
  <si>
    <t>301958</t>
  </si>
  <si>
    <t>301959</t>
  </si>
  <si>
    <t>302071</t>
  </si>
  <si>
    <t>361000</t>
  </si>
  <si>
    <t>374400</t>
  </si>
  <si>
    <t>610004</t>
  </si>
  <si>
    <t>Blank</t>
  </si>
  <si>
    <t>701010</t>
  </si>
  <si>
    <t>Labor Costs Settled to Capital</t>
  </si>
  <si>
    <t>4562310</t>
  </si>
  <si>
    <t>308001</t>
  </si>
  <si>
    <t>4562400</t>
  </si>
  <si>
    <t>362950</t>
  </si>
  <si>
    <t>4562500</t>
  </si>
  <si>
    <t>514950</t>
  </si>
  <si>
    <t>301943</t>
  </si>
  <si>
    <t>301944</t>
  </si>
  <si>
    <t>301945</t>
  </si>
  <si>
    <t>352943</t>
  </si>
  <si>
    <t>352950</t>
  </si>
  <si>
    <t>354943</t>
  </si>
  <si>
    <t>REC Sales - Pryor Mtn - Deferral</t>
  </si>
  <si>
    <t>354945</t>
  </si>
  <si>
    <t>4562800</t>
  </si>
  <si>
    <t>352001</t>
  </si>
  <si>
    <t>352002</t>
  </si>
  <si>
    <t>352003</t>
  </si>
  <si>
    <t>352004</t>
  </si>
  <si>
    <t>4563500</t>
  </si>
  <si>
    <t>305991</t>
  </si>
  <si>
    <t>1823700</t>
  </si>
  <si>
    <t>186801</t>
  </si>
  <si>
    <t>186802</t>
  </si>
  <si>
    <t>186805</t>
  </si>
  <si>
    <t>186806</t>
  </si>
  <si>
    <t>186811</t>
  </si>
  <si>
    <t>186812</t>
  </si>
  <si>
    <t>186815</t>
  </si>
  <si>
    <t>186816</t>
  </si>
  <si>
    <t>186817</t>
  </si>
  <si>
    <t>186820</t>
  </si>
  <si>
    <t>186825</t>
  </si>
  <si>
    <t>186826</t>
  </si>
  <si>
    <t>186828</t>
  </si>
  <si>
    <t>186829</t>
  </si>
  <si>
    <t>186830</t>
  </si>
  <si>
    <t>186833</t>
  </si>
  <si>
    <t>186835</t>
  </si>
  <si>
    <t>186836</t>
  </si>
  <si>
    <t>186837</t>
  </si>
  <si>
    <t>186839</t>
  </si>
  <si>
    <t>186841</t>
  </si>
  <si>
    <t>186844</t>
  </si>
  <si>
    <t>186846</t>
  </si>
  <si>
    <t>186851</t>
  </si>
  <si>
    <t>186852</t>
  </si>
  <si>
    <t>186853</t>
  </si>
  <si>
    <t>186860</t>
  </si>
  <si>
    <t>186861</t>
  </si>
  <si>
    <t>186862</t>
  </si>
  <si>
    <t>186863</t>
  </si>
  <si>
    <t>186870</t>
  </si>
  <si>
    <t>186871</t>
  </si>
  <si>
    <t>186872</t>
  </si>
  <si>
    <t>186881</t>
  </si>
  <si>
    <t>186886</t>
  </si>
  <si>
    <t>1823750</t>
  </si>
  <si>
    <t>OTHER REG A-CHLA U4</t>
  </si>
  <si>
    <t>185831</t>
  </si>
  <si>
    <t>Reg Asset - Cholla Unrec Plant - CA</t>
  </si>
  <si>
    <t>185836</t>
  </si>
  <si>
    <t>Reg Asset - Cholla Unrec Plant - WY</t>
  </si>
  <si>
    <t>185864</t>
  </si>
  <si>
    <t>Reg Asset-Cholla U4-Property Taxes-OR</t>
  </si>
  <si>
    <t>185866</t>
  </si>
  <si>
    <t>Reg Asset-Cholla U4-Nonunion Severance</t>
  </si>
  <si>
    <t>185867</t>
  </si>
  <si>
    <t>Reg Asset-Cholla U4-Safe Harbor Lease</t>
  </si>
  <si>
    <t>Reg Asset-Cholla U4-Tax Flow-Through</t>
  </si>
  <si>
    <t>185869</t>
  </si>
  <si>
    <t>Reg Asset-Cholla U4-ID-O&amp;M/Depr Savings</t>
  </si>
  <si>
    <t>185873</t>
  </si>
  <si>
    <t>Contra Reg Asset-Cholla U4 Closure-OR</t>
  </si>
  <si>
    <t>185874</t>
  </si>
  <si>
    <t>Contra Reg Asset-Cholla U4 Closure-UT</t>
  </si>
  <si>
    <t>185876</t>
  </si>
  <si>
    <t>Contra Reg Asset-Cholla U4 Closure-WY</t>
  </si>
  <si>
    <t>1823870</t>
  </si>
  <si>
    <t>187608</t>
  </si>
  <si>
    <t>187611</t>
  </si>
  <si>
    <t>187612</t>
  </si>
  <si>
    <t>187613</t>
  </si>
  <si>
    <t>187629</t>
  </si>
  <si>
    <t>Klamath Falls</t>
  </si>
  <si>
    <t>Klamath Falls - WA 2021</t>
  </si>
  <si>
    <t>Portland Harbor Service  Insurance</t>
  </si>
  <si>
    <t>North Temple Office</t>
  </si>
  <si>
    <t>North Temple Office WA</t>
  </si>
  <si>
    <t>1823920</t>
  </si>
  <si>
    <t>102030</t>
  </si>
  <si>
    <t>102032</t>
  </si>
  <si>
    <t>102033</t>
  </si>
  <si>
    <t>102034</t>
  </si>
  <si>
    <t>102036</t>
  </si>
  <si>
    <t>102037</t>
  </si>
  <si>
    <t>102038</t>
  </si>
  <si>
    <t>102039</t>
  </si>
  <si>
    <t>102040</t>
  </si>
  <si>
    <t>102043</t>
  </si>
  <si>
    <t>102044</t>
  </si>
  <si>
    <t>102045</t>
  </si>
  <si>
    <t>102046</t>
  </si>
  <si>
    <t>102072</t>
  </si>
  <si>
    <t>102127</t>
  </si>
  <si>
    <t>102128</t>
  </si>
  <si>
    <t>102131</t>
  </si>
  <si>
    <t>102133</t>
  </si>
  <si>
    <t>102138</t>
  </si>
  <si>
    <t>102147</t>
  </si>
  <si>
    <t>102149</t>
  </si>
  <si>
    <t>102150</t>
  </si>
  <si>
    <t>102185</t>
  </si>
  <si>
    <t>102186</t>
  </si>
  <si>
    <t>102195</t>
  </si>
  <si>
    <t>102196</t>
  </si>
  <si>
    <t>102205</t>
  </si>
  <si>
    <t>102206</t>
  </si>
  <si>
    <t>102209</t>
  </si>
  <si>
    <t>102213</t>
  </si>
  <si>
    <t>102214</t>
  </si>
  <si>
    <t>102223</t>
  </si>
  <si>
    <t>102225</t>
  </si>
  <si>
    <t>102226</t>
  </si>
  <si>
    <t>102227</t>
  </si>
  <si>
    <t>102228</t>
  </si>
  <si>
    <t>102229</t>
  </si>
  <si>
    <t>102230</t>
  </si>
  <si>
    <t>102231</t>
  </si>
  <si>
    <t>102232</t>
  </si>
  <si>
    <t>102233</t>
  </si>
  <si>
    <t>102327</t>
  </si>
  <si>
    <t>102328</t>
  </si>
  <si>
    <t>102336</t>
  </si>
  <si>
    <t>102337</t>
  </si>
  <si>
    <t>102338</t>
  </si>
  <si>
    <t>102339</t>
  </si>
  <si>
    <t>102340</t>
  </si>
  <si>
    <t>102341</t>
  </si>
  <si>
    <t>102342</t>
  </si>
  <si>
    <t>102343</t>
  </si>
  <si>
    <t>102344</t>
  </si>
  <si>
    <t>102345</t>
  </si>
  <si>
    <t>102346</t>
  </si>
  <si>
    <t>102347</t>
  </si>
  <si>
    <t>102348</t>
  </si>
  <si>
    <t>102349</t>
  </si>
  <si>
    <t>102443</t>
  </si>
  <si>
    <t>102444</t>
  </si>
  <si>
    <t>102458</t>
  </si>
  <si>
    <t>102459</t>
  </si>
  <si>
    <t>102460</t>
  </si>
  <si>
    <t>102461</t>
  </si>
  <si>
    <t>102462</t>
  </si>
  <si>
    <t>102502</t>
  </si>
  <si>
    <t>102503</t>
  </si>
  <si>
    <t>102532</t>
  </si>
  <si>
    <t>102533</t>
  </si>
  <si>
    <t>102534</t>
  </si>
  <si>
    <t>102535</t>
  </si>
  <si>
    <t>102536</t>
  </si>
  <si>
    <t>102537</t>
  </si>
  <si>
    <t>102539</t>
  </si>
  <si>
    <t>102540</t>
  </si>
  <si>
    <t>102541</t>
  </si>
  <si>
    <t>102543</t>
  </si>
  <si>
    <t>102544</t>
  </si>
  <si>
    <t>102545</t>
  </si>
  <si>
    <t>102546</t>
  </si>
  <si>
    <t>102547</t>
  </si>
  <si>
    <t>102548</t>
  </si>
  <si>
    <t>102549</t>
  </si>
  <si>
    <t>102550</t>
  </si>
  <si>
    <t>102562</t>
  </si>
  <si>
    <t>102586</t>
  </si>
  <si>
    <t>102706</t>
  </si>
  <si>
    <t>102707</t>
  </si>
  <si>
    <t>102708</t>
  </si>
  <si>
    <t>102709</t>
  </si>
  <si>
    <t>102712</t>
  </si>
  <si>
    <t>102713</t>
  </si>
  <si>
    <t>102717</t>
  </si>
  <si>
    <t>102718</t>
  </si>
  <si>
    <t>102719</t>
  </si>
  <si>
    <t>102720</t>
  </si>
  <si>
    <t>102721</t>
  </si>
  <si>
    <t>102722</t>
  </si>
  <si>
    <t>102723</t>
  </si>
  <si>
    <t>102759</t>
  </si>
  <si>
    <t>102760</t>
  </si>
  <si>
    <t>102767</t>
  </si>
  <si>
    <t>102819</t>
  </si>
  <si>
    <t>102820</t>
  </si>
  <si>
    <t>102821</t>
  </si>
  <si>
    <t>102822</t>
  </si>
  <si>
    <t>102823</t>
  </si>
  <si>
    <t>102824</t>
  </si>
  <si>
    <t>102825</t>
  </si>
  <si>
    <t>102826</t>
  </si>
  <si>
    <t>102827</t>
  </si>
  <si>
    <t>102828</t>
  </si>
  <si>
    <t>102829</t>
  </si>
  <si>
    <t>102830</t>
  </si>
  <si>
    <t>102831</t>
  </si>
  <si>
    <t>102833</t>
  </si>
  <si>
    <t>102834</t>
  </si>
  <si>
    <t>102906</t>
  </si>
  <si>
    <t>102907</t>
  </si>
  <si>
    <t>102908</t>
  </si>
  <si>
    <t>102909</t>
  </si>
  <si>
    <t>102910</t>
  </si>
  <si>
    <t>102911</t>
  </si>
  <si>
    <t>102912</t>
  </si>
  <si>
    <t>102913</t>
  </si>
  <si>
    <t>102914</t>
  </si>
  <si>
    <t>102915</t>
  </si>
  <si>
    <t>102916</t>
  </si>
  <si>
    <t>102917</t>
  </si>
  <si>
    <t>102918</t>
  </si>
  <si>
    <t>102919</t>
  </si>
  <si>
    <t>102920</t>
  </si>
  <si>
    <t>102921</t>
  </si>
  <si>
    <t>102976</t>
  </si>
  <si>
    <t>102977</t>
  </si>
  <si>
    <t>102978</t>
  </si>
  <si>
    <t>102979</t>
  </si>
  <si>
    <t>102980</t>
  </si>
  <si>
    <t>102981</t>
  </si>
  <si>
    <t>102982</t>
  </si>
  <si>
    <t>102983</t>
  </si>
  <si>
    <t>102984</t>
  </si>
  <si>
    <t>102985</t>
  </si>
  <si>
    <t>102986</t>
  </si>
  <si>
    <t>102987</t>
  </si>
  <si>
    <t>102988</t>
  </si>
  <si>
    <t>102990</t>
  </si>
  <si>
    <t>102991</t>
  </si>
  <si>
    <t>102992</t>
  </si>
  <si>
    <t>102993</t>
  </si>
  <si>
    <t>102995</t>
  </si>
  <si>
    <t>102996</t>
  </si>
  <si>
    <t>102997</t>
  </si>
  <si>
    <t>102998</t>
  </si>
  <si>
    <t>102999</t>
  </si>
  <si>
    <t>103000</t>
  </si>
  <si>
    <t>103001</t>
  </si>
  <si>
    <t>103003</t>
  </si>
  <si>
    <t>103004</t>
  </si>
  <si>
    <t>103005</t>
  </si>
  <si>
    <t>103006</t>
  </si>
  <si>
    <t>103007</t>
  </si>
  <si>
    <t>103008</t>
  </si>
  <si>
    <t>103012</t>
  </si>
  <si>
    <t>103013</t>
  </si>
  <si>
    <t>103014</t>
  </si>
  <si>
    <t>103031</t>
  </si>
  <si>
    <t>103071</t>
  </si>
  <si>
    <t>103072</t>
  </si>
  <si>
    <t>103073</t>
  </si>
  <si>
    <t>103074</t>
  </si>
  <si>
    <t>103075</t>
  </si>
  <si>
    <t>103076</t>
  </si>
  <si>
    <t>103077</t>
  </si>
  <si>
    <t>103078</t>
  </si>
  <si>
    <t>103079</t>
  </si>
  <si>
    <t>103080</t>
  </si>
  <si>
    <t>103081</t>
  </si>
  <si>
    <t>103082</t>
  </si>
  <si>
    <t>103083</t>
  </si>
  <si>
    <t>103085</t>
  </si>
  <si>
    <t>103086</t>
  </si>
  <si>
    <t>103087</t>
  </si>
  <si>
    <t>103089</t>
  </si>
  <si>
    <t>103090</t>
  </si>
  <si>
    <t>103092</t>
  </si>
  <si>
    <t>103093</t>
  </si>
  <si>
    <t>103094</t>
  </si>
  <si>
    <t>103095</t>
  </si>
  <si>
    <t>103096</t>
  </si>
  <si>
    <t>103097</t>
  </si>
  <si>
    <t>103098</t>
  </si>
  <si>
    <t>103099</t>
  </si>
  <si>
    <t>103100</t>
  </si>
  <si>
    <t>103101</t>
  </si>
  <si>
    <t>103102</t>
  </si>
  <si>
    <t>103103</t>
  </si>
  <si>
    <t>103104</t>
  </si>
  <si>
    <t>103137</t>
  </si>
  <si>
    <t>103163</t>
  </si>
  <si>
    <t>103164</t>
  </si>
  <si>
    <t>103165</t>
  </si>
  <si>
    <t>103169</t>
  </si>
  <si>
    <t>103181</t>
  </si>
  <si>
    <t>103182</t>
  </si>
  <si>
    <t>103183</t>
  </si>
  <si>
    <t>103184</t>
  </si>
  <si>
    <t>103185</t>
  </si>
  <si>
    <t>103186</t>
  </si>
  <si>
    <t>103187</t>
  </si>
  <si>
    <t>103188</t>
  </si>
  <si>
    <t>103189</t>
  </si>
  <si>
    <t>103190</t>
  </si>
  <si>
    <t>103191</t>
  </si>
  <si>
    <t>103192</t>
  </si>
  <si>
    <t>103193</t>
  </si>
  <si>
    <t>103195</t>
  </si>
  <si>
    <t>103196</t>
  </si>
  <si>
    <t>103197</t>
  </si>
  <si>
    <t>103199</t>
  </si>
  <si>
    <t>103200</t>
  </si>
  <si>
    <t>103202</t>
  </si>
  <si>
    <t>103203</t>
  </si>
  <si>
    <t>103204</t>
  </si>
  <si>
    <t>103205</t>
  </si>
  <si>
    <t>103206</t>
  </si>
  <si>
    <t>103207</t>
  </si>
  <si>
    <t>103208</t>
  </si>
  <si>
    <t>103209</t>
  </si>
  <si>
    <t>103210</t>
  </si>
  <si>
    <t>103211</t>
  </si>
  <si>
    <t>103212</t>
  </si>
  <si>
    <t>103213</t>
  </si>
  <si>
    <t>103214</t>
  </si>
  <si>
    <t>103277</t>
  </si>
  <si>
    <t>103280</t>
  </si>
  <si>
    <t>103291</t>
  </si>
  <si>
    <t>103292</t>
  </si>
  <si>
    <t>103293</t>
  </si>
  <si>
    <t>103295</t>
  </si>
  <si>
    <t>103299</t>
  </si>
  <si>
    <t>103300</t>
  </si>
  <si>
    <t>103301</t>
  </si>
  <si>
    <t>103302</t>
  </si>
  <si>
    <t>103308</t>
  </si>
  <si>
    <t>103324</t>
  </si>
  <si>
    <t>103325</t>
  </si>
  <si>
    <t>103326</t>
  </si>
  <si>
    <t>103327</t>
  </si>
  <si>
    <t>103328</t>
  </si>
  <si>
    <t>103330</t>
  </si>
  <si>
    <t>103331</t>
  </si>
  <si>
    <t>103332</t>
  </si>
  <si>
    <t>103333</t>
  </si>
  <si>
    <t>103334</t>
  </si>
  <si>
    <t>103335</t>
  </si>
  <si>
    <t>103336</t>
  </si>
  <si>
    <t>103337</t>
  </si>
  <si>
    <t>103338</t>
  </si>
  <si>
    <t>103339</t>
  </si>
  <si>
    <t>103340</t>
  </si>
  <si>
    <t>103341</t>
  </si>
  <si>
    <t>103342</t>
  </si>
  <si>
    <t>103343</t>
  </si>
  <si>
    <t>103346</t>
  </si>
  <si>
    <t>103347</t>
  </si>
  <si>
    <t>103348</t>
  </si>
  <si>
    <t>103349</t>
  </si>
  <si>
    <t>103350</t>
  </si>
  <si>
    <t>103351</t>
  </si>
  <si>
    <t>103352</t>
  </si>
  <si>
    <t>103353</t>
  </si>
  <si>
    <t>103354</t>
  </si>
  <si>
    <t>103355</t>
  </si>
  <si>
    <t>103356</t>
  </si>
  <si>
    <t>103357</t>
  </si>
  <si>
    <t>103358</t>
  </si>
  <si>
    <t>103359</t>
  </si>
  <si>
    <t>103360</t>
  </si>
  <si>
    <t>103361</t>
  </si>
  <si>
    <t>103363</t>
  </si>
  <si>
    <t>103364</t>
  </si>
  <si>
    <t>103365</t>
  </si>
  <si>
    <t>103366</t>
  </si>
  <si>
    <t>103367</t>
  </si>
  <si>
    <t>103368</t>
  </si>
  <si>
    <t>103369</t>
  </si>
  <si>
    <t>103493</t>
  </si>
  <si>
    <t>103496</t>
  </si>
  <si>
    <t>103497</t>
  </si>
  <si>
    <t>103646</t>
  </si>
  <si>
    <t>103647</t>
  </si>
  <si>
    <t>103648</t>
  </si>
  <si>
    <t>103649</t>
  </si>
  <si>
    <t>103650</t>
  </si>
  <si>
    <t>103651</t>
  </si>
  <si>
    <t>103653</t>
  </si>
  <si>
    <t>103654</t>
  </si>
  <si>
    <t>103655</t>
  </si>
  <si>
    <t>103656</t>
  </si>
  <si>
    <t>103657</t>
  </si>
  <si>
    <t>103658</t>
  </si>
  <si>
    <t>103660</t>
  </si>
  <si>
    <t>103661</t>
  </si>
  <si>
    <t>103662</t>
  </si>
  <si>
    <t>103666</t>
  </si>
  <si>
    <t>103671</t>
  </si>
  <si>
    <t>103673</t>
  </si>
  <si>
    <t>103675</t>
  </si>
  <si>
    <t>103676</t>
  </si>
  <si>
    <t>103677</t>
  </si>
  <si>
    <t>103678</t>
  </si>
  <si>
    <t>103679</t>
  </si>
  <si>
    <t>103680</t>
  </si>
  <si>
    <t>103681</t>
  </si>
  <si>
    <t>103682</t>
  </si>
  <si>
    <t>103683</t>
  </si>
  <si>
    <t>103684</t>
  </si>
  <si>
    <t>103685</t>
  </si>
  <si>
    <t>103686</t>
  </si>
  <si>
    <t>103687</t>
  </si>
  <si>
    <t>103688</t>
  </si>
  <si>
    <t>103689</t>
  </si>
  <si>
    <t>103690</t>
  </si>
  <si>
    <t>103691</t>
  </si>
  <si>
    <t>103692</t>
  </si>
  <si>
    <t>103693</t>
  </si>
  <si>
    <t>103694</t>
  </si>
  <si>
    <t>103695</t>
  </si>
  <si>
    <t>103700</t>
  </si>
  <si>
    <t>103701</t>
  </si>
  <si>
    <t>103732</t>
  </si>
  <si>
    <t>103734</t>
  </si>
  <si>
    <t>103735</t>
  </si>
  <si>
    <t>103740</t>
  </si>
  <si>
    <t>103741</t>
  </si>
  <si>
    <t>103742</t>
  </si>
  <si>
    <t>103743</t>
  </si>
  <si>
    <t>103754</t>
  </si>
  <si>
    <t>103756</t>
  </si>
  <si>
    <t>103757</t>
  </si>
  <si>
    <t>103758</t>
  </si>
  <si>
    <t>103759</t>
  </si>
  <si>
    <t>103760</t>
  </si>
  <si>
    <t>103761</t>
  </si>
  <si>
    <t>103762</t>
  </si>
  <si>
    <t>103763</t>
  </si>
  <si>
    <t>103764</t>
  </si>
  <si>
    <t>103765</t>
  </si>
  <si>
    <t>103766</t>
  </si>
  <si>
    <t>103767</t>
  </si>
  <si>
    <t>103768</t>
  </si>
  <si>
    <t>103769</t>
  </si>
  <si>
    <t>103770</t>
  </si>
  <si>
    <t>103771</t>
  </si>
  <si>
    <t>103772</t>
  </si>
  <si>
    <t>103773</t>
  </si>
  <si>
    <t>103774</t>
  </si>
  <si>
    <t>103775</t>
  </si>
  <si>
    <t>103776</t>
  </si>
  <si>
    <t>103777</t>
  </si>
  <si>
    <t>103778</t>
  </si>
  <si>
    <t>103779</t>
  </si>
  <si>
    <t>103780</t>
  </si>
  <si>
    <t>103781</t>
  </si>
  <si>
    <t>103782</t>
  </si>
  <si>
    <t>103783</t>
  </si>
  <si>
    <t>103784</t>
  </si>
  <si>
    <t>103785</t>
  </si>
  <si>
    <t>103786</t>
  </si>
  <si>
    <t>103787</t>
  </si>
  <si>
    <t>103788</t>
  </si>
  <si>
    <t>103789</t>
  </si>
  <si>
    <t>103790</t>
  </si>
  <si>
    <t>103791</t>
  </si>
  <si>
    <t>103792</t>
  </si>
  <si>
    <t>103793</t>
  </si>
  <si>
    <t>103794</t>
  </si>
  <si>
    <t>103795</t>
  </si>
  <si>
    <t>103796</t>
  </si>
  <si>
    <t>103797</t>
  </si>
  <si>
    <t>103798</t>
  </si>
  <si>
    <t>103799</t>
  </si>
  <si>
    <t>103808</t>
  </si>
  <si>
    <t>103809</t>
  </si>
  <si>
    <t>103810</t>
  </si>
  <si>
    <t>103811</t>
  </si>
  <si>
    <t>103812</t>
  </si>
  <si>
    <t>103813</t>
  </si>
  <si>
    <t>103814</t>
  </si>
  <si>
    <t>103815</t>
  </si>
  <si>
    <t>103816</t>
  </si>
  <si>
    <t>103817</t>
  </si>
  <si>
    <t>103834</t>
  </si>
  <si>
    <t>103835</t>
  </si>
  <si>
    <t>103845</t>
  </si>
  <si>
    <t>103856</t>
  </si>
  <si>
    <t>103858</t>
  </si>
  <si>
    <t>103859</t>
  </si>
  <si>
    <t>103860</t>
  </si>
  <si>
    <t>103862</t>
  </si>
  <si>
    <t>103874</t>
  </si>
  <si>
    <t>103876</t>
  </si>
  <si>
    <t>103877</t>
  </si>
  <si>
    <t>103878</t>
  </si>
  <si>
    <t>103879</t>
  </si>
  <si>
    <t>103880</t>
  </si>
  <si>
    <t>103881</t>
  </si>
  <si>
    <t>103882</t>
  </si>
  <si>
    <t>103887</t>
  </si>
  <si>
    <t>103888</t>
  </si>
  <si>
    <t>103891</t>
  </si>
  <si>
    <t>103892</t>
  </si>
  <si>
    <t>103893</t>
  </si>
  <si>
    <t>103894</t>
  </si>
  <si>
    <t>103895</t>
  </si>
  <si>
    <t>103896</t>
  </si>
  <si>
    <t>103900</t>
  </si>
  <si>
    <t>103901</t>
  </si>
  <si>
    <t>103902</t>
  </si>
  <si>
    <t>103903</t>
  </si>
  <si>
    <t>103904</t>
  </si>
  <si>
    <t>103905</t>
  </si>
  <si>
    <t>103906</t>
  </si>
  <si>
    <t>103907</t>
  </si>
  <si>
    <t>103909</t>
  </si>
  <si>
    <t>103910</t>
  </si>
  <si>
    <t>103911</t>
  </si>
  <si>
    <t>103912</t>
  </si>
  <si>
    <t>103913</t>
  </si>
  <si>
    <t>103914</t>
  </si>
  <si>
    <t>103915</t>
  </si>
  <si>
    <t>103916</t>
  </si>
  <si>
    <t>103917</t>
  </si>
  <si>
    <t>103918</t>
  </si>
  <si>
    <t>103919</t>
  </si>
  <si>
    <t>103920</t>
  </si>
  <si>
    <t>103921</t>
  </si>
  <si>
    <t>103922</t>
  </si>
  <si>
    <t>103923</t>
  </si>
  <si>
    <t>103925</t>
  </si>
  <si>
    <t>103927</t>
  </si>
  <si>
    <t>103928</t>
  </si>
  <si>
    <t>103929</t>
  </si>
  <si>
    <t>103930</t>
  </si>
  <si>
    <t>103931</t>
  </si>
  <si>
    <t>103932</t>
  </si>
  <si>
    <t>103933</t>
  </si>
  <si>
    <t>103934</t>
  </si>
  <si>
    <t>103935</t>
  </si>
  <si>
    <t>103936</t>
  </si>
  <si>
    <t>103937</t>
  </si>
  <si>
    <t>103938</t>
  </si>
  <si>
    <t>103959</t>
  </si>
  <si>
    <t>103962</t>
  </si>
  <si>
    <t>103963</t>
  </si>
  <si>
    <t>104015</t>
  </si>
  <si>
    <t>104018</t>
  </si>
  <si>
    <t>104019</t>
  </si>
  <si>
    <t>104020</t>
  </si>
  <si>
    <t>104021</t>
  </si>
  <si>
    <t>104023</t>
  </si>
  <si>
    <t>104024</t>
  </si>
  <si>
    <t>104025</t>
  </si>
  <si>
    <t>104026</t>
  </si>
  <si>
    <t>104027</t>
  </si>
  <si>
    <t>104029</t>
  </si>
  <si>
    <t>104030</t>
  </si>
  <si>
    <t>104031</t>
  </si>
  <si>
    <t>104032</t>
  </si>
  <si>
    <t>104033</t>
  </si>
  <si>
    <t>104034</t>
  </si>
  <si>
    <t>104035</t>
  </si>
  <si>
    <t>104036</t>
  </si>
  <si>
    <t>104037</t>
  </si>
  <si>
    <t>104038</t>
  </si>
  <si>
    <t>104039</t>
  </si>
  <si>
    <t>104041</t>
  </si>
  <si>
    <t>104042</t>
  </si>
  <si>
    <t>104043</t>
  </si>
  <si>
    <t>104044</t>
  </si>
  <si>
    <t>104045</t>
  </si>
  <si>
    <t>104046</t>
  </si>
  <si>
    <t>104047</t>
  </si>
  <si>
    <t>104048</t>
  </si>
  <si>
    <t>104049</t>
  </si>
  <si>
    <t>104050</t>
  </si>
  <si>
    <t>104051</t>
  </si>
  <si>
    <t>104052</t>
  </si>
  <si>
    <t>104053</t>
  </si>
  <si>
    <t>104054</t>
  </si>
  <si>
    <t>104055</t>
  </si>
  <si>
    <t>104056</t>
  </si>
  <si>
    <t>104057</t>
  </si>
  <si>
    <t>104058</t>
  </si>
  <si>
    <t>104059</t>
  </si>
  <si>
    <t>104060</t>
  </si>
  <si>
    <t>104061</t>
  </si>
  <si>
    <t>104080</t>
  </si>
  <si>
    <t>104081</t>
  </si>
  <si>
    <t>104109</t>
  </si>
  <si>
    <t>104110</t>
  </si>
  <si>
    <t>104111</t>
  </si>
  <si>
    <t>1823930</t>
  </si>
  <si>
    <t>102573</t>
  </si>
  <si>
    <t>102574</t>
  </si>
  <si>
    <t>102575</t>
  </si>
  <si>
    <t>102576</t>
  </si>
  <si>
    <t>102577</t>
  </si>
  <si>
    <t>102578</t>
  </si>
  <si>
    <t>102579</t>
  </si>
  <si>
    <t>102580</t>
  </si>
  <si>
    <t>102581</t>
  </si>
  <si>
    <t>102582</t>
  </si>
  <si>
    <t>102758</t>
  </si>
  <si>
    <t>102809</t>
  </si>
  <si>
    <t>102810</t>
  </si>
  <si>
    <t>102811</t>
  </si>
  <si>
    <t>102812</t>
  </si>
  <si>
    <t>102813</t>
  </si>
  <si>
    <t>102814</t>
  </si>
  <si>
    <t>102815</t>
  </si>
  <si>
    <t>102816</t>
  </si>
  <si>
    <t>102817</t>
  </si>
  <si>
    <t>102818</t>
  </si>
  <si>
    <t>102896</t>
  </si>
  <si>
    <t>102897</t>
  </si>
  <si>
    <t>102898</t>
  </si>
  <si>
    <t>102899</t>
  </si>
  <si>
    <t>102900</t>
  </si>
  <si>
    <t>102901</t>
  </si>
  <si>
    <t>102902</t>
  </si>
  <si>
    <t>102903</t>
  </si>
  <si>
    <t>102904</t>
  </si>
  <si>
    <t>102905</t>
  </si>
  <si>
    <t>102957</t>
  </si>
  <si>
    <t>102958</t>
  </si>
  <si>
    <t>102959</t>
  </si>
  <si>
    <t>102966</t>
  </si>
  <si>
    <t>102967</t>
  </si>
  <si>
    <t>102968</t>
  </si>
  <si>
    <t>102969</t>
  </si>
  <si>
    <t>102970</t>
  </si>
  <si>
    <t>102971</t>
  </si>
  <si>
    <t>102972</t>
  </si>
  <si>
    <t>102973</t>
  </si>
  <si>
    <t>102974</t>
  </si>
  <si>
    <t>102975</t>
  </si>
  <si>
    <t>103061</t>
  </si>
  <si>
    <t>103062</t>
  </si>
  <si>
    <t>103063</t>
  </si>
  <si>
    <t>103064</t>
  </si>
  <si>
    <t>103065</t>
  </si>
  <si>
    <t>103066</t>
  </si>
  <si>
    <t>103067</t>
  </si>
  <si>
    <t>103068</t>
  </si>
  <si>
    <t>103069</t>
  </si>
  <si>
    <t>103070</t>
  </si>
  <si>
    <t>103171</t>
  </si>
  <si>
    <t>103172</t>
  </si>
  <si>
    <t>103173</t>
  </si>
  <si>
    <t>103174</t>
  </si>
  <si>
    <t>103176</t>
  </si>
  <si>
    <t>103177</t>
  </si>
  <si>
    <t>103178</t>
  </si>
  <si>
    <t>103179</t>
  </si>
  <si>
    <t>103180</t>
  </si>
  <si>
    <t>103312</t>
  </si>
  <si>
    <t>103313</t>
  </si>
  <si>
    <t>103314</t>
  </si>
  <si>
    <t>103315</t>
  </si>
  <si>
    <t>103317</t>
  </si>
  <si>
    <t>103318</t>
  </si>
  <si>
    <t>103319</t>
  </si>
  <si>
    <t>103320</t>
  </si>
  <si>
    <t>103321</t>
  </si>
  <si>
    <t>103322</t>
  </si>
  <si>
    <t>103323</t>
  </si>
  <si>
    <t>103398</t>
  </si>
  <si>
    <t>103634</t>
  </si>
  <si>
    <t>103635</t>
  </si>
  <si>
    <t>103636</t>
  </si>
  <si>
    <t>103638</t>
  </si>
  <si>
    <t>103640</t>
  </si>
  <si>
    <t>103641</t>
  </si>
  <si>
    <t>103642</t>
  </si>
  <si>
    <t>103643</t>
  </si>
  <si>
    <t>103644</t>
  </si>
  <si>
    <t>103672</t>
  </si>
  <si>
    <t>103746</t>
  </si>
  <si>
    <t>103747</t>
  </si>
  <si>
    <t>103748</t>
  </si>
  <si>
    <t>103749</t>
  </si>
  <si>
    <t>103750</t>
  </si>
  <si>
    <t>103751</t>
  </si>
  <si>
    <t>103752</t>
  </si>
  <si>
    <t>103753</t>
  </si>
  <si>
    <t>103755</t>
  </si>
  <si>
    <t>103866</t>
  </si>
  <si>
    <t>103867</t>
  </si>
  <si>
    <t>103868</t>
  </si>
  <si>
    <t>103869</t>
  </si>
  <si>
    <t>103870</t>
  </si>
  <si>
    <t>103871</t>
  </si>
  <si>
    <t>103872</t>
  </si>
  <si>
    <t>103873</t>
  </si>
  <si>
    <t>103875</t>
  </si>
  <si>
    <t>104014</t>
  </si>
  <si>
    <t>104016</t>
  </si>
  <si>
    <t>104017</t>
  </si>
  <si>
    <t>104022</t>
  </si>
  <si>
    <t>1823940</t>
  </si>
  <si>
    <t>102146</t>
  </si>
  <si>
    <t>102188</t>
  </si>
  <si>
    <t>102766</t>
  </si>
  <si>
    <t>103140</t>
  </si>
  <si>
    <t>103141</t>
  </si>
  <si>
    <t>103142</t>
  </si>
  <si>
    <t>1823990</t>
  </si>
  <si>
    <t>138014</t>
  </si>
  <si>
    <t>138015</t>
  </si>
  <si>
    <t>138020</t>
  </si>
  <si>
    <t>138045</t>
  </si>
  <si>
    <t>138050</t>
  </si>
  <si>
    <t>138055</t>
  </si>
  <si>
    <t>138060</t>
  </si>
  <si>
    <t>138090</t>
  </si>
  <si>
    <t>138190</t>
  </si>
  <si>
    <t>185879</t>
  </si>
  <si>
    <t>186100</t>
  </si>
  <si>
    <t>186117</t>
  </si>
  <si>
    <t>RegA - DSM - CA - Reclass to Current</t>
  </si>
  <si>
    <t>186119</t>
  </si>
  <si>
    <t>186127</t>
  </si>
  <si>
    <t>186129</t>
  </si>
  <si>
    <t>186137</t>
  </si>
  <si>
    <t>186147</t>
  </si>
  <si>
    <t>186159</t>
  </si>
  <si>
    <t>186502</t>
  </si>
  <si>
    <t>186793</t>
  </si>
  <si>
    <t>187042</t>
  </si>
  <si>
    <t>187048</t>
  </si>
  <si>
    <t>187049</t>
  </si>
  <si>
    <t>187191</t>
  </si>
  <si>
    <t>187230</t>
  </si>
  <si>
    <t>187231</t>
  </si>
  <si>
    <t>Reg Asset - Oregon Metro BIT</t>
  </si>
  <si>
    <t>187255</t>
  </si>
  <si>
    <t>187300</t>
  </si>
  <si>
    <t>187301</t>
  </si>
  <si>
    <t>187304</t>
  </si>
  <si>
    <t>187305</t>
  </si>
  <si>
    <t>187311</t>
  </si>
  <si>
    <t>187312</t>
  </si>
  <si>
    <t>187320</t>
  </si>
  <si>
    <t>187321</t>
  </si>
  <si>
    <t>187322</t>
  </si>
  <si>
    <t>187332</t>
  </si>
  <si>
    <t>187337</t>
  </si>
  <si>
    <t>187338</t>
  </si>
  <si>
    <t>187345</t>
  </si>
  <si>
    <t>187346</t>
  </si>
  <si>
    <t>187347</t>
  </si>
  <si>
    <t>187350</t>
  </si>
  <si>
    <t>187351</t>
  </si>
  <si>
    <t>187354</t>
  </si>
  <si>
    <t>187357</t>
  </si>
  <si>
    <t>187361</t>
  </si>
  <si>
    <t>Reg A-OR-COVID-19 Bill Assistance Prog</t>
  </si>
  <si>
    <t>187362</t>
  </si>
  <si>
    <t>Reg A-WA-COVID-19 Bill Assistance Prog</t>
  </si>
  <si>
    <t>187369</t>
  </si>
  <si>
    <t>RegA -WA Equity Advisory Group (CETA)</t>
  </si>
  <si>
    <t>187380</t>
  </si>
  <si>
    <t>187382</t>
  </si>
  <si>
    <t>187383</t>
  </si>
  <si>
    <t>187384</t>
  </si>
  <si>
    <t>187386</t>
  </si>
  <si>
    <t>187387</t>
  </si>
  <si>
    <t>187390</t>
  </si>
  <si>
    <t>187392</t>
  </si>
  <si>
    <t>Reg Asset-OR Solar Feed-In Tariff 2022</t>
  </si>
  <si>
    <t>187394</t>
  </si>
  <si>
    <t>187415</t>
  </si>
  <si>
    <t>187420</t>
  </si>
  <si>
    <t>187488</t>
  </si>
  <si>
    <t>RegA-WA Decoupling Mech - Recl to Curr</t>
  </si>
  <si>
    <t>187489</t>
  </si>
  <si>
    <t>187495</t>
  </si>
  <si>
    <t>187648</t>
  </si>
  <si>
    <t>187658</t>
  </si>
  <si>
    <t>RegA-WA Insurance Reserves-Recl to Liab</t>
  </si>
  <si>
    <t>187660</t>
  </si>
  <si>
    <t>187662</t>
  </si>
  <si>
    <t>187664</t>
  </si>
  <si>
    <t>187667</t>
  </si>
  <si>
    <t>RegA-OR Outreach and Research Pilot</t>
  </si>
  <si>
    <t>187830</t>
  </si>
  <si>
    <t>Reg Asset - UT RBA CY2021</t>
  </si>
  <si>
    <t>187859</t>
  </si>
  <si>
    <t>187869</t>
  </si>
  <si>
    <t>187879</t>
  </si>
  <si>
    <t>187880</t>
  </si>
  <si>
    <t>187882</t>
  </si>
  <si>
    <t>187884</t>
  </si>
  <si>
    <t>187885</t>
  </si>
  <si>
    <t>Reg Asset - WY RRA CY2021</t>
  </si>
  <si>
    <t>187886</t>
  </si>
  <si>
    <t>187888</t>
  </si>
  <si>
    <t>187895</t>
  </si>
  <si>
    <t>187897</t>
  </si>
  <si>
    <t>187899</t>
  </si>
  <si>
    <t>187911</t>
  </si>
  <si>
    <t>187913</t>
  </si>
  <si>
    <t>187914</t>
  </si>
  <si>
    <t>187915</t>
  </si>
  <si>
    <t>187916</t>
  </si>
  <si>
    <t>187952</t>
  </si>
  <si>
    <t>187956</t>
  </si>
  <si>
    <t>187957</t>
  </si>
  <si>
    <t>187958</t>
  </si>
  <si>
    <t>187964</t>
  </si>
  <si>
    <t>187966</t>
  </si>
  <si>
    <t>187967</t>
  </si>
  <si>
    <t>187968</t>
  </si>
  <si>
    <t>187975</t>
  </si>
  <si>
    <t>187979</t>
  </si>
  <si>
    <t>187989</t>
  </si>
  <si>
    <t>Reg Asset - OR PCAM FY2021</t>
  </si>
  <si>
    <t>187990</t>
  </si>
  <si>
    <t>Contra Reg Asset - OR PCAM FY2021</t>
  </si>
  <si>
    <t>189001</t>
  </si>
  <si>
    <t>189002</t>
  </si>
  <si>
    <t>189003</t>
  </si>
  <si>
    <t>189004</t>
  </si>
  <si>
    <t>189011</t>
  </si>
  <si>
    <t>189028</t>
  </si>
  <si>
    <t>RegA-Wildland Fire Mitigat-Recl to Liab</t>
  </si>
  <si>
    <t>189500</t>
  </si>
  <si>
    <t>189501</t>
  </si>
  <si>
    <t>189502</t>
  </si>
  <si>
    <t>189503</t>
  </si>
  <si>
    <t>189504</t>
  </si>
  <si>
    <t>189505</t>
  </si>
  <si>
    <t>189506</t>
  </si>
  <si>
    <t>189507</t>
  </si>
  <si>
    <t>189528</t>
  </si>
  <si>
    <t>189529</t>
  </si>
  <si>
    <t>189535</t>
  </si>
  <si>
    <t>189536</t>
  </si>
  <si>
    <t>189537</t>
  </si>
  <si>
    <t>189546</t>
  </si>
  <si>
    <t>189547</t>
  </si>
  <si>
    <t>189568</t>
  </si>
  <si>
    <t>189571</t>
  </si>
  <si>
    <t>189572</t>
  </si>
  <si>
    <t>Reg Asset-OR TAM CY 2022</t>
  </si>
  <si>
    <t>189581</t>
  </si>
  <si>
    <t>189582</t>
  </si>
  <si>
    <t>Contra Reg Asset - OR TAM CY 2022</t>
  </si>
  <si>
    <t>189598</t>
  </si>
  <si>
    <t>189609</t>
  </si>
  <si>
    <t>189610</t>
  </si>
  <si>
    <t>189611</t>
  </si>
  <si>
    <t>189612</t>
  </si>
  <si>
    <t>189620</t>
  </si>
  <si>
    <t>189621</t>
  </si>
  <si>
    <t>189622</t>
  </si>
  <si>
    <t>189638</t>
  </si>
  <si>
    <t>189642</t>
  </si>
  <si>
    <t>Reg Asset-WA-Major Mtc Exp-Colstrip U4</t>
  </si>
  <si>
    <t>189648</t>
  </si>
  <si>
    <t>RegA - WA Def Exc NPC - Recl to Curr</t>
  </si>
  <si>
    <t>189649</t>
  </si>
  <si>
    <t>189650</t>
  </si>
  <si>
    <t>189651</t>
  </si>
  <si>
    <t>189652</t>
  </si>
  <si>
    <t>189660</t>
  </si>
  <si>
    <t>189661</t>
  </si>
  <si>
    <t>189662</t>
  </si>
  <si>
    <t>189688</t>
  </si>
  <si>
    <t>189689</t>
  </si>
  <si>
    <t>1823999</t>
  </si>
  <si>
    <t>186011</t>
  </si>
  <si>
    <t>186015</t>
  </si>
  <si>
    <t>186021</t>
  </si>
  <si>
    <t>186025</t>
  </si>
  <si>
    <t>186035</t>
  </si>
  <si>
    <t>186041</t>
  </si>
  <si>
    <t>186045</t>
  </si>
  <si>
    <t>186051</t>
  </si>
  <si>
    <t>186055</t>
  </si>
  <si>
    <t>186061</t>
  </si>
  <si>
    <t>186065</t>
  </si>
  <si>
    <t>186071</t>
  </si>
  <si>
    <t>186075</t>
  </si>
  <si>
    <t>186081</t>
  </si>
  <si>
    <t>186085</t>
  </si>
  <si>
    <t>1861000</t>
  </si>
  <si>
    <t>185016</t>
  </si>
  <si>
    <t>185017</t>
  </si>
  <si>
    <t>1861200</t>
  </si>
  <si>
    <t>185025</t>
  </si>
  <si>
    <t>185026</t>
  </si>
  <si>
    <t>185027</t>
  </si>
  <si>
    <t>185029</t>
  </si>
  <si>
    <t>185030</t>
  </si>
  <si>
    <t>1865000</t>
  </si>
  <si>
    <t>184414</t>
  </si>
  <si>
    <t>1867000</t>
  </si>
  <si>
    <t>134300</t>
  </si>
  <si>
    <t>1868000</t>
  </si>
  <si>
    <t>134304</t>
  </si>
  <si>
    <t>Def Chrg - Cloud Based Software Impl</t>
  </si>
  <si>
    <t>134305</t>
  </si>
  <si>
    <t>134359</t>
  </si>
  <si>
    <t>Lake Side 2 Maint. Prepayment - Current</t>
  </si>
  <si>
    <t>134360</t>
  </si>
  <si>
    <t>LAKE SIDE MAINT. PREPAYMENT - CURRENT</t>
  </si>
  <si>
    <t>134361</t>
  </si>
  <si>
    <t>PREPAID OUTAGE MAINTENANCE</t>
  </si>
  <si>
    <t>134362</t>
  </si>
  <si>
    <t>Currant Creek Maint Prepayment - Current</t>
  </si>
  <si>
    <t>184413</t>
  </si>
  <si>
    <t>HAYDEN FUEL CONTRACT NEGOTIATION COSTS</t>
  </si>
  <si>
    <t>185010</t>
  </si>
  <si>
    <t>MILL FORK COAL LEASE</t>
  </si>
  <si>
    <t>185303</t>
  </si>
  <si>
    <t>HPT OPTION</t>
  </si>
  <si>
    <t>185313</t>
  </si>
  <si>
    <t>185314</t>
  </si>
  <si>
    <t>CLARK FIRM TRANSMISSION</t>
  </si>
  <si>
    <t>185315</t>
  </si>
  <si>
    <t>BIOMASS ONE POST COD PREPAYMENT</t>
  </si>
  <si>
    <t>185318</t>
  </si>
  <si>
    <t>BOGUS CREEK SETTLEMENT</t>
  </si>
  <si>
    <t>185335</t>
  </si>
  <si>
    <t>185336</t>
  </si>
  <si>
    <t>185337</t>
  </si>
  <si>
    <t>185340</t>
  </si>
  <si>
    <t>TRANSITION COSTS - WASHINGTON STATE</t>
  </si>
  <si>
    <t>185342</t>
  </si>
  <si>
    <t>JIM BOYD HYDRO BUYOUT</t>
  </si>
  <si>
    <t>185346</t>
  </si>
  <si>
    <t>RTO Grid West N/R w/o - WA</t>
  </si>
  <si>
    <t>185349</t>
  </si>
  <si>
    <t>LGIA LT Transmission Prepaid</t>
  </si>
  <si>
    <t>185359</t>
  </si>
  <si>
    <t>185360</t>
  </si>
  <si>
    <t>185361</t>
  </si>
  <si>
    <t>185362</t>
  </si>
  <si>
    <t>185371</t>
  </si>
  <si>
    <t>185372</t>
  </si>
  <si>
    <t>185551</t>
  </si>
  <si>
    <t>185552</t>
  </si>
  <si>
    <t>LT Prepaid-FSA Capital - Ekola Flats</t>
  </si>
  <si>
    <t>185554</t>
  </si>
  <si>
    <t>LT Prepaid-FSA Capital - Foote Creek</t>
  </si>
  <si>
    <t>185557</t>
  </si>
  <si>
    <t>185558</t>
  </si>
  <si>
    <t>185561</t>
  </si>
  <si>
    <t>185564</t>
  </si>
  <si>
    <t>185567</t>
  </si>
  <si>
    <t>185570</t>
  </si>
  <si>
    <t>185571</t>
  </si>
  <si>
    <t>185574</t>
  </si>
  <si>
    <t>185576</t>
  </si>
  <si>
    <t>LT Prepaid-FSA Capital - Pryor Mtn</t>
  </si>
  <si>
    <t>185577</t>
  </si>
  <si>
    <t>185580</t>
  </si>
  <si>
    <t>185581</t>
  </si>
  <si>
    <t>1869000</t>
  </si>
  <si>
    <t>185334</t>
  </si>
  <si>
    <t>Utah Extra Book Depreciation</t>
  </si>
  <si>
    <t>WASHINGTON EXTRA BOOK DEPR</t>
  </si>
  <si>
    <t>CAGE</t>
  </si>
  <si>
    <t>JBG</t>
  </si>
  <si>
    <t>CAGW</t>
  </si>
  <si>
    <t>SG-W</t>
  </si>
  <si>
    <t>CAEE</t>
  </si>
  <si>
    <t>AFPR - AUTOMATED FACILITY POINT RECORDS</t>
  </si>
  <si>
    <t>CADOPS - COMPUTER-ASSISTED DISTRIBUTION</t>
  </si>
  <si>
    <t>NODAL PRICING SOFTWARE</t>
  </si>
  <si>
    <t>ESM-IRP</t>
  </si>
  <si>
    <t>CELONIS</t>
  </si>
  <si>
    <t>ARCOS</t>
  </si>
  <si>
    <t>AZURE B2C - IDENTITY MGT</t>
  </si>
  <si>
    <t>IAM - SCHEDULING/TAGGING SYSTEM</t>
  </si>
  <si>
    <t>ITOA</t>
  </si>
  <si>
    <t>3032210</t>
  </si>
  <si>
    <t>TSSA - TrueSight Server Automation</t>
  </si>
  <si>
    <t>COGNOS - EDW REPORTING TOOL</t>
  </si>
  <si>
    <t>GAS PLANT INTANGIBLES</t>
  </si>
  <si>
    <t>CYME GATEWAY</t>
  </si>
  <si>
    <t>3033420</t>
  </si>
  <si>
    <t>SUBSTATION RELIABILITY SOFTWARE</t>
  </si>
  <si>
    <t>3033430</t>
  </si>
  <si>
    <t>DEPLOY DISTRIBUTION MGMT SYSTEM</t>
  </si>
  <si>
    <t>3033440</t>
  </si>
  <si>
    <t>DISTRIBUTION ENGINEERING COSTS</t>
  </si>
  <si>
    <t>30% Capitalized labor costs for PowerTax</t>
  </si>
  <si>
    <t>Tax Percentage Depletion - Deer Creek</t>
  </si>
  <si>
    <t>Other A/R Bad Debt Write-offs</t>
  </si>
  <si>
    <t>JBE</t>
  </si>
  <si>
    <t>MEHC Insurance Services-Premium</t>
  </si>
  <si>
    <t>Mining Rescue Training Credit Addback</t>
  </si>
  <si>
    <t>Non - Deductible Executive Comp</t>
  </si>
  <si>
    <t>Contra Medicare Subsidy</t>
  </si>
  <si>
    <t>Sec. 481a Adj - Repair Deduction</t>
  </si>
  <si>
    <t>Auto Depreciation</t>
  </si>
  <si>
    <t>Acquisition Adjustment Amort</t>
  </si>
  <si>
    <t>Sec 1031 Like Kind Exchange</t>
  </si>
  <si>
    <t>Coal Mine Development</t>
  </si>
  <si>
    <t>Coal Mine Receding Face (Extension)</t>
  </si>
  <si>
    <t>Steam Rts Blundell Geothml Bk Depr</t>
  </si>
  <si>
    <t>Coal Mine Development-30%Amort</t>
  </si>
  <si>
    <t>Book Cost Depletion</t>
  </si>
  <si>
    <t>SRC Book Depletion step up basis adj</t>
  </si>
  <si>
    <t>SRC Book Cost Depletion</t>
  </si>
  <si>
    <t>Willow Wind Account Receivable</t>
  </si>
  <si>
    <t>ERC (Emission Reduction Credit) Impairme</t>
  </si>
  <si>
    <t>PMI Sec 263A Adjustment</t>
  </si>
  <si>
    <t>Self Insured Health Benefit</t>
  </si>
  <si>
    <t>Transition Team Costs-UT</t>
  </si>
  <si>
    <t>Misc - Reg Assets/Reg Liab-Total</t>
  </si>
  <si>
    <t>May 2000 Transition Plan Costs-OR</t>
  </si>
  <si>
    <t>Research &amp; Exper. Sec. 174 Amort.</t>
  </si>
  <si>
    <t>Glenrock Excluding Reclamation-UT rate o</t>
  </si>
  <si>
    <t>FAS 87/88 Writeoff-UT rate order</t>
  </si>
  <si>
    <t>Amort. Pollution Control Facility</t>
  </si>
  <si>
    <t>Def Reg Asset-Foote Creek Contract</t>
  </si>
  <si>
    <t>415251</t>
  </si>
  <si>
    <t>Reg Asset - Low Carbon Energy Standards</t>
  </si>
  <si>
    <t>415262</t>
  </si>
  <si>
    <t>Reg Asset -Wildfire Mitigation Account -</t>
  </si>
  <si>
    <t>415270</t>
  </si>
  <si>
    <t>Reg Asset - Electric Vehicle Charging In</t>
  </si>
  <si>
    <t>Environmental Cleanup Accrual</t>
  </si>
  <si>
    <t>Reg Asset Utah ECAM</t>
  </si>
  <si>
    <t>Contra PP&amp;E Deer Creek</t>
  </si>
  <si>
    <t>WY PCAM Def Net Power Costs</t>
  </si>
  <si>
    <t>IDAI Costs-Direct Access-CA</t>
  </si>
  <si>
    <t>SB 1149-Related Reg Assets-OR</t>
  </si>
  <si>
    <t>OR Deferred Intevenor Funding Grants</t>
  </si>
  <si>
    <t>Reg Liability BPA balancing accounts-OR</t>
  </si>
  <si>
    <t>415723</t>
  </si>
  <si>
    <t>Reg Asset - Cholla U4 - O&amp;M Depreciation</t>
  </si>
  <si>
    <t>Contra RTO Grid West N/R Allowance</t>
  </si>
  <si>
    <t>Contra RTO Grid West N/R w/o-WA</t>
  </si>
  <si>
    <t>WA RTO Grid West N/R w/o</t>
  </si>
  <si>
    <t>RTO Grid West Notes Receivable-OR</t>
  </si>
  <si>
    <t>RTO Grid West Notes Receivable-WY</t>
  </si>
  <si>
    <t>ID RTO Grid West N/R</t>
  </si>
  <si>
    <t>Regulatory Asset - Post -Ret MMT -WY</t>
  </si>
  <si>
    <t>UNRECOVERED PLANT-POWERDALE</t>
  </si>
  <si>
    <t>Powerdale Decommissioning Reg Asset - OR</t>
  </si>
  <si>
    <t>Powerdale Decommissioning Reg Asset - WA</t>
  </si>
  <si>
    <t>Powerdale Decommissioning Reg Asset - WY</t>
  </si>
  <si>
    <t>WY - Deferred Advertising Costs</t>
  </si>
  <si>
    <t>Reg Asset - UT MPA</t>
  </si>
  <si>
    <t>Reg Asset - CA Solar Feed-in Tariff</t>
  </si>
  <si>
    <t>Deferred Excess Net Power Costs-CA</t>
  </si>
  <si>
    <t>Deferred Excess Net Power Costs-WY</t>
  </si>
  <si>
    <t>ID MEHC 2006 Transistion Costs</t>
  </si>
  <si>
    <t>WY - 2006 Transition Severance Costs</t>
  </si>
  <si>
    <t>OR - MEHC Transition Service Costs</t>
  </si>
  <si>
    <t>OR RCAC Sept-Dec 07 deferred</t>
  </si>
  <si>
    <t>WA - Chehalis Plant Revenue Requirement</t>
  </si>
  <si>
    <t>Reg Asset MEHC Transition Service Costs</t>
  </si>
  <si>
    <t>OR SB 408 Recovery</t>
  </si>
  <si>
    <t>Reg Asset - UT REC's in Rates - Current</t>
  </si>
  <si>
    <t>Contra Reg Asset - Naughton Unit $3 - CA</t>
  </si>
  <si>
    <t>Contra Reg Asset - Naughton Unit #3 - OR</t>
  </si>
  <si>
    <t>Contra Reg Asset - Naughton Unit #3 - WA</t>
  </si>
  <si>
    <t>Reg Asset - UT - Naughton U3 Costs</t>
  </si>
  <si>
    <t>Reg Asset - WY - Naughton U3 Costs</t>
  </si>
  <si>
    <t>Deferred Regulatory Expense</t>
  </si>
  <si>
    <t>Deferred Coal Cost - Arch</t>
  </si>
  <si>
    <t>Misc Def Dr-Prop Damage Repairs</t>
  </si>
  <si>
    <t>Unearned Joint Use Pole Contact Revenu</t>
  </si>
  <si>
    <t>Lakeview Buyout-SG</t>
  </si>
  <si>
    <t>BPA Conservation Rate Credit</t>
  </si>
  <si>
    <t>425380</t>
  </si>
  <si>
    <t>Idaho Customer Balancing Account</t>
  </si>
  <si>
    <t>Reg Asset - SB 1149 Balance Reclass</t>
  </si>
  <si>
    <t>Reg Asset - Def NPC Balance Reclass</t>
  </si>
  <si>
    <t>Reg Asset - Current DSM</t>
  </si>
  <si>
    <t>Sales &amp; Use Tax Accrual</t>
  </si>
  <si>
    <t>Purchase Card Trans Provision</t>
  </si>
  <si>
    <t>CA PUC Fee</t>
  </si>
  <si>
    <t>West Valley Contract Termination Fee Acc</t>
  </si>
  <si>
    <t>Extraction Tax Paid / Accrued</t>
  </si>
  <si>
    <t>Federal Income Tax Interest</t>
  </si>
  <si>
    <t>PMIVacationBonus Adjustment</t>
  </si>
  <si>
    <t>610000</t>
  </si>
  <si>
    <t>Sec 174 94-98 7 99-00 RAR</t>
  </si>
  <si>
    <t>PMIDevt Cost Amort</t>
  </si>
  <si>
    <t>PMIBCC Gain/Loss on Assets Disposed</t>
  </si>
  <si>
    <t>PMI EITF Pre-Stripping Costs</t>
  </si>
  <si>
    <t>PMIOverburden Removal</t>
  </si>
  <si>
    <t>781 Shopping Incentive_OR</t>
  </si>
  <si>
    <t>SB1149 Costs_OR OTHER</t>
  </si>
  <si>
    <t>Oregon Rate Refund</t>
  </si>
  <si>
    <t>Reg Liability - Def NPC Balance Reclass</t>
  </si>
  <si>
    <t>Reg Liability - SB 1149 Balance Reclass</t>
  </si>
  <si>
    <t>Property Insurance</t>
  </si>
  <si>
    <t>West Valley Lease Reduction - WA</t>
  </si>
  <si>
    <t>West Valley Lease Reduction - OR</t>
  </si>
  <si>
    <t>West Valley Lease Reduction - CA</t>
  </si>
  <si>
    <t>West Valley Lease Reduction - ID</t>
  </si>
  <si>
    <t>West Valley Lease Reduction - WY</t>
  </si>
  <si>
    <t>West Valley Lease Reduction - UT</t>
  </si>
  <si>
    <t>A&amp;G Credit-WA</t>
  </si>
  <si>
    <t>A&amp;G Credit-OR</t>
  </si>
  <si>
    <t>A&amp;G Credit-CA</t>
  </si>
  <si>
    <t>A&amp;G Credit-ID</t>
  </si>
  <si>
    <t>A&amp;G Credit-WY</t>
  </si>
  <si>
    <t>March 2006 Transition Plan costs-WA</t>
  </si>
  <si>
    <t>Reg Liability - Sale of renewable Energy</t>
  </si>
  <si>
    <t>Reg Liability - Sale of REC's-ID</t>
  </si>
  <si>
    <t>Reg Liability - OR 2010 Protocol Def</t>
  </si>
  <si>
    <t>Reg Liability-CA Gain on Sale of Asset</t>
  </si>
  <si>
    <t>Regulatory Liability - Sale of Renewable</t>
  </si>
  <si>
    <t>Reg Liability - Powerdale Decommissionin</t>
  </si>
  <si>
    <t>Regulatory Liability - UT REC's in Rates</t>
  </si>
  <si>
    <t>Regulatory Liability - WA RECS in Rates</t>
  </si>
  <si>
    <t>Regulatory Liability - OR RECS in Rates</t>
  </si>
  <si>
    <t>Regulatory Liability - CA GreenHouse Gas</t>
  </si>
  <si>
    <t>RegLiability - OR 2012 GRC Giveback</t>
  </si>
  <si>
    <t>Reg Liability - Current Reclass - Other</t>
  </si>
  <si>
    <t>Microsoft Software License Liability</t>
  </si>
  <si>
    <t>Misc. Deferred Credits</t>
  </si>
  <si>
    <t>Suppl. Exec. Retirement Plan (SERP)</t>
  </si>
  <si>
    <t>Accrued CIC Severence</t>
  </si>
  <si>
    <t>SMUD Revenue Imputation-UT reg liab</t>
  </si>
  <si>
    <t>PMIBridger Section 471 Adj</t>
  </si>
  <si>
    <t>Tax Depletion - Deer Creek</t>
  </si>
  <si>
    <t>Trapper Mine Dividend Deduction</t>
  </si>
  <si>
    <t>MEHC Insurance Services-Receivable</t>
  </si>
  <si>
    <t>Tax Exempt Interest ( No AMT)</t>
  </si>
  <si>
    <t>Tax Exempt Interest - CA IOU</t>
  </si>
  <si>
    <t>SPI 404(K) Contribution</t>
  </si>
  <si>
    <t>Amort of Projects-Klamath Engineering</t>
  </si>
  <si>
    <t>MEDICARE SUBSIDY</t>
  </si>
  <si>
    <t>PMI Overriding Royalty</t>
  </si>
  <si>
    <t>PMI Tax Exempt Interest Income</t>
  </si>
  <si>
    <t>Capitalized Labor Cost for Powertax Inpu</t>
  </si>
  <si>
    <t>Mine Safety Sec. 179E Election - PPW</t>
  </si>
  <si>
    <t>Mine Safety Sec. 179E Election - PMI</t>
  </si>
  <si>
    <t>Stm Rts Blundell Geothermal Tax Depr</t>
  </si>
  <si>
    <t>Repair Allowance 3115</t>
  </si>
  <si>
    <t>Cholla GE Safe Harbor Lease</t>
  </si>
  <si>
    <t>Depletion - Tax Percentage Deduction</t>
  </si>
  <si>
    <t>PREPAID IBEW 57 MEDICAL</t>
  </si>
  <si>
    <t>Prepaid Taxes-WA UTC</t>
  </si>
  <si>
    <t>Prepaid Taxes-WY PSC</t>
  </si>
  <si>
    <t>Prepaid Taxes-CA Property Taxes-GPS allo</t>
  </si>
  <si>
    <t>Prepaid Taxes-OR Property Taxes-GPS allo</t>
  </si>
  <si>
    <t>Regulatory Liabilities - Interim Provisi</t>
  </si>
  <si>
    <t>Regulatory Assets - Interim Provisions</t>
  </si>
  <si>
    <t>Fixed Asset-Book/Tax - IGC</t>
  </si>
  <si>
    <t>Prepaid IBEw 57 Pension Contribution - C</t>
  </si>
  <si>
    <t>DEFERRED REG ASSET - FOOTE CREEK CONTRAC</t>
  </si>
  <si>
    <t>Hazardous Waste Clean-up Costs-WA</t>
  </si>
  <si>
    <t>Contra RA UMWA Pension ID</t>
  </si>
  <si>
    <t>Contra RA UMWA Pension OR</t>
  </si>
  <si>
    <t>Contra RA UMWA Pension UT</t>
  </si>
  <si>
    <t>Contra RA UMWA Pension WY</t>
  </si>
  <si>
    <t>Reg Asset - Low Income Bill Discount - O</t>
  </si>
  <si>
    <t>Reg Asset - Utility Community Advisory G</t>
  </si>
  <si>
    <t>Reg Asset - OR Sch 203 - Black Cap</t>
  </si>
  <si>
    <t>Reg Assets BPA balancing accounts-IDU</t>
  </si>
  <si>
    <t>RTO Grid West N/R Allowance</t>
  </si>
  <si>
    <t>RTO Grid West N/R Allowance w/o WA</t>
  </si>
  <si>
    <t>OR RTO Grid West N/R</t>
  </si>
  <si>
    <t>Contra Pension Reg Asset MMT &amp; CTG _WY</t>
  </si>
  <si>
    <t>Reg Asset - OR Sch 94 Distribution Safet</t>
  </si>
  <si>
    <t>Unrecovered Plant Powerdale</t>
  </si>
  <si>
    <t>Powerdale Hydro Decom Reg Asset - CA</t>
  </si>
  <si>
    <t>Ca - January 2010 Storm Costs</t>
  </si>
  <si>
    <t>Reg Asset - Utah MPA</t>
  </si>
  <si>
    <t>Deferred Excess Net Power Costs - OR</t>
  </si>
  <si>
    <t>Reg Asset - Current Reclass - Other</t>
  </si>
  <si>
    <t>Reg Asset - ID Deferred Excess Net Power</t>
  </si>
  <si>
    <t>Reg Asset - UT Deferred Excess Net Power</t>
  </si>
  <si>
    <t>Reg Asset - WY Deferred Excess Net Power</t>
  </si>
  <si>
    <t>Reg Asset _ REC Sales Deferral - WA</t>
  </si>
  <si>
    <t>Reg Asset - WY REC's in Rates - Current</t>
  </si>
  <si>
    <t>Reg Asset - OR REC's in Rates - Current</t>
  </si>
  <si>
    <t>Reg Asset - CA Solar Feed-in Tariff - Cu</t>
  </si>
  <si>
    <t>Reg Asset - OR Solar Feed-In Tariff - Cu</t>
  </si>
  <si>
    <t>Reg Asset - Naughton Unit #3 Costs</t>
  </si>
  <si>
    <t>Reg Asset - Naughton Unit #3 Costs - CA</t>
  </si>
  <si>
    <t>Reg Asset - Carbon Decommissioning - ID</t>
  </si>
  <si>
    <t>Reg Asset - Carbon Decommissioning - UT</t>
  </si>
  <si>
    <t>Reg Asset - Carbon Decommissioning - WY</t>
  </si>
  <si>
    <t>Reg Asset - CA GreenHouse Gas Allowance</t>
  </si>
  <si>
    <t>Reg Asset - Other Regulatory Assets - Cu</t>
  </si>
  <si>
    <t>Amort of Debt Disc &amp; Exp</t>
  </si>
  <si>
    <t>Duke/Hermiston Contract Renegotiation</t>
  </si>
  <si>
    <t>Trojan Special Assessment -DOE-IRS</t>
  </si>
  <si>
    <t>Allowance for Doubtful A/C-Grid West W/O</t>
  </si>
  <si>
    <t>Accrued Royalties</t>
  </si>
  <si>
    <t>PMI Bonus Accrual</t>
  </si>
  <si>
    <t>IGC Vacation Accrual</t>
  </si>
  <si>
    <t>Trojan Decommissioning Costs - WA</t>
  </si>
  <si>
    <t>Trojan Decommissioning Costs - OR</t>
  </si>
  <si>
    <t>PMI Coal Mine Development</t>
  </si>
  <si>
    <t>Ptax NOPAs</t>
  </si>
  <si>
    <t>OR Rate Refunds</t>
  </si>
  <si>
    <t>Oregon Gain on Sale of Halsey-OR</t>
  </si>
  <si>
    <t>Property Insurance(Injuries &amp; Damages)</t>
  </si>
  <si>
    <t>CA West Valley Lease Reduction</t>
  </si>
  <si>
    <t>UT West Valley Lease Reduction</t>
  </si>
  <si>
    <t>A&amp;G Credit - WA</t>
  </si>
  <si>
    <t>A&amp;G Credit - ID</t>
  </si>
  <si>
    <t>A&amp;G Credit - WY</t>
  </si>
  <si>
    <t>Reg. Liability - Deferred Benefit_Arch S</t>
  </si>
  <si>
    <t>Reg Liability-UT Gain on Sale of Asset</t>
  </si>
  <si>
    <t>Reg Liability-ID Gain on Sale of Asset</t>
  </si>
  <si>
    <t>Reg Liability-WY Gain on Sale of Asset</t>
  </si>
  <si>
    <t>Regulatory Liability - OR Asset Sale Gai</t>
  </si>
  <si>
    <t>Regulatory Liability - Other Reg Liabili</t>
  </si>
  <si>
    <t>University of WY Contract Amort.</t>
  </si>
  <si>
    <t>Misc Deferred Credits</t>
  </si>
  <si>
    <t>Redding Renegotiated Contract</t>
  </si>
  <si>
    <t>FAS 106 Accruals</t>
  </si>
  <si>
    <t>PENSION / RETIREMENT ACCRUAL - CASH BASI</t>
  </si>
  <si>
    <t>SUPPL. EXEC. RETIREMENT PLAN (SERP)</t>
  </si>
  <si>
    <t>190LEGAL RESERVE</t>
  </si>
  <si>
    <t>283SMUD REVENUE IMPUTATION-UT REG LIAB</t>
  </si>
  <si>
    <t>PMI Underground Mine Cost Depletion</t>
  </si>
  <si>
    <t>CA Refund</t>
  </si>
  <si>
    <t>PMI WY Extraction Tax</t>
  </si>
  <si>
    <t>186873</t>
  </si>
  <si>
    <t>RA-DC ROR Offset-Note Interest-Amortz</t>
  </si>
  <si>
    <t>0</t>
  </si>
  <si>
    <t>102148</t>
  </si>
  <si>
    <t>102245</t>
  </si>
  <si>
    <t>102556</t>
  </si>
  <si>
    <t>102725</t>
  </si>
  <si>
    <t>102796</t>
  </si>
  <si>
    <t>102883</t>
  </si>
  <si>
    <t>102964</t>
  </si>
  <si>
    <t>103059</t>
  </si>
  <si>
    <t>103168</t>
  </si>
  <si>
    <t>103311</t>
  </si>
  <si>
    <t>103623</t>
  </si>
  <si>
    <t>103745</t>
  </si>
  <si>
    <t>103805</t>
  </si>
  <si>
    <t>103865</t>
  </si>
  <si>
    <t>104013</t>
  </si>
  <si>
    <t>102808</t>
  </si>
  <si>
    <t>186139</t>
  </si>
  <si>
    <t>187303</t>
  </si>
  <si>
    <t>RegA-OR Low Income Bill Disc Admin Cost</t>
  </si>
  <si>
    <t>187308</t>
  </si>
  <si>
    <t>RegA - WY Low-Carbon Energy Standards</t>
  </si>
  <si>
    <t>187309</t>
  </si>
  <si>
    <t>RegA-OR Utility Community Advisory Group</t>
  </si>
  <si>
    <t>187661</t>
  </si>
  <si>
    <t>RegA-UT Elec Vehicle Charging Infrast</t>
  </si>
  <si>
    <t>187665</t>
  </si>
  <si>
    <t>RegA-OR Residential Charging Pilot</t>
  </si>
  <si>
    <t>187666</t>
  </si>
  <si>
    <t>RegA-OR Non-Residential Charging Pilot</t>
  </si>
  <si>
    <t>187831</t>
  </si>
  <si>
    <t>Reg Asset - UT RBA CY2022</t>
  </si>
  <si>
    <t>187860</t>
  </si>
  <si>
    <t>Reg Asset - WY RRA CY2022</t>
  </si>
  <si>
    <t>189005</t>
  </si>
  <si>
    <t>RegA-CA Wildfire/Natl Disaster (WNDRR)</t>
  </si>
  <si>
    <t>189016</t>
  </si>
  <si>
    <t>Reg Asset-OR Wildfire Mitigation Acct</t>
  </si>
  <si>
    <t>189017</t>
  </si>
  <si>
    <t>RegA-OR Wildfire – Damaged Asset NBV</t>
  </si>
  <si>
    <t>189020</t>
  </si>
  <si>
    <t>Contra RegA-OR Wildfire Mitigation</t>
  </si>
  <si>
    <t>189586</t>
  </si>
  <si>
    <t>Reg Asset - OR PCAM FY2022</t>
  </si>
  <si>
    <t>189587</t>
  </si>
  <si>
    <t>Contra Reg Asset - OR PCAM FY2022</t>
  </si>
  <si>
    <t>610099</t>
  </si>
  <si>
    <t>LABOR COSTS SETTLED TO CAPITAL</t>
  </si>
  <si>
    <t>185584</t>
  </si>
  <si>
    <t>LT Prepaid-FSA Capital - TB Flats I</t>
  </si>
  <si>
    <t>185585</t>
  </si>
  <si>
    <t>LT Prepaid-FSA Capital - TB Flats II</t>
  </si>
  <si>
    <t>302981</t>
  </si>
  <si>
    <t>302961</t>
  </si>
  <si>
    <t>302962</t>
  </si>
  <si>
    <t>12 Months Ended June 2022</t>
  </si>
  <si>
    <t>WYOMING EXTRA BOOK DEPR</t>
  </si>
  <si>
    <t>ID Situs</t>
  </si>
  <si>
    <t>Tax factors for JAM taxdepr FACTOR &amp; DITBAL 06_2022,'YE December 2022 DITBAL Factors' row 14</t>
  </si>
  <si>
    <t>Tax factors for JAM taxdepr FACTOR &amp; DITBAL 06_2022,'YE December 2022 DITBAL Factors' row 15</t>
  </si>
  <si>
    <t>Tax factors for JAM taxdepr FACTOR &amp; DITBAL 06_2022,'YE December 2022 DITBAL Factors' row 16</t>
  </si>
  <si>
    <t>Tax factors for JAM taxdepr FACTOR &amp; DITBAL 06_2022,'YE December 2022 DITBAL Factors' row 17</t>
  </si>
  <si>
    <t>Tax factors for JAM taxdepr FACTOR &amp; DITBAL 06_2022,'YE December 2022 DITBAL Factors' row 18</t>
  </si>
  <si>
    <t>Tax factors for JAM taxdepr FACTOR &amp; DITBAL 06_2022,'YE December 2022 DITBAL Factors' row 25</t>
  </si>
  <si>
    <t>Tax factors for JAM taxdepr FACTOR &amp; DITBAL 06_2022,'YE December 2022 DITBAL Factors' row 26</t>
  </si>
  <si>
    <t>Tax factors for JAM taxdepr FACTOR &amp; DITBAL 06_2022,'YE December 2022 DITBAL Factors' row 27</t>
  </si>
  <si>
    <t>Tax factors for JAM taxdepr FACTOR &amp; DITBAL 06_2022,'YE December 2022 DITBAL Factors' row 28</t>
  </si>
  <si>
    <t>Tax factors for JAM taxdepr FACTOR &amp; DITBAL 06_2022,'YE December 2022 DITBAL Factors' row 29</t>
  </si>
  <si>
    <t>Tax factors for JAM taxdepr FACTOR &amp; DITBAL 06_2022,'YE December 2022 DITBAL Factors' row 36</t>
  </si>
  <si>
    <t>Tax factors for JAM taxdepr FACTOR &amp; DITBAL 06_2022,'YE December 2022 DITBAL Factors' row 37</t>
  </si>
  <si>
    <t>Tax factors for JAM taxdepr FACTOR &amp; DITBAL 06_2022,'YE December 2022 DITBAL Factors' row 38</t>
  </si>
  <si>
    <t>Tax factors for JAM taxdepr FACTOR &amp; DITBAL 06_2022,'YE December 2022 DITBAL Factors' row 39</t>
  </si>
  <si>
    <t>Tax factors for JAM taxdepr FACTOR &amp; DITBAL 06_2022,'YE December 2022 DITBAL Factors' row 40</t>
  </si>
  <si>
    <t>Tax factors for JAM taxdepr FACTOR &amp; DITBAL 06_2022,'YE December 2022 DITBAL Factors' row 41</t>
  </si>
  <si>
    <t>Tax factors for JAM taxdepr FACTOR &amp; DITBAL 06_2022,'YE December 2022 DITBAL Factors' row 42</t>
  </si>
  <si>
    <t>Tax factors for JAM taxdepr FACTOR &amp; DITBAL 06_2022,'YE December 2022 DITBAL Factors' row 43</t>
  </si>
  <si>
    <t>Tax factors for JAM taxdepr FACTOR &amp; DITBAL 06_2022,'YE December 2022 DITBAL Factors' row 44</t>
  </si>
  <si>
    <t>Tax factors for JAM taxdepr FACTOR &amp; DITBAL 06_2022,'YE December 2022 DITBAL Factors' row 45</t>
  </si>
  <si>
    <t>Tax factors for JAM taxdepr FACTOR &amp; DITBAL 06_2022,'YE December 2022 DITBAL Factors' row 46</t>
  </si>
  <si>
    <t>Tax factors for JAM taxdepr FACTOR &amp; DITBAL 06_2022,'YE December 2022 DITBAL Factors' row 47</t>
  </si>
  <si>
    <t>Tax factors for JAM taxdepr FACTOR &amp; DITBAL 06_2022,'YE December 2022 DITBAL Factors' row 48</t>
  </si>
  <si>
    <t>Tax factors for JAM taxdepr FACTOR &amp; DITBAL 06_2022,'YE December 2022 DITBAL Factors' row 49</t>
  </si>
  <si>
    <t>Tax factors for JAM taxdepr FACTOR &amp; DITBAL 06_2022,'YE December 2022 DITBAL Factors' row 50</t>
  </si>
  <si>
    <t>Tax factors for JAM taxdepr FACTOR &amp; DITBAL 06_2022,'YE December 2022 DITBAL Factors' row 51</t>
  </si>
  <si>
    <t>Tax factors for JAM taxdepr FACTOR &amp; DITBAL 06_2022,'YE December 2022 DITBAL Factors' row 52</t>
  </si>
  <si>
    <t>Tax factors for JAM taxdepr FACTOR &amp; DITBAL 06_2022,'YE December 2022 DITBAL Factors' row 53</t>
  </si>
  <si>
    <t>Tax factors for JAM taxdepr FACTOR &amp; DITBAL 06_2022,'YE December 2022 DITBAL Factors' row 54</t>
  </si>
  <si>
    <t>Tax factors for JAM taxdepr FACTOR &amp; DITBAL 06_2022,'YE December 2022 DITBAL Factors' row 55</t>
  </si>
  <si>
    <t>Tax factors for JAM taxdepr FACTOR &amp; DITBAL 06_2022,'YE December 2022 DITBAL Factors' row 56</t>
  </si>
  <si>
    <t>Tax factors for JAM taxdepr FACTOR &amp; DITBAL 06_2022,'YE December 2022 DITBAL Factors' row 57</t>
  </si>
  <si>
    <t>Tax factors for JAM taxdepr FACTOR &amp; DITBAL 06_2022,'YE December 2022 DITBAL Factors' row 58</t>
  </si>
  <si>
    <t>B-16, Jun 2022</t>
  </si>
  <si>
    <t>B-6, SchM Jun 2022</t>
  </si>
  <si>
    <t>B8, EPIS, Jun 2022</t>
  </si>
  <si>
    <t>B-1, Jun 2022</t>
  </si>
  <si>
    <t>B-3, Depreciation Expense, Jun 2022</t>
  </si>
  <si>
    <t>FERC reporting requirement No. 582 2021 - (filed 4/22/2022)</t>
  </si>
  <si>
    <t>line 1673</t>
  </si>
  <si>
    <t>line 1737</t>
  </si>
  <si>
    <t>line 1811</t>
  </si>
  <si>
    <t>line 1926</t>
  </si>
  <si>
    <t>from file 'JAM taxdepr FACTOR &amp; DITBAL 06_2022'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</si>
</sst>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&quot;$&quot;#,##0"/>
    <numFmt numFmtId="167" formatCode="_(* #,##0.000000_);_(* \(#,##0.000000\);_(* &quot;-&quot;??_);_(@_)"/>
    <numFmt numFmtId="168" formatCode="[$$-409]#,##0.00_);\([$$-409]#,##0.00\)"/>
    <numFmt numFmtId="169" formatCode="[$-409]mmm\-yy;@"/>
    <numFmt numFmtId="170" formatCode="###,000"/>
    <numFmt numFmtId="171" formatCode="_(* #,##0.000_);_(* \(#,##0.000\);_(* &quot;-&quot;??_);_(@_)"/>
  </numFmts>
  <fonts count="5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MT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i/>
      <sz val="10"/>
      <color indexed="14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i/>
      <sz val="10"/>
      <name val="Arial"/>
      <family val="2"/>
    </font>
    <font>
      <sz val="10"/>
      <name val="Arial MT"/>
    </font>
    <font>
      <sz val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" fontId="12" fillId="2" borderId="1" applyNumberFormat="0" applyProtection="0">
      <alignment vertical="center"/>
    </xf>
    <xf numFmtId="4" fontId="19" fillId="3" borderId="1" applyNumberFormat="0" applyProtection="0">
      <alignment vertical="center"/>
    </xf>
    <xf numFmtId="4" fontId="12" fillId="3" borderId="1" applyNumberFormat="0" applyProtection="0">
      <alignment horizontal="left" vertical="center" indent="1"/>
    </xf>
    <xf numFmtId="0" fontId="12" fillId="3" borderId="1" applyNumberFormat="0" applyProtection="0">
      <alignment horizontal="left" vertical="top" indent="1"/>
    </xf>
    <xf numFmtId="4" fontId="12" fillId="4" borderId="1" applyNumberFormat="0" applyProtection="0"/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10" borderId="1" applyNumberFormat="0" applyProtection="0">
      <alignment horizontal="right" vertical="center"/>
    </xf>
    <xf numFmtId="4" fontId="8" fillId="11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12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indent="1"/>
    </xf>
    <xf numFmtId="4" fontId="20" fillId="16" borderId="0" applyNumberFormat="0" applyProtection="0">
      <alignment horizontal="left" vertical="center" indent="1"/>
    </xf>
    <xf numFmtId="4" fontId="8" fillId="17" borderId="1" applyNumberFormat="0" applyProtection="0">
      <alignment horizontal="right" vertical="center"/>
    </xf>
    <xf numFmtId="4" fontId="21" fillId="18" borderId="0" applyNumberFormat="0" applyProtection="0">
      <alignment horizontal="left" indent="1"/>
    </xf>
    <xf numFmtId="4" fontId="22" fillId="19" borderId="0" applyNumberFormat="0" applyProtection="0"/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4" borderId="1" applyNumberFormat="0" applyProtection="0">
      <alignment horizontal="left" vertical="center" indent="1"/>
    </xf>
    <xf numFmtId="0" fontId="1" fillId="4" borderId="1" applyNumberFormat="0" applyProtection="0">
      <alignment horizontal="left" vertical="top" indent="1"/>
    </xf>
    <xf numFmtId="0" fontId="1" fillId="20" borderId="1" applyNumberFormat="0" applyProtection="0">
      <alignment horizontal="left" vertical="center" indent="1"/>
    </xf>
    <xf numFmtId="0" fontId="1" fillId="20" borderId="1" applyNumberFormat="0" applyProtection="0">
      <alignment horizontal="left" vertical="top" indent="1"/>
    </xf>
    <xf numFmtId="0" fontId="1" fillId="21" borderId="1" applyNumberFormat="0" applyProtection="0">
      <alignment horizontal="left" vertical="center" indent="1"/>
    </xf>
    <xf numFmtId="0" fontId="1" fillId="21" borderId="1" applyNumberFormat="0" applyProtection="0">
      <alignment horizontal="left" vertical="top" indent="1"/>
    </xf>
    <xf numFmtId="4" fontId="8" fillId="22" borderId="1" applyNumberFormat="0" applyProtection="0">
      <alignment vertical="center"/>
    </xf>
    <xf numFmtId="4" fontId="23" fillId="22" borderId="1" applyNumberFormat="0" applyProtection="0">
      <alignment vertical="center"/>
    </xf>
    <xf numFmtId="4" fontId="8" fillId="22" borderId="1" applyNumberFormat="0" applyProtection="0">
      <alignment horizontal="left" vertical="center" indent="1"/>
    </xf>
    <xf numFmtId="0" fontId="8" fillId="22" borderId="1" applyNumberFormat="0" applyProtection="0">
      <alignment horizontal="left" vertical="top" indent="1"/>
    </xf>
    <xf numFmtId="4" fontId="8" fillId="0" borderId="1" applyNumberFormat="0" applyProtection="0">
      <alignment horizontal="right" vertical="center"/>
    </xf>
    <xf numFmtId="4" fontId="23" fillId="15" borderId="1" applyNumberFormat="0" applyProtection="0">
      <alignment horizontal="right" vertical="center"/>
    </xf>
    <xf numFmtId="4" fontId="8" fillId="0" borderId="1" applyNumberFormat="0" applyProtection="0">
      <alignment horizontal="left" vertical="center" indent="1"/>
    </xf>
    <xf numFmtId="0" fontId="8" fillId="4" borderId="1" applyNumberFormat="0" applyProtection="0">
      <alignment horizontal="left" vertical="top"/>
    </xf>
    <xf numFmtId="4" fontId="24" fillId="23" borderId="0" applyNumberFormat="0" applyProtection="0">
      <alignment horizontal="left"/>
    </xf>
    <xf numFmtId="4" fontId="10" fillId="15" borderId="1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0" fontId="1" fillId="0" borderId="0"/>
    <xf numFmtId="0" fontId="31" fillId="0" borderId="0"/>
    <xf numFmtId="0" fontId="1" fillId="0" borderId="0"/>
    <xf numFmtId="4" fontId="12" fillId="4" borderId="0" applyNumberFormat="0" applyProtection="0">
      <alignment horizontal="left" vertical="center" indent="1"/>
    </xf>
    <xf numFmtId="4" fontId="30" fillId="0" borderId="0" applyNumberFormat="0" applyProtection="0">
      <alignment horizontal="left" vertical="center"/>
    </xf>
    <xf numFmtId="0" fontId="32" fillId="0" borderId="14" applyNumberFormat="0" applyFont="0" applyFill="0" applyAlignment="0" applyProtection="0"/>
    <xf numFmtId="170" fontId="33" fillId="0" borderId="15" applyNumberFormat="0" applyProtection="0">
      <alignment horizontal="right" vertical="center"/>
    </xf>
    <xf numFmtId="170" fontId="34" fillId="0" borderId="16" applyNumberFormat="0" applyProtection="0">
      <alignment horizontal="right" vertical="center"/>
    </xf>
    <xf numFmtId="0" fontId="34" fillId="24" borderId="14" applyNumberFormat="0" applyAlignment="0" applyProtection="0">
      <alignment horizontal="left" vertical="center" indent="1"/>
    </xf>
    <xf numFmtId="0" fontId="35" fillId="25" borderId="16" applyNumberFormat="0" applyAlignment="0" applyProtection="0">
      <alignment horizontal="left" vertical="center" indent="1"/>
    </xf>
    <xf numFmtId="0" fontId="35" fillId="25" borderId="16" applyNumberFormat="0" applyAlignment="0" applyProtection="0">
      <alignment horizontal="left" vertical="center" indent="1"/>
    </xf>
    <xf numFmtId="0" fontId="36" fillId="0" borderId="17" applyNumberFormat="0" applyFill="0" applyBorder="0" applyAlignment="0" applyProtection="0"/>
    <xf numFmtId="0" fontId="36" fillId="25" borderId="16" applyNumberFormat="0" applyAlignment="0" applyProtection="0">
      <alignment horizontal="left" vertical="center" indent="1"/>
    </xf>
    <xf numFmtId="0" fontId="36" fillId="25" borderId="16" applyNumberFormat="0" applyAlignment="0" applyProtection="0">
      <alignment horizontal="left" vertical="center" indent="1"/>
    </xf>
    <xf numFmtId="170" fontId="37" fillId="26" borderId="15" applyNumberFormat="0" applyBorder="0" applyProtection="0">
      <alignment horizontal="right" vertical="center"/>
    </xf>
    <xf numFmtId="170" fontId="38" fillId="26" borderId="16" applyNumberFormat="0" applyBorder="0" applyProtection="0">
      <alignment horizontal="right" vertical="center"/>
    </xf>
    <xf numFmtId="0" fontId="36" fillId="27" borderId="16" applyNumberFormat="0" applyAlignment="0" applyProtection="0">
      <alignment horizontal="left" vertical="center" indent="1"/>
    </xf>
    <xf numFmtId="170" fontId="38" fillId="27" borderId="16" applyNumberFormat="0" applyProtection="0">
      <alignment horizontal="right" vertical="center"/>
    </xf>
    <xf numFmtId="0" fontId="39" fillId="0" borderId="17" applyBorder="0" applyAlignment="0" applyProtection="0"/>
    <xf numFmtId="170" fontId="40" fillId="28" borderId="18" applyNumberFormat="0" applyBorder="0" applyAlignment="0" applyProtection="0">
      <alignment horizontal="right" vertical="center" indent="1"/>
    </xf>
    <xf numFmtId="170" fontId="41" fillId="29" borderId="18" applyNumberFormat="0" applyBorder="0" applyAlignment="0" applyProtection="0">
      <alignment horizontal="right" vertical="center" indent="1"/>
    </xf>
    <xf numFmtId="170" fontId="41" fillId="30" borderId="18" applyNumberFormat="0" applyBorder="0" applyAlignment="0" applyProtection="0">
      <alignment horizontal="right" vertical="center" indent="1"/>
    </xf>
    <xf numFmtId="170" fontId="42" fillId="31" borderId="18" applyNumberFormat="0" applyBorder="0" applyAlignment="0" applyProtection="0">
      <alignment horizontal="right" vertical="center" indent="1"/>
    </xf>
    <xf numFmtId="170" fontId="42" fillId="32" borderId="18" applyNumberFormat="0" applyBorder="0" applyAlignment="0" applyProtection="0">
      <alignment horizontal="right" vertical="center" indent="1"/>
    </xf>
    <xf numFmtId="170" fontId="42" fillId="33" borderId="18" applyNumberFormat="0" applyBorder="0" applyAlignment="0" applyProtection="0">
      <alignment horizontal="right" vertical="center" indent="1"/>
    </xf>
    <xf numFmtId="170" fontId="43" fillId="34" borderId="18" applyNumberFormat="0" applyBorder="0" applyAlignment="0" applyProtection="0">
      <alignment horizontal="right" vertical="center" indent="1"/>
    </xf>
    <xf numFmtId="170" fontId="43" fillId="35" borderId="18" applyNumberFormat="0" applyBorder="0" applyAlignment="0" applyProtection="0">
      <alignment horizontal="right" vertical="center" indent="1"/>
    </xf>
    <xf numFmtId="170" fontId="43" fillId="36" borderId="18" applyNumberFormat="0" applyBorder="0" applyAlignment="0" applyProtection="0">
      <alignment horizontal="right" vertical="center" indent="1"/>
    </xf>
    <xf numFmtId="0" fontId="35" fillId="37" borderId="14" applyNumberFormat="0" applyAlignment="0" applyProtection="0">
      <alignment horizontal="left" vertical="center" indent="1"/>
    </xf>
    <xf numFmtId="0" fontId="35" fillId="38" borderId="14" applyNumberFormat="0" applyAlignment="0" applyProtection="0">
      <alignment horizontal="left" vertical="center" indent="1"/>
    </xf>
    <xf numFmtId="0" fontId="35" fillId="39" borderId="14" applyNumberFormat="0" applyAlignment="0" applyProtection="0">
      <alignment horizontal="left" vertical="center" indent="1"/>
    </xf>
    <xf numFmtId="0" fontId="35" fillId="26" borderId="14" applyNumberFormat="0" applyAlignment="0" applyProtection="0">
      <alignment horizontal="left" vertical="center" indent="1"/>
    </xf>
    <xf numFmtId="0" fontId="35" fillId="27" borderId="16" applyNumberFormat="0" applyAlignment="0" applyProtection="0">
      <alignment horizontal="left" vertical="center" indent="1"/>
    </xf>
    <xf numFmtId="170" fontId="33" fillId="26" borderId="15" applyNumberFormat="0" applyBorder="0" applyProtection="0">
      <alignment horizontal="right" vertical="center"/>
    </xf>
    <xf numFmtId="170" fontId="34" fillId="26" borderId="16" applyNumberFormat="0" applyBorder="0" applyProtection="0">
      <alignment horizontal="right" vertical="center"/>
    </xf>
    <xf numFmtId="170" fontId="33" fillId="40" borderId="14" applyNumberFormat="0" applyAlignment="0" applyProtection="0">
      <alignment horizontal="left" vertical="center" indent="1"/>
    </xf>
    <xf numFmtId="0" fontId="34" fillId="24" borderId="16" applyNumberFormat="0" applyAlignment="0" applyProtection="0">
      <alignment horizontal="left" vertical="center" indent="1"/>
    </xf>
    <xf numFmtId="0" fontId="35" fillId="27" borderId="16" applyNumberFormat="0" applyAlignment="0" applyProtection="0">
      <alignment horizontal="left" vertical="center" indent="1"/>
    </xf>
    <xf numFmtId="170" fontId="34" fillId="27" borderId="16" applyNumberFormat="0" applyProtection="0">
      <alignment horizontal="right" vertical="center"/>
    </xf>
  </cellStyleXfs>
  <cellXfs count="291">
    <xf numFmtId="0" fontId="0" fillId="0" borderId="0" xfId="0"/>
    <xf numFmtId="0" fontId="2" fillId="0" borderId="0" xfId="0" applyFont="1"/>
    <xf numFmtId="0" fontId="5" fillId="0" borderId="0" xfId="0" applyFont="1" applyFill="1"/>
    <xf numFmtId="43" fontId="0" fillId="0" borderId="0" xfId="1" applyFont="1" applyFill="1"/>
    <xf numFmtId="0" fontId="0" fillId="0" borderId="0" xfId="0" applyFill="1"/>
    <xf numFmtId="0" fontId="8" fillId="0" borderId="0" xfId="0" applyFont="1" applyFill="1" applyAlignment="1">
      <alignment vertical="center"/>
    </xf>
    <xf numFmtId="0" fontId="5" fillId="0" borderId="0" xfId="4" applyFont="1" applyFill="1"/>
    <xf numFmtId="0" fontId="7" fillId="0" borderId="0" xfId="4" applyFont="1" applyFill="1" applyAlignment="1" applyProtection="1">
      <alignment horizontal="center"/>
    </xf>
    <xf numFmtId="0" fontId="5" fillId="0" borderId="0" xfId="3" applyFont="1" applyFill="1"/>
    <xf numFmtId="0" fontId="13" fillId="0" borderId="0" xfId="0" applyFont="1" applyFill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43" fontId="0" fillId="0" borderId="0" xfId="0" applyNumberFormat="1" applyFill="1"/>
    <xf numFmtId="164" fontId="0" fillId="0" borderId="0" xfId="0" applyNumberFormat="1" applyFill="1"/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Border="1"/>
    <xf numFmtId="0" fontId="3" fillId="0" borderId="0" xfId="0" applyFont="1" applyFill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2" fillId="0" borderId="0" xfId="4" applyFont="1" applyFill="1" applyAlignment="1" applyProtection="1">
      <alignment horizontal="centerContinuous"/>
    </xf>
    <xf numFmtId="0" fontId="5" fillId="0" borderId="0" xfId="4" applyFont="1" applyFill="1" applyAlignment="1">
      <alignment horizontal="center"/>
    </xf>
    <xf numFmtId="0" fontId="2" fillId="0" borderId="0" xfId="2" applyFont="1" applyFill="1" applyAlignment="1" applyProtection="1">
      <alignment horizontal="centerContinuous"/>
    </xf>
    <xf numFmtId="0" fontId="2" fillId="0" borderId="0" xfId="3" applyFont="1" applyFill="1" applyAlignment="1" applyProtection="1">
      <alignment horizontal="centerContinuous"/>
    </xf>
    <xf numFmtId="0" fontId="2" fillId="0" borderId="0" xfId="3" applyFont="1" applyFill="1" applyAlignment="1">
      <alignment horizontal="center"/>
    </xf>
    <xf numFmtId="0" fontId="2" fillId="0" borderId="7" xfId="3" applyFont="1" applyFill="1" applyBorder="1" applyAlignment="1" applyProtection="1">
      <alignment horizontal="center"/>
    </xf>
    <xf numFmtId="0" fontId="2" fillId="0" borderId="7" xfId="3" applyFont="1" applyFill="1" applyBorder="1" applyAlignment="1">
      <alignment horizontal="center"/>
    </xf>
    <xf numFmtId="0" fontId="2" fillId="0" borderId="0" xfId="3" applyFont="1" applyFill="1" applyBorder="1" applyProtection="1"/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center"/>
    </xf>
    <xf numFmtId="0" fontId="7" fillId="0" borderId="0" xfId="3" applyFont="1" applyFill="1" applyAlignment="1" applyProtection="1">
      <alignment horizontal="center"/>
    </xf>
    <xf numFmtId="164" fontId="7" fillId="0" borderId="0" xfId="3" applyNumberFormat="1" applyFont="1" applyFill="1" applyAlignment="1" applyProtection="1">
      <alignment horizontal="center"/>
    </xf>
    <xf numFmtId="164" fontId="7" fillId="0" borderId="0" xfId="3" applyNumberFormat="1" applyFont="1" applyFill="1" applyAlignment="1">
      <alignment horizontal="center"/>
    </xf>
    <xf numFmtId="0" fontId="5" fillId="0" borderId="0" xfId="2" applyFont="1" applyFill="1"/>
    <xf numFmtId="0" fontId="2" fillId="0" borderId="0" xfId="2" applyFont="1" applyFill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/>
    <xf numFmtId="0" fontId="2" fillId="0" borderId="3" xfId="0" applyFont="1" applyFill="1" applyBorder="1" applyAlignment="1">
      <alignment horizontal="center" vertical="center"/>
    </xf>
    <xf numFmtId="165" fontId="2" fillId="0" borderId="0" xfId="1" applyNumberFormat="1" applyFont="1" applyFill="1" applyBorder="1"/>
    <xf numFmtId="165" fontId="7" fillId="0" borderId="0" xfId="1" applyNumberFormat="1" applyFont="1" applyFill="1" applyAlignment="1" applyProtection="1">
      <alignment horizontal="center"/>
    </xf>
    <xf numFmtId="0" fontId="2" fillId="0" borderId="3" xfId="0" applyFont="1" applyFill="1" applyBorder="1" applyAlignment="1">
      <alignment horizontal="right"/>
    </xf>
    <xf numFmtId="0" fontId="15" fillId="0" borderId="0" xfId="0" applyFont="1" applyFill="1"/>
    <xf numFmtId="164" fontId="2" fillId="0" borderId="0" xfId="3" applyNumberFormat="1" applyFont="1" applyFill="1"/>
    <xf numFmtId="0" fontId="2" fillId="0" borderId="0" xfId="3" applyFont="1" applyFill="1"/>
    <xf numFmtId="0" fontId="18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4" applyFont="1" applyFill="1" applyAlignment="1" applyProtection="1">
      <alignment horizontal="right"/>
    </xf>
    <xf numFmtId="0" fontId="7" fillId="0" borderId="0" xfId="4" applyFont="1" applyFill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5" fillId="0" borderId="0" xfId="0" applyFont="1" applyFill="1" applyAlignment="1">
      <alignment horizontal="left"/>
    </xf>
    <xf numFmtId="164" fontId="15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5" fillId="0" borderId="0" xfId="1" applyNumberFormat="1" applyFont="1" applyAlignment="1">
      <alignment horizontal="left"/>
    </xf>
    <xf numFmtId="167" fontId="15" fillId="0" borderId="0" xfId="5" applyNumberFormat="1" applyFont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0" fontId="2" fillId="0" borderId="0" xfId="5" applyNumberFormat="1" applyFont="1" applyFill="1" applyBorder="1" applyAlignment="1">
      <alignment vertical="center"/>
    </xf>
    <xf numFmtId="164" fontId="2" fillId="0" borderId="0" xfId="5" applyNumberFormat="1" applyFont="1" applyFill="1" applyBorder="1" applyAlignment="1">
      <alignment vertical="center"/>
    </xf>
    <xf numFmtId="0" fontId="7" fillId="0" borderId="0" xfId="4" applyFont="1" applyFill="1" applyAlignment="1" applyProtection="1">
      <alignment horizontal="left"/>
    </xf>
    <xf numFmtId="0" fontId="5" fillId="0" borderId="0" xfId="2" applyFont="1" applyFill="1" applyBorder="1"/>
    <xf numFmtId="0" fontId="2" fillId="0" borderId="0" xfId="2" applyFont="1" applyFill="1" applyBorder="1" applyProtection="1"/>
    <xf numFmtId="0" fontId="7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4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9" fontId="0" fillId="0" borderId="0" xfId="5" applyFont="1" applyFill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7" xfId="2" applyFont="1" applyFill="1" applyBorder="1" applyProtection="1"/>
    <xf numFmtId="0" fontId="2" fillId="0" borderId="7" xfId="2" applyFont="1" applyFill="1" applyBorder="1" applyAlignment="1" applyProtection="1">
      <alignment horizontal="center"/>
    </xf>
    <xf numFmtId="0" fontId="2" fillId="0" borderId="7" xfId="2" applyFont="1" applyFill="1" applyBorder="1" applyAlignment="1">
      <alignment horizontal="center"/>
    </xf>
    <xf numFmtId="0" fontId="9" fillId="0" borderId="0" xfId="2" applyFont="1" applyFill="1" applyBorder="1" applyAlignment="1" applyProtection="1">
      <alignment horizontal="right"/>
    </xf>
    <xf numFmtId="164" fontId="0" fillId="0" borderId="0" xfId="0" applyNumberFormat="1" applyFill="1" applyBorder="1"/>
    <xf numFmtId="0" fontId="17" fillId="0" borderId="0" xfId="0" applyFont="1" applyFill="1" applyBorder="1" applyAlignment="1">
      <alignment horizontal="center"/>
    </xf>
    <xf numFmtId="168" fontId="2" fillId="0" borderId="0" xfId="1" applyNumberFormat="1" applyFont="1" applyFill="1" applyBorder="1"/>
    <xf numFmtId="165" fontId="1" fillId="0" borderId="0" xfId="1" applyNumberFormat="1" applyFont="1" applyFill="1" applyBorder="1" applyProtection="1"/>
    <xf numFmtId="0" fontId="1" fillId="0" borderId="0" xfId="4" applyFont="1" applyFill="1" applyBorder="1" applyAlignment="1" applyProtection="1">
      <alignment horizontal="left"/>
    </xf>
    <xf numFmtId="0" fontId="1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3" xfId="0" applyFont="1" applyFill="1" applyBorder="1"/>
    <xf numFmtId="0" fontId="28" fillId="0" borderId="0" xfId="0" applyFont="1" applyFill="1"/>
    <xf numFmtId="0" fontId="25" fillId="0" borderId="0" xfId="0" quotePrefix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 vertical="center"/>
    </xf>
    <xf numFmtId="164" fontId="1" fillId="0" borderId="0" xfId="5" applyNumberFormat="1" applyFont="1" applyFill="1"/>
    <xf numFmtId="37" fontId="1" fillId="0" borderId="0" xfId="0" applyNumberFormat="1" applyFont="1" applyFill="1"/>
    <xf numFmtId="165" fontId="1" fillId="0" borderId="0" xfId="1" applyNumberFormat="1" applyFont="1" applyFill="1"/>
    <xf numFmtId="165" fontId="1" fillId="0" borderId="3" xfId="1" applyNumberFormat="1" applyFont="1" applyFill="1" applyBorder="1"/>
    <xf numFmtId="0" fontId="2" fillId="0" borderId="0" xfId="0" applyFont="1" applyFill="1" applyAlignment="1">
      <alignment horizontal="left"/>
    </xf>
    <xf numFmtId="10" fontId="2" fillId="0" borderId="0" xfId="5" applyNumberFormat="1" applyFont="1" applyFill="1"/>
    <xf numFmtId="17" fontId="2" fillId="0" borderId="0" xfId="0" quotePrefix="1" applyNumberFormat="1" applyFont="1" applyFill="1" applyAlignment="1">
      <alignment horizontal="centerContinuous"/>
    </xf>
    <xf numFmtId="0" fontId="1" fillId="0" borderId="3" xfId="2" applyFont="1" applyFill="1" applyBorder="1" applyAlignment="1" applyProtection="1">
      <alignment horizontal="left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43" fontId="1" fillId="0" borderId="0" xfId="1" applyFont="1" applyFill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/>
    <xf numFmtId="37" fontId="14" fillId="0" borderId="0" xfId="1" applyNumberFormat="1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left"/>
    </xf>
    <xf numFmtId="171" fontId="45" fillId="0" borderId="0" xfId="1" applyNumberFormat="1" applyFont="1" applyAlignment="1">
      <alignment horizontal="right"/>
    </xf>
    <xf numFmtId="0" fontId="45" fillId="0" borderId="0" xfId="0" applyFont="1" applyAlignment="1">
      <alignment horizontal="right"/>
    </xf>
    <xf numFmtId="171" fontId="46" fillId="0" borderId="0" xfId="0" applyNumberFormat="1" applyFont="1" applyAlignment="1">
      <alignment horizontal="right"/>
    </xf>
    <xf numFmtId="0" fontId="45" fillId="0" borderId="0" xfId="0" applyNumberFormat="1" applyFont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171" fontId="45" fillId="0" borderId="0" xfId="1" applyNumberFormat="1" applyFont="1" applyFill="1" applyAlignment="1">
      <alignment horizontal="right"/>
    </xf>
    <xf numFmtId="171" fontId="46" fillId="0" borderId="0" xfId="0" applyNumberFormat="1" applyFont="1" applyFill="1" applyAlignment="1">
      <alignment horizontal="right"/>
    </xf>
    <xf numFmtId="0" fontId="1" fillId="41" borderId="0" xfId="0" applyFont="1" applyFill="1"/>
    <xf numFmtId="0" fontId="1" fillId="41" borderId="0" xfId="3" applyFont="1" applyFill="1"/>
    <xf numFmtId="0" fontId="1" fillId="41" borderId="0" xfId="3" applyFont="1" applyFill="1" applyAlignment="1">
      <alignment horizontal="left"/>
    </xf>
    <xf numFmtId="43" fontId="1" fillId="41" borderId="0" xfId="1" applyFont="1" applyFill="1"/>
    <xf numFmtId="165" fontId="45" fillId="0" borderId="0" xfId="1" applyNumberFormat="1" applyFont="1" applyAlignment="1">
      <alignment horizontal="center"/>
    </xf>
    <xf numFmtId="165" fontId="45" fillId="0" borderId="0" xfId="1" applyNumberFormat="1" applyFont="1" applyFill="1" applyAlignment="1">
      <alignment horizontal="right"/>
    </xf>
    <xf numFmtId="165" fontId="46" fillId="0" borderId="0" xfId="1" applyNumberFormat="1" applyFont="1" applyFill="1" applyAlignment="1">
      <alignment horizontal="right"/>
    </xf>
    <xf numFmtId="165" fontId="45" fillId="0" borderId="0" xfId="1" applyNumberFormat="1" applyFont="1" applyAlignment="1">
      <alignment horizontal="right"/>
    </xf>
    <xf numFmtId="165" fontId="46" fillId="0" borderId="0" xfId="1" applyNumberFormat="1" applyFont="1" applyAlignment="1">
      <alignment horizontal="right"/>
    </xf>
    <xf numFmtId="0" fontId="27" fillId="41" borderId="0" xfId="0" applyFont="1" applyFill="1" applyAlignment="1">
      <alignment horizontal="center"/>
    </xf>
    <xf numFmtId="0" fontId="13" fillId="41" borderId="0" xfId="0" applyFont="1" applyFill="1" applyAlignment="1">
      <alignment horizontal="left"/>
    </xf>
    <xf numFmtId="14" fontId="2" fillId="41" borderId="0" xfId="3" applyNumberFormat="1" applyFont="1" applyFill="1" applyAlignment="1">
      <alignment horizontal="left"/>
    </xf>
    <xf numFmtId="0" fontId="5" fillId="41" borderId="0" xfId="3" applyFont="1" applyFill="1"/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5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5" applyNumberFormat="1" applyFont="1" applyFill="1" applyAlignment="1">
      <alignment horizontal="left"/>
    </xf>
    <xf numFmtId="9" fontId="1" fillId="0" borderId="0" xfId="5" applyFont="1" applyFill="1" applyAlignment="1">
      <alignment horizontal="center"/>
    </xf>
    <xf numFmtId="17" fontId="4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" xfId="0" applyFont="1" applyFill="1" applyBorder="1"/>
    <xf numFmtId="164" fontId="2" fillId="0" borderId="4" xfId="0" applyNumberFormat="1" applyFont="1" applyFill="1" applyBorder="1"/>
    <xf numFmtId="0" fontId="1" fillId="0" borderId="20" xfId="0" applyFont="1" applyFill="1" applyBorder="1"/>
    <xf numFmtId="165" fontId="1" fillId="0" borderId="20" xfId="1" applyNumberFormat="1" applyFont="1" applyFill="1" applyBorder="1"/>
    <xf numFmtId="165" fontId="1" fillId="0" borderId="8" xfId="1" applyNumberFormat="1" applyFont="1" applyFill="1" applyBorder="1"/>
    <xf numFmtId="0" fontId="17" fillId="0" borderId="0" xfId="0" applyFont="1" applyFill="1" applyAlignment="1">
      <alignment horizontal="center"/>
    </xf>
    <xf numFmtId="164" fontId="17" fillId="0" borderId="0" xfId="5" applyNumberFormat="1" applyFont="1" applyFill="1" applyAlignment="1">
      <alignment horizontal="center"/>
    </xf>
    <xf numFmtId="164" fontId="1" fillId="0" borderId="0" xfId="0" applyNumberFormat="1" applyFont="1" applyFill="1"/>
    <xf numFmtId="165" fontId="1" fillId="0" borderId="0" xfId="0" applyNumberFormat="1" applyFont="1" applyFill="1"/>
    <xf numFmtId="165" fontId="1" fillId="0" borderId="3" xfId="0" applyNumberFormat="1" applyFont="1" applyFill="1" applyBorder="1"/>
    <xf numFmtId="164" fontId="1" fillId="0" borderId="3" xfId="5" applyNumberFormat="1" applyFont="1" applyFill="1" applyBorder="1"/>
    <xf numFmtId="165" fontId="1" fillId="0" borderId="0" xfId="0" applyNumberFormat="1" applyFont="1" applyFill="1" applyBorder="1"/>
    <xf numFmtId="165" fontId="1" fillId="0" borderId="0" xfId="1" applyNumberFormat="1" applyFont="1" applyFill="1" applyBorder="1"/>
    <xf numFmtId="164" fontId="1" fillId="0" borderId="0" xfId="5" applyNumberFormat="1" applyFont="1" applyFill="1" applyBorder="1"/>
    <xf numFmtId="0" fontId="2" fillId="0" borderId="0" xfId="0" applyFont="1" applyFill="1" applyAlignment="1">
      <alignment horizontal="center"/>
    </xf>
    <xf numFmtId="0" fontId="1" fillId="0" borderId="4" xfId="0" applyFont="1" applyFill="1" applyBorder="1"/>
    <xf numFmtId="0" fontId="2" fillId="0" borderId="11" xfId="3" applyFont="1" applyFill="1" applyBorder="1" applyProtection="1"/>
    <xf numFmtId="0" fontId="2" fillId="0" borderId="12" xfId="3" applyFont="1" applyFill="1" applyBorder="1" applyProtection="1"/>
    <xf numFmtId="164" fontId="2" fillId="0" borderId="12" xfId="3" applyNumberFormat="1" applyFont="1" applyFill="1" applyBorder="1" applyProtection="1"/>
    <xf numFmtId="164" fontId="2" fillId="0" borderId="13" xfId="3" applyNumberFormat="1" applyFont="1" applyFill="1" applyBorder="1" applyProtection="1"/>
    <xf numFmtId="0" fontId="1" fillId="0" borderId="0" xfId="3" applyFont="1" applyFill="1" applyAlignment="1" applyProtection="1">
      <alignment horizontal="centerContinuous"/>
    </xf>
    <xf numFmtId="0" fontId="1" fillId="0" borderId="0" xfId="3" applyFont="1" applyFill="1" applyAlignment="1">
      <alignment horizontal="centerContinuous"/>
    </xf>
    <xf numFmtId="0" fontId="49" fillId="0" borderId="0" xfId="0" quotePrefix="1" applyFont="1" applyFill="1" applyAlignment="1">
      <alignment horizontal="centerContinuous"/>
    </xf>
    <xf numFmtId="0" fontId="49" fillId="0" borderId="0" xfId="0" applyFont="1" applyFill="1" applyAlignment="1">
      <alignment horizontal="center"/>
    </xf>
    <xf numFmtId="0" fontId="2" fillId="0" borderId="0" xfId="3" applyFont="1" applyFill="1" applyAlignment="1" applyProtection="1">
      <alignment horizontal="left"/>
    </xf>
    <xf numFmtId="0" fontId="1" fillId="0" borderId="0" xfId="3" applyFont="1" applyFill="1"/>
    <xf numFmtId="165" fontId="1" fillId="0" borderId="0" xfId="3" applyNumberFormat="1" applyFont="1" applyFill="1"/>
    <xf numFmtId="0" fontId="1" fillId="0" borderId="0" xfId="3" applyFont="1" applyFill="1" applyBorder="1" applyProtection="1"/>
    <xf numFmtId="0" fontId="1" fillId="0" borderId="0" xfId="3" applyFont="1" applyFill="1" applyBorder="1" applyAlignment="1" applyProtection="1">
      <alignment horizontal="center"/>
    </xf>
    <xf numFmtId="37" fontId="1" fillId="0" borderId="0" xfId="3" applyNumberFormat="1" applyFont="1" applyFill="1" applyProtection="1"/>
    <xf numFmtId="0" fontId="1" fillId="0" borderId="0" xfId="3" applyFont="1" applyFill="1" applyAlignment="1" applyProtection="1">
      <alignment horizontal="center"/>
    </xf>
    <xf numFmtId="0" fontId="1" fillId="0" borderId="0" xfId="3" applyFont="1" applyFill="1" applyProtection="1"/>
    <xf numFmtId="0" fontId="1" fillId="0" borderId="0" xfId="2" applyFont="1" applyFill="1" applyBorder="1" applyProtection="1"/>
    <xf numFmtId="0" fontId="1" fillId="0" borderId="0" xfId="2" applyFont="1" applyFill="1" applyBorder="1" applyAlignment="1" applyProtection="1">
      <alignment horizontal="center"/>
    </xf>
    <xf numFmtId="37" fontId="1" fillId="0" borderId="0" xfId="3" applyNumberFormat="1" applyFont="1" applyFill="1" applyBorder="1" applyProtection="1"/>
    <xf numFmtId="37" fontId="1" fillId="0" borderId="9" xfId="3" applyNumberFormat="1" applyFont="1" applyFill="1" applyBorder="1" applyProtection="1"/>
    <xf numFmtId="0" fontId="1" fillId="0" borderId="0" xfId="3" applyFont="1" applyFill="1" applyBorder="1" applyAlignment="1" applyProtection="1">
      <alignment horizontal="left"/>
    </xf>
    <xf numFmtId="37" fontId="1" fillId="0" borderId="10" xfId="3" applyNumberFormat="1" applyFont="1" applyFill="1" applyBorder="1" applyProtection="1"/>
    <xf numFmtId="43" fontId="1" fillId="0" borderId="0" xfId="3" applyNumberFormat="1" applyFont="1" applyFill="1"/>
    <xf numFmtId="43" fontId="1" fillId="0" borderId="0" xfId="1" applyFont="1" applyFill="1" applyBorder="1" applyProtection="1"/>
    <xf numFmtId="164" fontId="1" fillId="0" borderId="0" xfId="3" applyNumberFormat="1" applyFont="1" applyFill="1"/>
    <xf numFmtId="0" fontId="1" fillId="0" borderId="0" xfId="3" applyFont="1" applyFill="1" applyAlignment="1" applyProtection="1">
      <alignment horizontal="left"/>
    </xf>
    <xf numFmtId="17" fontId="2" fillId="0" borderId="0" xfId="0" applyNumberFormat="1" applyFont="1" applyFill="1" applyAlignment="1">
      <alignment horizontal="centerContinuous"/>
    </xf>
    <xf numFmtId="38" fontId="1" fillId="0" borderId="0" xfId="0" applyNumberFormat="1" applyFont="1" applyFill="1"/>
    <xf numFmtId="165" fontId="50" fillId="0" borderId="0" xfId="1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/>
    <xf numFmtId="164" fontId="1" fillId="0" borderId="8" xfId="0" applyNumberFormat="1" applyFont="1" applyFill="1" applyBorder="1"/>
    <xf numFmtId="3" fontId="1" fillId="0" borderId="0" xfId="0" applyNumberFormat="1" applyFont="1" applyFill="1" applyAlignment="1">
      <alignment horizontal="center"/>
    </xf>
    <xf numFmtId="164" fontId="1" fillId="0" borderId="4" xfId="0" applyNumberFormat="1" applyFont="1" applyFill="1" applyBorder="1"/>
    <xf numFmtId="16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/>
    <xf numFmtId="3" fontId="1" fillId="0" borderId="0" xfId="0" applyNumberFormat="1" applyFont="1" applyFill="1"/>
    <xf numFmtId="164" fontId="1" fillId="0" borderId="0" xfId="0" applyNumberFormat="1" applyFont="1" applyFill="1" applyBorder="1"/>
    <xf numFmtId="0" fontId="17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/>
    </xf>
    <xf numFmtId="168" fontId="1" fillId="0" borderId="0" xfId="1" applyNumberFormat="1" applyFont="1" applyFill="1" applyBorder="1"/>
    <xf numFmtId="168" fontId="7" fillId="0" borderId="0" xfId="1" applyNumberFormat="1" applyFont="1" applyFill="1" applyBorder="1"/>
    <xf numFmtId="10" fontId="2" fillId="0" borderId="0" xfId="5" applyNumberFormat="1" applyFont="1" applyFill="1" applyBorder="1"/>
    <xf numFmtId="164" fontId="2" fillId="0" borderId="0" xfId="5" applyNumberFormat="1" applyFont="1" applyFill="1" applyBorder="1"/>
    <xf numFmtId="37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/>
    <xf numFmtId="0" fontId="1" fillId="0" borderId="0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>
      <alignment horizontal="center"/>
    </xf>
    <xf numFmtId="37" fontId="1" fillId="0" borderId="0" xfId="0" applyNumberFormat="1" applyFont="1" applyFill="1" applyBorder="1"/>
    <xf numFmtId="3" fontId="1" fillId="0" borderId="0" xfId="0" applyNumberFormat="1" applyFont="1" applyFill="1" applyBorder="1"/>
    <xf numFmtId="0" fontId="1" fillId="0" borderId="0" xfId="4" applyFont="1" applyFill="1"/>
    <xf numFmtId="10" fontId="1" fillId="0" borderId="0" xfId="5" applyNumberFormat="1" applyFont="1" applyFill="1"/>
    <xf numFmtId="0" fontId="2" fillId="0" borderId="0" xfId="4" applyFont="1" applyFill="1"/>
    <xf numFmtId="10" fontId="2" fillId="0" borderId="0" xfId="5" applyNumberFormat="1" applyFont="1" applyFill="1" applyBorder="1" applyProtection="1"/>
    <xf numFmtId="164" fontId="2" fillId="0" borderId="0" xfId="5" applyNumberFormat="1" applyFont="1" applyFill="1" applyBorder="1" applyProtection="1"/>
    <xf numFmtId="164" fontId="2" fillId="0" borderId="0" xfId="2" applyNumberFormat="1" applyFont="1" applyFill="1" applyBorder="1" applyProtection="1"/>
    <xf numFmtId="0" fontId="1" fillId="0" borderId="0" xfId="2" applyFont="1" applyFill="1" applyAlignment="1" applyProtection="1">
      <alignment horizontal="centerContinuous"/>
    </xf>
    <xf numFmtId="0" fontId="1" fillId="0" borderId="0" xfId="2" applyFont="1" applyFill="1" applyAlignment="1">
      <alignment horizontal="centerContinuous"/>
    </xf>
    <xf numFmtId="0" fontId="1" fillId="0" borderId="0" xfId="2" applyFont="1" applyFill="1"/>
    <xf numFmtId="0" fontId="1" fillId="0" borderId="3" xfId="2" applyFont="1" applyFill="1" applyBorder="1" applyAlignment="1" applyProtection="1">
      <alignment horizontal="center"/>
    </xf>
    <xf numFmtId="37" fontId="1" fillId="0" borderId="0" xfId="4" applyNumberFormat="1" applyFont="1" applyFill="1" applyBorder="1" applyProtection="1"/>
    <xf numFmtId="37" fontId="1" fillId="0" borderId="3" xfId="2" applyNumberFormat="1" applyFont="1" applyFill="1" applyBorder="1" applyProtection="1"/>
    <xf numFmtId="0" fontId="1" fillId="0" borderId="0" xfId="2" applyFont="1" applyFill="1" applyBorder="1" applyAlignment="1" applyProtection="1">
      <alignment horizontal="left"/>
    </xf>
    <xf numFmtId="37" fontId="1" fillId="0" borderId="0" xfId="2" applyNumberFormat="1" applyFont="1" applyFill="1" applyBorder="1" applyProtection="1"/>
    <xf numFmtId="0" fontId="1" fillId="0" borderId="5" xfId="2" applyFont="1" applyFill="1" applyBorder="1" applyAlignment="1" applyProtection="1">
      <alignment horizontal="center"/>
    </xf>
    <xf numFmtId="37" fontId="1" fillId="0" borderId="5" xfId="2" applyNumberFormat="1" applyFont="1" applyFill="1" applyBorder="1" applyProtection="1"/>
    <xf numFmtId="37" fontId="1" fillId="0" borderId="3" xfId="4" applyNumberFormat="1" applyFont="1" applyFill="1" applyBorder="1" applyProtection="1"/>
    <xf numFmtId="0" fontId="1" fillId="0" borderId="7" xfId="2" applyFont="1" applyFill="1" applyBorder="1" applyProtection="1"/>
    <xf numFmtId="37" fontId="1" fillId="0" borderId="7" xfId="2" applyNumberFormat="1" applyFont="1" applyFill="1" applyBorder="1" applyProtection="1"/>
    <xf numFmtId="0" fontId="1" fillId="0" borderId="0" xfId="2" applyFont="1" applyFill="1" applyBorder="1"/>
    <xf numFmtId="37" fontId="1" fillId="0" borderId="0" xfId="2" applyNumberFormat="1" applyFont="1" applyFill="1" applyBorder="1"/>
    <xf numFmtId="165" fontId="1" fillId="0" borderId="0" xfId="1" applyNumberFormat="1" applyFont="1" applyFill="1" applyBorder="1" applyAlignment="1">
      <alignment vertical="center"/>
    </xf>
    <xf numFmtId="10" fontId="1" fillId="0" borderId="0" xfId="5" applyNumberFormat="1" applyFont="1" applyFill="1" applyBorder="1"/>
    <xf numFmtId="0" fontId="2" fillId="0" borderId="0" xfId="4" applyFont="1" applyFill="1" applyBorder="1" applyAlignment="1" applyProtection="1">
      <alignment horizontal="left"/>
    </xf>
    <xf numFmtId="0" fontId="2" fillId="0" borderId="0" xfId="4" applyFont="1" applyFill="1" applyBorder="1" applyAlignment="1">
      <alignment horizontal="left"/>
    </xf>
    <xf numFmtId="0" fontId="1" fillId="0" borderId="0" xfId="4" applyFont="1" applyFill="1" applyAlignment="1" applyProtection="1">
      <alignment horizontal="centerContinuous"/>
    </xf>
    <xf numFmtId="0" fontId="1" fillId="0" borderId="0" xfId="4" applyFont="1" applyFill="1" applyAlignment="1">
      <alignment horizontal="centerContinuous"/>
    </xf>
    <xf numFmtId="0" fontId="1" fillId="0" borderId="0" xfId="4" applyFont="1" applyFill="1" applyAlignment="1">
      <alignment horizontal="center"/>
    </xf>
    <xf numFmtId="0" fontId="1" fillId="0" borderId="7" xfId="4" applyFont="1" applyFill="1" applyBorder="1" applyAlignment="1" applyProtection="1">
      <alignment horizontal="center"/>
    </xf>
    <xf numFmtId="0" fontId="1" fillId="0" borderId="7" xfId="4" applyFont="1" applyFill="1" applyBorder="1" applyAlignment="1">
      <alignment horizontal="center"/>
    </xf>
    <xf numFmtId="37" fontId="1" fillId="0" borderId="0" xfId="1" applyNumberFormat="1" applyFont="1" applyFill="1" applyBorder="1" applyAlignment="1" applyProtection="1">
      <alignment horizontal="right"/>
    </xf>
    <xf numFmtId="37" fontId="1" fillId="0" borderId="0" xfId="4" applyNumberFormat="1" applyFont="1" applyFill="1" applyProtection="1"/>
    <xf numFmtId="165" fontId="1" fillId="0" borderId="0" xfId="1" applyNumberFormat="1" applyFont="1" applyFill="1" applyBorder="1" applyAlignment="1" applyProtection="1">
      <alignment horizontal="right"/>
    </xf>
    <xf numFmtId="0" fontId="1" fillId="0" borderId="0" xfId="4" applyFont="1" applyFill="1" applyAlignment="1" applyProtection="1">
      <alignment horizontal="center"/>
    </xf>
    <xf numFmtId="0" fontId="1" fillId="0" borderId="0" xfId="4" applyFont="1" applyFill="1" applyBorder="1" applyProtection="1"/>
    <xf numFmtId="0" fontId="1" fillId="0" borderId="0" xfId="4" applyFont="1" applyFill="1" applyBorder="1"/>
    <xf numFmtId="0" fontId="24" fillId="0" borderId="0" xfId="0" applyFont="1" applyFill="1" applyAlignment="1">
      <alignment horizontal="centerContinuous"/>
    </xf>
    <xf numFmtId="165" fontId="1" fillId="0" borderId="0" xfId="1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left"/>
    </xf>
    <xf numFmtId="165" fontId="1" fillId="0" borderId="0" xfId="1" applyNumberFormat="1" applyFont="1" applyFill="1" applyAlignment="1">
      <alignment horizontal="centerContinuous"/>
    </xf>
    <xf numFmtId="0" fontId="1" fillId="0" borderId="3" xfId="0" applyFont="1" applyFill="1" applyBorder="1" applyAlignment="1">
      <alignment vertical="center"/>
    </xf>
    <xf numFmtId="8" fontId="1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37" fontId="1" fillId="0" borderId="0" xfId="1" applyNumberFormat="1" applyFont="1" applyFill="1"/>
    <xf numFmtId="3" fontId="1" fillId="0" borderId="0" xfId="1" applyNumberFormat="1" applyFont="1" applyFill="1"/>
    <xf numFmtId="43" fontId="1" fillId="0" borderId="0" xfId="0" applyNumberFormat="1" applyFont="1" applyFill="1" applyBorder="1"/>
    <xf numFmtId="1" fontId="1" fillId="0" borderId="0" xfId="0" applyNumberFormat="1" applyFont="1" applyFill="1"/>
    <xf numFmtId="164" fontId="1" fillId="41" borderId="0" xfId="5" applyNumberFormat="1" applyFont="1" applyFill="1" applyAlignment="1">
      <alignment horizontal="center"/>
    </xf>
    <xf numFmtId="43" fontId="48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0" xfId="0" applyFont="1" applyFill="1"/>
    <xf numFmtId="0" fontId="44" fillId="0" borderId="0" xfId="0" applyFont="1" applyFill="1"/>
    <xf numFmtId="165" fontId="45" fillId="0" borderId="0" xfId="1" applyNumberFormat="1" applyFont="1" applyFill="1" applyAlignment="1">
      <alignment horizontal="center"/>
    </xf>
    <xf numFmtId="171" fontId="45" fillId="0" borderId="0" xfId="1" applyNumberFormat="1" applyFont="1" applyFill="1" applyAlignment="1">
      <alignment horizontal="center"/>
    </xf>
    <xf numFmtId="164" fontId="1" fillId="41" borderId="0" xfId="5" applyNumberFormat="1" applyFont="1" applyFill="1"/>
    <xf numFmtId="0" fontId="45" fillId="0" borderId="0" xfId="0" applyFont="1" applyAlignment="1"/>
    <xf numFmtId="0" fontId="45" fillId="0" borderId="0" xfId="0" applyFont="1" applyFill="1" applyAlignment="1"/>
    <xf numFmtId="37" fontId="1" fillId="41" borderId="0" xfId="0" applyNumberFormat="1" applyFont="1" applyFill="1"/>
    <xf numFmtId="37" fontId="1" fillId="41" borderId="3" xfId="0" applyNumberFormat="1" applyFont="1" applyFill="1" applyBorder="1"/>
    <xf numFmtId="3" fontId="1" fillId="0" borderId="3" xfId="1" applyNumberFormat="1" applyFont="1" applyFill="1" applyBorder="1"/>
    <xf numFmtId="0" fontId="1" fillId="0" borderId="22" xfId="2" applyFont="1" applyFill="1" applyBorder="1" applyAlignment="1" applyProtection="1">
      <alignment horizontal="left"/>
    </xf>
    <xf numFmtId="37" fontId="1" fillId="0" borderId="22" xfId="4" applyNumberFormat="1" applyFont="1" applyFill="1" applyBorder="1" applyProtection="1"/>
    <xf numFmtId="37" fontId="1" fillId="0" borderId="22" xfId="2" applyNumberFormat="1" applyFont="1" applyFill="1" applyBorder="1" applyProtection="1"/>
    <xf numFmtId="0" fontId="1" fillId="0" borderId="23" xfId="2" applyFont="1" applyFill="1" applyBorder="1" applyAlignment="1" applyProtection="1">
      <alignment horizontal="left"/>
    </xf>
    <xf numFmtId="37" fontId="1" fillId="0" borderId="23" xfId="4" applyNumberFormat="1" applyFont="1" applyFill="1" applyBorder="1" applyProtection="1"/>
    <xf numFmtId="165" fontId="1" fillId="41" borderId="8" xfId="1" applyNumberFormat="1" applyFont="1" applyFill="1" applyBorder="1"/>
    <xf numFmtId="165" fontId="1" fillId="41" borderId="19" xfId="1" applyNumberFormat="1" applyFont="1" applyFill="1" applyBorder="1"/>
    <xf numFmtId="165" fontId="1" fillId="41" borderId="0" xfId="1" applyNumberFormat="1" applyFont="1" applyFill="1" applyBorder="1" applyAlignment="1" applyProtection="1">
      <alignment horizontal="center"/>
    </xf>
  </cellXfs>
  <cellStyles count="87">
    <cellStyle name="Comma" xfId="1" builtinId="3"/>
    <cellStyle name="Comma 2 2" xfId="45" xr:uid="{00000000-0005-0000-0000-000001000000}"/>
    <cellStyle name="Currency 2" xfId="46" xr:uid="{00000000-0005-0000-0000-000002000000}"/>
    <cellStyle name="Normal" xfId="0" builtinId="0"/>
    <cellStyle name="Normal 2" xfId="47" xr:uid="{00000000-0005-0000-0000-000004000000}"/>
    <cellStyle name="Normal 2 2" xfId="48" xr:uid="{00000000-0005-0000-0000-000005000000}"/>
    <cellStyle name="Normal 23" xfId="49" xr:uid="{00000000-0005-0000-0000-000006000000}"/>
    <cellStyle name="Normal 3" xfId="50" xr:uid="{00000000-0005-0000-0000-000007000000}"/>
    <cellStyle name="Normal 4" xfId="44" xr:uid="{00000000-0005-0000-0000-000008000000}"/>
    <cellStyle name="Normal_G-FACT" xfId="2" xr:uid="{00000000-0005-0000-0000-000009000000}"/>
    <cellStyle name="Normal_GP-FACT" xfId="3" xr:uid="{00000000-0005-0000-0000-00000A000000}"/>
    <cellStyle name="Normal_I-FACT" xfId="4" xr:uid="{00000000-0005-0000-0000-00000B000000}"/>
    <cellStyle name="Percent" xfId="5" builtinId="5"/>
    <cellStyle name="SAPBEXaggData" xfId="6" xr:uid="{00000000-0005-0000-0000-00000D000000}"/>
    <cellStyle name="SAPBEXaggDataEmph" xfId="7" xr:uid="{00000000-0005-0000-0000-00000E000000}"/>
    <cellStyle name="SAPBEXaggItem" xfId="8" xr:uid="{00000000-0005-0000-0000-00000F000000}"/>
    <cellStyle name="SAPBEXaggItemX" xfId="9" xr:uid="{00000000-0005-0000-0000-000010000000}"/>
    <cellStyle name="SAPBEXchaText" xfId="10" xr:uid="{00000000-0005-0000-0000-000011000000}"/>
    <cellStyle name="SAPBEXchaText 2" xfId="51" xr:uid="{00000000-0005-0000-0000-000012000000}"/>
    <cellStyle name="SAPBEXexcBad7" xfId="11" xr:uid="{00000000-0005-0000-0000-000013000000}"/>
    <cellStyle name="SAPBEXexcBad8" xfId="12" xr:uid="{00000000-0005-0000-0000-000014000000}"/>
    <cellStyle name="SAPBEXexcBad9" xfId="13" xr:uid="{00000000-0005-0000-0000-000015000000}"/>
    <cellStyle name="SAPBEXexcCritical4" xfId="14" xr:uid="{00000000-0005-0000-0000-000016000000}"/>
    <cellStyle name="SAPBEXexcCritical5" xfId="15" xr:uid="{00000000-0005-0000-0000-000017000000}"/>
    <cellStyle name="SAPBEXexcCritical6" xfId="16" xr:uid="{00000000-0005-0000-0000-000018000000}"/>
    <cellStyle name="SAPBEXexcGood1" xfId="17" xr:uid="{00000000-0005-0000-0000-000019000000}"/>
    <cellStyle name="SAPBEXexcGood2" xfId="18" xr:uid="{00000000-0005-0000-0000-00001A000000}"/>
    <cellStyle name="SAPBEXexcGood3" xfId="19" xr:uid="{00000000-0005-0000-0000-00001B000000}"/>
    <cellStyle name="SAPBEXfilterDrill" xfId="20" xr:uid="{00000000-0005-0000-0000-00001C000000}"/>
    <cellStyle name="SAPBEXfilterItem" xfId="21" xr:uid="{00000000-0005-0000-0000-00001D000000}"/>
    <cellStyle name="SAPBEXfilterText" xfId="22" xr:uid="{00000000-0005-0000-0000-00001E000000}"/>
    <cellStyle name="SAPBEXformats" xfId="23" xr:uid="{00000000-0005-0000-0000-00001F000000}"/>
    <cellStyle name="SAPBEXheaderItem" xfId="24" xr:uid="{00000000-0005-0000-0000-000020000000}"/>
    <cellStyle name="SAPBEXheaderText" xfId="25" xr:uid="{00000000-0005-0000-0000-000021000000}"/>
    <cellStyle name="SAPBEXHLevel0" xfId="26" xr:uid="{00000000-0005-0000-0000-000022000000}"/>
    <cellStyle name="SAPBEXHLevel0X" xfId="27" xr:uid="{00000000-0005-0000-0000-000023000000}"/>
    <cellStyle name="SAPBEXHLevel1" xfId="28" xr:uid="{00000000-0005-0000-0000-000024000000}"/>
    <cellStyle name="SAPBEXHLevel1X" xfId="29" xr:uid="{00000000-0005-0000-0000-000025000000}"/>
    <cellStyle name="SAPBEXHLevel2" xfId="30" xr:uid="{00000000-0005-0000-0000-000026000000}"/>
    <cellStyle name="SAPBEXHLevel2X" xfId="31" xr:uid="{00000000-0005-0000-0000-000027000000}"/>
    <cellStyle name="SAPBEXHLevel3" xfId="32" xr:uid="{00000000-0005-0000-0000-000028000000}"/>
    <cellStyle name="SAPBEXHLevel3X" xfId="33" xr:uid="{00000000-0005-0000-0000-000029000000}"/>
    <cellStyle name="SAPBEXresData" xfId="34" xr:uid="{00000000-0005-0000-0000-00002A000000}"/>
    <cellStyle name="SAPBEXresDataEmph" xfId="35" xr:uid="{00000000-0005-0000-0000-00002B000000}"/>
    <cellStyle name="SAPBEXresItem" xfId="36" xr:uid="{00000000-0005-0000-0000-00002C000000}"/>
    <cellStyle name="SAPBEXresItemX" xfId="37" xr:uid="{00000000-0005-0000-0000-00002D000000}"/>
    <cellStyle name="SAPBEXstdData" xfId="38" xr:uid="{00000000-0005-0000-0000-00002E000000}"/>
    <cellStyle name="SAPBEXstdDataEmph" xfId="39" xr:uid="{00000000-0005-0000-0000-00002F000000}"/>
    <cellStyle name="SAPBEXstdItem" xfId="40" xr:uid="{00000000-0005-0000-0000-000030000000}"/>
    <cellStyle name="SAPBEXstdItemX" xfId="41" xr:uid="{00000000-0005-0000-0000-000031000000}"/>
    <cellStyle name="SAPBEXtitle" xfId="42" xr:uid="{00000000-0005-0000-0000-000032000000}"/>
    <cellStyle name="SAPBEXtitle 2" xfId="52" xr:uid="{00000000-0005-0000-0000-000033000000}"/>
    <cellStyle name="SAPBEXundefined" xfId="43" xr:uid="{00000000-0005-0000-0000-000034000000}"/>
    <cellStyle name="SAPBorder" xfId="53" xr:uid="{00000000-0005-0000-0000-000035000000}"/>
    <cellStyle name="SAPDataCell" xfId="54" xr:uid="{00000000-0005-0000-0000-000036000000}"/>
    <cellStyle name="SAPDataTotalCell" xfId="55" xr:uid="{00000000-0005-0000-0000-000037000000}"/>
    <cellStyle name="SAPDimensionCell" xfId="56" xr:uid="{00000000-0005-0000-0000-000038000000}"/>
    <cellStyle name="SAPEditableDataCell" xfId="57" xr:uid="{00000000-0005-0000-0000-000039000000}"/>
    <cellStyle name="SAPEditableDataTotalCell" xfId="58" xr:uid="{00000000-0005-0000-0000-00003A000000}"/>
    <cellStyle name="SAPEmphasized" xfId="59" xr:uid="{00000000-0005-0000-0000-00003B000000}"/>
    <cellStyle name="SAPEmphasizedEditableDataCell" xfId="60" xr:uid="{00000000-0005-0000-0000-00003C000000}"/>
    <cellStyle name="SAPEmphasizedEditableDataTotalCell" xfId="61" xr:uid="{00000000-0005-0000-0000-00003D000000}"/>
    <cellStyle name="SAPEmphasizedLockedDataCell" xfId="62" xr:uid="{00000000-0005-0000-0000-00003E000000}"/>
    <cellStyle name="SAPEmphasizedLockedDataTotalCell" xfId="63" xr:uid="{00000000-0005-0000-0000-00003F000000}"/>
    <cellStyle name="SAPEmphasizedReadonlyDataCell" xfId="64" xr:uid="{00000000-0005-0000-0000-000040000000}"/>
    <cellStyle name="SAPEmphasizedReadonlyDataTotalCell" xfId="65" xr:uid="{00000000-0005-0000-0000-000041000000}"/>
    <cellStyle name="SAPEmphasizedTotal" xfId="66" xr:uid="{00000000-0005-0000-0000-000042000000}"/>
    <cellStyle name="SAPExceptionLevel1" xfId="67" xr:uid="{00000000-0005-0000-0000-000043000000}"/>
    <cellStyle name="SAPExceptionLevel2" xfId="68" xr:uid="{00000000-0005-0000-0000-000044000000}"/>
    <cellStyle name="SAPExceptionLevel3" xfId="69" xr:uid="{00000000-0005-0000-0000-000045000000}"/>
    <cellStyle name="SAPExceptionLevel4" xfId="70" xr:uid="{00000000-0005-0000-0000-000046000000}"/>
    <cellStyle name="SAPExceptionLevel5" xfId="71" xr:uid="{00000000-0005-0000-0000-000047000000}"/>
    <cellStyle name="SAPExceptionLevel6" xfId="72" xr:uid="{00000000-0005-0000-0000-000048000000}"/>
    <cellStyle name="SAPExceptionLevel7" xfId="73" xr:uid="{00000000-0005-0000-0000-000049000000}"/>
    <cellStyle name="SAPExceptionLevel8" xfId="74" xr:uid="{00000000-0005-0000-0000-00004A000000}"/>
    <cellStyle name="SAPExceptionLevel9" xfId="75" xr:uid="{00000000-0005-0000-0000-00004B000000}"/>
    <cellStyle name="SAPHierarchyCell0" xfId="76" xr:uid="{00000000-0005-0000-0000-00004C000000}"/>
    <cellStyle name="SAPHierarchyCell1" xfId="77" xr:uid="{00000000-0005-0000-0000-00004D000000}"/>
    <cellStyle name="SAPHierarchyCell2" xfId="78" xr:uid="{00000000-0005-0000-0000-00004E000000}"/>
    <cellStyle name="SAPHierarchyCell3" xfId="79" xr:uid="{00000000-0005-0000-0000-00004F000000}"/>
    <cellStyle name="SAPHierarchyCell4" xfId="80" xr:uid="{00000000-0005-0000-0000-000050000000}"/>
    <cellStyle name="SAPLockedDataCell" xfId="81" xr:uid="{00000000-0005-0000-0000-000051000000}"/>
    <cellStyle name="SAPLockedDataTotalCell" xfId="82" xr:uid="{00000000-0005-0000-0000-000052000000}"/>
    <cellStyle name="SAPMemberCell" xfId="83" xr:uid="{00000000-0005-0000-0000-000053000000}"/>
    <cellStyle name="SAPMemberTotalCell" xfId="84" xr:uid="{00000000-0005-0000-0000-000054000000}"/>
    <cellStyle name="SAPReadonlyDataCell" xfId="85" xr:uid="{00000000-0005-0000-0000-000055000000}"/>
    <cellStyle name="SAPReadonlyDataTotalCell" xfId="86" xr:uid="{00000000-0005-0000-0000-000056000000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66"/>
      <color rgb="FF00FF00"/>
      <color rgb="FF99FFCC"/>
      <color rgb="FFFF00FF"/>
      <color rgb="FF0000FF"/>
      <color rgb="FFFFFF99"/>
      <color rgb="FF00FFCC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FF"/>
  </sheetPr>
  <dimension ref="A1:L76"/>
  <sheetViews>
    <sheetView tabSelected="1" view="pageBreakPreview" zoomScale="80" zoomScaleNormal="75" zoomScaleSheetLayoutView="80" workbookViewId="0"/>
  </sheetViews>
  <sheetFormatPr defaultColWidth="9.140625" defaultRowHeight="12.75"/>
  <cols>
    <col min="1" max="1" width="15.5703125" style="146" bestFit="1" customWidth="1"/>
    <col min="2" max="2" width="39.85546875" style="146" bestFit="1" customWidth="1"/>
    <col min="3" max="8" width="13.7109375" style="147" customWidth="1"/>
    <col min="9" max="9" width="10" style="53" bestFit="1" customWidth="1"/>
    <col min="10" max="16384" width="9.140625" style="53"/>
  </cols>
  <sheetData>
    <row r="1" spans="1:12" ht="15" customHeight="1">
      <c r="A1" s="100" t="s">
        <v>112</v>
      </c>
      <c r="B1" s="145"/>
      <c r="C1" s="145"/>
      <c r="D1" s="145"/>
      <c r="E1" s="145"/>
      <c r="F1" s="145"/>
      <c r="G1" s="145"/>
      <c r="H1" s="145"/>
    </row>
    <row r="2" spans="1:12" ht="15" customHeight="1">
      <c r="A2" s="100" t="s">
        <v>3422</v>
      </c>
      <c r="B2" s="145"/>
      <c r="C2" s="145"/>
      <c r="D2" s="145"/>
      <c r="E2" s="145"/>
      <c r="F2" s="145"/>
      <c r="G2" s="145"/>
      <c r="H2" s="145"/>
    </row>
    <row r="3" spans="1:12" ht="15" customHeight="1">
      <c r="A3" s="100" t="s">
        <v>239</v>
      </c>
      <c r="B3" s="100"/>
      <c r="C3" s="100"/>
      <c r="D3" s="100"/>
      <c r="E3" s="100"/>
      <c r="F3" s="100"/>
      <c r="G3" s="100"/>
      <c r="H3" s="100"/>
    </row>
    <row r="4" spans="1:12" ht="15" customHeight="1">
      <c r="H4" s="79"/>
    </row>
    <row r="5" spans="1:12" ht="15" customHeight="1">
      <c r="H5" s="79"/>
    </row>
    <row r="6" spans="1:12" ht="15" customHeight="1" thickBot="1">
      <c r="A6" s="144" t="s">
        <v>80</v>
      </c>
      <c r="B6" s="144" t="s">
        <v>95</v>
      </c>
      <c r="C6" s="144" t="s">
        <v>63</v>
      </c>
      <c r="D6" s="144" t="s">
        <v>64</v>
      </c>
      <c r="E6" s="144" t="s">
        <v>70</v>
      </c>
      <c r="F6" s="144" t="s">
        <v>73</v>
      </c>
      <c r="G6" s="144" t="s">
        <v>74</v>
      </c>
      <c r="H6" s="144" t="s">
        <v>72</v>
      </c>
    </row>
    <row r="7" spans="1:12" s="54" customFormat="1" ht="15" customHeight="1">
      <c r="A7" s="146" t="s">
        <v>67</v>
      </c>
      <c r="B7" s="146" t="s">
        <v>236</v>
      </c>
      <c r="C7" s="270">
        <f>ACCUMDIT!D56</f>
        <v>0.74020968422577627</v>
      </c>
      <c r="D7" s="270">
        <f>ACCUMDIT!E56</f>
        <v>1.5463630958398696E-2</v>
      </c>
      <c r="E7" s="270">
        <f>ACCUMDIT!F56</f>
        <v>0.24374850108420532</v>
      </c>
      <c r="F7" s="270">
        <f>ACCUMDIT!G56</f>
        <v>5.7818373161968217E-4</v>
      </c>
      <c r="G7" s="270">
        <f>ACCUMDIT!H56</f>
        <v>0</v>
      </c>
      <c r="H7" s="149">
        <f t="shared" ref="H7:H32" si="0">ROUND(SUM(C7:G7),4)</f>
        <v>1</v>
      </c>
      <c r="J7" s="55"/>
    </row>
    <row r="8" spans="1:12" s="54" customFormat="1" ht="15" customHeight="1">
      <c r="A8" s="146" t="s">
        <v>172</v>
      </c>
      <c r="B8" s="146" t="s">
        <v>94</v>
      </c>
      <c r="C8" s="270">
        <f>BOOKDPR!C13</f>
        <v>0.63400224841550357</v>
      </c>
      <c r="D8" s="270">
        <f>BOOKDPR!D13</f>
        <v>0.14874323119884228</v>
      </c>
      <c r="E8" s="270">
        <f>BOOKDPR!E13</f>
        <v>0.21628656110368846</v>
      </c>
      <c r="F8" s="270">
        <f>BOOKDPR!F13</f>
        <v>9.6795928196581811E-4</v>
      </c>
      <c r="G8" s="270">
        <f>BOOKDPR!G13</f>
        <v>0</v>
      </c>
      <c r="H8" s="149">
        <f t="shared" si="0"/>
        <v>1</v>
      </c>
      <c r="J8" s="55"/>
    </row>
    <row r="9" spans="1:12" s="54" customFormat="1" ht="15" customHeight="1">
      <c r="A9" s="146" t="s">
        <v>58</v>
      </c>
      <c r="B9" s="146" t="s">
        <v>59</v>
      </c>
      <c r="C9" s="270">
        <v>0</v>
      </c>
      <c r="D9" s="270">
        <v>0</v>
      </c>
      <c r="E9" s="270">
        <v>0</v>
      </c>
      <c r="F9" s="270">
        <v>0</v>
      </c>
      <c r="G9" s="270">
        <v>0</v>
      </c>
      <c r="H9" s="149">
        <f t="shared" si="0"/>
        <v>0</v>
      </c>
      <c r="J9" s="55"/>
    </row>
    <row r="10" spans="1:12" s="54" customFormat="1" ht="15" customHeight="1">
      <c r="A10" s="146" t="s">
        <v>73</v>
      </c>
      <c r="B10" s="146" t="s">
        <v>173</v>
      </c>
      <c r="C10" s="270">
        <v>0</v>
      </c>
      <c r="D10" s="270">
        <v>0</v>
      </c>
      <c r="E10" s="270">
        <v>0</v>
      </c>
      <c r="F10" s="270">
        <v>1</v>
      </c>
      <c r="G10" s="270">
        <v>0</v>
      </c>
      <c r="H10" s="149">
        <f t="shared" si="0"/>
        <v>1</v>
      </c>
      <c r="J10" s="55"/>
    </row>
    <row r="11" spans="1:12" s="60" customFormat="1" ht="15" customHeight="1">
      <c r="A11" s="146" t="s">
        <v>176</v>
      </c>
      <c r="B11" s="146" t="s">
        <v>177</v>
      </c>
      <c r="C11" s="270">
        <f>'REGASSETS&amp;DDS'!F35</f>
        <v>0.94626537959194801</v>
      </c>
      <c r="D11" s="270">
        <f>'REGASSETS&amp;DDS'!G35</f>
        <v>5.5722695408499286E-3</v>
      </c>
      <c r="E11" s="270">
        <f>'REGASSETS&amp;DDS'!H35</f>
        <v>2.1574313746760401E-2</v>
      </c>
      <c r="F11" s="270">
        <f>'REGASSETS&amp;DDS'!I35</f>
        <v>2.3851995134353463E-2</v>
      </c>
      <c r="G11" s="270">
        <f>'REGASSETS&amp;DDS'!J35</f>
        <v>2.7360419860881485E-3</v>
      </c>
      <c r="H11" s="149">
        <f t="shared" si="0"/>
        <v>1</v>
      </c>
      <c r="J11" s="61"/>
    </row>
    <row r="12" spans="1:12" s="60" customFormat="1" ht="15" customHeight="1">
      <c r="A12" s="146" t="s">
        <v>178</v>
      </c>
      <c r="B12" s="146" t="s">
        <v>177</v>
      </c>
      <c r="C12" s="270">
        <v>0</v>
      </c>
      <c r="D12" s="270">
        <v>0</v>
      </c>
      <c r="E12" s="270">
        <v>0</v>
      </c>
      <c r="F12" s="270">
        <v>0</v>
      </c>
      <c r="G12" s="270">
        <v>0</v>
      </c>
      <c r="H12" s="149">
        <f t="shared" si="0"/>
        <v>0</v>
      </c>
      <c r="J12" s="61"/>
    </row>
    <row r="13" spans="1:12" s="60" customFormat="1" ht="15" customHeight="1">
      <c r="A13" s="146" t="s">
        <v>179</v>
      </c>
      <c r="B13" s="146" t="s">
        <v>180</v>
      </c>
      <c r="C13" s="270">
        <f>'REGASSETS&amp;DDS'!F34</f>
        <v>0.54137443760963044</v>
      </c>
      <c r="D13" s="270">
        <f>'REGASSETS&amp;DDS'!G34</f>
        <v>6.5102593022135832E-3</v>
      </c>
      <c r="E13" s="270">
        <f>'REGASSETS&amp;DDS'!H34</f>
        <v>1.9530147998041442E-2</v>
      </c>
      <c r="F13" s="270">
        <f>'REGASSETS&amp;DDS'!I34</f>
        <v>0.42479919547944184</v>
      </c>
      <c r="G13" s="270">
        <f>'REGASSETS&amp;DDS'!J34</f>
        <v>7.7859596106724547E-3</v>
      </c>
      <c r="H13" s="149">
        <f t="shared" si="0"/>
        <v>1</v>
      </c>
      <c r="J13" s="61"/>
    </row>
    <row r="14" spans="1:12" s="56" customFormat="1" ht="15" customHeight="1">
      <c r="A14" s="146" t="s">
        <v>181</v>
      </c>
      <c r="B14" s="146" t="s">
        <v>180</v>
      </c>
      <c r="C14" s="270">
        <f>IF('REGASSETS&amp;DDS'!F55=0,0,'REGASSETS&amp;DDS'!F55)</f>
        <v>0</v>
      </c>
      <c r="D14" s="270">
        <f>'REGASSETS&amp;DDS'!G55</f>
        <v>0</v>
      </c>
      <c r="E14" s="270">
        <f>'REGASSETS&amp;DDS'!H55</f>
        <v>0</v>
      </c>
      <c r="F14" s="270">
        <f>'REGASSETS&amp;DDS'!I55</f>
        <v>0</v>
      </c>
      <c r="G14" s="270">
        <f>'REGASSETS&amp;DDS'!J55</f>
        <v>1</v>
      </c>
      <c r="H14" s="149">
        <f t="shared" si="0"/>
        <v>1</v>
      </c>
      <c r="I14" s="63"/>
      <c r="J14" s="63"/>
      <c r="K14" s="63"/>
      <c r="L14" s="63"/>
    </row>
    <row r="15" spans="1:12" s="58" customFormat="1" ht="15" customHeight="1">
      <c r="A15" s="146" t="s">
        <v>182</v>
      </c>
      <c r="B15" s="146" t="s">
        <v>183</v>
      </c>
      <c r="C15" s="270">
        <f>'REGASSETS&amp;DDS'!F54</f>
        <v>0.97481625708808639</v>
      </c>
      <c r="D15" s="270">
        <f>'REGASSETS&amp;DDS'!G54</f>
        <v>2.5183742911913595E-2</v>
      </c>
      <c r="E15" s="270">
        <f>'REGASSETS&amp;DDS'!H54</f>
        <v>0</v>
      </c>
      <c r="F15" s="270">
        <f>'REGASSETS&amp;DDS'!I54</f>
        <v>0</v>
      </c>
      <c r="G15" s="270">
        <f>'REGASSETS&amp;DDS'!J54</f>
        <v>0</v>
      </c>
      <c r="H15" s="149">
        <f t="shared" si="0"/>
        <v>1</v>
      </c>
      <c r="J15" s="59"/>
    </row>
    <row r="16" spans="1:12" s="56" customFormat="1" ht="15" customHeight="1">
      <c r="A16" s="146" t="s">
        <v>74</v>
      </c>
      <c r="B16" s="146" t="s">
        <v>185</v>
      </c>
      <c r="C16" s="270">
        <v>0</v>
      </c>
      <c r="D16" s="270">
        <v>0</v>
      </c>
      <c r="E16" s="270">
        <v>0</v>
      </c>
      <c r="F16" s="270">
        <v>0</v>
      </c>
      <c r="G16" s="270">
        <v>1</v>
      </c>
      <c r="H16" s="149">
        <f t="shared" si="0"/>
        <v>1</v>
      </c>
      <c r="J16" s="57"/>
    </row>
    <row r="17" spans="1:10" s="56" customFormat="1" ht="15" customHeight="1">
      <c r="A17" s="146" t="s">
        <v>70</v>
      </c>
      <c r="B17" s="146" t="s">
        <v>186</v>
      </c>
      <c r="C17" s="270">
        <f>'FORM 1'!C15</f>
        <v>0</v>
      </c>
      <c r="D17" s="270">
        <f>'FORM 1'!D15</f>
        <v>0</v>
      </c>
      <c r="E17" s="270">
        <f>'FORM 1'!E15</f>
        <v>1</v>
      </c>
      <c r="F17" s="270">
        <f>'FORM 1'!F15</f>
        <v>0</v>
      </c>
      <c r="G17" s="270">
        <f>'FORM 1'!G15</f>
        <v>0</v>
      </c>
      <c r="H17" s="149">
        <f t="shared" si="0"/>
        <v>1</v>
      </c>
      <c r="J17" s="57"/>
    </row>
    <row r="18" spans="1:10" s="56" customFormat="1" ht="15" customHeight="1">
      <c r="A18" s="146" t="s">
        <v>100</v>
      </c>
      <c r="B18" s="146" t="s">
        <v>187</v>
      </c>
      <c r="C18" s="270">
        <v>0.3</v>
      </c>
      <c r="D18" s="270">
        <v>0.1</v>
      </c>
      <c r="E18" s="270">
        <v>0.6</v>
      </c>
      <c r="F18" s="270">
        <v>0</v>
      </c>
      <c r="G18" s="270">
        <v>0</v>
      </c>
      <c r="H18" s="149">
        <f t="shared" si="0"/>
        <v>1</v>
      </c>
      <c r="J18" s="57"/>
    </row>
    <row r="19" spans="1:10" s="56" customFormat="1" ht="15" customHeight="1">
      <c r="A19" s="146" t="s">
        <v>117</v>
      </c>
      <c r="B19" s="146" t="s">
        <v>188</v>
      </c>
      <c r="C19" s="270">
        <f>'FORM 1'!C39</f>
        <v>0.45741299329947405</v>
      </c>
      <c r="D19" s="270">
        <f>'FORM 1'!D39</f>
        <v>0.54258700670052595</v>
      </c>
      <c r="E19" s="270">
        <f>'FORM 1'!E39</f>
        <v>0</v>
      </c>
      <c r="F19" s="270">
        <f>'FORM 1'!F39</f>
        <v>0</v>
      </c>
      <c r="G19" s="270">
        <f>'FORM 1'!G39</f>
        <v>0</v>
      </c>
      <c r="H19" s="149">
        <f t="shared" si="0"/>
        <v>1</v>
      </c>
      <c r="J19" s="57"/>
    </row>
    <row r="20" spans="1:10" s="56" customFormat="1" ht="15" customHeight="1">
      <c r="A20" s="146" t="s">
        <v>71</v>
      </c>
      <c r="B20" s="146" t="s">
        <v>125</v>
      </c>
      <c r="C20" s="270">
        <f>GP!E37</f>
        <v>0.20649102451616125</v>
      </c>
      <c r="D20" s="270">
        <f>GP!F37</f>
        <v>0.34297731158157324</v>
      </c>
      <c r="E20" s="270">
        <f>GP!G37</f>
        <v>0.43796876140567892</v>
      </c>
      <c r="F20" s="270">
        <f>GP!H37</f>
        <v>1.2562902496586637E-2</v>
      </c>
      <c r="G20" s="270">
        <f>GP!I37</f>
        <v>0</v>
      </c>
      <c r="H20" s="149">
        <f t="shared" si="0"/>
        <v>1</v>
      </c>
      <c r="J20" s="57"/>
    </row>
    <row r="21" spans="1:10" s="58" customFormat="1" ht="15" customHeight="1">
      <c r="A21" s="146" t="s">
        <v>191</v>
      </c>
      <c r="B21" s="146" t="s">
        <v>192</v>
      </c>
      <c r="C21" s="270">
        <f>C64</f>
        <v>0.65849391725711803</v>
      </c>
      <c r="D21" s="270">
        <f t="shared" ref="D21:G21" si="1">D64</f>
        <v>0.34150608274288197</v>
      </c>
      <c r="E21" s="270">
        <f t="shared" si="1"/>
        <v>0</v>
      </c>
      <c r="F21" s="270">
        <f t="shared" si="1"/>
        <v>0</v>
      </c>
      <c r="G21" s="270">
        <f t="shared" si="1"/>
        <v>0</v>
      </c>
      <c r="H21" s="149">
        <f t="shared" si="0"/>
        <v>1</v>
      </c>
      <c r="J21" s="59"/>
    </row>
    <row r="22" spans="1:10" s="58" customFormat="1" ht="15" customHeight="1">
      <c r="A22" s="146" t="s">
        <v>193</v>
      </c>
      <c r="B22" s="146" t="s">
        <v>194</v>
      </c>
      <c r="C22" s="270">
        <f>+C21</f>
        <v>0.65849391725711803</v>
      </c>
      <c r="D22" s="270">
        <f>+D21</f>
        <v>0.34150608274288197</v>
      </c>
      <c r="E22" s="270">
        <f>+E21</f>
        <v>0</v>
      </c>
      <c r="F22" s="270">
        <f>+F21</f>
        <v>0</v>
      </c>
      <c r="G22" s="270">
        <f>+G21</f>
        <v>0</v>
      </c>
      <c r="H22" s="149">
        <f t="shared" si="0"/>
        <v>1</v>
      </c>
      <c r="J22" s="59"/>
    </row>
    <row r="23" spans="1:10" s="56" customFormat="1" ht="15" customHeight="1">
      <c r="A23" s="146" t="s">
        <v>110</v>
      </c>
      <c r="B23" s="146" t="s">
        <v>195</v>
      </c>
      <c r="C23" s="270">
        <f>'GROSS PLANT'!E42</f>
        <v>0.46689390234989775</v>
      </c>
      <c r="D23" s="270">
        <f>'GROSS PLANT'!F42</f>
        <v>0.24894656398337411</v>
      </c>
      <c r="E23" s="270">
        <f>'GROSS PLANT'!G42</f>
        <v>0.27562257965004799</v>
      </c>
      <c r="F23" s="270">
        <f>'GROSS PLANT'!H42</f>
        <v>8.5369540166802087E-3</v>
      </c>
      <c r="G23" s="270">
        <f>'GROSS PLANT'!I42</f>
        <v>0</v>
      </c>
      <c r="H23" s="149">
        <f t="shared" si="0"/>
        <v>1</v>
      </c>
      <c r="I23" s="58"/>
      <c r="J23" s="57"/>
    </row>
    <row r="24" spans="1:10" s="56" customFormat="1" ht="15" customHeight="1">
      <c r="A24" s="146" t="s">
        <v>196</v>
      </c>
      <c r="B24" s="146" t="s">
        <v>197</v>
      </c>
      <c r="C24" s="270">
        <f>GP!E34</f>
        <v>0.41510776446432096</v>
      </c>
      <c r="D24" s="270">
        <f>GP!F34</f>
        <v>0.58489223553567904</v>
      </c>
      <c r="E24" s="270">
        <f>GP!G34</f>
        <v>0</v>
      </c>
      <c r="F24" s="270">
        <f>GP!H34</f>
        <v>0</v>
      </c>
      <c r="G24" s="270">
        <f>GP!I34</f>
        <v>0</v>
      </c>
      <c r="H24" s="149">
        <f t="shared" si="0"/>
        <v>1</v>
      </c>
      <c r="I24" s="58"/>
      <c r="J24" s="57"/>
    </row>
    <row r="25" spans="1:10" s="56" customFormat="1" ht="15" customHeight="1">
      <c r="A25" s="146" t="s">
        <v>14</v>
      </c>
      <c r="B25" s="146" t="s">
        <v>15</v>
      </c>
      <c r="C25" s="270">
        <f>GP!E35</f>
        <v>0</v>
      </c>
      <c r="D25" s="270">
        <f>GP!F35</f>
        <v>0.28702771771573571</v>
      </c>
      <c r="E25" s="270">
        <f>GP!G35</f>
        <v>0.71297228228426435</v>
      </c>
      <c r="F25" s="270">
        <f>GP!H35</f>
        <v>0</v>
      </c>
      <c r="G25" s="270">
        <f>GP!I35</f>
        <v>0</v>
      </c>
      <c r="H25" s="149">
        <f t="shared" si="0"/>
        <v>1</v>
      </c>
      <c r="I25" s="58"/>
      <c r="J25" s="57"/>
    </row>
    <row r="26" spans="1:10" s="56" customFormat="1" ht="15" customHeight="1">
      <c r="A26" s="146" t="s">
        <v>198</v>
      </c>
      <c r="B26" s="146" t="s">
        <v>136</v>
      </c>
      <c r="C26" s="270">
        <f>IP!D35</f>
        <v>0.47680270897757265</v>
      </c>
      <c r="D26" s="270">
        <f>IP!E35</f>
        <v>0.16202849879389905</v>
      </c>
      <c r="E26" s="270">
        <f>IP!F35</f>
        <v>0.12845475255307834</v>
      </c>
      <c r="F26" s="270">
        <f>IP!G35</f>
        <v>0.23271403967545012</v>
      </c>
      <c r="G26" s="270">
        <f>IP!H35</f>
        <v>0</v>
      </c>
      <c r="H26" s="149">
        <f t="shared" si="0"/>
        <v>1</v>
      </c>
      <c r="I26" s="58"/>
      <c r="J26" s="57"/>
    </row>
    <row r="27" spans="1:10" s="56" customFormat="1" ht="15" customHeight="1">
      <c r="A27" s="146" t="s">
        <v>201</v>
      </c>
      <c r="B27" s="146" t="s">
        <v>202</v>
      </c>
      <c r="C27" s="270">
        <v>1</v>
      </c>
      <c r="D27" s="270">
        <v>0</v>
      </c>
      <c r="E27" s="270">
        <v>0</v>
      </c>
      <c r="F27" s="270">
        <v>0</v>
      </c>
      <c r="G27" s="270">
        <v>0</v>
      </c>
      <c r="H27" s="149">
        <f t="shared" si="0"/>
        <v>1</v>
      </c>
      <c r="I27" s="58"/>
      <c r="J27" s="57"/>
    </row>
    <row r="28" spans="1:10" s="56" customFormat="1" ht="15" customHeight="1">
      <c r="A28" s="146" t="s">
        <v>203</v>
      </c>
      <c r="B28" s="146" t="s">
        <v>204</v>
      </c>
      <c r="C28" s="270">
        <v>1</v>
      </c>
      <c r="D28" s="270">
        <v>0</v>
      </c>
      <c r="E28" s="270">
        <v>0</v>
      </c>
      <c r="F28" s="270">
        <v>0</v>
      </c>
      <c r="G28" s="270">
        <v>0</v>
      </c>
      <c r="H28" s="149">
        <f t="shared" si="0"/>
        <v>1</v>
      </c>
      <c r="I28" s="58"/>
      <c r="J28" s="57"/>
    </row>
    <row r="29" spans="1:10" s="56" customFormat="1" ht="15" customHeight="1">
      <c r="A29" s="146" t="s">
        <v>205</v>
      </c>
      <c r="B29" s="146" t="s">
        <v>206</v>
      </c>
      <c r="C29" s="270">
        <f>IP!D33</f>
        <v>0.82147392776643424</v>
      </c>
      <c r="D29" s="270">
        <f>IP!E33</f>
        <v>0.17852607223356587</v>
      </c>
      <c r="E29" s="270">
        <f>IP!F33</f>
        <v>0</v>
      </c>
      <c r="F29" s="270">
        <f>IP!G33</f>
        <v>0</v>
      </c>
      <c r="G29" s="270">
        <f>IP!H33</f>
        <v>0</v>
      </c>
      <c r="H29" s="149">
        <f t="shared" si="0"/>
        <v>1</v>
      </c>
      <c r="I29" s="58"/>
      <c r="J29" s="57"/>
    </row>
    <row r="30" spans="1:10" s="56" customFormat="1" ht="15" customHeight="1">
      <c r="A30" s="146" t="s">
        <v>20</v>
      </c>
      <c r="B30" s="146" t="s">
        <v>21</v>
      </c>
      <c r="C30" s="270">
        <f>IP!D34</f>
        <v>0</v>
      </c>
      <c r="D30" s="270">
        <f>IP!E34</f>
        <v>0.10997414261047941</v>
      </c>
      <c r="E30" s="270">
        <f>IP!F34</f>
        <v>0.89002585738952034</v>
      </c>
      <c r="F30" s="270">
        <f>IP!G34</f>
        <v>0</v>
      </c>
      <c r="G30" s="270">
        <f>IP!H34</f>
        <v>0</v>
      </c>
      <c r="H30" s="149">
        <f t="shared" si="0"/>
        <v>1</v>
      </c>
      <c r="I30" s="58"/>
      <c r="J30" s="57"/>
    </row>
    <row r="31" spans="1:10" s="56" customFormat="1" ht="15" customHeight="1">
      <c r="A31" s="146" t="s">
        <v>102</v>
      </c>
      <c r="B31" s="146" t="s">
        <v>207</v>
      </c>
      <c r="C31" s="270">
        <f>'FORM 1'!C25</f>
        <v>0.43435191300617138</v>
      </c>
      <c r="D31" s="270">
        <f>'FORM 1'!D25</f>
        <v>9.1865268433291722E-2</v>
      </c>
      <c r="E31" s="270">
        <f>'FORM 1'!E25</f>
        <v>0.35567736073799106</v>
      </c>
      <c r="F31" s="270">
        <f>'FORM 1'!F25</f>
        <v>0.11810545782254585</v>
      </c>
      <c r="G31" s="270">
        <f>'FORM 1'!G25</f>
        <v>0</v>
      </c>
      <c r="H31" s="149">
        <f t="shared" si="0"/>
        <v>1</v>
      </c>
      <c r="I31" s="58"/>
      <c r="J31" s="57"/>
    </row>
    <row r="32" spans="1:10" s="56" customFormat="1" ht="15" customHeight="1">
      <c r="A32" s="146" t="s">
        <v>208</v>
      </c>
      <c r="B32" s="146" t="s">
        <v>209</v>
      </c>
      <c r="C32" s="270">
        <f>'FORM 1'!C32</f>
        <v>0.80812012836444991</v>
      </c>
      <c r="D32" s="270">
        <f>'FORM 1'!D32</f>
        <v>1.0405681394210343E-2</v>
      </c>
      <c r="E32" s="270">
        <f>'FORM 1'!E32</f>
        <v>0.18147419024133971</v>
      </c>
      <c r="F32" s="270">
        <f>'FORM 1'!F32</f>
        <v>0</v>
      </c>
      <c r="G32" s="270">
        <f>'FORM 1'!G32</f>
        <v>0</v>
      </c>
      <c r="H32" s="149">
        <f t="shared" si="0"/>
        <v>1</v>
      </c>
      <c r="I32" s="58"/>
      <c r="J32" s="57"/>
    </row>
    <row r="33" spans="1:10" s="56" customFormat="1" ht="15" customHeight="1">
      <c r="A33" s="146" t="s">
        <v>214</v>
      </c>
      <c r="B33" s="146" t="s">
        <v>215</v>
      </c>
      <c r="C33" s="270">
        <f>C37</f>
        <v>0.14858463134973188</v>
      </c>
      <c r="D33" s="270">
        <f>D37</f>
        <v>0.85141536865026812</v>
      </c>
      <c r="E33" s="270">
        <f>E37</f>
        <v>0</v>
      </c>
      <c r="F33" s="270">
        <f>F37</f>
        <v>0</v>
      </c>
      <c r="G33" s="270">
        <f>G37</f>
        <v>0</v>
      </c>
      <c r="H33" s="149">
        <f t="shared" ref="H33:H60" si="2">ROUND(SUM(C33:G33),4)</f>
        <v>1</v>
      </c>
      <c r="I33" s="58"/>
      <c r="J33" s="57"/>
    </row>
    <row r="34" spans="1:10" s="56" customFormat="1" ht="15" customHeight="1">
      <c r="A34" s="146" t="s">
        <v>216</v>
      </c>
      <c r="B34" s="146" t="s">
        <v>217</v>
      </c>
      <c r="C34" s="270">
        <f>C37</f>
        <v>0.14858463134973188</v>
      </c>
      <c r="D34" s="270">
        <f>D37</f>
        <v>0.85141536865026812</v>
      </c>
      <c r="E34" s="270">
        <f>E37</f>
        <v>0</v>
      </c>
      <c r="F34" s="270">
        <f>F37</f>
        <v>0</v>
      </c>
      <c r="G34" s="270">
        <f>G37</f>
        <v>0</v>
      </c>
      <c r="H34" s="149">
        <f t="shared" si="2"/>
        <v>1</v>
      </c>
      <c r="I34" s="58"/>
      <c r="J34" s="57"/>
    </row>
    <row r="35" spans="1:10" s="56" customFormat="1" ht="15" customHeight="1">
      <c r="A35" s="146" t="s">
        <v>218</v>
      </c>
      <c r="B35" s="146" t="s">
        <v>219</v>
      </c>
      <c r="C35" s="270">
        <f>'ELEC OPS'!E25</f>
        <v>0</v>
      </c>
      <c r="D35" s="270">
        <f>'ELEC OPS'!F25</f>
        <v>1</v>
      </c>
      <c r="E35" s="270">
        <f>'ELEC OPS'!G25</f>
        <v>0</v>
      </c>
      <c r="F35" s="270">
        <f>'ELEC OPS'!H25</f>
        <v>0</v>
      </c>
      <c r="G35" s="270">
        <f>'ELEC OPS'!I25</f>
        <v>0</v>
      </c>
      <c r="H35" s="149">
        <f t="shared" si="2"/>
        <v>1</v>
      </c>
      <c r="I35" s="58"/>
      <c r="J35" s="57"/>
    </row>
    <row r="36" spans="1:10" s="56" customFormat="1" ht="15" customHeight="1">
      <c r="A36" s="146" t="s">
        <v>220</v>
      </c>
      <c r="B36" s="146" t="s">
        <v>221</v>
      </c>
      <c r="C36" s="270">
        <f>'ELEC OPS'!E26</f>
        <v>0.14858463134973188</v>
      </c>
      <c r="D36" s="270">
        <f>'ELEC OPS'!F26</f>
        <v>0.85141536865026812</v>
      </c>
      <c r="E36" s="270">
        <f>'ELEC OPS'!G26</f>
        <v>0</v>
      </c>
      <c r="F36" s="270">
        <f>'ELEC OPS'!H26</f>
        <v>0</v>
      </c>
      <c r="G36" s="270">
        <f>'ELEC OPS'!I26</f>
        <v>0</v>
      </c>
      <c r="H36" s="149">
        <f t="shared" si="2"/>
        <v>1</v>
      </c>
      <c r="I36" s="58"/>
      <c r="J36" s="57"/>
    </row>
    <row r="37" spans="1:10" s="56" customFormat="1" ht="15" customHeight="1">
      <c r="A37" s="146" t="s">
        <v>222</v>
      </c>
      <c r="B37" s="146" t="s">
        <v>223</v>
      </c>
      <c r="C37" s="270">
        <f>+C36</f>
        <v>0.14858463134973188</v>
      </c>
      <c r="D37" s="270">
        <f>+D36</f>
        <v>0.85141536865026812</v>
      </c>
      <c r="E37" s="270">
        <f>+E36</f>
        <v>0</v>
      </c>
      <c r="F37" s="270">
        <f>+F36</f>
        <v>0</v>
      </c>
      <c r="G37" s="270">
        <f>+G36</f>
        <v>0</v>
      </c>
      <c r="H37" s="149">
        <f t="shared" si="2"/>
        <v>1</v>
      </c>
      <c r="I37" s="58"/>
      <c r="J37" s="57"/>
    </row>
    <row r="38" spans="1:10" s="56" customFormat="1" ht="15" customHeight="1">
      <c r="A38" s="146" t="s">
        <v>54</v>
      </c>
      <c r="B38" s="146" t="s">
        <v>55</v>
      </c>
      <c r="C38" s="270">
        <f>'ELEC OPS'!E23</f>
        <v>5.0503605445328323E-2</v>
      </c>
      <c r="D38" s="270">
        <f>'ELEC OPS'!F23</f>
        <v>0.94949639455467172</v>
      </c>
      <c r="E38" s="270">
        <f>'ELEC OPS'!G23</f>
        <v>0</v>
      </c>
      <c r="F38" s="270">
        <f>'ELEC OPS'!H23</f>
        <v>0</v>
      </c>
      <c r="G38" s="270">
        <f>'ELEC OPS'!I23</f>
        <v>0</v>
      </c>
      <c r="H38" s="149">
        <f t="shared" si="2"/>
        <v>1</v>
      </c>
      <c r="I38" s="58"/>
      <c r="J38" s="57"/>
    </row>
    <row r="39" spans="1:10" s="56" customFormat="1" ht="15" customHeight="1">
      <c r="A39" s="146" t="s">
        <v>224</v>
      </c>
      <c r="B39" s="146" t="s">
        <v>225</v>
      </c>
      <c r="C39" s="270">
        <f>IFERROR('ELEC OPS'!E27,0)</f>
        <v>0</v>
      </c>
      <c r="D39" s="270">
        <f>IFERROR('ELEC OPS'!F27,0)</f>
        <v>0</v>
      </c>
      <c r="E39" s="270">
        <f>IFERROR('ELEC OPS'!G27,0)</f>
        <v>0</v>
      </c>
      <c r="F39" s="270">
        <f>IFERROR('ELEC OPS'!H27,0)</f>
        <v>0</v>
      </c>
      <c r="G39" s="270">
        <f>IFERROR('ELEC OPS'!I27,1)</f>
        <v>1</v>
      </c>
      <c r="H39" s="149">
        <f t="shared" si="2"/>
        <v>1</v>
      </c>
      <c r="I39" s="58"/>
      <c r="J39" s="57"/>
    </row>
    <row r="40" spans="1:10" s="56" customFormat="1" ht="15" customHeight="1">
      <c r="A40" s="146" t="s">
        <v>68</v>
      </c>
      <c r="B40" s="146" t="s">
        <v>63</v>
      </c>
      <c r="C40" s="270">
        <f>'FORM 1'!C13</f>
        <v>1</v>
      </c>
      <c r="D40" s="270">
        <f>'FORM 1'!D13</f>
        <v>0</v>
      </c>
      <c r="E40" s="270">
        <f>'FORM 1'!E13</f>
        <v>0</v>
      </c>
      <c r="F40" s="270">
        <f>'FORM 1'!F13</f>
        <v>0</v>
      </c>
      <c r="G40" s="270">
        <f>'FORM 1'!G13</f>
        <v>0</v>
      </c>
      <c r="H40" s="149">
        <f t="shared" si="2"/>
        <v>1</v>
      </c>
      <c r="I40" s="58"/>
      <c r="J40" s="57"/>
    </row>
    <row r="41" spans="1:10" s="58" customFormat="1" ht="15" customHeight="1">
      <c r="A41" s="146" t="s">
        <v>226</v>
      </c>
      <c r="B41" s="146" t="s">
        <v>227</v>
      </c>
      <c r="C41" s="270">
        <f>'SCH M'!F67</f>
        <v>0.38068597198084148</v>
      </c>
      <c r="D41" s="270">
        <f>'SCH M'!G67</f>
        <v>0.24007869617595171</v>
      </c>
      <c r="E41" s="270">
        <f>'SCH M'!H67</f>
        <v>0.36914750812371677</v>
      </c>
      <c r="F41" s="270">
        <f>'SCH M'!I67</f>
        <v>9.2855088955275736E-3</v>
      </c>
      <c r="G41" s="270">
        <f>'SCH M'!J67</f>
        <v>8.0231482396220363E-4</v>
      </c>
      <c r="H41" s="149">
        <f t="shared" si="2"/>
        <v>1</v>
      </c>
      <c r="I41" s="99"/>
      <c r="J41" s="59"/>
    </row>
    <row r="42" spans="1:10" s="58" customFormat="1" ht="15" customHeight="1">
      <c r="A42" s="146" t="s">
        <v>154</v>
      </c>
      <c r="B42" s="146" t="s">
        <v>228</v>
      </c>
      <c r="C42" s="270">
        <v>1</v>
      </c>
      <c r="D42" s="270">
        <v>0</v>
      </c>
      <c r="E42" s="270">
        <v>0</v>
      </c>
      <c r="F42" s="270">
        <v>0</v>
      </c>
      <c r="G42" s="270">
        <v>0</v>
      </c>
      <c r="H42" s="149">
        <f t="shared" si="2"/>
        <v>1</v>
      </c>
      <c r="J42" s="59"/>
    </row>
    <row r="43" spans="1:10" s="58" customFormat="1" ht="15" customHeight="1">
      <c r="A43" s="146" t="s">
        <v>148</v>
      </c>
      <c r="B43" s="146" t="s">
        <v>229</v>
      </c>
      <c r="C43" s="270">
        <f>'SCH M'!F16</f>
        <v>0.47599417147698925</v>
      </c>
      <c r="D43" s="270">
        <f>'SCH M'!G16</f>
        <v>8.5102269776439643E-2</v>
      </c>
      <c r="E43" s="270">
        <f>'SCH M'!H16</f>
        <v>0.32949286736016514</v>
      </c>
      <c r="F43" s="270">
        <f>'SCH M'!I16</f>
        <v>0.10941069138640583</v>
      </c>
      <c r="G43" s="270">
        <f>'SCH M'!J16</f>
        <v>0</v>
      </c>
      <c r="H43" s="149">
        <f t="shared" si="2"/>
        <v>1</v>
      </c>
      <c r="I43" s="99"/>
      <c r="J43" s="59"/>
    </row>
    <row r="44" spans="1:10" s="58" customFormat="1" ht="15" customHeight="1">
      <c r="A44" s="146" t="s">
        <v>22</v>
      </c>
      <c r="B44" s="146" t="s">
        <v>23</v>
      </c>
      <c r="C44" s="270">
        <f>'SCH M'!F15</f>
        <v>0.4225679885023913</v>
      </c>
      <c r="D44" s="270">
        <f>'SCH M'!G15</f>
        <v>9.3779061501152325E-2</v>
      </c>
      <c r="E44" s="270">
        <f>'SCH M'!H15</f>
        <v>0.36308704754328908</v>
      </c>
      <c r="F44" s="270">
        <f>'SCH M'!I15</f>
        <v>0.1205659024531673</v>
      </c>
      <c r="G44" s="270">
        <f>'SCH M'!J15</f>
        <v>0</v>
      </c>
      <c r="H44" s="149">
        <f t="shared" si="2"/>
        <v>1</v>
      </c>
      <c r="J44" s="59"/>
    </row>
    <row r="45" spans="1:10" s="56" customFormat="1" ht="15" customHeight="1">
      <c r="A45" s="146" t="s">
        <v>151</v>
      </c>
      <c r="B45" s="146" t="s">
        <v>230</v>
      </c>
      <c r="C45" s="270">
        <f>+'SCH M'!F$59</f>
        <v>0.38058397943252459</v>
      </c>
      <c r="D45" s="270">
        <f>+'SCH M'!G$59</f>
        <v>0.24024454172482476</v>
      </c>
      <c r="E45" s="270">
        <f>+'SCH M'!H$59</f>
        <v>0.36918994390453569</v>
      </c>
      <c r="F45" s="270">
        <f>+'SCH M'!I$59</f>
        <v>9.1783615297507688E-3</v>
      </c>
      <c r="G45" s="270">
        <f>+'SCH M'!J$59</f>
        <v>8.0317340836397557E-4</v>
      </c>
      <c r="H45" s="149">
        <f t="shared" si="2"/>
        <v>1</v>
      </c>
      <c r="I45" s="58"/>
      <c r="J45" s="62"/>
    </row>
    <row r="46" spans="1:10" s="56" customFormat="1" ht="15" customHeight="1">
      <c r="A46" s="146" t="s">
        <v>24</v>
      </c>
      <c r="B46" s="146" t="s">
        <v>25</v>
      </c>
      <c r="C46" s="270">
        <f>'SCH M'!F54</f>
        <v>0.4668939023498978</v>
      </c>
      <c r="D46" s="270">
        <f>'SCH M'!G54</f>
        <v>0.24894656398337414</v>
      </c>
      <c r="E46" s="270">
        <f>'SCH M'!H54</f>
        <v>0.27562257965004799</v>
      </c>
      <c r="F46" s="270">
        <f>'SCH M'!I54</f>
        <v>8.5369540166802087E-3</v>
      </c>
      <c r="G46" s="270">
        <f>'SCH M'!J54</f>
        <v>0</v>
      </c>
      <c r="H46" s="148">
        <v>0</v>
      </c>
      <c r="I46" s="58"/>
      <c r="J46" s="62"/>
    </row>
    <row r="47" spans="1:10" s="56" customFormat="1" ht="15" customHeight="1">
      <c r="A47" s="146" t="s">
        <v>26</v>
      </c>
      <c r="B47" s="146" t="s">
        <v>27</v>
      </c>
      <c r="C47" s="270">
        <f>'SCH M'!F55</f>
        <v>0.99859212457887603</v>
      </c>
      <c r="D47" s="270">
        <f>'SCH M'!G55</f>
        <v>2.2864897178306336E-4</v>
      </c>
      <c r="E47" s="270">
        <f>'SCH M'!H55</f>
        <v>8.8526669769990371E-4</v>
      </c>
      <c r="F47" s="270">
        <f>'SCH M'!I55</f>
        <v>2.9395975164109615E-4</v>
      </c>
      <c r="G47" s="270">
        <f>'SCH M'!J55</f>
        <v>0</v>
      </c>
      <c r="H47" s="149">
        <f t="shared" si="2"/>
        <v>1</v>
      </c>
      <c r="I47" s="58"/>
      <c r="J47" s="62"/>
    </row>
    <row r="48" spans="1:10" s="56" customFormat="1" ht="15" customHeight="1">
      <c r="A48" s="146" t="s">
        <v>32</v>
      </c>
      <c r="B48" s="146" t="s">
        <v>33</v>
      </c>
      <c r="C48" s="270">
        <f>'SCH M'!F57</f>
        <v>0.84933535046262032</v>
      </c>
      <c r="D48" s="270">
        <f>'SCH M'!G57</f>
        <v>0.1018935071198758</v>
      </c>
      <c r="E48" s="270">
        <f>'SCH M'!H57</f>
        <v>5.7732203126055044E-2</v>
      </c>
      <c r="F48" s="270">
        <f>'SCH M'!I57</f>
        <v>-8.9610607085511013E-3</v>
      </c>
      <c r="G48" s="270">
        <f>'SCH M'!J57</f>
        <v>0</v>
      </c>
      <c r="H48" s="149">
        <f t="shared" si="2"/>
        <v>1</v>
      </c>
      <c r="I48" s="58"/>
      <c r="J48" s="62"/>
    </row>
    <row r="49" spans="1:10" s="56" customFormat="1" ht="15" customHeight="1">
      <c r="A49" s="146" t="s">
        <v>28</v>
      </c>
      <c r="B49" s="146" t="s">
        <v>29</v>
      </c>
      <c r="C49" s="270">
        <f>'SCH M'!F56</f>
        <v>0.47767212053881636</v>
      </c>
      <c r="D49" s="270">
        <f>'SCH M'!G56</f>
        <v>0.24780907213945125</v>
      </c>
      <c r="E49" s="270">
        <f>'SCH M'!H56</f>
        <v>0.27441819281079116</v>
      </c>
      <c r="F49" s="270">
        <f>'SCH M'!I56</f>
        <v>1.0061451094121342E-4</v>
      </c>
      <c r="G49" s="270">
        <f>'SCH M'!J56</f>
        <v>0</v>
      </c>
      <c r="H49" s="149">
        <f t="shared" si="2"/>
        <v>1</v>
      </c>
      <c r="I49" s="58"/>
      <c r="J49" s="62"/>
    </row>
    <row r="50" spans="1:10" s="56" customFormat="1" ht="15" customHeight="1">
      <c r="A50" s="146" t="s">
        <v>30</v>
      </c>
      <c r="B50" s="146" t="s">
        <v>31</v>
      </c>
      <c r="C50" s="270">
        <f>'SCH M'!F58</f>
        <v>0.43328077377736252</v>
      </c>
      <c r="D50" s="270">
        <f>'SCH M'!G58</f>
        <v>8.8021130532905945E-2</v>
      </c>
      <c r="E50" s="270">
        <f>'SCH M'!H58</f>
        <v>0.35768099177714996</v>
      </c>
      <c r="F50" s="270">
        <f>'SCH M'!I58</f>
        <v>0.12101710391258166</v>
      </c>
      <c r="G50" s="270">
        <f>'SCH M'!J58</f>
        <v>0</v>
      </c>
      <c r="H50" s="149">
        <f t="shared" si="2"/>
        <v>1</v>
      </c>
      <c r="I50" s="58"/>
      <c r="J50" s="62"/>
    </row>
    <row r="51" spans="1:10" s="56" customFormat="1" ht="15" customHeight="1">
      <c r="A51" s="146" t="s">
        <v>231</v>
      </c>
      <c r="B51" s="146" t="s">
        <v>232</v>
      </c>
      <c r="C51" s="270">
        <f>+'SCH M'!F$138</f>
        <v>0.63237127865320542</v>
      </c>
      <c r="D51" s="270">
        <f>+'SCH M'!G$138</f>
        <v>0.21352982350184793</v>
      </c>
      <c r="E51" s="270">
        <f>+'SCH M'!H$138</f>
        <v>0.15750123573420605</v>
      </c>
      <c r="F51" s="270">
        <f>+'SCH M'!I$138</f>
        <v>-2.6673522913290243E-3</v>
      </c>
      <c r="G51" s="270">
        <f>+'SCH M'!J$138</f>
        <v>-7.349855979303907E-4</v>
      </c>
      <c r="H51" s="149">
        <f t="shared" si="2"/>
        <v>1</v>
      </c>
      <c r="I51" s="58"/>
      <c r="J51" s="62"/>
    </row>
    <row r="52" spans="1:10" s="56" customFormat="1" ht="15" customHeight="1">
      <c r="A52" s="146" t="s">
        <v>161</v>
      </c>
      <c r="B52" s="146" t="s">
        <v>233</v>
      </c>
      <c r="C52" s="270">
        <v>1</v>
      </c>
      <c r="D52" s="270">
        <v>0</v>
      </c>
      <c r="E52" s="270">
        <v>0</v>
      </c>
      <c r="F52" s="270">
        <v>0</v>
      </c>
      <c r="G52" s="270">
        <v>0</v>
      </c>
      <c r="H52" s="149">
        <f t="shared" si="2"/>
        <v>1</v>
      </c>
      <c r="I52" s="58"/>
      <c r="J52" s="62"/>
    </row>
    <row r="53" spans="1:10" s="56" customFormat="1" ht="15" customHeight="1">
      <c r="A53" s="146" t="s">
        <v>156</v>
      </c>
      <c r="B53" s="146" t="s">
        <v>0</v>
      </c>
      <c r="C53" s="270">
        <f>'SCH M'!F79</f>
        <v>0.99301112143821302</v>
      </c>
      <c r="D53" s="270">
        <f>'SCH M'!G79</f>
        <v>3.3163824309935855E-3</v>
      </c>
      <c r="E53" s="270">
        <f>'SCH M'!H79</f>
        <v>3.6724961307933466E-3</v>
      </c>
      <c r="F53" s="270">
        <f>'SCH M'!I79</f>
        <v>0</v>
      </c>
      <c r="G53" s="270">
        <f>'SCH M'!J79</f>
        <v>0</v>
      </c>
      <c r="H53" s="149">
        <f t="shared" si="2"/>
        <v>1</v>
      </c>
      <c r="I53" s="58"/>
      <c r="J53" s="62"/>
    </row>
    <row r="54" spans="1:10" s="56" customFormat="1" ht="15" customHeight="1">
      <c r="A54" s="146" t="s">
        <v>34</v>
      </c>
      <c r="B54" s="146" t="s">
        <v>35</v>
      </c>
      <c r="C54" s="270" t="str">
        <f>'SCH M'!F78</f>
        <v xml:space="preserve"> </v>
      </c>
      <c r="D54" s="270" t="str">
        <f>'SCH M'!G78</f>
        <v xml:space="preserve"> </v>
      </c>
      <c r="E54" s="270" t="str">
        <f>'SCH M'!H78</f>
        <v xml:space="preserve"> </v>
      </c>
      <c r="F54" s="270" t="str">
        <f>'SCH M'!I78</f>
        <v xml:space="preserve"> </v>
      </c>
      <c r="G54" s="270" t="str">
        <f>'SCH M'!J78</f>
        <v xml:space="preserve"> </v>
      </c>
      <c r="H54" s="149">
        <f t="shared" si="2"/>
        <v>0</v>
      </c>
      <c r="I54" s="58"/>
      <c r="J54" s="62"/>
    </row>
    <row r="55" spans="1:10" s="56" customFormat="1" ht="15" customHeight="1">
      <c r="A55" s="146" t="s">
        <v>158</v>
      </c>
      <c r="B55" s="146" t="s">
        <v>1</v>
      </c>
      <c r="C55" s="270">
        <f>'SCH M'!F131</f>
        <v>0.63099749367460201</v>
      </c>
      <c r="D55" s="270">
        <f>'SCH M'!G131</f>
        <v>0.21433058934461649</v>
      </c>
      <c r="E55" s="270">
        <f>'SCH M'!H131</f>
        <v>0.15808721539222914</v>
      </c>
      <c r="F55" s="270">
        <f>'SCH M'!I131</f>
        <v>-2.6775130336423895E-3</v>
      </c>
      <c r="G55" s="270">
        <f>'SCH M'!J131</f>
        <v>-7.3778537780531841E-4</v>
      </c>
      <c r="H55" s="149">
        <f t="shared" si="2"/>
        <v>1</v>
      </c>
      <c r="I55" s="58"/>
      <c r="J55" s="62"/>
    </row>
    <row r="56" spans="1:10" s="56" customFormat="1" ht="15" customHeight="1">
      <c r="A56" s="146" t="s">
        <v>36</v>
      </c>
      <c r="B56" s="146" t="s">
        <v>37</v>
      </c>
      <c r="C56" s="270">
        <f>'SCH M'!F122</f>
        <v>0.47780066505165375</v>
      </c>
      <c r="D56" s="270">
        <f>'SCH M'!G122</f>
        <v>0.24779550604416806</v>
      </c>
      <c r="E56" s="270">
        <f>'SCH M'!H122</f>
        <v>0.27440382890417819</v>
      </c>
      <c r="F56" s="270">
        <f>'SCH M'!I122</f>
        <v>0</v>
      </c>
      <c r="G56" s="270">
        <f>'SCH M'!J122</f>
        <v>0</v>
      </c>
      <c r="H56" s="149">
        <f t="shared" si="2"/>
        <v>1</v>
      </c>
      <c r="I56" s="58"/>
      <c r="J56" s="62"/>
    </row>
    <row r="57" spans="1:10" s="56" customFormat="1" ht="15" customHeight="1">
      <c r="A57" s="146" t="s">
        <v>38</v>
      </c>
      <c r="B57" s="146" t="s">
        <v>39</v>
      </c>
      <c r="C57" s="270">
        <f>'SCH M'!F124</f>
        <v>0.99581259335135797</v>
      </c>
      <c r="D57" s="270">
        <f>'SCH M'!G124</f>
        <v>4.1874066486420084E-3</v>
      </c>
      <c r="E57" s="270">
        <f>'SCH M'!H124</f>
        <v>0</v>
      </c>
      <c r="F57" s="270">
        <f>'SCH M'!I124</f>
        <v>0</v>
      </c>
      <c r="G57" s="270">
        <f>'SCH M'!J124</f>
        <v>0</v>
      </c>
      <c r="H57" s="149">
        <f t="shared" si="2"/>
        <v>1</v>
      </c>
      <c r="I57" s="58"/>
      <c r="J57" s="62"/>
    </row>
    <row r="58" spans="1:10" s="56" customFormat="1" ht="15" customHeight="1">
      <c r="A58" s="146" t="s">
        <v>44</v>
      </c>
      <c r="B58" s="146" t="s">
        <v>45</v>
      </c>
      <c r="C58" s="270">
        <f>'SCH M'!F130</f>
        <v>1.3721024869373188</v>
      </c>
      <c r="D58" s="270">
        <f>'SCH M'!G130</f>
        <v>-6.3560480816032647E-2</v>
      </c>
      <c r="E58" s="270">
        <f>'SCH M'!H130</f>
        <v>-0.21408341323959712</v>
      </c>
      <c r="F58" s="270">
        <f>'SCH M'!I130</f>
        <v>-9.0621417474648067E-2</v>
      </c>
      <c r="G58" s="270">
        <f>'SCH M'!J130</f>
        <v>-3.8371754070407656E-3</v>
      </c>
      <c r="H58" s="149">
        <f t="shared" si="2"/>
        <v>1</v>
      </c>
      <c r="I58" s="58"/>
      <c r="J58" s="62"/>
    </row>
    <row r="59" spans="1:10" s="56" customFormat="1" ht="15" customHeight="1">
      <c r="A59" s="146" t="s">
        <v>40</v>
      </c>
      <c r="B59" s="146" t="s">
        <v>41</v>
      </c>
      <c r="C59" s="270">
        <f>'SCH M'!F126</f>
        <v>0.47780066505165375</v>
      </c>
      <c r="D59" s="270">
        <f>'SCH M'!G126</f>
        <v>0.24779550604416803</v>
      </c>
      <c r="E59" s="270">
        <f>'SCH M'!H126</f>
        <v>0.27440382890417819</v>
      </c>
      <c r="F59" s="270">
        <f>'SCH M'!I126</f>
        <v>0</v>
      </c>
      <c r="G59" s="270">
        <f>'SCH M'!J126</f>
        <v>0</v>
      </c>
      <c r="H59" s="149">
        <f t="shared" si="2"/>
        <v>1</v>
      </c>
      <c r="I59" s="58"/>
      <c r="J59" s="62"/>
    </row>
    <row r="60" spans="1:10" s="56" customFormat="1" ht="15" customHeight="1">
      <c r="A60" s="146" t="s">
        <v>42</v>
      </c>
      <c r="B60" s="146" t="s">
        <v>43</v>
      </c>
      <c r="C60" s="270">
        <f>'SCH M'!F127</f>
        <v>0.34605293884612948</v>
      </c>
      <c r="D60" s="270">
        <f>'SCH M'!G127</f>
        <v>-0.19466012028449931</v>
      </c>
      <c r="E60" s="270">
        <f>'SCH M'!H127</f>
        <v>0.52260385203020454</v>
      </c>
      <c r="F60" s="270">
        <f>'SCH M'!I127</f>
        <v>0.32600332940816534</v>
      </c>
      <c r="G60" s="270">
        <f>'SCH M'!J127</f>
        <v>0</v>
      </c>
      <c r="H60" s="149">
        <f t="shared" si="2"/>
        <v>1</v>
      </c>
      <c r="I60" s="99"/>
      <c r="J60" s="62"/>
    </row>
    <row r="61" spans="1:10" s="56" customFormat="1" ht="15" customHeight="1">
      <c r="A61" s="146" t="s">
        <v>69</v>
      </c>
      <c r="B61" s="146" t="s">
        <v>64</v>
      </c>
      <c r="C61" s="270">
        <f>'FORM 1'!C14</f>
        <v>0</v>
      </c>
      <c r="D61" s="270">
        <f>'FORM 1'!D14</f>
        <v>1</v>
      </c>
      <c r="E61" s="270">
        <f>'FORM 1'!E14</f>
        <v>0</v>
      </c>
      <c r="F61" s="270">
        <f>'FORM 1'!F14</f>
        <v>0</v>
      </c>
      <c r="G61" s="270">
        <f>'FORM 1'!G14</f>
        <v>0</v>
      </c>
      <c r="H61" s="149">
        <f>ROUND(SUM(C61:G61),4)</f>
        <v>1</v>
      </c>
      <c r="I61" s="58"/>
      <c r="J61" s="62"/>
    </row>
    <row r="62" spans="1:10" s="56" customFormat="1" ht="15" customHeight="1">
      <c r="A62" s="146" t="s">
        <v>238</v>
      </c>
      <c r="B62" s="146" t="s">
        <v>245</v>
      </c>
      <c r="C62" s="270">
        <f>+'TAX DEPR'!C$24</f>
        <v>0.60133343528186556</v>
      </c>
      <c r="D62" s="270">
        <f>+'TAX DEPR'!D$24</f>
        <v>0.21011643749428602</v>
      </c>
      <c r="E62" s="270">
        <f>+'TAX DEPR'!E$24</f>
        <v>0.18011830527052647</v>
      </c>
      <c r="F62" s="270">
        <f>+'TAX DEPR'!F$24</f>
        <v>8.4318219533218528E-3</v>
      </c>
      <c r="G62" s="270">
        <f>+'TAX DEPR'!G$24</f>
        <v>0</v>
      </c>
      <c r="H62" s="149">
        <f>ROUND(SUM(C62:G62),4)</f>
        <v>1</v>
      </c>
      <c r="I62" s="92"/>
      <c r="J62" s="62"/>
    </row>
    <row r="63" spans="1:10" s="56" customFormat="1" ht="15" customHeight="1">
      <c r="A63" s="146" t="s">
        <v>96</v>
      </c>
      <c r="B63" s="146" t="s">
        <v>2</v>
      </c>
      <c r="C63" s="270">
        <f>'FORM 1'!C18</f>
        <v>0</v>
      </c>
      <c r="D63" s="270">
        <f>'FORM 1'!D18</f>
        <v>0.47452282961769554</v>
      </c>
      <c r="E63" s="270">
        <f>'FORM 1'!E18</f>
        <v>0.52547717038230435</v>
      </c>
      <c r="F63" s="270">
        <f>'FORM 1'!F18</f>
        <v>0</v>
      </c>
      <c r="G63" s="270">
        <f>'FORM 1'!G18</f>
        <v>0</v>
      </c>
      <c r="H63" s="149">
        <f>ROUND(SUM(C63:G63),4)</f>
        <v>1</v>
      </c>
      <c r="J63" s="62"/>
    </row>
    <row r="64" spans="1:10" s="56" customFormat="1" ht="15" customHeight="1">
      <c r="A64" s="146" t="s">
        <v>171</v>
      </c>
      <c r="B64" s="146" t="s">
        <v>240</v>
      </c>
      <c r="C64" s="270">
        <f>'FORM 1'!C17</f>
        <v>0.65849391725711803</v>
      </c>
      <c r="D64" s="270">
        <f>'FORM 1'!D17</f>
        <v>0.34150608274288197</v>
      </c>
      <c r="E64" s="270">
        <f>'FORM 1'!E17</f>
        <v>0</v>
      </c>
      <c r="F64" s="270">
        <f>'FORM 1'!F17</f>
        <v>0</v>
      </c>
      <c r="G64" s="270">
        <f>'FORM 1'!G17</f>
        <v>0</v>
      </c>
      <c r="H64" s="149">
        <f t="shared" ref="H64:H65" si="3">ROUND(SUM(C64:G64),4)</f>
        <v>1</v>
      </c>
      <c r="J64" s="62"/>
    </row>
    <row r="65" spans="1:10" s="56" customFormat="1" ht="15" customHeight="1">
      <c r="A65" s="146" t="s">
        <v>92</v>
      </c>
      <c r="B65" s="146" t="s">
        <v>241</v>
      </c>
      <c r="C65" s="270">
        <f>'FORM 1'!C16</f>
        <v>0.47780066505165375</v>
      </c>
      <c r="D65" s="270">
        <f>'FORM 1'!D16</f>
        <v>0.24779550604416806</v>
      </c>
      <c r="E65" s="270">
        <f>'FORM 1'!E16</f>
        <v>0.27440382890417819</v>
      </c>
      <c r="F65" s="270">
        <f>'FORM 1'!F16</f>
        <v>0</v>
      </c>
      <c r="G65" s="270">
        <f>'FORM 1'!G16</f>
        <v>0</v>
      </c>
      <c r="H65" s="149">
        <f t="shared" si="3"/>
        <v>1</v>
      </c>
      <c r="J65" s="62"/>
    </row>
    <row r="66" spans="1:10" s="54" customFormat="1" ht="15" customHeight="1">
      <c r="A66" s="150" t="s">
        <v>174</v>
      </c>
      <c r="B66" s="150" t="s">
        <v>175</v>
      </c>
      <c r="C66" s="148">
        <v>0.71331128719044301</v>
      </c>
      <c r="D66" s="148">
        <v>0.1225974814459687</v>
      </c>
      <c r="E66" s="148">
        <v>0.13062747877674144</v>
      </c>
      <c r="F66" s="148">
        <v>2.733841051829319E-2</v>
      </c>
      <c r="G66" s="148">
        <v>6.1253420685536512E-3</v>
      </c>
      <c r="H66" s="149">
        <f t="shared" ref="H66:H73" si="4">ROUND(SUM(C66:G66),4)</f>
        <v>1</v>
      </c>
      <c r="J66" s="55"/>
    </row>
    <row r="67" spans="1:10" s="56" customFormat="1" ht="15" customHeight="1">
      <c r="A67" s="150" t="s">
        <v>184</v>
      </c>
      <c r="B67" s="150" t="s">
        <v>242</v>
      </c>
      <c r="C67" s="148">
        <v>0</v>
      </c>
      <c r="D67" s="148">
        <v>0</v>
      </c>
      <c r="E67" s="148">
        <v>0</v>
      </c>
      <c r="F67" s="148">
        <v>0</v>
      </c>
      <c r="G67" s="148">
        <v>0</v>
      </c>
      <c r="H67" s="149">
        <f t="shared" si="4"/>
        <v>0</v>
      </c>
      <c r="J67" s="57"/>
    </row>
    <row r="68" spans="1:10" s="56" customFormat="1" ht="15" customHeight="1">
      <c r="A68" s="150" t="s">
        <v>189</v>
      </c>
      <c r="B68" s="150" t="s">
        <v>190</v>
      </c>
      <c r="C68" s="148">
        <v>2.3239079655594632</v>
      </c>
      <c r="D68" s="148">
        <v>-0.38741006903215763</v>
      </c>
      <c r="E68" s="148">
        <v>-0.96102890260385021</v>
      </c>
      <c r="F68" s="148">
        <v>2.6720683221298485E-2</v>
      </c>
      <c r="G68" s="148">
        <v>-2.1896771447528305E-3</v>
      </c>
      <c r="H68" s="149">
        <f t="shared" si="4"/>
        <v>1</v>
      </c>
      <c r="J68" s="57"/>
    </row>
    <row r="69" spans="1:10" s="56" customFormat="1" ht="15" customHeight="1">
      <c r="A69" s="150" t="s">
        <v>199</v>
      </c>
      <c r="B69" s="150" t="s">
        <v>200</v>
      </c>
      <c r="C69" s="148">
        <v>-0.37225771033486332</v>
      </c>
      <c r="D69" s="148">
        <v>0.40155846790005745</v>
      </c>
      <c r="E69" s="148">
        <v>0.9961261324502193</v>
      </c>
      <c r="F69" s="148">
        <v>-2.7696535204656071E-2</v>
      </c>
      <c r="G69" s="148">
        <v>2.2696451892419262E-3</v>
      </c>
      <c r="H69" s="149">
        <f t="shared" si="4"/>
        <v>1</v>
      </c>
      <c r="I69" s="58"/>
      <c r="J69" s="57"/>
    </row>
    <row r="70" spans="1:10" s="56" customFormat="1" ht="15" customHeight="1">
      <c r="A70" s="150" t="s">
        <v>210</v>
      </c>
      <c r="B70" s="150" t="s">
        <v>211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9">
        <f t="shared" si="4"/>
        <v>0</v>
      </c>
      <c r="I70" s="58"/>
      <c r="J70" s="57"/>
    </row>
    <row r="71" spans="1:10" s="56" customFormat="1" ht="15" customHeight="1">
      <c r="A71" s="150" t="s">
        <v>212</v>
      </c>
      <c r="B71" s="150" t="s">
        <v>213</v>
      </c>
      <c r="C71" s="148">
        <v>0</v>
      </c>
      <c r="D71" s="148">
        <v>0</v>
      </c>
      <c r="E71" s="148">
        <v>0</v>
      </c>
      <c r="F71" s="148">
        <v>0</v>
      </c>
      <c r="G71" s="148">
        <v>0</v>
      </c>
      <c r="H71" s="149">
        <f t="shared" si="4"/>
        <v>0</v>
      </c>
      <c r="I71" s="58"/>
      <c r="J71" s="57"/>
    </row>
    <row r="72" spans="1:10" s="58" customFormat="1" ht="15" customHeight="1">
      <c r="A72" s="150" t="s">
        <v>61</v>
      </c>
      <c r="B72" s="150" t="s">
        <v>62</v>
      </c>
      <c r="C72" s="148">
        <v>0.63692371367744549</v>
      </c>
      <c r="D72" s="148">
        <v>0.17219763969647842</v>
      </c>
      <c r="E72" s="148">
        <v>0.16785875961910582</v>
      </c>
      <c r="F72" s="148">
        <v>1.9361202230771476E-2</v>
      </c>
      <c r="G72" s="148">
        <v>3.658684776198756E-3</v>
      </c>
      <c r="H72" s="149">
        <f t="shared" si="4"/>
        <v>1</v>
      </c>
      <c r="J72" s="59"/>
    </row>
    <row r="73" spans="1:10" s="56" customFormat="1" ht="15" customHeight="1">
      <c r="A73" s="150" t="s">
        <v>253</v>
      </c>
      <c r="B73" s="150" t="s">
        <v>254</v>
      </c>
      <c r="C73" s="148">
        <v>-0.3722577103348636</v>
      </c>
      <c r="D73" s="148">
        <v>0.40155846790005778</v>
      </c>
      <c r="E73" s="148">
        <v>0.99612613245021997</v>
      </c>
      <c r="F73" s="148">
        <v>-2.7696535204656092E-2</v>
      </c>
      <c r="G73" s="148">
        <v>2.2696451892419275E-3</v>
      </c>
      <c r="H73" s="149">
        <f t="shared" si="4"/>
        <v>1</v>
      </c>
      <c r="I73" s="58"/>
      <c r="J73" s="62"/>
    </row>
    <row r="74" spans="1:10" ht="15" customHeight="1">
      <c r="I74" s="78"/>
    </row>
    <row r="75" spans="1:10" ht="15" customHeight="1">
      <c r="D75" s="151"/>
      <c r="E75" s="151"/>
      <c r="H75" s="151"/>
      <c r="I75" s="80"/>
    </row>
    <row r="76" spans="1:10" ht="15" customHeight="1"/>
  </sheetData>
  <customSheetViews>
    <customSheetView guid="{20A63875-964B-11D5-AAED-0004762A99E9}" scale="75" showRuler="0" topLeftCell="A7">
      <pane ySplit="1" topLeftCell="A16" activePane="bottomLeft" state="frozen"/>
      <selection pane="bottomLeft" activeCell="J24" sqref="J24"/>
      <pageMargins left="0.75" right="0.75" top="1" bottom="1" header="0.5" footer="0.5"/>
      <printOptions horizontalCentered="1"/>
      <pageSetup scale="85" orientation="landscape" horizontalDpi="0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68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CCFFFF"/>
  </sheetPr>
  <dimension ref="A1:R99"/>
  <sheetViews>
    <sheetView view="pageBreakPreview" zoomScale="85" zoomScaleNormal="85" zoomScaleSheetLayoutView="85" workbookViewId="0"/>
  </sheetViews>
  <sheetFormatPr defaultColWidth="9.140625" defaultRowHeight="12.75"/>
  <cols>
    <col min="1" max="1" width="11.28515625" style="22" bestFit="1" customWidth="1"/>
    <col min="2" max="2" width="15" style="22" customWidth="1"/>
    <col min="3" max="3" width="10.85546875" style="22" customWidth="1"/>
    <col min="4" max="4" width="9.140625" style="22"/>
    <col min="5" max="5" width="14.28515625" style="22" bestFit="1" customWidth="1"/>
    <col min="6" max="7" width="15.7109375" style="22" customWidth="1"/>
    <col min="8" max="8" width="15.140625" style="22" bestFit="1" customWidth="1"/>
    <col min="9" max="10" width="15.7109375" style="22" customWidth="1"/>
    <col min="11" max="11" width="12.5703125" style="2" bestFit="1" customWidth="1"/>
    <col min="12" max="12" width="16" style="2" bestFit="1" customWidth="1"/>
    <col min="13" max="13" width="9.140625" style="2"/>
    <col min="14" max="14" width="24.7109375" style="2" bestFit="1" customWidth="1"/>
    <col min="15" max="16384" width="9.140625" style="2"/>
  </cols>
  <sheetData>
    <row r="1" spans="1:14">
      <c r="B1" s="101" t="str">
        <f>+'TOTAL FUNCFAC'!A1</f>
        <v>PacifiCorp</v>
      </c>
      <c r="C1" s="101"/>
      <c r="D1" s="101"/>
      <c r="E1" s="101"/>
      <c r="F1" s="101"/>
      <c r="G1" s="101"/>
      <c r="H1" s="101"/>
      <c r="I1" s="101"/>
      <c r="J1" s="101"/>
    </row>
    <row r="2" spans="1:14">
      <c r="B2" s="101" t="str">
        <f>'TOTAL FUNCFAC'!$A$2</f>
        <v>12 Months Ended June 2022</v>
      </c>
      <c r="C2" s="101"/>
      <c r="D2" s="101"/>
      <c r="E2" s="101"/>
      <c r="F2" s="101"/>
      <c r="G2" s="101"/>
      <c r="H2" s="101"/>
      <c r="I2" s="101"/>
      <c r="J2" s="101"/>
    </row>
    <row r="3" spans="1:14">
      <c r="B3" s="101" t="s">
        <v>315</v>
      </c>
      <c r="C3" s="101"/>
      <c r="D3" s="101"/>
      <c r="E3" s="101"/>
      <c r="F3" s="101"/>
      <c r="G3" s="101"/>
      <c r="H3" s="101"/>
      <c r="I3" s="101"/>
      <c r="J3" s="101"/>
    </row>
    <row r="4" spans="1:14">
      <c r="B4" s="93"/>
      <c r="C4" s="93"/>
      <c r="D4" s="93"/>
      <c r="E4" s="93"/>
      <c r="F4" s="93"/>
      <c r="G4" s="93"/>
      <c r="H4" s="93"/>
      <c r="I4" s="93"/>
      <c r="J4" s="93"/>
    </row>
    <row r="5" spans="1:14">
      <c r="B5" s="41" t="s">
        <v>98</v>
      </c>
      <c r="C5" s="41" t="s">
        <v>79</v>
      </c>
      <c r="D5" s="41" t="s">
        <v>80</v>
      </c>
      <c r="E5" s="41" t="s">
        <v>72</v>
      </c>
      <c r="F5" s="11" t="s">
        <v>63</v>
      </c>
      <c r="G5" s="11" t="s">
        <v>64</v>
      </c>
      <c r="H5" s="11" t="s">
        <v>70</v>
      </c>
      <c r="I5" s="11" t="s">
        <v>73</v>
      </c>
      <c r="J5" s="11" t="s">
        <v>74</v>
      </c>
      <c r="K5" s="48"/>
    </row>
    <row r="6" spans="1:14">
      <c r="A6" s="22" t="str">
        <f t="shared" ref="A6:A29" si="0">"RA"&amp;"-"&amp;C6</f>
        <v>RA-SE</v>
      </c>
      <c r="B6" s="265" t="s">
        <v>3</v>
      </c>
      <c r="C6" s="91" t="s">
        <v>85</v>
      </c>
      <c r="D6" s="91" t="s">
        <v>68</v>
      </c>
      <c r="E6" s="266">
        <f>SUMIFS('REGASSET Jun22data'!G:G,'REGASSET Jun22data'!H:H,C6,'REGASSET Jun22data'!I:I,D6)</f>
        <v>191555.89073833331</v>
      </c>
      <c r="F6" s="267">
        <f>INDEX(F$72:F$84,MATCH($D6,$D$72:$D$84,0))*$E6</f>
        <v>191555.89073833331</v>
      </c>
      <c r="G6" s="267">
        <f t="shared" ref="G6:J29" si="1">INDEX(G$72:G$84,MATCH($D6,$D$72:$D$84,0))*$E6</f>
        <v>0</v>
      </c>
      <c r="H6" s="267">
        <f t="shared" si="1"/>
        <v>0</v>
      </c>
      <c r="I6" s="267">
        <f t="shared" si="1"/>
        <v>0</v>
      </c>
      <c r="J6" s="267">
        <f t="shared" si="1"/>
        <v>0</v>
      </c>
      <c r="K6" s="110" t="s">
        <v>305</v>
      </c>
      <c r="L6" s="134" t="s">
        <v>3458</v>
      </c>
      <c r="N6" s="116"/>
    </row>
    <row r="7" spans="1:14">
      <c r="A7" s="22" t="str">
        <f t="shared" si="0"/>
        <v>RA-SG</v>
      </c>
      <c r="B7" s="265" t="s">
        <v>3</v>
      </c>
      <c r="C7" s="91" t="s">
        <v>87</v>
      </c>
      <c r="D7" s="91" t="s">
        <v>68</v>
      </c>
      <c r="E7" s="266">
        <f>SUMIFS('REGASSET Jun22data'!G:G,'REGASSET Jun22data'!H:H,C7,'REGASSET Jun22data'!I:I,D7)</f>
        <v>6443.290095833333</v>
      </c>
      <c r="F7" s="267">
        <f t="shared" ref="F7:F22" si="2">INDEX(F$72:F$84,MATCH($D7,$D$72:$D$84,0))*$E7</f>
        <v>6443.290095833333</v>
      </c>
      <c r="G7" s="267">
        <f t="shared" si="1"/>
        <v>0</v>
      </c>
      <c r="H7" s="267">
        <f t="shared" si="1"/>
        <v>0</v>
      </c>
      <c r="I7" s="267">
        <f t="shared" si="1"/>
        <v>0</v>
      </c>
      <c r="J7" s="267">
        <f t="shared" si="1"/>
        <v>0</v>
      </c>
      <c r="K7" s="110" t="s">
        <v>305</v>
      </c>
      <c r="L7" s="134" t="s">
        <v>3458</v>
      </c>
      <c r="N7" s="116"/>
    </row>
    <row r="8" spans="1:14">
      <c r="A8" s="22" t="str">
        <f t="shared" si="0"/>
        <v>RA-SGCT</v>
      </c>
      <c r="B8" s="265" t="s">
        <v>3</v>
      </c>
      <c r="C8" s="91" t="s">
        <v>99</v>
      </c>
      <c r="D8" s="91" t="s">
        <v>68</v>
      </c>
      <c r="E8" s="266">
        <f>SUMIFS('REGASSET Jun22data'!G:G,'REGASSET Jun22data'!H:H,C8,'REGASSET Jun22data'!I:I,D8)</f>
        <v>0</v>
      </c>
      <c r="F8" s="267">
        <f t="shared" si="2"/>
        <v>0</v>
      </c>
      <c r="G8" s="267">
        <f t="shared" si="1"/>
        <v>0</v>
      </c>
      <c r="H8" s="267">
        <f t="shared" si="1"/>
        <v>0</v>
      </c>
      <c r="I8" s="267">
        <f t="shared" si="1"/>
        <v>0</v>
      </c>
      <c r="J8" s="267">
        <f t="shared" si="1"/>
        <v>0</v>
      </c>
      <c r="K8" s="110" t="s">
        <v>305</v>
      </c>
      <c r="L8" s="134" t="s">
        <v>3458</v>
      </c>
      <c r="N8" s="116"/>
    </row>
    <row r="9" spans="1:14">
      <c r="A9" s="22" t="str">
        <f t="shared" si="0"/>
        <v>RA-SG-P</v>
      </c>
      <c r="B9" s="265" t="s">
        <v>3</v>
      </c>
      <c r="C9" s="91" t="s">
        <v>280</v>
      </c>
      <c r="D9" s="91" t="s">
        <v>68</v>
      </c>
      <c r="E9" s="266">
        <f>SUMIFS('REGASSET Jun22data'!G:G,'REGASSET Jun22data'!H:H,C9,'REGASSET Jun22data'!I:I,D9)</f>
        <v>0</v>
      </c>
      <c r="F9" s="267">
        <f t="shared" si="2"/>
        <v>0</v>
      </c>
      <c r="G9" s="267">
        <f t="shared" si="1"/>
        <v>0</v>
      </c>
      <c r="H9" s="267">
        <f t="shared" si="1"/>
        <v>0</v>
      </c>
      <c r="I9" s="267">
        <f t="shared" si="1"/>
        <v>0</v>
      </c>
      <c r="J9" s="267">
        <f t="shared" si="1"/>
        <v>0</v>
      </c>
      <c r="K9" s="110" t="s">
        <v>305</v>
      </c>
      <c r="L9" s="134" t="s">
        <v>3458</v>
      </c>
      <c r="N9" s="116"/>
    </row>
    <row r="10" spans="1:14">
      <c r="A10" s="22" t="str">
        <f t="shared" si="0"/>
        <v>RA-SO</v>
      </c>
      <c r="B10" s="265" t="s">
        <v>3</v>
      </c>
      <c r="C10" s="91" t="s">
        <v>89</v>
      </c>
      <c r="D10" s="91" t="s">
        <v>74</v>
      </c>
      <c r="E10" s="266">
        <f>SUMIFS('REGASSET Jun22data'!G:G,'REGASSET Jun22data'!H:H,C10,'REGASSET Jun22data'!I:I,D10)</f>
        <v>0</v>
      </c>
      <c r="F10" s="267">
        <f t="shared" si="2"/>
        <v>0</v>
      </c>
      <c r="G10" s="267">
        <f t="shared" si="1"/>
        <v>0</v>
      </c>
      <c r="H10" s="267">
        <f t="shared" si="1"/>
        <v>0</v>
      </c>
      <c r="I10" s="267">
        <f t="shared" si="1"/>
        <v>0</v>
      </c>
      <c r="J10" s="267">
        <f t="shared" si="1"/>
        <v>0</v>
      </c>
      <c r="K10" s="110" t="s">
        <v>305</v>
      </c>
      <c r="L10" s="134" t="s">
        <v>3458</v>
      </c>
      <c r="N10" s="116"/>
    </row>
    <row r="11" spans="1:14">
      <c r="A11" s="22" t="str">
        <f t="shared" si="0"/>
        <v>RA-SO</v>
      </c>
      <c r="B11" s="265" t="s">
        <v>3</v>
      </c>
      <c r="C11" s="91" t="s">
        <v>89</v>
      </c>
      <c r="D11" s="91" t="s">
        <v>102</v>
      </c>
      <c r="E11" s="266">
        <f>SUMIFS('REGASSET Jun22data'!G:G,'REGASSET Jun22data'!H:H,C11,'REGASSET Jun22data'!I:I,D11)</f>
        <v>0</v>
      </c>
      <c r="F11" s="267">
        <f t="shared" si="2"/>
        <v>0</v>
      </c>
      <c r="G11" s="267">
        <f t="shared" si="1"/>
        <v>0</v>
      </c>
      <c r="H11" s="267">
        <f t="shared" si="1"/>
        <v>0</v>
      </c>
      <c r="I11" s="267">
        <f t="shared" si="1"/>
        <v>0</v>
      </c>
      <c r="J11" s="267">
        <f t="shared" si="1"/>
        <v>0</v>
      </c>
      <c r="K11" s="110" t="s">
        <v>305</v>
      </c>
      <c r="L11" s="134" t="s">
        <v>3458</v>
      </c>
      <c r="N11" s="116"/>
    </row>
    <row r="12" spans="1:14">
      <c r="A12" s="22" t="str">
        <f t="shared" si="0"/>
        <v>RA-SO</v>
      </c>
      <c r="B12" s="265" t="s">
        <v>3</v>
      </c>
      <c r="C12" s="91" t="s">
        <v>89</v>
      </c>
      <c r="D12" s="91" t="s">
        <v>100</v>
      </c>
      <c r="E12" s="266">
        <f>SUMIFS('REGASSET Jun22data'!G:G,'REGASSET Jun22data'!H:H,C12,'REGASSET Jun22data'!I:I,D12)</f>
        <v>0</v>
      </c>
      <c r="F12" s="267">
        <f t="shared" si="2"/>
        <v>0</v>
      </c>
      <c r="G12" s="267">
        <f t="shared" si="1"/>
        <v>0</v>
      </c>
      <c r="H12" s="267">
        <f t="shared" si="1"/>
        <v>0</v>
      </c>
      <c r="I12" s="267">
        <f t="shared" si="1"/>
        <v>0</v>
      </c>
      <c r="J12" s="267">
        <f t="shared" si="1"/>
        <v>0</v>
      </c>
      <c r="K12" s="110" t="s">
        <v>305</v>
      </c>
      <c r="L12" s="134" t="s">
        <v>3458</v>
      </c>
      <c r="N12" s="116"/>
    </row>
    <row r="13" spans="1:14">
      <c r="A13" s="22" t="str">
        <f t="shared" si="0"/>
        <v>RA-SO</v>
      </c>
      <c r="B13" s="265" t="s">
        <v>3</v>
      </c>
      <c r="C13" s="91" t="s">
        <v>89</v>
      </c>
      <c r="D13" s="91" t="s">
        <v>68</v>
      </c>
      <c r="E13" s="266">
        <f>SUMIFS('REGASSET Jun22data'!G:G,'REGASSET Jun22data'!H:H,C13,'REGASSET Jun22data'!I:I,D13)</f>
        <v>0</v>
      </c>
      <c r="F13" s="267">
        <f t="shared" si="2"/>
        <v>0</v>
      </c>
      <c r="G13" s="267">
        <f t="shared" si="1"/>
        <v>0</v>
      </c>
      <c r="H13" s="267">
        <f t="shared" si="1"/>
        <v>0</v>
      </c>
      <c r="I13" s="267">
        <f t="shared" si="1"/>
        <v>0</v>
      </c>
      <c r="J13" s="267">
        <f t="shared" si="1"/>
        <v>0</v>
      </c>
      <c r="K13" s="110" t="s">
        <v>305</v>
      </c>
      <c r="L13" s="134" t="s">
        <v>3458</v>
      </c>
      <c r="N13" s="116"/>
    </row>
    <row r="14" spans="1:14">
      <c r="A14" s="22" t="str">
        <f t="shared" si="0"/>
        <v>RA-SO</v>
      </c>
      <c r="B14" s="265" t="s">
        <v>3</v>
      </c>
      <c r="C14" s="91" t="s">
        <v>89</v>
      </c>
      <c r="D14" s="91" t="s">
        <v>96</v>
      </c>
      <c r="E14" s="266">
        <f>SUMIFS('REGASSET Jun22data'!G:G,'REGASSET Jun22data'!H:H,C14,'REGASSET Jun22data'!I:I,D14)</f>
        <v>0</v>
      </c>
      <c r="F14" s="267">
        <f t="shared" si="2"/>
        <v>0</v>
      </c>
      <c r="G14" s="267">
        <f t="shared" si="1"/>
        <v>0</v>
      </c>
      <c r="H14" s="267">
        <f t="shared" si="1"/>
        <v>0</v>
      </c>
      <c r="I14" s="267">
        <f t="shared" si="1"/>
        <v>0</v>
      </c>
      <c r="J14" s="267">
        <f t="shared" si="1"/>
        <v>0</v>
      </c>
      <c r="K14" s="110" t="s">
        <v>305</v>
      </c>
      <c r="L14" s="134" t="s">
        <v>3458</v>
      </c>
      <c r="N14" s="116"/>
    </row>
    <row r="15" spans="1:14">
      <c r="A15" s="22" t="str">
        <f>"RA"&amp;"-"&amp;C15</f>
        <v>RA-OTHER</v>
      </c>
      <c r="B15" s="265" t="s">
        <v>3</v>
      </c>
      <c r="C15" s="91" t="s">
        <v>306</v>
      </c>
      <c r="D15" s="91" t="s">
        <v>73</v>
      </c>
      <c r="E15" s="266">
        <f>SUMIFS('REGASSET Jun22data'!G:G,'REGASSET Jun22data'!H:H,C15,'REGASSET Jun22data'!I:I,D15)</f>
        <v>318225.94450375094</v>
      </c>
      <c r="F15" s="267">
        <f t="shared" si="2"/>
        <v>0</v>
      </c>
      <c r="G15" s="267">
        <f t="shared" si="1"/>
        <v>0</v>
      </c>
      <c r="H15" s="267">
        <f t="shared" si="1"/>
        <v>0</v>
      </c>
      <c r="I15" s="267">
        <f t="shared" si="1"/>
        <v>318225.94450375094</v>
      </c>
      <c r="J15" s="267">
        <f t="shared" si="1"/>
        <v>0</v>
      </c>
      <c r="K15" s="110" t="s">
        <v>305</v>
      </c>
      <c r="L15" s="134" t="s">
        <v>3458</v>
      </c>
      <c r="N15" s="116"/>
    </row>
    <row r="16" spans="1:14">
      <c r="A16" s="22" t="str">
        <f t="shared" ref="A16:A21" si="3">"RA"&amp;"-"&amp;C16</f>
        <v>RA-OTHER</v>
      </c>
      <c r="B16" s="265" t="s">
        <v>3</v>
      </c>
      <c r="C16" s="91" t="s">
        <v>306</v>
      </c>
      <c r="D16" s="91" t="s">
        <v>74</v>
      </c>
      <c r="E16" s="266">
        <f>SUMIFS('REGASSET Jun22data'!G:G,'REGASSET Jun22data'!H:H,C16,'REGASSET Jun22data'!I:I,D16)</f>
        <v>5838.436896250003</v>
      </c>
      <c r="F16" s="267">
        <f t="shared" si="2"/>
        <v>0</v>
      </c>
      <c r="G16" s="267">
        <f t="shared" si="1"/>
        <v>0</v>
      </c>
      <c r="H16" s="267">
        <f t="shared" si="1"/>
        <v>0</v>
      </c>
      <c r="I16" s="267">
        <f t="shared" si="1"/>
        <v>0</v>
      </c>
      <c r="J16" s="267">
        <f t="shared" si="1"/>
        <v>5838.436896250003</v>
      </c>
      <c r="K16" s="110" t="s">
        <v>305</v>
      </c>
      <c r="L16" s="134" t="s">
        <v>3458</v>
      </c>
      <c r="N16" s="116"/>
    </row>
    <row r="17" spans="1:18">
      <c r="A17" s="22" t="str">
        <f t="shared" si="3"/>
        <v>RA-OTHER</v>
      </c>
      <c r="B17" s="265" t="s">
        <v>3</v>
      </c>
      <c r="C17" s="91" t="s">
        <v>306</v>
      </c>
      <c r="D17" s="91" t="s">
        <v>102</v>
      </c>
      <c r="E17" s="266">
        <f>SUMIFS('REGASSET Jun22data'!G:G,'REGASSET Jun22data'!H:H,C17,'REGASSET Jun22data'!I:I,D17)</f>
        <v>28186.722452916631</v>
      </c>
      <c r="F17" s="267">
        <f t="shared" si="2"/>
        <v>12242.956818798342</v>
      </c>
      <c r="G17" s="267">
        <f t="shared" si="1"/>
        <v>2589.380824391877</v>
      </c>
      <c r="H17" s="267">
        <f t="shared" si="1"/>
        <v>10025.37904990766</v>
      </c>
      <c r="I17" s="267">
        <f t="shared" si="1"/>
        <v>3329.0057598187514</v>
      </c>
      <c r="J17" s="267">
        <f t="shared" si="1"/>
        <v>0</v>
      </c>
      <c r="K17" s="110" t="s">
        <v>305</v>
      </c>
      <c r="L17" s="134" t="s">
        <v>3458</v>
      </c>
      <c r="N17" s="116"/>
    </row>
    <row r="18" spans="1:18">
      <c r="A18" s="22" t="str">
        <f t="shared" si="3"/>
        <v>RA-OTHER</v>
      </c>
      <c r="B18" s="265" t="s">
        <v>3</v>
      </c>
      <c r="C18" s="91" t="s">
        <v>306</v>
      </c>
      <c r="D18" s="91" t="s">
        <v>68</v>
      </c>
      <c r="E18" s="266">
        <f>SUMIFS('REGASSET Jun22data'!G:G,'REGASSET Jun22data'!H:H,C18,'REGASSET Jun22data'!I:I,D18)</f>
        <v>173293.90643833319</v>
      </c>
      <c r="F18" s="267">
        <f t="shared" si="2"/>
        <v>173293.90643833319</v>
      </c>
      <c r="G18" s="267">
        <f t="shared" si="1"/>
        <v>0</v>
      </c>
      <c r="H18" s="267">
        <f t="shared" si="1"/>
        <v>0</v>
      </c>
      <c r="I18" s="267">
        <f t="shared" si="1"/>
        <v>0</v>
      </c>
      <c r="J18" s="267">
        <f t="shared" si="1"/>
        <v>0</v>
      </c>
      <c r="K18" s="110" t="s">
        <v>305</v>
      </c>
      <c r="L18" s="134" t="s">
        <v>3458</v>
      </c>
      <c r="N18" s="116"/>
    </row>
    <row r="19" spans="1:18">
      <c r="A19" s="22" t="str">
        <f t="shared" si="3"/>
        <v>RA-OTHER</v>
      </c>
      <c r="B19" s="265" t="s">
        <v>3</v>
      </c>
      <c r="C19" s="91" t="s">
        <v>306</v>
      </c>
      <c r="D19" s="91" t="s">
        <v>70</v>
      </c>
      <c r="E19" s="266">
        <f>SUMIFS('REGASSET Jun22data'!G:G,'REGASSET Jun22data'!H:H,C19,'REGASSET Jun22data'!I:I,D19)</f>
        <v>1815.1004741666634</v>
      </c>
      <c r="F19" s="267">
        <f t="shared" si="2"/>
        <v>0</v>
      </c>
      <c r="G19" s="267">
        <f t="shared" si="1"/>
        <v>0</v>
      </c>
      <c r="H19" s="267">
        <f t="shared" si="1"/>
        <v>1815.1004741666634</v>
      </c>
      <c r="I19" s="267">
        <f t="shared" si="1"/>
        <v>0</v>
      </c>
      <c r="J19" s="267">
        <f t="shared" si="1"/>
        <v>0</v>
      </c>
      <c r="K19" s="110" t="s">
        <v>305</v>
      </c>
      <c r="L19" s="134" t="s">
        <v>3458</v>
      </c>
      <c r="N19" s="116"/>
    </row>
    <row r="20" spans="1:18">
      <c r="A20" s="22" t="str">
        <f t="shared" si="3"/>
        <v>RA-OTHER</v>
      </c>
      <c r="B20" s="265" t="s">
        <v>3</v>
      </c>
      <c r="C20" s="91" t="s">
        <v>306</v>
      </c>
      <c r="D20" s="91" t="s">
        <v>92</v>
      </c>
      <c r="E20" s="266">
        <f>SUMIFS('REGASSET Jun22data'!G:G,'REGASSET Jun22data'!H:H,C20,'REGASSET Jun22data'!I:I,D20)</f>
        <v>8933.0810191666678</v>
      </c>
      <c r="F20" s="267">
        <f t="shared" si="2"/>
        <v>4268.2320519181385</v>
      </c>
      <c r="G20" s="267">
        <f t="shared" si="1"/>
        <v>2213.5773316779569</v>
      </c>
      <c r="H20" s="267">
        <f t="shared" si="1"/>
        <v>2451.271635570572</v>
      </c>
      <c r="I20" s="267">
        <f t="shared" si="1"/>
        <v>0</v>
      </c>
      <c r="J20" s="267">
        <f t="shared" si="1"/>
        <v>0</v>
      </c>
      <c r="K20" s="110" t="s">
        <v>305</v>
      </c>
      <c r="L20" s="134" t="s">
        <v>3458</v>
      </c>
      <c r="N20" s="116"/>
    </row>
    <row r="21" spans="1:18">
      <c r="A21" s="22" t="str">
        <f t="shared" si="3"/>
        <v>RA-OTHER</v>
      </c>
      <c r="B21" s="265" t="s">
        <v>3</v>
      </c>
      <c r="C21" s="91" t="s">
        <v>306</v>
      </c>
      <c r="D21" s="91" t="s">
        <v>100</v>
      </c>
      <c r="E21" s="266">
        <f>SUMIFS('REGASSET Jun22data'!G:G,'REGASSET Jun22data'!H:H,C21,'REGASSET Jun22data'!I:I,D21)</f>
        <v>0</v>
      </c>
      <c r="F21" s="267">
        <f t="shared" si="2"/>
        <v>0</v>
      </c>
      <c r="G21" s="267">
        <f t="shared" si="1"/>
        <v>0</v>
      </c>
      <c r="H21" s="267">
        <f t="shared" si="1"/>
        <v>0</v>
      </c>
      <c r="I21" s="267">
        <f t="shared" si="1"/>
        <v>0</v>
      </c>
      <c r="J21" s="267">
        <f t="shared" si="1"/>
        <v>0</v>
      </c>
      <c r="K21" s="110" t="s">
        <v>305</v>
      </c>
      <c r="L21" s="134" t="s">
        <v>3458</v>
      </c>
      <c r="N21" s="116"/>
    </row>
    <row r="22" spans="1:18">
      <c r="A22" s="22" t="str">
        <f t="shared" si="0"/>
        <v>RA-TROJD</v>
      </c>
      <c r="B22" s="265" t="s">
        <v>3</v>
      </c>
      <c r="C22" s="91" t="s">
        <v>252</v>
      </c>
      <c r="D22" s="91" t="s">
        <v>68</v>
      </c>
      <c r="E22" s="266">
        <f>SUMIFS('REGASSET Jun22data'!G:G,'REGASSET Jun22data'!H:H,C22,'REGASSET Jun22data'!I:I,D22)</f>
        <v>0</v>
      </c>
      <c r="F22" s="267">
        <f t="shared" si="2"/>
        <v>0</v>
      </c>
      <c r="G22" s="267">
        <f t="shared" si="1"/>
        <v>0</v>
      </c>
      <c r="H22" s="267">
        <f t="shared" si="1"/>
        <v>0</v>
      </c>
      <c r="I22" s="267">
        <f t="shared" si="1"/>
        <v>0</v>
      </c>
      <c r="J22" s="267">
        <f t="shared" si="1"/>
        <v>0</v>
      </c>
      <c r="K22" s="110" t="s">
        <v>305</v>
      </c>
      <c r="L22" s="134" t="s">
        <v>3458</v>
      </c>
      <c r="N22" s="116"/>
    </row>
    <row r="23" spans="1:18">
      <c r="A23" s="22" t="str">
        <f t="shared" si="0"/>
        <v>RA-TROJP</v>
      </c>
      <c r="B23" s="265" t="s">
        <v>3</v>
      </c>
      <c r="C23" s="91" t="s">
        <v>6</v>
      </c>
      <c r="D23" s="91" t="s">
        <v>68</v>
      </c>
      <c r="E23" s="266">
        <f>SUMIFS('REGASSET Jun22data'!G:G,'REGASSET Jun22data'!H:H,C23,'REGASSET Jun22data'!I:I,D23)</f>
        <v>0</v>
      </c>
      <c r="F23" s="267">
        <f t="shared" ref="F23:F29" si="4">INDEX(F$72:F$84,MATCH($D23,$D$72:$D$84,0))*$E23</f>
        <v>0</v>
      </c>
      <c r="G23" s="267">
        <f t="shared" si="1"/>
        <v>0</v>
      </c>
      <c r="H23" s="267">
        <f t="shared" si="1"/>
        <v>0</v>
      </c>
      <c r="I23" s="267">
        <f t="shared" si="1"/>
        <v>0</v>
      </c>
      <c r="J23" s="267">
        <f t="shared" si="1"/>
        <v>0</v>
      </c>
      <c r="K23" s="110" t="s">
        <v>305</v>
      </c>
      <c r="L23" s="134" t="s">
        <v>3458</v>
      </c>
      <c r="N23" s="116"/>
    </row>
    <row r="24" spans="1:18">
      <c r="A24" s="22" t="str">
        <f t="shared" si="0"/>
        <v>RA-SITUS</v>
      </c>
      <c r="B24" s="265" t="s">
        <v>3</v>
      </c>
      <c r="C24" s="91" t="s">
        <v>12</v>
      </c>
      <c r="D24" s="91" t="s">
        <v>74</v>
      </c>
      <c r="E24" s="266">
        <f>SUMIFS('REGASSET Jun22data'!G:G,'REGASSET Jun22data'!H:H,C24,'REGASSET Jun22data'!I:I,D24)</f>
        <v>65.701913750000003</v>
      </c>
      <c r="F24" s="267">
        <f t="shared" si="4"/>
        <v>0</v>
      </c>
      <c r="G24" s="267">
        <f t="shared" si="1"/>
        <v>0</v>
      </c>
      <c r="H24" s="267">
        <f t="shared" si="1"/>
        <v>0</v>
      </c>
      <c r="I24" s="267">
        <f t="shared" si="1"/>
        <v>0</v>
      </c>
      <c r="J24" s="267">
        <f t="shared" si="1"/>
        <v>65.701913750000003</v>
      </c>
      <c r="K24" s="110" t="s">
        <v>305</v>
      </c>
      <c r="L24" s="134" t="s">
        <v>3458</v>
      </c>
      <c r="N24" s="116"/>
    </row>
    <row r="25" spans="1:18">
      <c r="A25" s="22" t="str">
        <f t="shared" si="0"/>
        <v>RA-SITUS</v>
      </c>
      <c r="B25" s="265" t="s">
        <v>3</v>
      </c>
      <c r="C25" s="91" t="s">
        <v>12</v>
      </c>
      <c r="D25" s="91" t="s">
        <v>102</v>
      </c>
      <c r="E25" s="266">
        <f>SUMIFS('REGASSET Jun22data'!G:G,'REGASSET Jun22data'!H:H,C25,'REGASSET Jun22data'!I:I,D25)</f>
        <v>1456.58565875</v>
      </c>
      <c r="F25" s="267">
        <f t="shared" si="4"/>
        <v>632.67076733541683</v>
      </c>
      <c r="G25" s="267">
        <f t="shared" si="1"/>
        <v>133.8096325371518</v>
      </c>
      <c r="H25" s="267">
        <f t="shared" si="1"/>
        <v>518.07454279300805</v>
      </c>
      <c r="I25" s="267">
        <f t="shared" si="1"/>
        <v>172.03071608442329</v>
      </c>
      <c r="J25" s="267">
        <f t="shared" si="1"/>
        <v>0</v>
      </c>
      <c r="K25" s="110" t="s">
        <v>305</v>
      </c>
      <c r="L25" s="134" t="s">
        <v>3458</v>
      </c>
      <c r="N25" s="116"/>
    </row>
    <row r="26" spans="1:18">
      <c r="A26" s="22" t="str">
        <f t="shared" si="0"/>
        <v>RA-SITUS</v>
      </c>
      <c r="B26" s="265" t="s">
        <v>3</v>
      </c>
      <c r="C26" s="91" t="s">
        <v>12</v>
      </c>
      <c r="D26" s="91" t="s">
        <v>68</v>
      </c>
      <c r="E26" s="266">
        <f>SUMIFS('REGASSET Jun22data'!G:G,'REGASSET Jun22data'!H:H,C26,'REGASSET Jun22data'!I:I,D26)</f>
        <v>22090.462382916674</v>
      </c>
      <c r="F26" s="267">
        <f t="shared" si="4"/>
        <v>22090.462382916674</v>
      </c>
      <c r="G26" s="267">
        <f t="shared" si="1"/>
        <v>0</v>
      </c>
      <c r="H26" s="267">
        <f t="shared" si="1"/>
        <v>0</v>
      </c>
      <c r="I26" s="267">
        <f t="shared" si="1"/>
        <v>0</v>
      </c>
      <c r="J26" s="267">
        <f t="shared" si="1"/>
        <v>0</v>
      </c>
      <c r="K26" s="110" t="s">
        <v>305</v>
      </c>
      <c r="L26" s="134" t="s">
        <v>3458</v>
      </c>
      <c r="N26" s="116"/>
    </row>
    <row r="27" spans="1:18">
      <c r="A27" s="22" t="str">
        <f t="shared" si="0"/>
        <v>RA-SITUS</v>
      </c>
      <c r="B27" s="265" t="s">
        <v>3</v>
      </c>
      <c r="C27" s="91" t="s">
        <v>12</v>
      </c>
      <c r="D27" s="91" t="s">
        <v>92</v>
      </c>
      <c r="E27" s="266">
        <f>SUMIFS('REGASSET Jun22data'!G:G,'REGASSET Jun22data'!H:H,C27,'REGASSET Jun22data'!I:I,D27)</f>
        <v>0</v>
      </c>
      <c r="F27" s="267">
        <f t="shared" si="4"/>
        <v>0</v>
      </c>
      <c r="G27" s="267">
        <f t="shared" si="1"/>
        <v>0</v>
      </c>
      <c r="H27" s="267">
        <f t="shared" si="1"/>
        <v>0</v>
      </c>
      <c r="I27" s="267">
        <f t="shared" si="1"/>
        <v>0</v>
      </c>
      <c r="J27" s="267">
        <f t="shared" si="1"/>
        <v>0</v>
      </c>
      <c r="K27" s="110" t="s">
        <v>305</v>
      </c>
      <c r="L27" s="134" t="s">
        <v>3458</v>
      </c>
      <c r="N27" s="116"/>
    </row>
    <row r="28" spans="1:18">
      <c r="A28" s="22" t="str">
        <f t="shared" ref="A28" si="5">"RA"&amp;"-"&amp;C28</f>
        <v>RA-SITUS</v>
      </c>
      <c r="B28" s="265" t="s">
        <v>3</v>
      </c>
      <c r="C28" s="91" t="s">
        <v>12</v>
      </c>
      <c r="D28" s="91" t="s">
        <v>100</v>
      </c>
      <c r="E28" s="266">
        <f>SUMIFS('REGASSET Jun22data'!G:G,'REGASSET Jun22data'!H:H,C28,'REGASSET Jun22data'!I:I,D28)</f>
        <v>0</v>
      </c>
      <c r="F28" s="267">
        <f t="shared" si="4"/>
        <v>0</v>
      </c>
      <c r="G28" s="267">
        <f t="shared" si="1"/>
        <v>0</v>
      </c>
      <c r="H28" s="267">
        <f t="shared" si="1"/>
        <v>0</v>
      </c>
      <c r="I28" s="267">
        <f t="shared" si="1"/>
        <v>0</v>
      </c>
      <c r="J28" s="267">
        <f t="shared" si="1"/>
        <v>0</v>
      </c>
      <c r="K28" s="110" t="s">
        <v>305</v>
      </c>
      <c r="L28" s="134" t="s">
        <v>3458</v>
      </c>
      <c r="N28" s="116"/>
    </row>
    <row r="29" spans="1:18">
      <c r="A29" s="22" t="str">
        <f t="shared" si="0"/>
        <v>RA-SITUS</v>
      </c>
      <c r="B29" s="91" t="s">
        <v>3</v>
      </c>
      <c r="C29" s="91" t="s">
        <v>12</v>
      </c>
      <c r="D29" s="91" t="s">
        <v>73</v>
      </c>
      <c r="E29" s="266">
        <f>SUMIFS('REGASSET Jun22data'!G:G,'REGASSET Jun22data'!H:H,C29,'REGASSET Jun22data'!I:I,D29)</f>
        <v>400.73890333333298</v>
      </c>
      <c r="F29" s="267">
        <f t="shared" si="4"/>
        <v>0</v>
      </c>
      <c r="G29" s="267">
        <f t="shared" si="1"/>
        <v>0</v>
      </c>
      <c r="H29" s="267">
        <f t="shared" si="1"/>
        <v>0</v>
      </c>
      <c r="I29" s="267">
        <f t="shared" si="1"/>
        <v>400.73890333333298</v>
      </c>
      <c r="J29" s="267">
        <f t="shared" si="1"/>
        <v>0</v>
      </c>
      <c r="K29" s="110" t="s">
        <v>305</v>
      </c>
      <c r="L29" s="134" t="s">
        <v>3458</v>
      </c>
      <c r="N29" s="116"/>
    </row>
    <row r="30" spans="1:18">
      <c r="A30" s="93"/>
      <c r="B30" s="64" t="s">
        <v>268</v>
      </c>
      <c r="E30" s="168">
        <f t="shared" ref="E30:J30" si="6">SUMIF($A:$A,"RA-SO",E:E)</f>
        <v>0</v>
      </c>
      <c r="F30" s="168">
        <f t="shared" si="6"/>
        <v>0</v>
      </c>
      <c r="G30" s="168">
        <f t="shared" si="6"/>
        <v>0</v>
      </c>
      <c r="H30" s="168">
        <f t="shared" si="6"/>
        <v>0</v>
      </c>
      <c r="I30" s="168">
        <f t="shared" si="6"/>
        <v>0</v>
      </c>
      <c r="J30" s="168">
        <f t="shared" si="6"/>
        <v>0</v>
      </c>
      <c r="K30" s="39"/>
      <c r="L30" s="39"/>
      <c r="M30" s="39"/>
      <c r="N30" s="39"/>
      <c r="O30" s="39"/>
      <c r="P30" s="39"/>
      <c r="Q30" s="39"/>
      <c r="R30" s="39"/>
    </row>
    <row r="31" spans="1:18">
      <c r="A31" s="93"/>
      <c r="B31" s="64" t="s">
        <v>314</v>
      </c>
      <c r="E31" s="168">
        <f t="shared" ref="E31:J31" si="7">SUMIF($A:$A,"RA-OTHER",E:E)</f>
        <v>536293.19178458408</v>
      </c>
      <c r="F31" s="168">
        <f t="shared" si="7"/>
        <v>189805.09530904968</v>
      </c>
      <c r="G31" s="168">
        <f t="shared" si="7"/>
        <v>4802.9581560698334</v>
      </c>
      <c r="H31" s="168">
        <f t="shared" si="7"/>
        <v>14291.751159644897</v>
      </c>
      <c r="I31" s="168">
        <f t="shared" si="7"/>
        <v>321554.95026356971</v>
      </c>
      <c r="J31" s="168">
        <f t="shared" si="7"/>
        <v>5838.436896250003</v>
      </c>
      <c r="K31" s="39"/>
      <c r="L31" s="39"/>
      <c r="M31" s="39"/>
      <c r="N31" s="39"/>
      <c r="O31" s="39"/>
      <c r="P31" s="39"/>
      <c r="Q31" s="39"/>
      <c r="R31" s="39"/>
    </row>
    <row r="32" spans="1:18">
      <c r="A32" s="93"/>
      <c r="B32" s="65" t="s">
        <v>281</v>
      </c>
      <c r="C32" s="93"/>
      <c r="D32" s="93"/>
      <c r="E32" s="168">
        <f t="shared" ref="E32:J32" si="8">SUMIF($A:$A,"RA-SITUS",E:E)</f>
        <v>24013.48885875001</v>
      </c>
      <c r="F32" s="168">
        <f t="shared" si="8"/>
        <v>22723.133150252092</v>
      </c>
      <c r="G32" s="168">
        <f t="shared" si="8"/>
        <v>133.8096325371518</v>
      </c>
      <c r="H32" s="168">
        <f t="shared" si="8"/>
        <v>518.07454279300805</v>
      </c>
      <c r="I32" s="168">
        <f t="shared" si="8"/>
        <v>572.7696194177563</v>
      </c>
      <c r="J32" s="168">
        <f t="shared" si="8"/>
        <v>65.701913750000003</v>
      </c>
      <c r="K32" s="39"/>
      <c r="L32" s="39"/>
      <c r="M32" s="39"/>
      <c r="N32" s="39"/>
      <c r="O32" s="39"/>
      <c r="P32" s="39"/>
      <c r="Q32" s="39"/>
      <c r="R32" s="39"/>
    </row>
    <row r="33" spans="1:18">
      <c r="A33" s="93"/>
      <c r="B33" s="65" t="s">
        <v>285</v>
      </c>
      <c r="C33" s="93"/>
      <c r="D33" s="93"/>
      <c r="E33" s="168">
        <f t="shared" ref="E33:J33" si="9">SUMIF($B:$B,"182M",E:E)</f>
        <v>758305.86147750088</v>
      </c>
      <c r="F33" s="168">
        <f t="shared" si="9"/>
        <v>410527.4092934684</v>
      </c>
      <c r="G33" s="168">
        <f t="shared" si="9"/>
        <v>4936.7677886069851</v>
      </c>
      <c r="H33" s="168">
        <f t="shared" si="9"/>
        <v>14809.825702437905</v>
      </c>
      <c r="I33" s="168">
        <f t="shared" si="9"/>
        <v>322127.71988298744</v>
      </c>
      <c r="J33" s="168">
        <f t="shared" si="9"/>
        <v>5904.1388100000031</v>
      </c>
      <c r="K33" s="39"/>
      <c r="L33" s="39"/>
      <c r="M33" s="39"/>
      <c r="N33" s="39"/>
      <c r="O33" s="39"/>
      <c r="P33" s="39"/>
      <c r="Q33" s="39"/>
      <c r="R33" s="39"/>
    </row>
    <row r="34" spans="1:18">
      <c r="B34" s="68" t="s">
        <v>101</v>
      </c>
      <c r="C34" s="91"/>
      <c r="D34" s="91"/>
      <c r="E34" s="69">
        <f>SUM(F34:J34)</f>
        <v>0.99999999999999978</v>
      </c>
      <c r="F34" s="70">
        <f>IFERROR(F30/$E30,F33/$E33)</f>
        <v>0.54137443760963044</v>
      </c>
      <c r="G34" s="70">
        <f t="shared" ref="G34:J34" si="10">IFERROR(G30/$E30,G33/$E33)</f>
        <v>6.5102593022135832E-3</v>
      </c>
      <c r="H34" s="70">
        <f t="shared" si="10"/>
        <v>1.9530147998041442E-2</v>
      </c>
      <c r="I34" s="70">
        <f t="shared" si="10"/>
        <v>0.42479919547944184</v>
      </c>
      <c r="J34" s="70">
        <f t="shared" si="10"/>
        <v>7.7859596106724547E-3</v>
      </c>
    </row>
    <row r="35" spans="1:18">
      <c r="B35" s="68" t="s">
        <v>103</v>
      </c>
      <c r="C35" s="91"/>
      <c r="D35" s="91"/>
      <c r="E35" s="69">
        <f>SUM(F35:J35)</f>
        <v>0.99999999999999989</v>
      </c>
      <c r="F35" s="70">
        <f>F32/$E32</f>
        <v>0.94626537959194801</v>
      </c>
      <c r="G35" s="70">
        <f>G32/$E32</f>
        <v>5.5722695408499286E-3</v>
      </c>
      <c r="H35" s="70">
        <f>H32/$E32</f>
        <v>2.1574313746760401E-2</v>
      </c>
      <c r="I35" s="70">
        <f>I32/$E32</f>
        <v>2.3851995134353463E-2</v>
      </c>
      <c r="J35" s="70">
        <f>J32/$E32</f>
        <v>2.7360419860881485E-3</v>
      </c>
      <c r="K35" s="40"/>
    </row>
    <row r="36" spans="1:18">
      <c r="B36" s="68"/>
      <c r="C36" s="91"/>
      <c r="D36" s="91"/>
      <c r="E36" s="69"/>
      <c r="F36" s="70"/>
      <c r="G36" s="70"/>
      <c r="H36" s="70"/>
      <c r="I36" s="70"/>
      <c r="J36" s="70"/>
    </row>
    <row r="37" spans="1:18">
      <c r="A37" s="22" t="str">
        <f t="shared" ref="A37:A48" si="11">"DD"&amp;"-"&amp;C37</f>
        <v>DD-SE</v>
      </c>
      <c r="B37" s="91" t="s">
        <v>4</v>
      </c>
      <c r="C37" s="91" t="s">
        <v>85</v>
      </c>
      <c r="D37" s="91" t="s">
        <v>68</v>
      </c>
      <c r="E37" s="266">
        <f>SUMIFS('DDS Jun22data'!G:G,'DDS Jun22data'!H:H,C37,'DDS Jun22data'!I:I,D37)</f>
        <v>642.84251541666686</v>
      </c>
      <c r="F37" s="267">
        <f t="shared" ref="F37:J48" si="12">INDEX(F$72:F$84,MATCH($D37,$D$72:$D$84,0))*$E37</f>
        <v>642.84251541666686</v>
      </c>
      <c r="G37" s="267">
        <f t="shared" si="12"/>
        <v>0</v>
      </c>
      <c r="H37" s="267">
        <f t="shared" si="12"/>
        <v>0</v>
      </c>
      <c r="I37" s="267">
        <f t="shared" si="12"/>
        <v>0</v>
      </c>
      <c r="J37" s="267">
        <f t="shared" si="12"/>
        <v>0</v>
      </c>
      <c r="K37" s="110" t="s">
        <v>305</v>
      </c>
      <c r="L37" s="134" t="s">
        <v>3458</v>
      </c>
      <c r="N37" s="22"/>
    </row>
    <row r="38" spans="1:18">
      <c r="A38" s="22" t="str">
        <f t="shared" si="11"/>
        <v>DD-SG</v>
      </c>
      <c r="B38" s="91" t="s">
        <v>4</v>
      </c>
      <c r="C38" s="91" t="s">
        <v>87</v>
      </c>
      <c r="D38" s="91" t="s">
        <v>68</v>
      </c>
      <c r="E38" s="266">
        <f>SUMIFS('DDS Jun22data'!G:G,'DDS Jun22data'!H:H,C38,'DDS Jun22data'!I:I,D38)</f>
        <v>108961.36223833334</v>
      </c>
      <c r="F38" s="267">
        <f t="shared" si="12"/>
        <v>108961.36223833334</v>
      </c>
      <c r="G38" s="267">
        <f t="shared" si="12"/>
        <v>0</v>
      </c>
      <c r="H38" s="267">
        <f t="shared" si="12"/>
        <v>0</v>
      </c>
      <c r="I38" s="267">
        <f t="shared" si="12"/>
        <v>0</v>
      </c>
      <c r="J38" s="267">
        <f t="shared" si="12"/>
        <v>0</v>
      </c>
      <c r="K38" s="110" t="s">
        <v>305</v>
      </c>
      <c r="L38" s="134" t="s">
        <v>3458</v>
      </c>
      <c r="N38" s="22"/>
    </row>
    <row r="39" spans="1:18">
      <c r="A39" s="22" t="str">
        <f t="shared" si="11"/>
        <v>DD-SG</v>
      </c>
      <c r="B39" s="91" t="s">
        <v>4</v>
      </c>
      <c r="C39" s="91" t="s">
        <v>87</v>
      </c>
      <c r="D39" s="91" t="s">
        <v>69</v>
      </c>
      <c r="E39" s="266">
        <f>SUMIFS('DDS Jun22data'!G:G,'DDS Jun22data'!H:H,C39,'DDS Jun22data'!I:I,D39)</f>
        <v>2814.9458054166598</v>
      </c>
      <c r="F39" s="267">
        <f t="shared" si="12"/>
        <v>0</v>
      </c>
      <c r="G39" s="267">
        <f t="shared" si="12"/>
        <v>2814.9458054166598</v>
      </c>
      <c r="H39" s="267">
        <f t="shared" si="12"/>
        <v>0</v>
      </c>
      <c r="I39" s="267">
        <f t="shared" si="12"/>
        <v>0</v>
      </c>
      <c r="J39" s="267">
        <f t="shared" si="12"/>
        <v>0</v>
      </c>
      <c r="K39" s="110" t="s">
        <v>305</v>
      </c>
      <c r="L39" s="134" t="s">
        <v>3458</v>
      </c>
      <c r="N39" s="22"/>
    </row>
    <row r="40" spans="1:18">
      <c r="A40" s="22" t="str">
        <f t="shared" si="11"/>
        <v>DD-SO</v>
      </c>
      <c r="B40" s="91" t="s">
        <v>4</v>
      </c>
      <c r="C40" s="91" t="s">
        <v>89</v>
      </c>
      <c r="D40" s="91" t="s">
        <v>74</v>
      </c>
      <c r="E40" s="266">
        <f>SUMIFS('DDS Jun22data'!G:G,'DDS Jun22data'!H:H,C40,'DDS Jun22data'!I:I,D40)</f>
        <v>264.84446250000002</v>
      </c>
      <c r="F40" s="267">
        <f t="shared" si="12"/>
        <v>0</v>
      </c>
      <c r="G40" s="267">
        <f t="shared" si="12"/>
        <v>0</v>
      </c>
      <c r="H40" s="267">
        <f t="shared" si="12"/>
        <v>0</v>
      </c>
      <c r="I40" s="267">
        <f t="shared" si="12"/>
        <v>0</v>
      </c>
      <c r="J40" s="267">
        <f t="shared" si="12"/>
        <v>264.84446250000002</v>
      </c>
      <c r="K40" s="110" t="s">
        <v>305</v>
      </c>
      <c r="L40" s="134" t="s">
        <v>3458</v>
      </c>
      <c r="N40" s="22"/>
    </row>
    <row r="41" spans="1:18">
      <c r="B41" s="91"/>
      <c r="C41" s="91"/>
      <c r="D41" s="91"/>
      <c r="E41" s="266"/>
      <c r="F41" s="267"/>
      <c r="G41" s="267"/>
      <c r="H41" s="267"/>
      <c r="I41" s="267"/>
      <c r="J41" s="267"/>
      <c r="K41" s="110"/>
      <c r="L41" s="112"/>
      <c r="N41" s="22"/>
    </row>
    <row r="42" spans="1:18">
      <c r="A42" s="22" t="s">
        <v>316</v>
      </c>
      <c r="B42" s="91" t="s">
        <v>4</v>
      </c>
      <c r="C42" s="91" t="s">
        <v>306</v>
      </c>
      <c r="D42" s="91" t="s">
        <v>74</v>
      </c>
      <c r="E42" s="266">
        <f>SUMIFS('DDS Jun22data'!G:G,'DDS Jun22data'!H:H,C42,'DDS Jun22data'!I:I,D42)</f>
        <v>1999.0582350000002</v>
      </c>
      <c r="F42" s="267">
        <f t="shared" si="12"/>
        <v>0</v>
      </c>
      <c r="G42" s="267">
        <f t="shared" si="12"/>
        <v>0</v>
      </c>
      <c r="H42" s="267">
        <f t="shared" si="12"/>
        <v>0</v>
      </c>
      <c r="I42" s="267">
        <f t="shared" si="12"/>
        <v>0</v>
      </c>
      <c r="J42" s="267">
        <f t="shared" si="12"/>
        <v>1999.0582350000002</v>
      </c>
      <c r="K42" s="110" t="s">
        <v>305</v>
      </c>
      <c r="L42" s="134" t="s">
        <v>3458</v>
      </c>
      <c r="N42" s="22"/>
    </row>
    <row r="43" spans="1:18">
      <c r="A43" s="22" t="s">
        <v>316</v>
      </c>
      <c r="B43" s="91" t="s">
        <v>4</v>
      </c>
      <c r="C43" s="91" t="s">
        <v>306</v>
      </c>
      <c r="D43" s="91" t="s">
        <v>102</v>
      </c>
      <c r="E43" s="266">
        <f>SUMIFS('DDS Jun22data'!G:G,'DDS Jun22data'!H:H,C43,'DDS Jun22data'!I:I,D43)</f>
        <v>0</v>
      </c>
      <c r="F43" s="267">
        <f t="shared" si="12"/>
        <v>0</v>
      </c>
      <c r="G43" s="267">
        <f t="shared" si="12"/>
        <v>0</v>
      </c>
      <c r="H43" s="267">
        <f t="shared" si="12"/>
        <v>0</v>
      </c>
      <c r="I43" s="267">
        <f t="shared" si="12"/>
        <v>0</v>
      </c>
      <c r="J43" s="267">
        <f t="shared" si="12"/>
        <v>0</v>
      </c>
      <c r="K43" s="110" t="s">
        <v>305</v>
      </c>
      <c r="L43" s="134" t="s">
        <v>3458</v>
      </c>
      <c r="N43" s="22"/>
    </row>
    <row r="44" spans="1:18">
      <c r="A44" s="22" t="s">
        <v>316</v>
      </c>
      <c r="B44" s="91" t="s">
        <v>4</v>
      </c>
      <c r="C44" s="91" t="s">
        <v>306</v>
      </c>
      <c r="D44" s="91" t="s">
        <v>68</v>
      </c>
      <c r="E44" s="266">
        <f>SUMIFS('DDS Jun22data'!G:G,'DDS Jun22data'!H:H,C44,'DDS Jun22data'!I:I,D44)</f>
        <v>0</v>
      </c>
      <c r="F44" s="267">
        <f t="shared" si="12"/>
        <v>0</v>
      </c>
      <c r="G44" s="267">
        <f t="shared" si="12"/>
        <v>0</v>
      </c>
      <c r="H44" s="267">
        <f t="shared" si="12"/>
        <v>0</v>
      </c>
      <c r="I44" s="267">
        <f t="shared" si="12"/>
        <v>0</v>
      </c>
      <c r="J44" s="267">
        <f t="shared" si="12"/>
        <v>0</v>
      </c>
      <c r="K44" s="110" t="s">
        <v>305</v>
      </c>
      <c r="L44" s="134" t="s">
        <v>3458</v>
      </c>
      <c r="N44" s="22"/>
    </row>
    <row r="45" spans="1:18">
      <c r="A45" s="22" t="s">
        <v>316</v>
      </c>
      <c r="B45" s="91" t="s">
        <v>4</v>
      </c>
      <c r="C45" s="91" t="s">
        <v>306</v>
      </c>
      <c r="D45" s="91" t="s">
        <v>92</v>
      </c>
      <c r="E45" s="266">
        <f>SUMIFS('DDS Jun22data'!G:G,'DDS Jun22data'!H:H,C45,'DDS Jun22data'!I:I,D45)</f>
        <v>108.48773</v>
      </c>
      <c r="F45" s="267">
        <f t="shared" si="12"/>
        <v>51.835509543944248</v>
      </c>
      <c r="G45" s="267">
        <f t="shared" si="12"/>
        <v>26.882771954933073</v>
      </c>
      <c r="H45" s="267">
        <f t="shared" si="12"/>
        <v>29.769448501122678</v>
      </c>
      <c r="I45" s="267">
        <f t="shared" si="12"/>
        <v>0</v>
      </c>
      <c r="J45" s="267">
        <f t="shared" si="12"/>
        <v>0</v>
      </c>
      <c r="K45" s="110" t="s">
        <v>305</v>
      </c>
      <c r="L45" s="134" t="s">
        <v>3458</v>
      </c>
      <c r="N45" s="22"/>
    </row>
    <row r="46" spans="1:18">
      <c r="A46" s="22" t="s">
        <v>316</v>
      </c>
      <c r="B46" s="91" t="s">
        <v>4</v>
      </c>
      <c r="C46" s="91" t="s">
        <v>306</v>
      </c>
      <c r="D46" s="91" t="s">
        <v>69</v>
      </c>
      <c r="E46" s="266">
        <f>SUMIFS('DDS Jun22data'!G:G,'DDS Jun22data'!H:H,C46,'DDS Jun22data'!I:I,D46)</f>
        <v>0</v>
      </c>
      <c r="F46" s="267">
        <f t="shared" si="12"/>
        <v>0</v>
      </c>
      <c r="G46" s="267">
        <f t="shared" si="12"/>
        <v>0</v>
      </c>
      <c r="H46" s="267">
        <f t="shared" si="12"/>
        <v>0</v>
      </c>
      <c r="I46" s="267">
        <f t="shared" si="12"/>
        <v>0</v>
      </c>
      <c r="J46" s="267">
        <f t="shared" si="12"/>
        <v>0</v>
      </c>
      <c r="K46" s="110" t="s">
        <v>305</v>
      </c>
      <c r="L46" s="134" t="s">
        <v>3458</v>
      </c>
      <c r="N46" s="22"/>
    </row>
    <row r="47" spans="1:18">
      <c r="A47" s="22" t="str">
        <f t="shared" si="11"/>
        <v>DD-SITUS</v>
      </c>
      <c r="B47" s="91" t="s">
        <v>4</v>
      </c>
      <c r="C47" s="91" t="s">
        <v>12</v>
      </c>
      <c r="D47" s="91" t="s">
        <v>69</v>
      </c>
      <c r="E47" s="104">
        <v>0</v>
      </c>
      <c r="F47" s="267">
        <f t="shared" si="12"/>
        <v>0</v>
      </c>
      <c r="G47" s="267">
        <f t="shared" si="12"/>
        <v>0</v>
      </c>
      <c r="H47" s="267">
        <f t="shared" si="12"/>
        <v>0</v>
      </c>
      <c r="I47" s="267">
        <f t="shared" si="12"/>
        <v>0</v>
      </c>
      <c r="J47" s="267">
        <f t="shared" si="12"/>
        <v>0</v>
      </c>
    </row>
    <row r="48" spans="1:18">
      <c r="A48" s="22" t="str">
        <f t="shared" si="11"/>
        <v>DD-SITUS</v>
      </c>
      <c r="B48" s="91" t="s">
        <v>4</v>
      </c>
      <c r="C48" s="91" t="s">
        <v>12</v>
      </c>
      <c r="D48" s="91" t="s">
        <v>102</v>
      </c>
      <c r="E48" s="104">
        <v>0</v>
      </c>
      <c r="F48" s="267">
        <f t="shared" si="12"/>
        <v>0</v>
      </c>
      <c r="G48" s="267">
        <f t="shared" si="12"/>
        <v>0</v>
      </c>
      <c r="H48" s="267">
        <f t="shared" si="12"/>
        <v>0</v>
      </c>
      <c r="I48" s="267">
        <f t="shared" si="12"/>
        <v>0</v>
      </c>
      <c r="J48" s="267">
        <f t="shared" si="12"/>
        <v>0</v>
      </c>
    </row>
    <row r="49" spans="2:10">
      <c r="B49" s="65" t="s">
        <v>281</v>
      </c>
      <c r="E49" s="168">
        <f t="shared" ref="E49:J49" si="13">SUMIF($A:$A,"DD-SITUS",E:E)</f>
        <v>0</v>
      </c>
      <c r="F49" s="168">
        <f t="shared" si="13"/>
        <v>0</v>
      </c>
      <c r="G49" s="168">
        <f t="shared" si="13"/>
        <v>0</v>
      </c>
      <c r="H49" s="168">
        <f t="shared" si="13"/>
        <v>0</v>
      </c>
      <c r="I49" s="168">
        <f t="shared" si="13"/>
        <v>0</v>
      </c>
      <c r="J49" s="168">
        <f t="shared" si="13"/>
        <v>0</v>
      </c>
    </row>
    <row r="50" spans="2:10">
      <c r="B50" s="65" t="s">
        <v>282</v>
      </c>
      <c r="C50" s="93"/>
      <c r="D50" s="93"/>
      <c r="E50" s="168">
        <f t="shared" ref="E50:J50" si="14">SUMIF($A:$A,"DD-SG",E:E)</f>
        <v>111776.30804375</v>
      </c>
      <c r="F50" s="168">
        <f t="shared" si="14"/>
        <v>108961.36223833334</v>
      </c>
      <c r="G50" s="168">
        <f t="shared" si="14"/>
        <v>2814.9458054166598</v>
      </c>
      <c r="H50" s="168">
        <f t="shared" si="14"/>
        <v>0</v>
      </c>
      <c r="I50" s="168">
        <f t="shared" si="14"/>
        <v>0</v>
      </c>
      <c r="J50" s="168">
        <f t="shared" si="14"/>
        <v>0</v>
      </c>
    </row>
    <row r="51" spans="2:10">
      <c r="B51" s="81" t="s">
        <v>268</v>
      </c>
      <c r="C51" s="95"/>
      <c r="D51" s="95"/>
      <c r="E51" s="105">
        <f t="shared" ref="E51:J51" si="15">SUMIF($A:$A,"DD-SO",E:E)</f>
        <v>264.84446250000002</v>
      </c>
      <c r="F51" s="105">
        <f t="shared" si="15"/>
        <v>0</v>
      </c>
      <c r="G51" s="105">
        <f t="shared" si="15"/>
        <v>0</v>
      </c>
      <c r="H51" s="105">
        <f t="shared" si="15"/>
        <v>0</v>
      </c>
      <c r="I51" s="105">
        <f t="shared" si="15"/>
        <v>0</v>
      </c>
      <c r="J51" s="105">
        <f t="shared" si="15"/>
        <v>264.84446250000002</v>
      </c>
    </row>
    <row r="52" spans="2:10">
      <c r="B52" s="64" t="s">
        <v>284</v>
      </c>
      <c r="E52" s="168">
        <f t="shared" ref="E52:J52" si="16">SUMIF($B:$B,"186M",E:E)</f>
        <v>114791.54098666666</v>
      </c>
      <c r="F52" s="168">
        <f t="shared" si="16"/>
        <v>109656.04026329395</v>
      </c>
      <c r="G52" s="168">
        <f t="shared" si="16"/>
        <v>2841.8285773715929</v>
      </c>
      <c r="H52" s="168">
        <f t="shared" si="16"/>
        <v>29.769448501122678</v>
      </c>
      <c r="I52" s="168">
        <f t="shared" si="16"/>
        <v>0</v>
      </c>
      <c r="J52" s="168">
        <f t="shared" si="16"/>
        <v>2263.9026975000002</v>
      </c>
    </row>
    <row r="53" spans="2:10">
      <c r="B53" s="68" t="s">
        <v>105</v>
      </c>
      <c r="C53" s="91"/>
      <c r="D53" s="91"/>
      <c r="E53" s="69">
        <f>SUM(F53:J53)</f>
        <v>0</v>
      </c>
      <c r="F53" s="70">
        <f>IFERROR(F49/$E49,0)</f>
        <v>0</v>
      </c>
      <c r="G53" s="70">
        <f>IFERROR(G49/$E49,0)</f>
        <v>0</v>
      </c>
      <c r="H53" s="70">
        <f>IFERROR(H49/$E49,0)</f>
        <v>0</v>
      </c>
      <c r="I53" s="70">
        <f>IFERROR(I49/$E49,0)</f>
        <v>0</v>
      </c>
      <c r="J53" s="70">
        <f>IFERROR(J49/$E49,0)</f>
        <v>0</v>
      </c>
    </row>
    <row r="54" spans="2:10">
      <c r="B54" s="68" t="s">
        <v>106</v>
      </c>
      <c r="C54" s="91"/>
      <c r="D54" s="91"/>
      <c r="E54" s="69">
        <f>SUM(F54:J54)</f>
        <v>1</v>
      </c>
      <c r="F54" s="70">
        <f>F50/$E50</f>
        <v>0.97481625708808639</v>
      </c>
      <c r="G54" s="70">
        <f>G50/$E50</f>
        <v>2.5183742911913595E-2</v>
      </c>
      <c r="H54" s="70">
        <f>H50/$E50</f>
        <v>0</v>
      </c>
      <c r="I54" s="70">
        <f>I50/$E50</f>
        <v>0</v>
      </c>
      <c r="J54" s="70">
        <f>J50/$E50</f>
        <v>0</v>
      </c>
    </row>
    <row r="55" spans="2:10">
      <c r="B55" s="68" t="s">
        <v>303</v>
      </c>
      <c r="C55" s="93"/>
      <c r="D55" s="91"/>
      <c r="E55" s="69">
        <f>SUM(F55:J55)</f>
        <v>1</v>
      </c>
      <c r="F55" s="70">
        <f>IFERROR(F51/$E51,0)</f>
        <v>0</v>
      </c>
      <c r="G55" s="70">
        <f>IFERROR(G51/$E51,0)</f>
        <v>0</v>
      </c>
      <c r="H55" s="70">
        <f>IFERROR(H51/$E51,0)</f>
        <v>0</v>
      </c>
      <c r="I55" s="70">
        <f>IFERROR(I51/$E51,0)</f>
        <v>0</v>
      </c>
      <c r="J55" s="70">
        <f>IFERROR(J51/$E51,0)</f>
        <v>1</v>
      </c>
    </row>
    <row r="56" spans="2:10">
      <c r="B56" s="68"/>
      <c r="C56" s="91"/>
      <c r="D56" s="91"/>
      <c r="E56" s="69"/>
      <c r="F56" s="70"/>
      <c r="G56" s="70"/>
      <c r="H56" s="70"/>
      <c r="I56" s="70"/>
      <c r="J56" s="70"/>
    </row>
    <row r="57" spans="2:10">
      <c r="B57" s="93" t="s">
        <v>46</v>
      </c>
      <c r="C57" s="93"/>
      <c r="D57" s="93"/>
      <c r="E57" s="167"/>
      <c r="F57" s="167"/>
      <c r="G57" s="167"/>
      <c r="H57" s="167"/>
      <c r="I57" s="167"/>
      <c r="J57" s="167"/>
    </row>
    <row r="58" spans="2:10">
      <c r="B58" s="93" t="s">
        <v>47</v>
      </c>
      <c r="C58" s="93"/>
      <c r="D58" s="93" t="s">
        <v>102</v>
      </c>
      <c r="E58" s="167">
        <v>0</v>
      </c>
      <c r="F58" s="168">
        <f>VLOOKUP($D58,$D$72:$J$84,3,FALSE)*$E58</f>
        <v>0</v>
      </c>
      <c r="G58" s="168">
        <f>VLOOKUP($D58,$D$72:$J$84,4,FALSE)*$E58</f>
        <v>0</v>
      </c>
      <c r="H58" s="168">
        <f>VLOOKUP($D58,$D$72:$J$84,5,FALSE)*$E58</f>
        <v>0</v>
      </c>
      <c r="I58" s="168">
        <f>VLOOKUP($D58,$D$72:$J$84,6,FALSE)*$E58</f>
        <v>0</v>
      </c>
      <c r="J58" s="168">
        <f>VLOOKUP($D58,$D$72:$J$84,7,FALSE)*$E58</f>
        <v>0</v>
      </c>
    </row>
    <row r="59" spans="2:10">
      <c r="B59" s="93" t="s">
        <v>48</v>
      </c>
      <c r="C59" s="93"/>
      <c r="D59" s="93" t="s">
        <v>102</v>
      </c>
      <c r="E59" s="167">
        <v>0</v>
      </c>
      <c r="F59" s="168">
        <f>VLOOKUP($D59,$D$72:$J$84,3,FALSE)*$E59</f>
        <v>0</v>
      </c>
      <c r="G59" s="168">
        <f>VLOOKUP($D59,$D$72:$J$84,4,FALSE)*$E59</f>
        <v>0</v>
      </c>
      <c r="H59" s="168">
        <f>VLOOKUP($D59,$D$72:$J$84,5,FALSE)*$E59</f>
        <v>0</v>
      </c>
      <c r="I59" s="168">
        <f>VLOOKUP($D59,$D$72:$J$84,6,FALSE)*$E59</f>
        <v>0</v>
      </c>
      <c r="J59" s="168">
        <f>VLOOKUP($D59,$D$72:$J$84,7,FALSE)*$E59</f>
        <v>0</v>
      </c>
    </row>
    <row r="60" spans="2:10">
      <c r="B60" s="93" t="s">
        <v>49</v>
      </c>
      <c r="C60" s="93"/>
      <c r="D60" s="93" t="s">
        <v>92</v>
      </c>
      <c r="E60" s="167">
        <v>0</v>
      </c>
      <c r="F60" s="168">
        <f>VLOOKUP($D60,$D$72:$J$84,3,FALSE)*$E60</f>
        <v>0</v>
      </c>
      <c r="G60" s="168">
        <f>VLOOKUP($D60,$D$72:$J$84,4,FALSE)*$E60</f>
        <v>0</v>
      </c>
      <c r="H60" s="168">
        <f>VLOOKUP($D60,$D$72:$J$84,5,FALSE)*$E60</f>
        <v>0</v>
      </c>
      <c r="I60" s="168">
        <f>VLOOKUP($D60,$D$72:$J$84,6,FALSE)*$E60</f>
        <v>0</v>
      </c>
      <c r="J60" s="168">
        <f>VLOOKUP($D60,$D$72:$J$84,7,FALSE)*$E60</f>
        <v>0</v>
      </c>
    </row>
    <row r="61" spans="2:10">
      <c r="B61" s="93" t="s">
        <v>50</v>
      </c>
      <c r="C61" s="93"/>
      <c r="D61" s="93" t="s">
        <v>100</v>
      </c>
      <c r="E61" s="167">
        <v>0</v>
      </c>
      <c r="F61" s="168">
        <f>VLOOKUP($D61,$D$72:$J$84,3,FALSE)*$E61</f>
        <v>0</v>
      </c>
      <c r="G61" s="168">
        <f>VLOOKUP($D61,$D$72:$J$84,4,FALSE)*$E61</f>
        <v>0</v>
      </c>
      <c r="H61" s="168">
        <f>VLOOKUP($D61,$D$72:$J$84,5,FALSE)*$E61</f>
        <v>0</v>
      </c>
      <c r="I61" s="168">
        <f>VLOOKUP($D61,$D$72:$J$84,6,FALSE)*$E61</f>
        <v>0</v>
      </c>
      <c r="J61" s="168">
        <f>VLOOKUP($D61,$D$72:$J$84,7,FALSE)*$E61</f>
        <v>0</v>
      </c>
    </row>
    <row r="62" spans="2:10">
      <c r="B62" s="93" t="s">
        <v>51</v>
      </c>
      <c r="C62" s="93"/>
      <c r="D62" s="93" t="s">
        <v>92</v>
      </c>
      <c r="E62" s="244">
        <v>0</v>
      </c>
      <c r="F62" s="168">
        <f>VLOOKUP($D62,$D$72:$J$84,3,FALSE)*$E62</f>
        <v>0</v>
      </c>
      <c r="G62" s="168">
        <f>VLOOKUP($D62,$D$72:$J$84,4,FALSE)*$E62</f>
        <v>0</v>
      </c>
      <c r="H62" s="168">
        <f>VLOOKUP($D62,$D$72:$J$84,5,FALSE)*$E62</f>
        <v>0</v>
      </c>
      <c r="I62" s="168">
        <f>VLOOKUP($D62,$D$72:$J$84,6,FALSE)*$E62</f>
        <v>0</v>
      </c>
      <c r="J62" s="168">
        <f>VLOOKUP($D62,$D$72:$J$84,7,FALSE)*$E62</f>
        <v>0</v>
      </c>
    </row>
    <row r="63" spans="2:10">
      <c r="B63" s="93" t="s">
        <v>52</v>
      </c>
      <c r="C63" s="93"/>
      <c r="D63" s="93"/>
      <c r="E63" s="167">
        <f t="shared" ref="E63:J63" si="17">SUM(E58:E62)</f>
        <v>0</v>
      </c>
      <c r="F63" s="167">
        <f t="shared" si="17"/>
        <v>0</v>
      </c>
      <c r="G63" s="167">
        <f t="shared" si="17"/>
        <v>0</v>
      </c>
      <c r="H63" s="167">
        <f t="shared" si="17"/>
        <v>0</v>
      </c>
      <c r="I63" s="167">
        <f t="shared" si="17"/>
        <v>0</v>
      </c>
      <c r="J63" s="167">
        <f t="shared" si="17"/>
        <v>0</v>
      </c>
    </row>
    <row r="64" spans="2:10">
      <c r="B64" s="93"/>
      <c r="C64" s="93"/>
      <c r="D64" s="93"/>
      <c r="E64" s="167"/>
      <c r="F64" s="167"/>
      <c r="G64" s="167"/>
      <c r="H64" s="167"/>
      <c r="I64" s="167"/>
      <c r="J64" s="167"/>
    </row>
    <row r="65" spans="2:10">
      <c r="B65" s="93" t="s">
        <v>53</v>
      </c>
      <c r="C65" s="93"/>
      <c r="D65" s="93"/>
      <c r="E65" s="167">
        <f t="shared" ref="E65:J65" si="18">+E51+E63</f>
        <v>264.84446250000002</v>
      </c>
      <c r="F65" s="167">
        <f t="shared" si="18"/>
        <v>0</v>
      </c>
      <c r="G65" s="167">
        <f t="shared" si="18"/>
        <v>0</v>
      </c>
      <c r="H65" s="167">
        <f t="shared" si="18"/>
        <v>0</v>
      </c>
      <c r="I65" s="167">
        <f t="shared" si="18"/>
        <v>0</v>
      </c>
      <c r="J65" s="167">
        <f t="shared" si="18"/>
        <v>264.84446250000002</v>
      </c>
    </row>
    <row r="66" spans="2:10">
      <c r="B66" s="93"/>
      <c r="C66" s="93"/>
      <c r="D66" s="93"/>
      <c r="E66" s="167"/>
      <c r="F66" s="167"/>
      <c r="G66" s="167"/>
      <c r="H66" s="167"/>
      <c r="I66" s="167"/>
      <c r="J66" s="167"/>
    </row>
    <row r="67" spans="2:10">
      <c r="B67" s="65" t="s">
        <v>283</v>
      </c>
      <c r="E67" s="168">
        <f>SUM(E52,E33)</f>
        <v>873097.40246416756</v>
      </c>
      <c r="F67" s="168">
        <f>SUM(F33,F52)</f>
        <v>520183.44955676235</v>
      </c>
      <c r="G67" s="168">
        <f>SUM(G33,G52)</f>
        <v>7778.5963659785775</v>
      </c>
      <c r="H67" s="168">
        <f>SUM(H33,H52)</f>
        <v>14839.595150939029</v>
      </c>
      <c r="I67" s="168">
        <f>SUM(I33,I52)</f>
        <v>322127.71988298744</v>
      </c>
      <c r="J67" s="168">
        <f>SUM(J33,J52)</f>
        <v>8168.0415075000037</v>
      </c>
    </row>
    <row r="68" spans="2:10">
      <c r="B68" s="93"/>
      <c r="C68" s="93"/>
      <c r="D68" s="93"/>
      <c r="E68" s="268"/>
      <c r="F68" s="93"/>
      <c r="G68" s="93"/>
      <c r="H68" s="93"/>
      <c r="I68" s="93"/>
      <c r="J68" s="93"/>
    </row>
    <row r="69" spans="2:10">
      <c r="B69" s="93"/>
      <c r="C69" s="93"/>
      <c r="D69" s="93"/>
      <c r="E69" s="217"/>
      <c r="F69" s="93"/>
      <c r="G69" s="93"/>
      <c r="H69" s="93"/>
      <c r="I69" s="93"/>
      <c r="J69" s="93"/>
    </row>
    <row r="70" spans="2:10">
      <c r="E70" s="112"/>
    </row>
    <row r="71" spans="2:10">
      <c r="E71" s="22" t="s">
        <v>72</v>
      </c>
      <c r="F71" s="44" t="s">
        <v>63</v>
      </c>
      <c r="G71" s="44" t="s">
        <v>64</v>
      </c>
      <c r="H71" s="44" t="s">
        <v>107</v>
      </c>
      <c r="I71" s="44" t="s">
        <v>108</v>
      </c>
      <c r="J71" s="44" t="s">
        <v>109</v>
      </c>
    </row>
    <row r="72" spans="2:10">
      <c r="D72" s="22" t="s">
        <v>74</v>
      </c>
      <c r="E72" s="163">
        <f>SUM(F72:J72)</f>
        <v>1</v>
      </c>
      <c r="F72" s="169">
        <v>0</v>
      </c>
      <c r="G72" s="169">
        <v>0</v>
      </c>
      <c r="H72" s="169">
        <v>0</v>
      </c>
      <c r="I72" s="169">
        <v>0</v>
      </c>
      <c r="J72" s="169">
        <v>1</v>
      </c>
    </row>
    <row r="73" spans="2:10">
      <c r="D73" s="22" t="s">
        <v>70</v>
      </c>
      <c r="E73" s="163">
        <f t="shared" ref="E73:E84" si="19">SUM(F73:J73)</f>
        <v>1</v>
      </c>
      <c r="F73" s="102">
        <v>0</v>
      </c>
      <c r="G73" s="102">
        <v>0</v>
      </c>
      <c r="H73" s="102">
        <v>1</v>
      </c>
      <c r="I73" s="102">
        <v>0</v>
      </c>
      <c r="J73" s="102">
        <v>0</v>
      </c>
    </row>
    <row r="74" spans="2:10">
      <c r="D74" s="22" t="s">
        <v>73</v>
      </c>
      <c r="E74" s="163">
        <f t="shared" si="19"/>
        <v>1</v>
      </c>
      <c r="F74" s="102">
        <v>0</v>
      </c>
      <c r="G74" s="102">
        <v>0</v>
      </c>
      <c r="H74" s="102">
        <v>0</v>
      </c>
      <c r="I74" s="102">
        <v>1</v>
      </c>
      <c r="J74" s="102">
        <v>0</v>
      </c>
    </row>
    <row r="75" spans="2:10">
      <c r="D75" s="22" t="s">
        <v>100</v>
      </c>
      <c r="E75" s="163">
        <f t="shared" si="19"/>
        <v>1</v>
      </c>
      <c r="F75" s="102">
        <v>0.3</v>
      </c>
      <c r="G75" s="102">
        <v>0.1</v>
      </c>
      <c r="H75" s="102">
        <v>0.6</v>
      </c>
      <c r="I75" s="102">
        <v>0</v>
      </c>
      <c r="J75" s="102">
        <v>0</v>
      </c>
    </row>
    <row r="76" spans="2:10">
      <c r="D76" s="22" t="s">
        <v>110</v>
      </c>
      <c r="E76" s="163">
        <f t="shared" si="19"/>
        <v>1</v>
      </c>
      <c r="F76" s="102">
        <f>'GROSS PLANT'!$E$42</f>
        <v>0.46689390234989775</v>
      </c>
      <c r="G76" s="102">
        <f>'GROSS PLANT'!$F$42</f>
        <v>0.24894656398337411</v>
      </c>
      <c r="H76" s="102">
        <f>'GROSS PLANT'!$G$42</f>
        <v>0.27562257965004799</v>
      </c>
      <c r="I76" s="102">
        <f>'GROSS PLANT'!$H$42</f>
        <v>8.5369540166802087E-3</v>
      </c>
      <c r="J76" s="102">
        <f>'GROSS PLANT'!$I$42</f>
        <v>0</v>
      </c>
    </row>
    <row r="77" spans="2:10">
      <c r="D77" s="22" t="s">
        <v>267</v>
      </c>
      <c r="E77" s="163">
        <f t="shared" si="19"/>
        <v>1</v>
      </c>
      <c r="F77" s="102">
        <v>0</v>
      </c>
      <c r="G77" s="102">
        <v>0</v>
      </c>
      <c r="H77" s="102">
        <v>0</v>
      </c>
      <c r="I77" s="102">
        <v>1</v>
      </c>
      <c r="J77" s="102">
        <v>0</v>
      </c>
    </row>
    <row r="78" spans="2:10">
      <c r="D78" s="22" t="s">
        <v>102</v>
      </c>
      <c r="E78" s="163">
        <f t="shared" si="19"/>
        <v>1</v>
      </c>
      <c r="F78" s="102">
        <f>'FORM 1'!$C$25</f>
        <v>0.43435191300617138</v>
      </c>
      <c r="G78" s="102">
        <f>'FORM 1'!$D$25</f>
        <v>9.1865268433291722E-2</v>
      </c>
      <c r="H78" s="102">
        <f>'FORM 1'!$E$25</f>
        <v>0.35567736073799106</v>
      </c>
      <c r="I78" s="102">
        <f>'FORM 1'!$F$25</f>
        <v>0.11810545782254585</v>
      </c>
      <c r="J78" s="102">
        <f>'FORM 1'!$G$25</f>
        <v>0</v>
      </c>
    </row>
    <row r="79" spans="2:10">
      <c r="D79" s="22" t="s">
        <v>68</v>
      </c>
      <c r="E79" s="163">
        <f t="shared" si="19"/>
        <v>1</v>
      </c>
      <c r="F79" s="163">
        <f>'FORM 1'!$C$13</f>
        <v>1</v>
      </c>
      <c r="G79" s="163">
        <f>'FORM 1'!$D$13</f>
        <v>0</v>
      </c>
      <c r="H79" s="163">
        <f>'FORM 1'!$E$13</f>
        <v>0</v>
      </c>
      <c r="I79" s="163">
        <f>'FORM 1'!$F$13</f>
        <v>0</v>
      </c>
      <c r="J79" s="163">
        <f>'FORM 1'!$G$13</f>
        <v>0</v>
      </c>
    </row>
    <row r="80" spans="2:10">
      <c r="D80" s="22" t="s">
        <v>171</v>
      </c>
      <c r="E80" s="163">
        <f>SUM(F80:J80)</f>
        <v>1</v>
      </c>
      <c r="F80" s="163">
        <f>'FORM 1'!$C$17</f>
        <v>0.65849391725711803</v>
      </c>
      <c r="G80" s="163">
        <f>'FORM 1'!$D$17</f>
        <v>0.34150608274288197</v>
      </c>
      <c r="H80" s="163">
        <f>'FORM 1'!$E$17</f>
        <v>0</v>
      </c>
      <c r="I80" s="163">
        <f>'FORM 1'!$F$17</f>
        <v>0</v>
      </c>
      <c r="J80" s="163">
        <f>'FORM 1'!$G$17</f>
        <v>0</v>
      </c>
    </row>
    <row r="81" spans="4:10">
      <c r="D81" s="22" t="s">
        <v>92</v>
      </c>
      <c r="E81" s="163">
        <f t="shared" si="19"/>
        <v>1</v>
      </c>
      <c r="F81" s="163">
        <f>'FORM 1'!$C$16</f>
        <v>0.47780066505165375</v>
      </c>
      <c r="G81" s="163">
        <f>'FORM 1'!$D$16</f>
        <v>0.24779550604416806</v>
      </c>
      <c r="H81" s="163">
        <f>'FORM 1'!$E$16</f>
        <v>0.27440382890417819</v>
      </c>
      <c r="I81" s="163">
        <f>'FORM 1'!$F$16</f>
        <v>0</v>
      </c>
      <c r="J81" s="163">
        <f>'FORM 1'!$G$16</f>
        <v>0</v>
      </c>
    </row>
    <row r="82" spans="4:10">
      <c r="D82" s="22" t="s">
        <v>69</v>
      </c>
      <c r="E82" s="163">
        <f t="shared" si="19"/>
        <v>1</v>
      </c>
      <c r="F82" s="163">
        <f>'FORM 1'!$C$14</f>
        <v>0</v>
      </c>
      <c r="G82" s="163">
        <f>'FORM 1'!$D$14</f>
        <v>1</v>
      </c>
      <c r="H82" s="163">
        <f>'FORM 1'!$E$14</f>
        <v>0</v>
      </c>
      <c r="I82" s="163">
        <f>'FORM 1'!$F$14</f>
        <v>0</v>
      </c>
      <c r="J82" s="163">
        <f>'FORM 1'!$G$14</f>
        <v>0</v>
      </c>
    </row>
    <row r="83" spans="4:10">
      <c r="D83" s="22" t="s">
        <v>111</v>
      </c>
      <c r="E83" s="163">
        <f t="shared" si="19"/>
        <v>0.99999999999999989</v>
      </c>
      <c r="F83" s="102">
        <f>'TAX DEPR'!C24</f>
        <v>0.60133343528186556</v>
      </c>
      <c r="G83" s="102">
        <f>'TAX DEPR'!D24</f>
        <v>0.21011643749428602</v>
      </c>
      <c r="H83" s="102">
        <f>'TAX DEPR'!E24</f>
        <v>0.18011830527052647</v>
      </c>
      <c r="I83" s="102">
        <f>'TAX DEPR'!F24</f>
        <v>8.4318219533218528E-3</v>
      </c>
      <c r="J83" s="102">
        <f>'TAX DEPR'!G24</f>
        <v>0</v>
      </c>
    </row>
    <row r="84" spans="4:10">
      <c r="D84" s="22" t="s">
        <v>96</v>
      </c>
      <c r="E84" s="163">
        <f t="shared" si="19"/>
        <v>0.99999999999999989</v>
      </c>
      <c r="F84" s="163">
        <f>'FORM 1'!$C$18</f>
        <v>0</v>
      </c>
      <c r="G84" s="163">
        <f>'FORM 1'!$D$18</f>
        <v>0.47452282961769554</v>
      </c>
      <c r="H84" s="163">
        <f>'FORM 1'!$E$18</f>
        <v>0.52547717038230435</v>
      </c>
      <c r="I84" s="163">
        <f>'FORM 1'!$F$18</f>
        <v>0</v>
      </c>
      <c r="J84" s="163">
        <f>'FORM 1'!$G$18</f>
        <v>0</v>
      </c>
    </row>
    <row r="85" spans="4:10">
      <c r="F85" s="163"/>
    </row>
    <row r="86" spans="4:10">
      <c r="E86" s="104"/>
      <c r="G86" s="112"/>
      <c r="H86" s="218"/>
      <c r="I86" s="218"/>
    </row>
    <row r="87" spans="4:10">
      <c r="E87" s="104"/>
      <c r="G87" s="112"/>
      <c r="I87" s="218"/>
    </row>
    <row r="88" spans="4:10">
      <c r="E88" s="104"/>
      <c r="G88" s="269"/>
      <c r="I88" s="218"/>
    </row>
    <row r="89" spans="4:10">
      <c r="E89" s="104"/>
      <c r="G89" s="269"/>
    </row>
    <row r="90" spans="4:10">
      <c r="E90" s="104"/>
      <c r="G90" s="269"/>
    </row>
    <row r="91" spans="4:10">
      <c r="E91" s="104"/>
      <c r="G91" s="269"/>
    </row>
    <row r="92" spans="4:10">
      <c r="E92" s="104"/>
      <c r="F92" s="112"/>
      <c r="H92" s="218"/>
    </row>
    <row r="93" spans="4:10">
      <c r="E93" s="104"/>
      <c r="F93" s="112"/>
      <c r="H93" s="218"/>
    </row>
    <row r="94" spans="4:10">
      <c r="E94" s="104"/>
      <c r="F94" s="112"/>
      <c r="H94" s="218"/>
    </row>
    <row r="95" spans="4:10">
      <c r="E95" s="104"/>
      <c r="F95" s="112"/>
      <c r="H95" s="218"/>
    </row>
    <row r="96" spans="4:10">
      <c r="E96" s="104"/>
      <c r="F96" s="112"/>
      <c r="H96" s="218"/>
    </row>
    <row r="97" spans="5:8">
      <c r="E97" s="104"/>
      <c r="F97" s="112"/>
      <c r="H97" s="218"/>
    </row>
    <row r="98" spans="5:8">
      <c r="E98" s="104"/>
      <c r="F98" s="112"/>
      <c r="H98" s="218"/>
    </row>
    <row r="99" spans="5:8">
      <c r="E99" s="104"/>
      <c r="F99" s="112"/>
      <c r="H99" s="218"/>
    </row>
  </sheetData>
  <customSheetViews>
    <customSheetView guid="{20A63875-964B-11D5-AAED-0004762A99E9}" printArea="1" showRuler="0">
      <selection activeCell="D6" sqref="D6"/>
      <rowBreaks count="4" manualBreakCount="4">
        <brk id="71" max="8" man="1"/>
        <brk id="91" max="8" man="1"/>
        <brk id="151" max="8" man="1"/>
        <brk id="240" max="8" man="1"/>
      </rowBreaks>
      <pageMargins left="0.75" right="0.75" top="1" bottom="1" header="0.5" footer="0.5"/>
      <printOptions horizontalCentered="1"/>
      <pageSetup scale="90" fitToHeight="10" orientation="landscape" r:id="rId1"/>
      <headerFooter alignWithMargins="0">
        <oddFooter>&amp;L&amp;D&amp;C&amp;A Page &amp;P of &amp;N&amp;R&amp;F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6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FF"/>
  </sheetPr>
  <dimension ref="A1:N78"/>
  <sheetViews>
    <sheetView view="pageBreakPreview" zoomScale="85" zoomScaleNormal="90" zoomScaleSheetLayoutView="85" workbookViewId="0"/>
  </sheetViews>
  <sheetFormatPr defaultRowHeight="12.75"/>
  <cols>
    <col min="1" max="1" width="27.85546875" style="22" bestFit="1" customWidth="1"/>
    <col min="2" max="2" width="16.140625" style="22" bestFit="1" customWidth="1"/>
    <col min="3" max="3" width="16.140625" style="22" customWidth="1"/>
    <col min="4" max="4" width="15" style="22" bestFit="1" customWidth="1"/>
    <col min="5" max="6" width="14.28515625" style="22" bestFit="1" customWidth="1"/>
    <col min="7" max="7" width="11.140625" style="22" bestFit="1" customWidth="1"/>
    <col min="8" max="8" width="13" style="22" bestFit="1" customWidth="1"/>
    <col min="9" max="9" width="8.85546875" bestFit="1" customWidth="1"/>
    <col min="10" max="10" width="85.28515625" bestFit="1" customWidth="1"/>
    <col min="11" max="11" width="4" bestFit="1" customWidth="1"/>
    <col min="12" max="12" width="34" bestFit="1" customWidth="1"/>
  </cols>
  <sheetData>
    <row r="1" spans="1:12">
      <c r="A1" s="23" t="str">
        <f>+'TOTAL FUNCFAC'!A1</f>
        <v>PacifiCorp</v>
      </c>
      <c r="B1" s="145"/>
      <c r="C1" s="145"/>
      <c r="D1" s="145"/>
      <c r="E1" s="145"/>
      <c r="F1" s="145"/>
    </row>
    <row r="2" spans="1:12">
      <c r="A2" s="23" t="str">
        <f>'TOTAL FUNCFAC'!$A$2</f>
        <v>12 Months Ended June 2022</v>
      </c>
      <c r="B2" s="145"/>
      <c r="C2" s="145"/>
      <c r="D2" s="145"/>
      <c r="E2" s="145"/>
      <c r="F2" s="145"/>
    </row>
    <row r="3" spans="1:12">
      <c r="A3" s="23" t="s">
        <v>318</v>
      </c>
      <c r="B3" s="145"/>
      <c r="C3" s="145"/>
      <c r="D3" s="145"/>
      <c r="E3" s="145"/>
      <c r="F3" s="145"/>
    </row>
    <row r="4" spans="1:12">
      <c r="A4" s="178"/>
      <c r="B4" s="145"/>
      <c r="C4" s="145"/>
      <c r="D4" s="145"/>
      <c r="E4" s="145"/>
      <c r="F4" s="145"/>
    </row>
    <row r="5" spans="1:12">
      <c r="A5" s="178"/>
      <c r="B5" s="145"/>
      <c r="C5" s="145"/>
      <c r="D5" s="145"/>
      <c r="E5" s="145"/>
      <c r="F5" s="145"/>
    </row>
    <row r="6" spans="1:12">
      <c r="C6" s="12"/>
      <c r="D6" s="12"/>
      <c r="E6" s="12"/>
      <c r="F6" s="12"/>
    </row>
    <row r="7" spans="1:12">
      <c r="A7" s="12" t="s">
        <v>319</v>
      </c>
    </row>
    <row r="8" spans="1:12">
      <c r="A8" s="10" t="s">
        <v>320</v>
      </c>
      <c r="B8" s="10"/>
      <c r="C8" s="11" t="s">
        <v>72</v>
      </c>
      <c r="D8" s="11" t="s">
        <v>63</v>
      </c>
      <c r="E8" s="11" t="s">
        <v>64</v>
      </c>
      <c r="F8" s="11" t="s">
        <v>70</v>
      </c>
      <c r="G8" s="11" t="s">
        <v>73</v>
      </c>
      <c r="H8" s="11" t="s">
        <v>74</v>
      </c>
    </row>
    <row r="9" spans="1:12">
      <c r="A9" s="22" t="s">
        <v>320</v>
      </c>
    </row>
    <row r="10" spans="1:12">
      <c r="A10" s="22" t="s">
        <v>63</v>
      </c>
      <c r="B10" s="22" t="s">
        <v>68</v>
      </c>
      <c r="C10" s="280">
        <v>405113.01</v>
      </c>
      <c r="D10" s="104">
        <f t="shared" ref="D10:H14" si="0">INDEX(D$65:D$78,MATCH($B10,$B$65:$B$78,0))*$C10</f>
        <v>405113.01</v>
      </c>
      <c r="E10" s="104">
        <f t="shared" si="0"/>
        <v>0</v>
      </c>
      <c r="F10" s="104">
        <f t="shared" si="0"/>
        <v>0</v>
      </c>
      <c r="G10" s="104">
        <f t="shared" si="0"/>
        <v>0</v>
      </c>
      <c r="H10" s="104">
        <f t="shared" si="0"/>
        <v>0</v>
      </c>
      <c r="I10" s="110" t="s">
        <v>305</v>
      </c>
      <c r="J10" s="131" t="s">
        <v>3425</v>
      </c>
      <c r="K10" s="1"/>
      <c r="L10" s="131"/>
    </row>
    <row r="11" spans="1:12">
      <c r="A11" s="22" t="s">
        <v>64</v>
      </c>
      <c r="B11" s="22" t="s">
        <v>69</v>
      </c>
      <c r="C11" s="280">
        <v>-38347.259999999995</v>
      </c>
      <c r="D11" s="104">
        <f t="shared" si="0"/>
        <v>0</v>
      </c>
      <c r="E11" s="104">
        <f t="shared" si="0"/>
        <v>-38347.259999999995</v>
      </c>
      <c r="F11" s="104">
        <f t="shared" si="0"/>
        <v>0</v>
      </c>
      <c r="G11" s="104">
        <f t="shared" si="0"/>
        <v>0</v>
      </c>
      <c r="H11" s="104">
        <f t="shared" si="0"/>
        <v>0</v>
      </c>
      <c r="I11" s="110" t="s">
        <v>305</v>
      </c>
      <c r="J11" s="131" t="s">
        <v>3426</v>
      </c>
      <c r="K11" s="1"/>
      <c r="L11" s="131"/>
    </row>
    <row r="12" spans="1:12">
      <c r="A12" s="22" t="s">
        <v>65</v>
      </c>
      <c r="B12" s="22" t="s">
        <v>70</v>
      </c>
      <c r="C12" s="280">
        <v>-1902081.4699999997</v>
      </c>
      <c r="D12" s="104">
        <f t="shared" si="0"/>
        <v>0</v>
      </c>
      <c r="E12" s="104">
        <f t="shared" si="0"/>
        <v>0</v>
      </c>
      <c r="F12" s="104">
        <f t="shared" si="0"/>
        <v>-1902081.4699999997</v>
      </c>
      <c r="G12" s="104">
        <f t="shared" si="0"/>
        <v>0</v>
      </c>
      <c r="H12" s="104">
        <f t="shared" si="0"/>
        <v>0</v>
      </c>
      <c r="I12" s="110" t="s">
        <v>305</v>
      </c>
      <c r="J12" s="131" t="s">
        <v>3427</v>
      </c>
      <c r="K12" s="1"/>
      <c r="L12" s="131"/>
    </row>
    <row r="13" spans="1:12">
      <c r="A13" s="22" t="s">
        <v>66</v>
      </c>
      <c r="B13" s="22" t="s">
        <v>71</v>
      </c>
      <c r="C13" s="280">
        <v>-1153821.3099999998</v>
      </c>
      <c r="D13" s="104">
        <f t="shared" si="0"/>
        <v>-238253.74441047924</v>
      </c>
      <c r="E13" s="104">
        <f t="shared" si="0"/>
        <v>-395734.53094932897</v>
      </c>
      <c r="F13" s="104">
        <f t="shared" si="0"/>
        <v>-505337.69002417783</v>
      </c>
      <c r="G13" s="104">
        <f t="shared" si="0"/>
        <v>-14495.344616013863</v>
      </c>
      <c r="H13" s="104">
        <f t="shared" si="0"/>
        <v>0</v>
      </c>
      <c r="I13" s="110" t="s">
        <v>305</v>
      </c>
      <c r="J13" s="131" t="s">
        <v>3428</v>
      </c>
      <c r="K13" s="1"/>
      <c r="L13" s="131"/>
    </row>
    <row r="14" spans="1:12">
      <c r="A14" s="22" t="s">
        <v>321</v>
      </c>
      <c r="B14" s="22" t="s">
        <v>68</v>
      </c>
      <c r="C14" s="281">
        <v>7049.79</v>
      </c>
      <c r="D14" s="105">
        <f t="shared" si="0"/>
        <v>7049.79</v>
      </c>
      <c r="E14" s="105">
        <f t="shared" si="0"/>
        <v>0</v>
      </c>
      <c r="F14" s="105">
        <f t="shared" si="0"/>
        <v>0</v>
      </c>
      <c r="G14" s="105">
        <f t="shared" si="0"/>
        <v>0</v>
      </c>
      <c r="H14" s="105">
        <f t="shared" si="0"/>
        <v>0</v>
      </c>
      <c r="I14" s="110" t="s">
        <v>305</v>
      </c>
      <c r="J14" s="131" t="s">
        <v>3429</v>
      </c>
      <c r="K14" s="1"/>
      <c r="L14" s="131"/>
    </row>
    <row r="15" spans="1:12">
      <c r="C15" s="103"/>
      <c r="L15" s="4"/>
    </row>
    <row r="16" spans="1:12">
      <c r="A16" s="22" t="s">
        <v>322</v>
      </c>
      <c r="C16" s="103">
        <f>SUM(C10:C14)</f>
        <v>-2682087.2399999993</v>
      </c>
      <c r="D16" s="103">
        <f t="shared" ref="D16:H16" si="1">SUM(D10:D14)</f>
        <v>173909.05558952078</v>
      </c>
      <c r="E16" s="103">
        <f t="shared" si="1"/>
        <v>-434081.79094932898</v>
      </c>
      <c r="F16" s="103">
        <f t="shared" si="1"/>
        <v>-2407419.1600241777</v>
      </c>
      <c r="G16" s="103">
        <f t="shared" si="1"/>
        <v>-14495.344616013863</v>
      </c>
      <c r="H16" s="103">
        <f t="shared" si="1"/>
        <v>0</v>
      </c>
      <c r="L16" s="4"/>
    </row>
    <row r="17" spans="1:12">
      <c r="C17" s="103"/>
      <c r="L17" s="4"/>
    </row>
    <row r="18" spans="1:12">
      <c r="A18" s="22" t="s">
        <v>323</v>
      </c>
      <c r="C18" s="103"/>
      <c r="L18" s="4"/>
    </row>
    <row r="19" spans="1:12">
      <c r="A19" s="22" t="s">
        <v>63</v>
      </c>
      <c r="B19" s="22" t="s">
        <v>68</v>
      </c>
      <c r="C19" s="280">
        <v>2829673.1500000004</v>
      </c>
      <c r="D19" s="104">
        <f t="shared" ref="D19:H23" si="2">INDEX(D$65:D$78,MATCH($B19,$B$65:$B$78,0))*$C19</f>
        <v>2829673.1500000004</v>
      </c>
      <c r="E19" s="104">
        <f t="shared" si="2"/>
        <v>0</v>
      </c>
      <c r="F19" s="104">
        <f t="shared" si="2"/>
        <v>0</v>
      </c>
      <c r="G19" s="104">
        <f t="shared" si="2"/>
        <v>0</v>
      </c>
      <c r="H19" s="104">
        <f t="shared" si="2"/>
        <v>0</v>
      </c>
      <c r="I19" s="110" t="s">
        <v>305</v>
      </c>
      <c r="J19" s="131" t="s">
        <v>3430</v>
      </c>
      <c r="K19" s="1"/>
      <c r="L19" s="131"/>
    </row>
    <row r="20" spans="1:12">
      <c r="A20" s="22" t="s">
        <v>64</v>
      </c>
      <c r="B20" s="22" t="s">
        <v>69</v>
      </c>
      <c r="C20" s="280">
        <v>-285403.80999999994</v>
      </c>
      <c r="D20" s="104">
        <f t="shared" si="2"/>
        <v>0</v>
      </c>
      <c r="E20" s="104">
        <f t="shared" si="2"/>
        <v>-285403.80999999994</v>
      </c>
      <c r="F20" s="104">
        <f t="shared" si="2"/>
        <v>0</v>
      </c>
      <c r="G20" s="104">
        <f t="shared" si="2"/>
        <v>0</v>
      </c>
      <c r="H20" s="104">
        <f t="shared" si="2"/>
        <v>0</v>
      </c>
      <c r="I20" s="110" t="s">
        <v>305</v>
      </c>
      <c r="J20" s="131" t="s">
        <v>3431</v>
      </c>
      <c r="K20" s="1"/>
      <c r="L20" s="131"/>
    </row>
    <row r="21" spans="1:12">
      <c r="A21" s="22" t="s">
        <v>65</v>
      </c>
      <c r="B21" s="22" t="s">
        <v>70</v>
      </c>
      <c r="C21" s="280">
        <v>19002522.830000002</v>
      </c>
      <c r="D21" s="104">
        <f t="shared" si="2"/>
        <v>0</v>
      </c>
      <c r="E21" s="104">
        <f t="shared" si="2"/>
        <v>0</v>
      </c>
      <c r="F21" s="104">
        <f t="shared" si="2"/>
        <v>19002522.830000002</v>
      </c>
      <c r="G21" s="104">
        <f t="shared" si="2"/>
        <v>0</v>
      </c>
      <c r="H21" s="104">
        <f t="shared" si="2"/>
        <v>0</v>
      </c>
      <c r="I21" s="110" t="s">
        <v>305</v>
      </c>
      <c r="J21" s="131" t="s">
        <v>3432</v>
      </c>
      <c r="K21" s="1"/>
      <c r="L21" s="131"/>
    </row>
    <row r="22" spans="1:12">
      <c r="A22" s="22" t="s">
        <v>66</v>
      </c>
      <c r="B22" s="22" t="s">
        <v>71</v>
      </c>
      <c r="C22" s="280">
        <v>-277807.92</v>
      </c>
      <c r="D22" s="104">
        <f t="shared" si="2"/>
        <v>-57364.842019503762</v>
      </c>
      <c r="E22" s="104">
        <f t="shared" si="2"/>
        <v>-95281.813537668771</v>
      </c>
      <c r="F22" s="104">
        <f t="shared" si="2"/>
        <v>-121671.19063108793</v>
      </c>
      <c r="G22" s="104">
        <f t="shared" si="2"/>
        <v>-3490.0738117395404</v>
      </c>
      <c r="H22" s="104">
        <f t="shared" si="2"/>
        <v>0</v>
      </c>
      <c r="I22" s="110" t="s">
        <v>305</v>
      </c>
      <c r="J22" s="131" t="s">
        <v>3433</v>
      </c>
      <c r="K22" s="1"/>
      <c r="L22" s="131"/>
    </row>
    <row r="23" spans="1:12">
      <c r="A23" s="22" t="s">
        <v>321</v>
      </c>
      <c r="B23" s="22" t="s">
        <v>68</v>
      </c>
      <c r="C23" s="281">
        <v>-2954.48</v>
      </c>
      <c r="D23" s="105">
        <f t="shared" si="2"/>
        <v>-2954.48</v>
      </c>
      <c r="E23" s="105">
        <f t="shared" si="2"/>
        <v>0</v>
      </c>
      <c r="F23" s="105">
        <f t="shared" si="2"/>
        <v>0</v>
      </c>
      <c r="G23" s="105">
        <f t="shared" si="2"/>
        <v>0</v>
      </c>
      <c r="H23" s="105">
        <f t="shared" si="2"/>
        <v>0</v>
      </c>
      <c r="I23" s="110" t="s">
        <v>305</v>
      </c>
      <c r="J23" s="131" t="s">
        <v>3434</v>
      </c>
      <c r="K23" s="1"/>
      <c r="L23" s="131"/>
    </row>
    <row r="24" spans="1:12">
      <c r="C24" s="103"/>
    </row>
    <row r="25" spans="1:12">
      <c r="A25" s="22" t="s">
        <v>324</v>
      </c>
      <c r="C25" s="103">
        <f t="shared" ref="C25:H25" si="3">SUM(C19:C23)</f>
        <v>21266029.77</v>
      </c>
      <c r="D25" s="103">
        <f t="shared" si="3"/>
        <v>2769353.8279804965</v>
      </c>
      <c r="E25" s="103">
        <f t="shared" si="3"/>
        <v>-380685.62353766873</v>
      </c>
      <c r="F25" s="103">
        <f t="shared" si="3"/>
        <v>18880851.639368914</v>
      </c>
      <c r="G25" s="103">
        <f t="shared" si="3"/>
        <v>-3490.0738117395404</v>
      </c>
      <c r="H25" s="103">
        <f t="shared" si="3"/>
        <v>0</v>
      </c>
    </row>
    <row r="26" spans="1:12">
      <c r="C26" s="103"/>
    </row>
    <row r="27" spans="1:12">
      <c r="A27" s="22" t="s">
        <v>325</v>
      </c>
      <c r="C27" s="103"/>
    </row>
    <row r="28" spans="1:12">
      <c r="A28" s="22" t="s">
        <v>329</v>
      </c>
      <c r="B28" s="22" t="s">
        <v>68</v>
      </c>
      <c r="C28" s="280">
        <v>17299198.329999998</v>
      </c>
      <c r="D28" s="104">
        <f t="shared" ref="D28:H37" si="4">INDEX(D$65:D$78,MATCH($B28,$B$65:$B$78,0))*$C28</f>
        <v>17299198.329999998</v>
      </c>
      <c r="E28" s="104">
        <f t="shared" si="4"/>
        <v>0</v>
      </c>
      <c r="F28" s="104">
        <f t="shared" si="4"/>
        <v>0</v>
      </c>
      <c r="G28" s="104">
        <f t="shared" si="4"/>
        <v>0</v>
      </c>
      <c r="H28" s="104">
        <f t="shared" si="4"/>
        <v>0</v>
      </c>
      <c r="I28" s="110" t="s">
        <v>305</v>
      </c>
      <c r="J28" s="131" t="s">
        <v>3435</v>
      </c>
      <c r="K28" s="1"/>
      <c r="L28" s="131"/>
    </row>
    <row r="29" spans="1:12">
      <c r="A29" s="22" t="s">
        <v>330</v>
      </c>
      <c r="B29" s="22" t="s">
        <v>68</v>
      </c>
      <c r="C29" s="280">
        <v>-91.27000000000001</v>
      </c>
      <c r="D29" s="104">
        <f t="shared" si="4"/>
        <v>-91.27000000000001</v>
      </c>
      <c r="E29" s="104">
        <f t="shared" si="4"/>
        <v>0</v>
      </c>
      <c r="F29" s="104">
        <f t="shared" si="4"/>
        <v>0</v>
      </c>
      <c r="G29" s="104">
        <f t="shared" si="4"/>
        <v>0</v>
      </c>
      <c r="H29" s="104">
        <f t="shared" si="4"/>
        <v>0</v>
      </c>
      <c r="I29" s="110" t="s">
        <v>305</v>
      </c>
      <c r="J29" s="131" t="s">
        <v>3436</v>
      </c>
      <c r="K29" s="1"/>
      <c r="L29" s="131"/>
    </row>
    <row r="30" spans="1:12">
      <c r="A30" s="22" t="s">
        <v>331</v>
      </c>
      <c r="B30" s="22" t="s">
        <v>68</v>
      </c>
      <c r="C30" s="280">
        <v>0</v>
      </c>
      <c r="D30" s="104">
        <f t="shared" si="4"/>
        <v>0</v>
      </c>
      <c r="E30" s="104">
        <f t="shared" si="4"/>
        <v>0</v>
      </c>
      <c r="F30" s="104">
        <f t="shared" si="4"/>
        <v>0</v>
      </c>
      <c r="G30" s="104">
        <f t="shared" si="4"/>
        <v>0</v>
      </c>
      <c r="H30" s="104">
        <f t="shared" si="4"/>
        <v>0</v>
      </c>
      <c r="I30" s="110" t="s">
        <v>305</v>
      </c>
      <c r="J30" s="131" t="s">
        <v>3437</v>
      </c>
      <c r="K30" s="1"/>
      <c r="L30" s="131"/>
    </row>
    <row r="31" spans="1:12">
      <c r="A31" s="22" t="s">
        <v>332</v>
      </c>
      <c r="B31" s="22" t="s">
        <v>68</v>
      </c>
      <c r="C31" s="280">
        <v>11133.609999999997</v>
      </c>
      <c r="D31" s="104">
        <f t="shared" si="4"/>
        <v>11133.609999999997</v>
      </c>
      <c r="E31" s="104">
        <f t="shared" si="4"/>
        <v>0</v>
      </c>
      <c r="F31" s="104">
        <f t="shared" si="4"/>
        <v>0</v>
      </c>
      <c r="G31" s="104">
        <f t="shared" si="4"/>
        <v>0</v>
      </c>
      <c r="H31" s="104">
        <f t="shared" si="4"/>
        <v>0</v>
      </c>
      <c r="I31" s="110" t="s">
        <v>305</v>
      </c>
      <c r="J31" s="131" t="s">
        <v>3438</v>
      </c>
      <c r="K31" s="1"/>
      <c r="L31" s="131"/>
    </row>
    <row r="32" spans="1:12">
      <c r="A32" s="22" t="s">
        <v>333</v>
      </c>
      <c r="B32" s="22" t="s">
        <v>68</v>
      </c>
      <c r="C32" s="280">
        <v>4830.7799999999988</v>
      </c>
      <c r="D32" s="104">
        <f t="shared" si="4"/>
        <v>4830.7799999999988</v>
      </c>
      <c r="E32" s="104">
        <f t="shared" si="4"/>
        <v>0</v>
      </c>
      <c r="F32" s="104">
        <f t="shared" si="4"/>
        <v>0</v>
      </c>
      <c r="G32" s="104">
        <f t="shared" si="4"/>
        <v>0</v>
      </c>
      <c r="H32" s="104">
        <f t="shared" si="4"/>
        <v>0</v>
      </c>
      <c r="I32" s="110" t="s">
        <v>305</v>
      </c>
      <c r="J32" s="131" t="s">
        <v>3439</v>
      </c>
      <c r="K32" s="1"/>
      <c r="L32" s="131"/>
    </row>
    <row r="33" spans="1:14">
      <c r="A33" s="22" t="s">
        <v>64</v>
      </c>
      <c r="B33" s="22" t="s">
        <v>69</v>
      </c>
      <c r="C33" s="280">
        <v>-612256.70000000007</v>
      </c>
      <c r="D33" s="104">
        <f t="shared" si="4"/>
        <v>0</v>
      </c>
      <c r="E33" s="104">
        <f t="shared" si="4"/>
        <v>-612256.70000000007</v>
      </c>
      <c r="F33" s="104">
        <f t="shared" si="4"/>
        <v>0</v>
      </c>
      <c r="G33" s="104">
        <f t="shared" si="4"/>
        <v>0</v>
      </c>
      <c r="H33" s="104">
        <f t="shared" si="4"/>
        <v>0</v>
      </c>
      <c r="I33" s="110" t="s">
        <v>305</v>
      </c>
      <c r="J33" s="131" t="s">
        <v>3440</v>
      </c>
      <c r="K33" s="1"/>
      <c r="L33" s="131"/>
    </row>
    <row r="34" spans="1:14">
      <c r="A34" s="22" t="s">
        <v>65</v>
      </c>
      <c r="B34" s="22" t="s">
        <v>70</v>
      </c>
      <c r="C34" s="280">
        <v>676945098.0200001</v>
      </c>
      <c r="D34" s="104">
        <f t="shared" si="4"/>
        <v>0</v>
      </c>
      <c r="E34" s="104">
        <f t="shared" si="4"/>
        <v>0</v>
      </c>
      <c r="F34" s="104">
        <f t="shared" si="4"/>
        <v>676945098.0200001</v>
      </c>
      <c r="G34" s="104">
        <f t="shared" si="4"/>
        <v>0</v>
      </c>
      <c r="H34" s="104">
        <f t="shared" si="4"/>
        <v>0</v>
      </c>
      <c r="I34" s="110" t="s">
        <v>305</v>
      </c>
      <c r="J34" s="131" t="s">
        <v>3441</v>
      </c>
      <c r="K34" s="1"/>
      <c r="L34" s="131"/>
      <c r="N34" t="s">
        <v>60</v>
      </c>
    </row>
    <row r="35" spans="1:14">
      <c r="A35" s="22" t="s">
        <v>334</v>
      </c>
      <c r="B35" s="22" t="s">
        <v>71</v>
      </c>
      <c r="C35" s="280">
        <v>2803663.0700000008</v>
      </c>
      <c r="D35" s="104">
        <f t="shared" si="4"/>
        <v>578931.25972242607</v>
      </c>
      <c r="E35" s="104">
        <f t="shared" si="4"/>
        <v>961592.8223291405</v>
      </c>
      <c r="F35" s="104">
        <f t="shared" si="4"/>
        <v>1227916.8421667437</v>
      </c>
      <c r="G35" s="104">
        <f t="shared" si="4"/>
        <v>35222.145781690764</v>
      </c>
      <c r="H35" s="104">
        <f t="shared" si="4"/>
        <v>0</v>
      </c>
      <c r="I35" s="110" t="s">
        <v>305</v>
      </c>
      <c r="J35" s="131" t="s">
        <v>3442</v>
      </c>
      <c r="K35" s="1"/>
      <c r="L35" s="131"/>
    </row>
    <row r="36" spans="1:14">
      <c r="A36" s="22" t="s">
        <v>135</v>
      </c>
      <c r="B36" s="22" t="s">
        <v>68</v>
      </c>
      <c r="C36" s="280">
        <v>1983.73</v>
      </c>
      <c r="D36" s="104">
        <f t="shared" si="4"/>
        <v>1983.73</v>
      </c>
      <c r="E36" s="104">
        <f t="shared" si="4"/>
        <v>0</v>
      </c>
      <c r="F36" s="104">
        <f t="shared" si="4"/>
        <v>0</v>
      </c>
      <c r="G36" s="104">
        <f t="shared" si="4"/>
        <v>0</v>
      </c>
      <c r="H36" s="104">
        <f t="shared" si="4"/>
        <v>0</v>
      </c>
      <c r="I36" s="110" t="s">
        <v>305</v>
      </c>
      <c r="J36" s="131" t="s">
        <v>3443</v>
      </c>
      <c r="K36" s="1"/>
      <c r="L36" s="131"/>
    </row>
    <row r="37" spans="1:14">
      <c r="A37" s="22" t="s">
        <v>335</v>
      </c>
      <c r="B37" s="22" t="s">
        <v>68</v>
      </c>
      <c r="C37" s="280">
        <v>-4767.76</v>
      </c>
      <c r="D37" s="104">
        <f t="shared" si="4"/>
        <v>-4767.76</v>
      </c>
      <c r="E37" s="104">
        <f t="shared" si="4"/>
        <v>0</v>
      </c>
      <c r="F37" s="104">
        <f t="shared" si="4"/>
        <v>0</v>
      </c>
      <c r="G37" s="104">
        <f t="shared" si="4"/>
        <v>0</v>
      </c>
      <c r="H37" s="104">
        <f t="shared" si="4"/>
        <v>0</v>
      </c>
      <c r="I37" s="110" t="s">
        <v>305</v>
      </c>
      <c r="J37" s="131" t="s">
        <v>3444</v>
      </c>
      <c r="K37" s="1"/>
      <c r="L37" s="131"/>
    </row>
    <row r="38" spans="1:14">
      <c r="A38" s="22" t="s">
        <v>336</v>
      </c>
      <c r="B38" s="22" t="s">
        <v>171</v>
      </c>
      <c r="C38" s="280">
        <v>-309314.51999999996</v>
      </c>
      <c r="D38" s="104">
        <f t="shared" ref="D38:H43" si="5">INDEX(D$65:D$78,MATCH($B38,$B$65:$B$78,0))*$C38</f>
        <v>-203681.72993930517</v>
      </c>
      <c r="E38" s="104">
        <f t="shared" si="5"/>
        <v>-105632.79006069481</v>
      </c>
      <c r="F38" s="104">
        <f t="shared" si="5"/>
        <v>0</v>
      </c>
      <c r="G38" s="104">
        <f t="shared" si="5"/>
        <v>0</v>
      </c>
      <c r="H38" s="104">
        <f t="shared" si="5"/>
        <v>0</v>
      </c>
      <c r="I38" s="110" t="s">
        <v>305</v>
      </c>
      <c r="J38" s="131" t="s">
        <v>3445</v>
      </c>
      <c r="K38" s="1"/>
      <c r="L38" s="131"/>
    </row>
    <row r="39" spans="1:14">
      <c r="A39" s="22" t="s">
        <v>337</v>
      </c>
      <c r="B39" s="22" t="s">
        <v>171</v>
      </c>
      <c r="C39" s="280">
        <v>130192.09000000001</v>
      </c>
      <c r="D39" s="104">
        <f t="shared" si="5"/>
        <v>85730.699339991275</v>
      </c>
      <c r="E39" s="104">
        <f t="shared" si="5"/>
        <v>44461.390660008743</v>
      </c>
      <c r="F39" s="104">
        <f t="shared" si="5"/>
        <v>0</v>
      </c>
      <c r="G39" s="104">
        <f t="shared" si="5"/>
        <v>0</v>
      </c>
      <c r="H39" s="104">
        <f t="shared" si="5"/>
        <v>0</v>
      </c>
      <c r="I39" s="110" t="s">
        <v>305</v>
      </c>
      <c r="J39" s="131" t="s">
        <v>3446</v>
      </c>
      <c r="K39" s="1"/>
      <c r="L39" s="131"/>
    </row>
    <row r="40" spans="1:14">
      <c r="A40" s="22" t="s">
        <v>3104</v>
      </c>
      <c r="B40" s="22" t="s">
        <v>68</v>
      </c>
      <c r="C40" s="280">
        <v>-41682299.740000002</v>
      </c>
      <c r="D40" s="104">
        <f t="shared" si="5"/>
        <v>-41682299.740000002</v>
      </c>
      <c r="E40" s="104">
        <f t="shared" si="5"/>
        <v>0</v>
      </c>
      <c r="F40" s="104">
        <f t="shared" si="5"/>
        <v>0</v>
      </c>
      <c r="G40" s="104">
        <f t="shared" si="5"/>
        <v>0</v>
      </c>
      <c r="H40" s="104">
        <f t="shared" si="5"/>
        <v>0</v>
      </c>
      <c r="I40" s="110" t="s">
        <v>305</v>
      </c>
      <c r="J40" s="131" t="s">
        <v>3447</v>
      </c>
      <c r="K40" s="1"/>
      <c r="L40" s="131"/>
    </row>
    <row r="41" spans="1:14">
      <c r="A41" s="22" t="s">
        <v>338</v>
      </c>
      <c r="B41" s="22" t="s">
        <v>68</v>
      </c>
      <c r="C41" s="280">
        <v>0</v>
      </c>
      <c r="D41" s="104">
        <f t="shared" si="5"/>
        <v>0</v>
      </c>
      <c r="E41" s="104">
        <f t="shared" si="5"/>
        <v>0</v>
      </c>
      <c r="F41" s="104">
        <f t="shared" si="5"/>
        <v>0</v>
      </c>
      <c r="G41" s="104">
        <f t="shared" si="5"/>
        <v>0</v>
      </c>
      <c r="H41" s="104">
        <f t="shared" si="5"/>
        <v>0</v>
      </c>
      <c r="I41" s="110" t="s">
        <v>305</v>
      </c>
      <c r="J41" s="131" t="s">
        <v>3448</v>
      </c>
      <c r="K41" s="1"/>
      <c r="L41" s="131"/>
    </row>
    <row r="42" spans="1:14">
      <c r="A42" s="22" t="s">
        <v>339</v>
      </c>
      <c r="B42" s="22" t="s">
        <v>71</v>
      </c>
      <c r="C42" s="280">
        <v>141487074.11000001</v>
      </c>
      <c r="D42" s="104">
        <f t="shared" si="5"/>
        <v>29215810.888767935</v>
      </c>
      <c r="E42" s="104">
        <f t="shared" si="5"/>
        <v>48526856.301790617</v>
      </c>
      <c r="F42" s="104">
        <f t="shared" si="5"/>
        <v>61966918.602870204</v>
      </c>
      <c r="G42" s="104">
        <f t="shared" si="5"/>
        <v>1777488.3165712578</v>
      </c>
      <c r="H42" s="104">
        <f t="shared" si="5"/>
        <v>0</v>
      </c>
      <c r="I42" s="110" t="s">
        <v>305</v>
      </c>
      <c r="J42" s="131" t="s">
        <v>3449</v>
      </c>
      <c r="K42" s="1"/>
      <c r="L42" s="131"/>
    </row>
    <row r="43" spans="1:14">
      <c r="A43" s="22" t="s">
        <v>340</v>
      </c>
      <c r="B43" s="22" t="s">
        <v>68</v>
      </c>
      <c r="C43" s="280">
        <v>-316.17999999999995</v>
      </c>
      <c r="D43" s="104">
        <f t="shared" si="5"/>
        <v>-316.17999999999995</v>
      </c>
      <c r="E43" s="104">
        <f t="shared" si="5"/>
        <v>0</v>
      </c>
      <c r="F43" s="104">
        <f t="shared" si="5"/>
        <v>0</v>
      </c>
      <c r="G43" s="104">
        <f t="shared" si="5"/>
        <v>0</v>
      </c>
      <c r="H43" s="104">
        <f t="shared" si="5"/>
        <v>0</v>
      </c>
      <c r="I43" s="110" t="s">
        <v>305</v>
      </c>
      <c r="J43" s="131" t="s">
        <v>3450</v>
      </c>
      <c r="K43" s="1"/>
      <c r="L43" s="131"/>
    </row>
    <row r="44" spans="1:14">
      <c r="A44" s="22" t="s">
        <v>341</v>
      </c>
      <c r="B44" s="22" t="s">
        <v>68</v>
      </c>
      <c r="C44" s="280">
        <v>-117006770.59999996</v>
      </c>
      <c r="D44" s="104">
        <f>INDEX(D$65:D$78,MATCH($B44,$B$65:$B$78,0))*$C44</f>
        <v>-117006770.59999996</v>
      </c>
      <c r="E44" s="104">
        <f t="shared" ref="E44:H50" si="6">INDEX(E$65:E$78,MATCH($B44,$B$65:$B$78,0))*$C44</f>
        <v>0</v>
      </c>
      <c r="F44" s="104">
        <f t="shared" si="6"/>
        <v>0</v>
      </c>
      <c r="G44" s="104">
        <f t="shared" si="6"/>
        <v>0</v>
      </c>
      <c r="H44" s="104">
        <f t="shared" si="6"/>
        <v>0</v>
      </c>
      <c r="I44" s="110" t="s">
        <v>305</v>
      </c>
      <c r="J44" s="131" t="s">
        <v>3451</v>
      </c>
      <c r="K44" s="1"/>
      <c r="L44" s="131"/>
    </row>
    <row r="45" spans="1:14">
      <c r="A45" s="22" t="s">
        <v>3105</v>
      </c>
      <c r="B45" s="22" t="s">
        <v>68</v>
      </c>
      <c r="C45" s="280">
        <v>-10028241.91</v>
      </c>
      <c r="D45" s="104">
        <f t="shared" ref="D45:D50" si="7">INDEX(D$65:D$78,MATCH($B45,$B$65:$B$78,0))*$C45</f>
        <v>-10028241.91</v>
      </c>
      <c r="E45" s="104">
        <f t="shared" si="6"/>
        <v>0</v>
      </c>
      <c r="F45" s="104">
        <f t="shared" si="6"/>
        <v>0</v>
      </c>
      <c r="G45" s="104">
        <f t="shared" si="6"/>
        <v>0</v>
      </c>
      <c r="H45" s="104">
        <f t="shared" si="6"/>
        <v>0</v>
      </c>
      <c r="I45" s="110" t="s">
        <v>305</v>
      </c>
      <c r="J45" s="131" t="s">
        <v>3452</v>
      </c>
      <c r="K45" s="1"/>
      <c r="L45" s="131"/>
    </row>
    <row r="46" spans="1:14">
      <c r="A46" s="22" t="s">
        <v>3423</v>
      </c>
      <c r="B46" s="22" t="s">
        <v>68</v>
      </c>
      <c r="C46" s="280">
        <v>0</v>
      </c>
      <c r="D46" s="104">
        <f t="shared" si="7"/>
        <v>0</v>
      </c>
      <c r="E46" s="104">
        <f t="shared" si="6"/>
        <v>0</v>
      </c>
      <c r="F46" s="104">
        <f t="shared" si="6"/>
        <v>0</v>
      </c>
      <c r="G46" s="104">
        <f t="shared" si="6"/>
        <v>0</v>
      </c>
      <c r="H46" s="104">
        <f t="shared" si="6"/>
        <v>0</v>
      </c>
      <c r="I46" s="110" t="s">
        <v>305</v>
      </c>
      <c r="J46" s="131" t="s">
        <v>3453</v>
      </c>
      <c r="K46" s="1"/>
      <c r="L46" s="131"/>
    </row>
    <row r="47" spans="1:14">
      <c r="A47" s="22" t="s">
        <v>3106</v>
      </c>
      <c r="B47" s="22" t="s">
        <v>68</v>
      </c>
      <c r="C47" s="280">
        <v>589621461.6099999</v>
      </c>
      <c r="D47" s="104">
        <f t="shared" si="7"/>
        <v>589621461.6099999</v>
      </c>
      <c r="E47" s="104">
        <f t="shared" si="6"/>
        <v>0</v>
      </c>
      <c r="F47" s="104">
        <f t="shared" si="6"/>
        <v>0</v>
      </c>
      <c r="G47" s="104">
        <f t="shared" si="6"/>
        <v>0</v>
      </c>
      <c r="H47" s="104">
        <f t="shared" si="6"/>
        <v>0</v>
      </c>
      <c r="I47" s="110" t="s">
        <v>305</v>
      </c>
      <c r="J47" s="131" t="s">
        <v>3454</v>
      </c>
      <c r="K47" s="1"/>
      <c r="L47" s="131"/>
    </row>
    <row r="48" spans="1:14">
      <c r="A48" s="22" t="s">
        <v>3108</v>
      </c>
      <c r="B48" s="22" t="s">
        <v>68</v>
      </c>
      <c r="C48" s="280">
        <v>203429357.18000001</v>
      </c>
      <c r="D48" s="104">
        <f t="shared" si="7"/>
        <v>203429357.18000001</v>
      </c>
      <c r="E48" s="104">
        <f t="shared" si="6"/>
        <v>0</v>
      </c>
      <c r="F48" s="104">
        <f t="shared" si="6"/>
        <v>0</v>
      </c>
      <c r="G48" s="104">
        <f t="shared" si="6"/>
        <v>0</v>
      </c>
      <c r="H48" s="104">
        <f t="shared" si="6"/>
        <v>0</v>
      </c>
      <c r="I48" s="110" t="s">
        <v>305</v>
      </c>
      <c r="J48" s="131" t="s">
        <v>3455</v>
      </c>
      <c r="K48" s="1"/>
      <c r="L48" s="131"/>
    </row>
    <row r="49" spans="1:12">
      <c r="A49" s="22" t="s">
        <v>87</v>
      </c>
      <c r="B49" s="22" t="s">
        <v>68</v>
      </c>
      <c r="C49" s="280">
        <v>1623897974.1499999</v>
      </c>
      <c r="D49" s="104">
        <f t="shared" si="7"/>
        <v>1623897974.1499999</v>
      </c>
      <c r="E49" s="104">
        <f t="shared" si="6"/>
        <v>0</v>
      </c>
      <c r="F49" s="104">
        <f t="shared" si="6"/>
        <v>0</v>
      </c>
      <c r="G49" s="104">
        <f t="shared" si="6"/>
        <v>0</v>
      </c>
      <c r="H49" s="104">
        <f t="shared" si="6"/>
        <v>0</v>
      </c>
      <c r="I49" s="110" t="s">
        <v>305</v>
      </c>
      <c r="J49" s="131" t="s">
        <v>3456</v>
      </c>
      <c r="K49" s="1"/>
      <c r="L49" s="131"/>
    </row>
    <row r="50" spans="1:12">
      <c r="A50" s="22" t="s">
        <v>3424</v>
      </c>
      <c r="B50" s="22" t="s">
        <v>68</v>
      </c>
      <c r="C50" s="281">
        <v>-497927.7</v>
      </c>
      <c r="D50" s="105">
        <f t="shared" si="7"/>
        <v>-497927.7</v>
      </c>
      <c r="E50" s="105">
        <f t="shared" si="6"/>
        <v>0</v>
      </c>
      <c r="F50" s="105">
        <f t="shared" si="6"/>
        <v>0</v>
      </c>
      <c r="G50" s="105">
        <f t="shared" si="6"/>
        <v>0</v>
      </c>
      <c r="H50" s="105">
        <f t="shared" si="6"/>
        <v>0</v>
      </c>
      <c r="I50" s="110" t="s">
        <v>305</v>
      </c>
      <c r="J50" s="131" t="s">
        <v>3457</v>
      </c>
      <c r="K50" s="1"/>
      <c r="L50" s="131"/>
    </row>
    <row r="51" spans="1:12">
      <c r="C51" s="103"/>
    </row>
    <row r="52" spans="1:12">
      <c r="A52" s="22" t="s">
        <v>326</v>
      </c>
      <c r="C52" s="103">
        <f t="shared" ref="C52:H52" si="8">SUM(C28:C50)</f>
        <v>3085489980.3000002</v>
      </c>
      <c r="D52" s="103">
        <f t="shared" si="8"/>
        <v>2294722315.3478909</v>
      </c>
      <c r="E52" s="103">
        <f t="shared" si="8"/>
        <v>48815021.024719074</v>
      </c>
      <c r="F52" s="103">
        <f t="shared" si="8"/>
        <v>740139933.46503711</v>
      </c>
      <c r="G52" s="103">
        <f t="shared" si="8"/>
        <v>1812710.4623529485</v>
      </c>
      <c r="H52" s="103">
        <f t="shared" si="8"/>
        <v>0</v>
      </c>
    </row>
    <row r="53" spans="1:12">
      <c r="C53" s="103"/>
      <c r="D53" s="103"/>
      <c r="E53" s="103"/>
      <c r="F53" s="103"/>
      <c r="G53" s="103"/>
      <c r="H53" s="103"/>
    </row>
    <row r="54" spans="1:12">
      <c r="A54" s="22" t="s">
        <v>327</v>
      </c>
      <c r="C54" s="103">
        <f t="shared" ref="C54:H54" si="9">C16+C25+C52</f>
        <v>3104073922.8300004</v>
      </c>
      <c r="D54" s="103">
        <f t="shared" si="9"/>
        <v>2297665578.231461</v>
      </c>
      <c r="E54" s="103">
        <f t="shared" si="9"/>
        <v>48000253.610232078</v>
      </c>
      <c r="F54" s="103">
        <f t="shared" si="9"/>
        <v>756613365.94438183</v>
      </c>
      <c r="G54" s="103">
        <f t="shared" si="9"/>
        <v>1794725.043925195</v>
      </c>
      <c r="H54" s="103">
        <f t="shared" si="9"/>
        <v>0</v>
      </c>
    </row>
    <row r="56" spans="1:12">
      <c r="A56" s="106" t="s">
        <v>328</v>
      </c>
      <c r="C56" s="107">
        <v>1</v>
      </c>
      <c r="D56" s="107">
        <f>D54/$C$54</f>
        <v>0.74020968422577627</v>
      </c>
      <c r="E56" s="107">
        <f>E54/$C$54</f>
        <v>1.5463630958398696E-2</v>
      </c>
      <c r="F56" s="107">
        <f>F54/$C$54</f>
        <v>0.24374850108420532</v>
      </c>
      <c r="G56" s="107">
        <f>G54/$C$54</f>
        <v>5.7818373161968217E-4</v>
      </c>
      <c r="H56" s="107">
        <f>H54/$C$54</f>
        <v>0</v>
      </c>
    </row>
    <row r="57" spans="1:12">
      <c r="C57" s="12"/>
      <c r="D57" s="12"/>
      <c r="E57" s="12"/>
      <c r="F57" s="12"/>
    </row>
    <row r="58" spans="1:12">
      <c r="D58" s="12"/>
      <c r="E58" s="12"/>
      <c r="F58" s="12"/>
    </row>
    <row r="59" spans="1:12">
      <c r="D59" s="12"/>
      <c r="E59" s="12"/>
      <c r="F59" s="12"/>
    </row>
    <row r="60" spans="1:12">
      <c r="B60" s="12" t="s">
        <v>317</v>
      </c>
      <c r="C60" s="102">
        <f>SUM(D60:F60)</f>
        <v>0.40916639709420199</v>
      </c>
      <c r="D60" s="102">
        <v>9.962591977161854E-2</v>
      </c>
      <c r="E60" s="102">
        <v>0.30954047732258344</v>
      </c>
      <c r="F60" s="102">
        <v>0</v>
      </c>
    </row>
    <row r="64" spans="1:12">
      <c r="C64" s="50" t="s">
        <v>72</v>
      </c>
      <c r="D64" s="50" t="s">
        <v>63</v>
      </c>
      <c r="E64" s="50" t="s">
        <v>64</v>
      </c>
      <c r="F64" s="50" t="s">
        <v>107</v>
      </c>
      <c r="G64" s="50" t="s">
        <v>108</v>
      </c>
      <c r="H64" s="50" t="s">
        <v>109</v>
      </c>
    </row>
    <row r="65" spans="2:8">
      <c r="B65" s="22" t="s">
        <v>74</v>
      </c>
      <c r="C65" s="224">
        <f>SUM(D65:H65)</f>
        <v>1</v>
      </c>
      <c r="D65" s="169">
        <v>0</v>
      </c>
      <c r="E65" s="169">
        <v>0</v>
      </c>
      <c r="F65" s="169">
        <v>0</v>
      </c>
      <c r="G65" s="169">
        <v>0</v>
      </c>
      <c r="H65" s="169">
        <v>1</v>
      </c>
    </row>
    <row r="66" spans="2:8">
      <c r="B66" s="22" t="s">
        <v>70</v>
      </c>
      <c r="C66" s="224">
        <f t="shared" ref="C66:C78" si="10">SUM(D66:H66)</f>
        <v>1</v>
      </c>
      <c r="D66" s="102">
        <v>0</v>
      </c>
      <c r="E66" s="102">
        <v>0</v>
      </c>
      <c r="F66" s="102">
        <v>1</v>
      </c>
      <c r="G66" s="102">
        <v>0</v>
      </c>
      <c r="H66" s="102">
        <v>0</v>
      </c>
    </row>
    <row r="67" spans="2:8">
      <c r="B67" s="22" t="s">
        <v>176</v>
      </c>
      <c r="C67" s="224">
        <f t="shared" si="10"/>
        <v>0.99999999999999989</v>
      </c>
      <c r="D67" s="102">
        <f>'REGASSETS&amp;DDS'!F35</f>
        <v>0.94626537959194801</v>
      </c>
      <c r="E67" s="102">
        <f>'REGASSETS&amp;DDS'!G35</f>
        <v>5.5722695408499286E-3</v>
      </c>
      <c r="F67" s="102">
        <f>'REGASSETS&amp;DDS'!H35</f>
        <v>2.1574313746760401E-2</v>
      </c>
      <c r="G67" s="102">
        <f>'REGASSETS&amp;DDS'!I35</f>
        <v>2.3851995134353463E-2</v>
      </c>
      <c r="H67" s="102">
        <f>'REGASSETS&amp;DDS'!J35</f>
        <v>2.7360419860881485E-3</v>
      </c>
    </row>
    <row r="68" spans="2:8">
      <c r="B68" s="22" t="s">
        <v>73</v>
      </c>
      <c r="C68" s="224">
        <f t="shared" si="10"/>
        <v>1</v>
      </c>
      <c r="D68" s="102">
        <v>0</v>
      </c>
      <c r="E68" s="102">
        <v>0</v>
      </c>
      <c r="F68" s="102">
        <v>0</v>
      </c>
      <c r="G68" s="102">
        <v>1</v>
      </c>
      <c r="H68" s="102">
        <v>0</v>
      </c>
    </row>
    <row r="69" spans="2:8">
      <c r="B69" s="22" t="s">
        <v>100</v>
      </c>
      <c r="C69" s="224">
        <f t="shared" si="10"/>
        <v>1</v>
      </c>
      <c r="D69" s="102">
        <v>0.3</v>
      </c>
      <c r="E69" s="102">
        <v>0.1</v>
      </c>
      <c r="F69" s="102">
        <v>0.6</v>
      </c>
      <c r="G69" s="102">
        <v>0</v>
      </c>
      <c r="H69" s="102">
        <v>0</v>
      </c>
    </row>
    <row r="70" spans="2:8">
      <c r="B70" s="22" t="s">
        <v>71</v>
      </c>
      <c r="C70" s="224">
        <f>SUM(D70:H70)</f>
        <v>1</v>
      </c>
      <c r="D70" s="102">
        <f>GP!E37</f>
        <v>0.20649102451616125</v>
      </c>
      <c r="E70" s="102">
        <f>GP!F37</f>
        <v>0.34297731158157324</v>
      </c>
      <c r="F70" s="102">
        <f>GP!G37</f>
        <v>0.43796876140567892</v>
      </c>
      <c r="G70" s="102">
        <f>GP!H37</f>
        <v>1.2562902496586637E-2</v>
      </c>
      <c r="H70" s="102">
        <f>GP!I37</f>
        <v>0</v>
      </c>
    </row>
    <row r="71" spans="2:8">
      <c r="B71" s="22" t="s">
        <v>110</v>
      </c>
      <c r="C71" s="224">
        <f t="shared" si="10"/>
        <v>1</v>
      </c>
      <c r="D71" s="102">
        <f>'GROSS PLANT'!E42</f>
        <v>0.46689390234989775</v>
      </c>
      <c r="E71" s="102">
        <f>'GROSS PLANT'!F42</f>
        <v>0.24894656398337411</v>
      </c>
      <c r="F71" s="102">
        <f>'GROSS PLANT'!G42</f>
        <v>0.27562257965004799</v>
      </c>
      <c r="G71" s="102">
        <f>'GROSS PLANT'!H42</f>
        <v>8.5369540166802087E-3</v>
      </c>
      <c r="H71" s="102">
        <f>'GROSS PLANT'!I42</f>
        <v>0</v>
      </c>
    </row>
    <row r="72" spans="2:8">
      <c r="B72" s="22" t="s">
        <v>102</v>
      </c>
      <c r="C72" s="224">
        <f t="shared" si="10"/>
        <v>1</v>
      </c>
      <c r="D72" s="102">
        <f>'FORM 1'!C25</f>
        <v>0.43435191300617138</v>
      </c>
      <c r="E72" s="102">
        <f>'FORM 1'!D25</f>
        <v>9.1865268433291722E-2</v>
      </c>
      <c r="F72" s="102">
        <f>'FORM 1'!E25</f>
        <v>0.35567736073799106</v>
      </c>
      <c r="G72" s="102">
        <f>'FORM 1'!F25</f>
        <v>0.11810545782254585</v>
      </c>
      <c r="H72" s="102">
        <f>'FORM 1'!G25</f>
        <v>0</v>
      </c>
    </row>
    <row r="73" spans="2:8">
      <c r="B73" s="22" t="s">
        <v>68</v>
      </c>
      <c r="C73" s="224">
        <f t="shared" si="10"/>
        <v>1</v>
      </c>
      <c r="D73" s="102">
        <v>1</v>
      </c>
      <c r="E73" s="102">
        <v>0</v>
      </c>
      <c r="F73" s="102">
        <v>0</v>
      </c>
      <c r="G73" s="102">
        <v>0</v>
      </c>
      <c r="H73" s="102">
        <v>0</v>
      </c>
    </row>
    <row r="74" spans="2:8">
      <c r="B74" s="22" t="s">
        <v>171</v>
      </c>
      <c r="C74" s="224">
        <f>SUM(D74:H74)</f>
        <v>1</v>
      </c>
      <c r="D74" s="102">
        <f>+'FORM 1'!C17</f>
        <v>0.65849391725711803</v>
      </c>
      <c r="E74" s="102">
        <f>+'FORM 1'!D17</f>
        <v>0.34150608274288197</v>
      </c>
      <c r="F74" s="102">
        <f>+'FORM 1'!E17</f>
        <v>0</v>
      </c>
      <c r="G74" s="102">
        <f>+'FORM 1'!F17</f>
        <v>0</v>
      </c>
      <c r="H74" s="102">
        <f>+'FORM 1'!G17</f>
        <v>0</v>
      </c>
    </row>
    <row r="75" spans="2:8">
      <c r="B75" s="22" t="s">
        <v>92</v>
      </c>
      <c r="C75" s="224">
        <f t="shared" si="10"/>
        <v>1</v>
      </c>
      <c r="D75" s="102">
        <f>'FORM 1'!C16</f>
        <v>0.47780066505165375</v>
      </c>
      <c r="E75" s="102">
        <f>'FORM 1'!D16</f>
        <v>0.24779550604416806</v>
      </c>
      <c r="F75" s="102">
        <f>'FORM 1'!E16</f>
        <v>0.27440382890417819</v>
      </c>
      <c r="G75" s="102">
        <f>'FORM 1'!F16</f>
        <v>0</v>
      </c>
      <c r="H75" s="102">
        <f>'FORM 1'!G16</f>
        <v>0</v>
      </c>
    </row>
    <row r="76" spans="2:8">
      <c r="B76" s="22" t="s">
        <v>69</v>
      </c>
      <c r="C76" s="224">
        <f t="shared" si="10"/>
        <v>1</v>
      </c>
      <c r="D76" s="102">
        <v>0</v>
      </c>
      <c r="E76" s="102">
        <v>1</v>
      </c>
      <c r="F76" s="102">
        <v>0</v>
      </c>
      <c r="G76" s="102">
        <v>0</v>
      </c>
      <c r="H76" s="102">
        <v>0</v>
      </c>
    </row>
    <row r="77" spans="2:8">
      <c r="B77" s="22" t="s">
        <v>111</v>
      </c>
      <c r="C77" s="224">
        <f t="shared" si="10"/>
        <v>0.99999999999999989</v>
      </c>
      <c r="D77" s="102">
        <f>'TAX DEPR'!C24</f>
        <v>0.60133343528186556</v>
      </c>
      <c r="E77" s="102">
        <f>'TAX DEPR'!D24</f>
        <v>0.21011643749428602</v>
      </c>
      <c r="F77" s="102">
        <f>'TAX DEPR'!E24</f>
        <v>0.18011830527052647</v>
      </c>
      <c r="G77" s="102">
        <f>'TAX DEPR'!F24</f>
        <v>8.4318219533218528E-3</v>
      </c>
      <c r="H77" s="102">
        <f>'TAX DEPR'!G24</f>
        <v>0</v>
      </c>
    </row>
    <row r="78" spans="2:8">
      <c r="B78" s="22" t="s">
        <v>96</v>
      </c>
      <c r="C78" s="224">
        <f t="shared" si="10"/>
        <v>0.99999999999999989</v>
      </c>
      <c r="D78" s="102">
        <f>'FORM 1'!C18</f>
        <v>0</v>
      </c>
      <c r="E78" s="102">
        <f>'FORM 1'!D18</f>
        <v>0.47452282961769554</v>
      </c>
      <c r="F78" s="102">
        <f>'FORM 1'!E18</f>
        <v>0.52547717038230435</v>
      </c>
      <c r="G78" s="102">
        <f>'FORM 1'!F18</f>
        <v>0</v>
      </c>
      <c r="H78" s="102">
        <f>'FORM 1'!G18</f>
        <v>0</v>
      </c>
    </row>
  </sheetData>
  <phoneticPr fontId="51" type="noConversion"/>
  <printOptions horizontalCentered="1"/>
  <pageMargins left="0.12" right="0.16" top="0.25" bottom="0.71" header="0.24" footer="0.34"/>
  <pageSetup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FF"/>
  </sheetPr>
  <dimension ref="A1:K346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75.28515625" style="114" bestFit="1" customWidth="1"/>
    <col min="2" max="2" width="18.7109375" style="119" customWidth="1"/>
    <col min="3" max="3" width="18.7109375" style="120" customWidth="1"/>
    <col min="4" max="4" width="18.7109375" style="119" customWidth="1"/>
    <col min="5" max="5" width="38.85546875" style="121" customWidth="1"/>
    <col min="6" max="6" width="18.7109375" style="119" customWidth="1"/>
    <col min="7" max="7" width="18.7109375" style="138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19" t="s">
        <v>345</v>
      </c>
      <c r="C1" s="119" t="s">
        <v>346</v>
      </c>
      <c r="D1" s="119" t="s">
        <v>347</v>
      </c>
      <c r="E1" s="121" t="s">
        <v>348</v>
      </c>
      <c r="F1" s="119" t="s">
        <v>349</v>
      </c>
      <c r="G1" s="135" t="s">
        <v>350</v>
      </c>
      <c r="H1" s="113" t="s">
        <v>1603</v>
      </c>
      <c r="I1" s="113" t="s">
        <v>352</v>
      </c>
      <c r="J1" s="113" t="s">
        <v>353</v>
      </c>
      <c r="K1"/>
    </row>
    <row r="2" spans="1:11">
      <c r="A2" s="114" t="str">
        <f>CONCATENATE($B2,$C2,$D2,$E2,$H2)</f>
        <v>4030000DEPN EXPENSE-ELECT3102000LAND RIGHTSSG</v>
      </c>
      <c r="B2" s="126" t="s">
        <v>1890</v>
      </c>
      <c r="C2" s="127" t="s">
        <v>1612</v>
      </c>
      <c r="D2" s="126" t="s">
        <v>1891</v>
      </c>
      <c r="E2" s="128" t="s">
        <v>1514</v>
      </c>
      <c r="F2" s="127" t="s">
        <v>3106</v>
      </c>
      <c r="G2" s="136">
        <v>12.12637</v>
      </c>
      <c r="H2" s="113" t="str">
        <f>IF(OR(F2="IDU",F2="OR",F2="UT",F2="WYU",F2="WYP",F2="CA",F2="WA"),"SITUS",IF(OR(F2="CAEE",F2="JBE"),"SE",IF(OR(F2="CAGE",F2="CAGW",F2="JBG"),"SG",F2)))</f>
        <v>SG</v>
      </c>
      <c r="I2" s="117" t="str">
        <f>INDEX('BOOKDEPR Lookup'!$I:$I,MATCH('BOOKDEPR Jun22data'!$A2,'BOOKDEPR Lookup'!$A:$A,0))</f>
        <v>P</v>
      </c>
      <c r="J2" s="117" t="str">
        <f>IF('BOOKDEPR Jun22data'!$G2=0,"NO",IF(ISNA('BOOKDEPR Jun22data'!$I2),"YES",IF(_xlfn.ISFORMULA('BOOKDEPR Jun22data'!$I2),"NO","YES")))</f>
        <v>NO</v>
      </c>
      <c r="K2"/>
    </row>
    <row r="3" spans="1:11">
      <c r="A3" s="114" t="str">
        <f t="shared" ref="A3:A66" si="0">CONCATENATE($B3,$C3,$D3,$E3,$H3)</f>
        <v>4030000DEPN EXPENSE-ELECT3102000LAND RIGHTSSG</v>
      </c>
      <c r="B3" s="126" t="s">
        <v>1890</v>
      </c>
      <c r="C3" s="127" t="s">
        <v>1612</v>
      </c>
      <c r="D3" s="126" t="s">
        <v>1891</v>
      </c>
      <c r="E3" s="128" t="s">
        <v>1514</v>
      </c>
      <c r="F3" s="127" t="s">
        <v>3107</v>
      </c>
      <c r="G3" s="136">
        <v>5.98766</v>
      </c>
      <c r="H3" s="113" t="str">
        <f t="shared" ref="H3:H66" si="1">IF(OR(F3="IDU",F3="OR",F3="UT",F3="WYU",F3="WYP",F3="CA",F3="WA"),"SITUS",IF(OR(F3="CAEE",F3="JBE"),"SE",IF(OR(F3="CAGE",F3="CAGW",F3="JBG"),"SG",F3)))</f>
        <v>SG</v>
      </c>
      <c r="I3" s="117" t="str">
        <f>INDEX('BOOKDEPR Lookup'!$I:$I,MATCH('BOOKDEPR Jun22data'!$A3,'BOOKDEPR Lookup'!$A:$A,0))</f>
        <v>P</v>
      </c>
      <c r="J3" s="117" t="str">
        <f>IF('BOOKDEPR Jun22data'!$G3=0,"NO",IF(ISNA('BOOKDEPR Jun22data'!$I3),"YES",IF(_xlfn.ISFORMULA('BOOKDEPR Jun22data'!$I3),"NO","YES")))</f>
        <v>NO</v>
      </c>
      <c r="K3"/>
    </row>
    <row r="4" spans="1:11">
      <c r="A4" s="114" t="str">
        <f t="shared" si="0"/>
        <v>4030000DEPN EXPENSE-ELECT3102000LAND RIGHTSSG</v>
      </c>
      <c r="B4" s="126" t="s">
        <v>1890</v>
      </c>
      <c r="C4" s="127" t="s">
        <v>1612</v>
      </c>
      <c r="D4" s="126" t="s">
        <v>1891</v>
      </c>
      <c r="E4" s="128" t="s">
        <v>1514</v>
      </c>
      <c r="F4" s="127" t="s">
        <v>87</v>
      </c>
      <c r="G4" s="136">
        <v>692.59428000000003</v>
      </c>
      <c r="H4" s="113" t="str">
        <f t="shared" si="1"/>
        <v>SG</v>
      </c>
      <c r="I4" s="117" t="str">
        <f>INDEX('BOOKDEPR Lookup'!$I:$I,MATCH('BOOKDEPR Jun22data'!$A4,'BOOKDEPR Lookup'!$A:$A,0))</f>
        <v>P</v>
      </c>
      <c r="J4" s="117" t="str">
        <f>IF('BOOKDEPR Jun22data'!$G4=0,"NO",IF(ISNA('BOOKDEPR Jun22data'!$I4),"YES",IF(_xlfn.ISFORMULA('BOOKDEPR Jun22data'!$I4),"NO","YES")))</f>
        <v>NO</v>
      </c>
      <c r="K4"/>
    </row>
    <row r="5" spans="1:11">
      <c r="A5" s="114" t="str">
        <f t="shared" si="0"/>
        <v>4030000DEPN EXPENSE-ELECT3110000STRUCTURES AND IMPROVEMENTSSG</v>
      </c>
      <c r="B5" s="126" t="s">
        <v>1890</v>
      </c>
      <c r="C5" s="127" t="s">
        <v>1612</v>
      </c>
      <c r="D5" s="126" t="s">
        <v>1892</v>
      </c>
      <c r="E5" s="128" t="s">
        <v>1515</v>
      </c>
      <c r="F5" s="127" t="s">
        <v>3106</v>
      </c>
      <c r="G5" s="136">
        <v>33242.352489999997</v>
      </c>
      <c r="H5" s="113" t="str">
        <f t="shared" si="1"/>
        <v>SG</v>
      </c>
      <c r="I5" s="117" t="str">
        <f>INDEX('BOOKDEPR Lookup'!$I:$I,MATCH('BOOKDEPR Jun22data'!$A5,'BOOKDEPR Lookup'!$A:$A,0))</f>
        <v>P</v>
      </c>
      <c r="J5" s="117" t="str">
        <f>IF('BOOKDEPR Jun22data'!$G5=0,"NO",IF(ISNA('BOOKDEPR Jun22data'!$I5),"YES",IF(_xlfn.ISFORMULA('BOOKDEPR Jun22data'!$I5),"NO","YES")))</f>
        <v>NO</v>
      </c>
      <c r="K5"/>
    </row>
    <row r="6" spans="1:11">
      <c r="A6" s="114" t="str">
        <f t="shared" si="0"/>
        <v>4030000DEPN EXPENSE-ELECT3110000STRUCTURES AND IMPROVEMENTSSG</v>
      </c>
      <c r="B6" s="126" t="s">
        <v>1890</v>
      </c>
      <c r="C6" s="127" t="s">
        <v>1612</v>
      </c>
      <c r="D6" s="126" t="s">
        <v>1892</v>
      </c>
      <c r="E6" s="128" t="s">
        <v>1515</v>
      </c>
      <c r="F6" s="127" t="s">
        <v>3108</v>
      </c>
      <c r="G6" s="136">
        <v>5011.5195299999996</v>
      </c>
      <c r="H6" s="113" t="str">
        <f t="shared" si="1"/>
        <v>SG</v>
      </c>
      <c r="I6" s="117" t="str">
        <f>INDEX('BOOKDEPR Lookup'!$I:$I,MATCH('BOOKDEPR Jun22data'!$A6,'BOOKDEPR Lookup'!$A:$A,0))</f>
        <v>P</v>
      </c>
      <c r="J6" s="117" t="str">
        <f>IF('BOOKDEPR Jun22data'!$G6=0,"NO",IF(ISNA('BOOKDEPR Jun22data'!$I6),"YES",IF(_xlfn.ISFORMULA('BOOKDEPR Jun22data'!$I6),"NO","YES")))</f>
        <v>NO</v>
      </c>
      <c r="K6"/>
    </row>
    <row r="7" spans="1:11">
      <c r="A7" s="114" t="str">
        <f t="shared" si="0"/>
        <v>4030000DEPN EXPENSE-ELECT3110000STRUCTURES AND IMPROVEMENTSSG</v>
      </c>
      <c r="B7" s="126" t="s">
        <v>1890</v>
      </c>
      <c r="C7" s="127" t="s">
        <v>1612</v>
      </c>
      <c r="D7" s="126" t="s">
        <v>1892</v>
      </c>
      <c r="E7" s="128" t="s">
        <v>1515</v>
      </c>
      <c r="F7" s="127" t="s">
        <v>3107</v>
      </c>
      <c r="G7" s="136">
        <v>4826.8384500000002</v>
      </c>
      <c r="H7" s="113" t="str">
        <f t="shared" si="1"/>
        <v>SG</v>
      </c>
      <c r="I7" s="117" t="str">
        <f>INDEX('BOOKDEPR Lookup'!$I:$I,MATCH('BOOKDEPR Jun22data'!$A7,'BOOKDEPR Lookup'!$A:$A,0))</f>
        <v>P</v>
      </c>
      <c r="J7" s="117" t="str">
        <f>IF('BOOKDEPR Jun22data'!$G7=0,"NO",IF(ISNA('BOOKDEPR Jun22data'!$I7),"YES",IF(_xlfn.ISFORMULA('BOOKDEPR Jun22data'!$I7),"NO","YES")))</f>
        <v>NO</v>
      </c>
      <c r="K7"/>
    </row>
    <row r="8" spans="1:11">
      <c r="A8" s="114" t="str">
        <f t="shared" si="0"/>
        <v>4030000DEPN EXPENSE-ELECT3110000STRUCTURES AND IMPROVEMENTSSG</v>
      </c>
      <c r="B8" s="126" t="s">
        <v>1890</v>
      </c>
      <c r="C8" s="127" t="s">
        <v>1612</v>
      </c>
      <c r="D8" s="126" t="s">
        <v>1892</v>
      </c>
      <c r="E8" s="128" t="s">
        <v>1515</v>
      </c>
      <c r="F8" s="127" t="s">
        <v>87</v>
      </c>
      <c r="G8" s="136">
        <v>267.21499</v>
      </c>
      <c r="H8" s="113" t="str">
        <f t="shared" si="1"/>
        <v>SG</v>
      </c>
      <c r="I8" s="117" t="str">
        <f>INDEX('BOOKDEPR Lookup'!$I:$I,MATCH('BOOKDEPR Jun22data'!$A8,'BOOKDEPR Lookup'!$A:$A,0))</f>
        <v>P</v>
      </c>
      <c r="J8" s="117" t="str">
        <f>IF('BOOKDEPR Jun22data'!$G8=0,"NO",IF(ISNA('BOOKDEPR Jun22data'!$I8),"YES",IF(_xlfn.ISFORMULA('BOOKDEPR Jun22data'!$I8),"NO","YES")))</f>
        <v>NO</v>
      </c>
      <c r="K8"/>
    </row>
    <row r="9" spans="1:11">
      <c r="A9" s="114" t="str">
        <f t="shared" si="0"/>
        <v>4030000DEPN EXPENSE-ELECT3120000BOILER PLANT EQUIPMENTSG</v>
      </c>
      <c r="B9" s="126" t="s">
        <v>1890</v>
      </c>
      <c r="C9" s="127" t="s">
        <v>1612</v>
      </c>
      <c r="D9" s="126" t="s">
        <v>1893</v>
      </c>
      <c r="E9" s="128" t="s">
        <v>1613</v>
      </c>
      <c r="F9" s="127" t="s">
        <v>3106</v>
      </c>
      <c r="G9" s="136">
        <v>171484.76121</v>
      </c>
      <c r="H9" s="113" t="str">
        <f t="shared" si="1"/>
        <v>SG</v>
      </c>
      <c r="I9" s="117" t="str">
        <f>INDEX('BOOKDEPR Lookup'!$I:$I,MATCH('BOOKDEPR Jun22data'!$A9,'BOOKDEPR Lookup'!$A:$A,0))</f>
        <v>P</v>
      </c>
      <c r="J9" s="117" t="str">
        <f>IF('BOOKDEPR Jun22data'!$G9=0,"NO",IF(ISNA('BOOKDEPR Jun22data'!$I9),"YES",IF(_xlfn.ISFORMULA('BOOKDEPR Jun22data'!$I9),"NO","YES")))</f>
        <v>NO</v>
      </c>
      <c r="K9"/>
    </row>
    <row r="10" spans="1:11">
      <c r="A10" s="114" t="str">
        <f t="shared" si="0"/>
        <v>4030000DEPN EXPENSE-ELECT3120000BOILER PLANT EQUIPMENTSG</v>
      </c>
      <c r="B10" s="126" t="s">
        <v>1890</v>
      </c>
      <c r="C10" s="127" t="s">
        <v>1612</v>
      </c>
      <c r="D10" s="126" t="s">
        <v>1893</v>
      </c>
      <c r="E10" s="128" t="s">
        <v>1613</v>
      </c>
      <c r="F10" s="127" t="s">
        <v>3108</v>
      </c>
      <c r="G10" s="136">
        <v>10170.559020000001</v>
      </c>
      <c r="H10" s="113" t="str">
        <f t="shared" si="1"/>
        <v>SG</v>
      </c>
      <c r="I10" s="117" t="str">
        <f>INDEX('BOOKDEPR Lookup'!$I:$I,MATCH('BOOKDEPR Jun22data'!$A10,'BOOKDEPR Lookup'!$A:$A,0))</f>
        <v>P</v>
      </c>
      <c r="J10" s="117" t="str">
        <f>IF('BOOKDEPR Jun22data'!$G10=0,"NO",IF(ISNA('BOOKDEPR Jun22data'!$I10),"YES",IF(_xlfn.ISFORMULA('BOOKDEPR Jun22data'!$I10),"NO","YES")))</f>
        <v>NO</v>
      </c>
      <c r="K10"/>
    </row>
    <row r="11" spans="1:11">
      <c r="A11" s="114" t="str">
        <f t="shared" si="0"/>
        <v>4030000DEPN EXPENSE-ELECT3120000BOILER PLANT EQUIPMENTSG</v>
      </c>
      <c r="B11" s="126" t="s">
        <v>1890</v>
      </c>
      <c r="C11" s="127" t="s">
        <v>1612</v>
      </c>
      <c r="D11" s="126" t="s">
        <v>1893</v>
      </c>
      <c r="E11" s="128" t="s">
        <v>1613</v>
      </c>
      <c r="F11" s="127" t="s">
        <v>3107</v>
      </c>
      <c r="G11" s="136">
        <v>49524.801070000001</v>
      </c>
      <c r="H11" s="113" t="str">
        <f t="shared" si="1"/>
        <v>SG</v>
      </c>
      <c r="I11" s="117" t="str">
        <f>INDEX('BOOKDEPR Lookup'!$I:$I,MATCH('BOOKDEPR Jun22data'!$A11,'BOOKDEPR Lookup'!$A:$A,0))</f>
        <v>P</v>
      </c>
      <c r="J11" s="117" t="str">
        <f>IF('BOOKDEPR Jun22data'!$G11=0,"NO",IF(ISNA('BOOKDEPR Jun22data'!$I11),"YES",IF(_xlfn.ISFORMULA('BOOKDEPR Jun22data'!$I11),"NO","YES")))</f>
        <v>NO</v>
      </c>
      <c r="K11"/>
    </row>
    <row r="12" spans="1:11">
      <c r="A12" s="114" t="str">
        <f t="shared" si="0"/>
        <v>4030000DEPN EXPENSE-ELECT3120000BOILER PLANT EQUIPMENTSG</v>
      </c>
      <c r="B12" s="126" t="s">
        <v>1890</v>
      </c>
      <c r="C12" s="127" t="s">
        <v>1612</v>
      </c>
      <c r="D12" s="126" t="s">
        <v>1893</v>
      </c>
      <c r="E12" s="128" t="s">
        <v>1613</v>
      </c>
      <c r="F12" s="127" t="s">
        <v>87</v>
      </c>
      <c r="G12" s="136">
        <v>2605.8562000000002</v>
      </c>
      <c r="H12" s="113" t="str">
        <f t="shared" si="1"/>
        <v>SG</v>
      </c>
      <c r="I12" s="117" t="str">
        <f>INDEX('BOOKDEPR Lookup'!$I:$I,MATCH('BOOKDEPR Jun22data'!$A12,'BOOKDEPR Lookup'!$A:$A,0))</f>
        <v>P</v>
      </c>
      <c r="J12" s="117" t="str">
        <f>IF('BOOKDEPR Jun22data'!$G12=0,"NO",IF(ISNA('BOOKDEPR Jun22data'!$I12),"YES",IF(_xlfn.ISFORMULA('BOOKDEPR Jun22data'!$I12),"NO","YES")))</f>
        <v>NO</v>
      </c>
      <c r="K12"/>
    </row>
    <row r="13" spans="1:11">
      <c r="A13" s="114" t="str">
        <f t="shared" si="0"/>
        <v>4030000DEPN EXPENSE-ELECT3140000TURBOGENERATOR UNITSSG</v>
      </c>
      <c r="B13" s="126" t="s">
        <v>1890</v>
      </c>
      <c r="C13" s="127" t="s">
        <v>1612</v>
      </c>
      <c r="D13" s="126" t="s">
        <v>1894</v>
      </c>
      <c r="E13" s="128" t="s">
        <v>1614</v>
      </c>
      <c r="F13" s="127" t="s">
        <v>3106</v>
      </c>
      <c r="G13" s="136">
        <v>32821.517890000003</v>
      </c>
      <c r="H13" s="113" t="str">
        <f t="shared" si="1"/>
        <v>SG</v>
      </c>
      <c r="I13" s="117" t="str">
        <f>INDEX('BOOKDEPR Lookup'!$I:$I,MATCH('BOOKDEPR Jun22data'!$A13,'BOOKDEPR Lookup'!$A:$A,0))</f>
        <v>P</v>
      </c>
      <c r="J13" s="117" t="str">
        <f>IF('BOOKDEPR Jun22data'!$G13=0,"NO",IF(ISNA('BOOKDEPR Jun22data'!$I13),"YES",IF(_xlfn.ISFORMULA('BOOKDEPR Jun22data'!$I13),"NO","YES")))</f>
        <v>NO</v>
      </c>
      <c r="K13"/>
    </row>
    <row r="14" spans="1:11">
      <c r="A14" s="114" t="str">
        <f t="shared" si="0"/>
        <v>4030000DEPN EXPENSE-ELECT3140000TURBOGENERATOR UNITSSG</v>
      </c>
      <c r="B14" s="126" t="s">
        <v>1890</v>
      </c>
      <c r="C14" s="127" t="s">
        <v>1612</v>
      </c>
      <c r="D14" s="126" t="s">
        <v>1894</v>
      </c>
      <c r="E14" s="128" t="s">
        <v>1614</v>
      </c>
      <c r="F14" s="127" t="s">
        <v>3108</v>
      </c>
      <c r="G14" s="136">
        <v>3633.5293000000001</v>
      </c>
      <c r="H14" s="113" t="str">
        <f t="shared" si="1"/>
        <v>SG</v>
      </c>
      <c r="I14" s="117" t="str">
        <f>INDEX('BOOKDEPR Lookup'!$I:$I,MATCH('BOOKDEPR Jun22data'!$A14,'BOOKDEPR Lookup'!$A:$A,0))</f>
        <v>P</v>
      </c>
      <c r="J14" s="117" t="str">
        <f>IF('BOOKDEPR Jun22data'!$G14=0,"NO",IF(ISNA('BOOKDEPR Jun22data'!$I14),"YES",IF(_xlfn.ISFORMULA('BOOKDEPR Jun22data'!$I14),"NO","YES")))</f>
        <v>NO</v>
      </c>
      <c r="K14"/>
    </row>
    <row r="15" spans="1:11">
      <c r="A15" s="114" t="str">
        <f t="shared" si="0"/>
        <v>4030000DEPN EXPENSE-ELECT3140000TURBOGENERATOR UNITSSG</v>
      </c>
      <c r="B15" s="126" t="s">
        <v>1890</v>
      </c>
      <c r="C15" s="127" t="s">
        <v>1612</v>
      </c>
      <c r="D15" s="126" t="s">
        <v>1894</v>
      </c>
      <c r="E15" s="128" t="s">
        <v>1614</v>
      </c>
      <c r="F15" s="127" t="s">
        <v>3107</v>
      </c>
      <c r="G15" s="136">
        <v>10486.701800000001</v>
      </c>
      <c r="H15" s="113" t="str">
        <f t="shared" si="1"/>
        <v>SG</v>
      </c>
      <c r="I15" s="117" t="str">
        <f>INDEX('BOOKDEPR Lookup'!$I:$I,MATCH('BOOKDEPR Jun22data'!$A15,'BOOKDEPR Lookup'!$A:$A,0))</f>
        <v>P</v>
      </c>
      <c r="J15" s="117" t="str">
        <f>IF('BOOKDEPR Jun22data'!$G15=0,"NO",IF(ISNA('BOOKDEPR Jun22data'!$I15),"YES",IF(_xlfn.ISFORMULA('BOOKDEPR Jun22data'!$I15),"NO","YES")))</f>
        <v>NO</v>
      </c>
      <c r="K15"/>
    </row>
    <row r="16" spans="1:11">
      <c r="A16" s="114" t="str">
        <f t="shared" si="0"/>
        <v>4030000DEPN EXPENSE-ELECT3140000TURBOGENERATOR UNITSSG</v>
      </c>
      <c r="B16" s="126" t="s">
        <v>1890</v>
      </c>
      <c r="C16" s="127" t="s">
        <v>1612</v>
      </c>
      <c r="D16" s="126" t="s">
        <v>1894</v>
      </c>
      <c r="E16" s="128" t="s">
        <v>1614</v>
      </c>
      <c r="F16" s="127" t="s">
        <v>87</v>
      </c>
      <c r="G16" s="136">
        <v>1457.1155799999999</v>
      </c>
      <c r="H16" s="113" t="str">
        <f t="shared" si="1"/>
        <v>SG</v>
      </c>
      <c r="I16" s="117" t="str">
        <f>INDEX('BOOKDEPR Lookup'!$I:$I,MATCH('BOOKDEPR Jun22data'!$A16,'BOOKDEPR Lookup'!$A:$A,0))</f>
        <v>P</v>
      </c>
      <c r="J16" s="117" t="str">
        <f>IF('BOOKDEPR Jun22data'!$G16=0,"NO",IF(ISNA('BOOKDEPR Jun22data'!$I16),"YES",IF(_xlfn.ISFORMULA('BOOKDEPR Jun22data'!$I16),"NO","YES")))</f>
        <v>NO</v>
      </c>
      <c r="K16"/>
    </row>
    <row r="17" spans="1:11">
      <c r="A17" s="114" t="str">
        <f t="shared" si="0"/>
        <v>4030000DEPN EXPENSE-ELECT3150000ACCESSORY ELECTRIC EQUIPMENTSG</v>
      </c>
      <c r="B17" s="126" t="s">
        <v>1890</v>
      </c>
      <c r="C17" s="127" t="s">
        <v>1612</v>
      </c>
      <c r="D17" s="126" t="s">
        <v>1895</v>
      </c>
      <c r="E17" s="128" t="s">
        <v>1615</v>
      </c>
      <c r="F17" s="127" t="s">
        <v>3106</v>
      </c>
      <c r="G17" s="136">
        <v>14912.623299999999</v>
      </c>
      <c r="H17" s="113" t="str">
        <f t="shared" si="1"/>
        <v>SG</v>
      </c>
      <c r="I17" s="117" t="str">
        <f>INDEX('BOOKDEPR Lookup'!$I:$I,MATCH('BOOKDEPR Jun22data'!$A17,'BOOKDEPR Lookup'!$A:$A,0))</f>
        <v>P</v>
      </c>
      <c r="J17" s="117" t="str">
        <f>IF('BOOKDEPR Jun22data'!$G17=0,"NO",IF(ISNA('BOOKDEPR Jun22data'!$I17),"YES",IF(_xlfn.ISFORMULA('BOOKDEPR Jun22data'!$I17),"NO","YES")))</f>
        <v>NO</v>
      </c>
      <c r="K17"/>
    </row>
    <row r="18" spans="1:11">
      <c r="A18" s="114" t="str">
        <f t="shared" si="0"/>
        <v>4030000DEPN EXPENSE-ELECT3150000ACCESSORY ELECTRIC EQUIPMENTSG</v>
      </c>
      <c r="B18" s="126" t="s">
        <v>1890</v>
      </c>
      <c r="C18" s="127" t="s">
        <v>1612</v>
      </c>
      <c r="D18" s="126" t="s">
        <v>1895</v>
      </c>
      <c r="E18" s="128" t="s">
        <v>1615</v>
      </c>
      <c r="F18" s="127" t="s">
        <v>3108</v>
      </c>
      <c r="G18" s="136">
        <v>665.84187999999995</v>
      </c>
      <c r="H18" s="113" t="str">
        <f t="shared" si="1"/>
        <v>SG</v>
      </c>
      <c r="I18" s="117" t="str">
        <f>INDEX('BOOKDEPR Lookup'!$I:$I,MATCH('BOOKDEPR Jun22data'!$A18,'BOOKDEPR Lookup'!$A:$A,0))</f>
        <v>P</v>
      </c>
      <c r="J18" s="117" t="str">
        <f>IF('BOOKDEPR Jun22data'!$G18=0,"NO",IF(ISNA('BOOKDEPR Jun22data'!$I18),"YES",IF(_xlfn.ISFORMULA('BOOKDEPR Jun22data'!$I18),"NO","YES")))</f>
        <v>NO</v>
      </c>
      <c r="K18"/>
    </row>
    <row r="19" spans="1:11">
      <c r="A19" s="114" t="str">
        <f t="shared" si="0"/>
        <v>4030000DEPN EXPENSE-ELECT3150000ACCESSORY ELECTRIC EQUIPMENTSG</v>
      </c>
      <c r="B19" s="126" t="s">
        <v>1890</v>
      </c>
      <c r="C19" s="127" t="s">
        <v>1612</v>
      </c>
      <c r="D19" s="126" t="s">
        <v>1895</v>
      </c>
      <c r="E19" s="128" t="s">
        <v>1615</v>
      </c>
      <c r="F19" s="127" t="s">
        <v>3107</v>
      </c>
      <c r="G19" s="136">
        <v>2071.0258800000001</v>
      </c>
      <c r="H19" s="113" t="str">
        <f t="shared" si="1"/>
        <v>SG</v>
      </c>
      <c r="I19" s="117" t="str">
        <f>INDEX('BOOKDEPR Lookup'!$I:$I,MATCH('BOOKDEPR Jun22data'!$A19,'BOOKDEPR Lookup'!$A:$A,0))</f>
        <v>P</v>
      </c>
      <c r="J19" s="117" t="str">
        <f>IF('BOOKDEPR Jun22data'!$G19=0,"NO",IF(ISNA('BOOKDEPR Jun22data'!$I19),"YES",IF(_xlfn.ISFORMULA('BOOKDEPR Jun22data'!$I19),"NO","YES")))</f>
        <v>NO</v>
      </c>
      <c r="K19"/>
    </row>
    <row r="20" spans="1:11">
      <c r="A20" s="114" t="str">
        <f t="shared" si="0"/>
        <v>4030000DEPN EXPENSE-ELECT3150000ACCESSORY ELECTRIC EQUIPMENTSG</v>
      </c>
      <c r="B20" s="126" t="s">
        <v>1890</v>
      </c>
      <c r="C20" s="127" t="s">
        <v>1612</v>
      </c>
      <c r="D20" s="126" t="s">
        <v>1895</v>
      </c>
      <c r="E20" s="128" t="s">
        <v>1615</v>
      </c>
      <c r="F20" s="127" t="s">
        <v>87</v>
      </c>
      <c r="G20" s="136">
        <v>294.80608000000001</v>
      </c>
      <c r="H20" s="113" t="str">
        <f t="shared" si="1"/>
        <v>SG</v>
      </c>
      <c r="I20" s="117" t="str">
        <f>INDEX('BOOKDEPR Lookup'!$I:$I,MATCH('BOOKDEPR Jun22data'!$A20,'BOOKDEPR Lookup'!$A:$A,0))</f>
        <v>P</v>
      </c>
      <c r="J20" s="117" t="str">
        <f>IF('BOOKDEPR Jun22data'!$G20=0,"NO",IF(ISNA('BOOKDEPR Jun22data'!$I20),"YES",IF(_xlfn.ISFORMULA('BOOKDEPR Jun22data'!$I20),"NO","YES")))</f>
        <v>NO</v>
      </c>
      <c r="K20"/>
    </row>
    <row r="21" spans="1:11">
      <c r="A21" s="114" t="str">
        <f t="shared" si="0"/>
        <v>4030000DEPN EXPENSE-ELECT3157000ACCESSORY ELECTRIC EQUIP-SUPV &amp; ALARMSG</v>
      </c>
      <c r="B21" s="126" t="s">
        <v>1890</v>
      </c>
      <c r="C21" s="127" t="s">
        <v>1612</v>
      </c>
      <c r="D21" s="126" t="s">
        <v>1896</v>
      </c>
      <c r="E21" s="128" t="s">
        <v>1616</v>
      </c>
      <c r="F21" s="127" t="s">
        <v>3107</v>
      </c>
      <c r="G21" s="136">
        <v>1.8525100000000001</v>
      </c>
      <c r="H21" s="113" t="str">
        <f t="shared" si="1"/>
        <v>SG</v>
      </c>
      <c r="I21" s="117" t="str">
        <f>INDEX('BOOKDEPR Lookup'!$I:$I,MATCH('BOOKDEPR Jun22data'!$A21,'BOOKDEPR Lookup'!$A:$A,0))</f>
        <v>P</v>
      </c>
      <c r="J21" s="117" t="str">
        <f>IF('BOOKDEPR Jun22data'!$G21=0,"NO",IF(ISNA('BOOKDEPR Jun22data'!$I21),"YES",IF(_xlfn.ISFORMULA('BOOKDEPR Jun22data'!$I21),"NO","YES")))</f>
        <v>NO</v>
      </c>
      <c r="K21"/>
    </row>
    <row r="22" spans="1:11">
      <c r="A22" s="114" t="str">
        <f t="shared" si="0"/>
        <v>4030000DEPN EXPENSE-ELECT3160000MISCELLANEOUS POWER PLANT EQUIPMENTSG</v>
      </c>
      <c r="B22" s="126" t="s">
        <v>1890</v>
      </c>
      <c r="C22" s="127" t="s">
        <v>1612</v>
      </c>
      <c r="D22" s="126" t="s">
        <v>1897</v>
      </c>
      <c r="E22" s="128" t="s">
        <v>1617</v>
      </c>
      <c r="F22" s="127" t="s">
        <v>3106</v>
      </c>
      <c r="G22" s="136">
        <v>1268.3288700000001</v>
      </c>
      <c r="H22" s="113" t="str">
        <f t="shared" si="1"/>
        <v>SG</v>
      </c>
      <c r="I22" s="117" t="str">
        <f>INDEX('BOOKDEPR Lookup'!$I:$I,MATCH('BOOKDEPR Jun22data'!$A22,'BOOKDEPR Lookup'!$A:$A,0))</f>
        <v>P</v>
      </c>
      <c r="J22" s="117" t="str">
        <f>IF('BOOKDEPR Jun22data'!$G22=0,"NO",IF(ISNA('BOOKDEPR Jun22data'!$I22),"YES",IF(_xlfn.ISFORMULA('BOOKDEPR Jun22data'!$I22),"NO","YES")))</f>
        <v>NO</v>
      </c>
      <c r="K22"/>
    </row>
    <row r="23" spans="1:11">
      <c r="A23" s="114" t="str">
        <f t="shared" si="0"/>
        <v>4030000DEPN EXPENSE-ELECT3160000MISCELLANEOUS POWER PLANT EQUIPMENTSG</v>
      </c>
      <c r="B23" s="126" t="s">
        <v>1890</v>
      </c>
      <c r="C23" s="127" t="s">
        <v>1612</v>
      </c>
      <c r="D23" s="126" t="s">
        <v>1897</v>
      </c>
      <c r="E23" s="128" t="s">
        <v>1617</v>
      </c>
      <c r="F23" s="127" t="s">
        <v>3108</v>
      </c>
      <c r="G23" s="136">
        <v>43.125340000000001</v>
      </c>
      <c r="H23" s="113" t="str">
        <f t="shared" si="1"/>
        <v>SG</v>
      </c>
      <c r="I23" s="117" t="str">
        <f>INDEX('BOOKDEPR Lookup'!$I:$I,MATCH('BOOKDEPR Jun22data'!$A23,'BOOKDEPR Lookup'!$A:$A,0))</f>
        <v>P</v>
      </c>
      <c r="J23" s="117" t="str">
        <f>IF('BOOKDEPR Jun22data'!$G23=0,"NO",IF(ISNA('BOOKDEPR Jun22data'!$I23),"YES",IF(_xlfn.ISFORMULA('BOOKDEPR Jun22data'!$I23),"NO","YES")))</f>
        <v>NO</v>
      </c>
      <c r="K23"/>
    </row>
    <row r="24" spans="1:11">
      <c r="A24" s="114" t="str">
        <f t="shared" si="0"/>
        <v>4030000DEPN EXPENSE-ELECT3160000MISCELLANEOUS POWER PLANT EQUIPMENTSG</v>
      </c>
      <c r="B24" s="126" t="s">
        <v>1890</v>
      </c>
      <c r="C24" s="127" t="s">
        <v>1612</v>
      </c>
      <c r="D24" s="126" t="s">
        <v>1897</v>
      </c>
      <c r="E24" s="128" t="s">
        <v>1617</v>
      </c>
      <c r="F24" s="127" t="s">
        <v>3107</v>
      </c>
      <c r="G24" s="136">
        <v>258.42919999999998</v>
      </c>
      <c r="H24" s="113" t="str">
        <f t="shared" si="1"/>
        <v>SG</v>
      </c>
      <c r="I24" s="117" t="str">
        <f>INDEX('BOOKDEPR Lookup'!$I:$I,MATCH('BOOKDEPR Jun22data'!$A24,'BOOKDEPR Lookup'!$A:$A,0))</f>
        <v>P</v>
      </c>
      <c r="J24" s="117" t="str">
        <f>IF('BOOKDEPR Jun22data'!$G24=0,"NO",IF(ISNA('BOOKDEPR Jun22data'!$I24),"YES",IF(_xlfn.ISFORMULA('BOOKDEPR Jun22data'!$I24),"NO","YES")))</f>
        <v>NO</v>
      </c>
      <c r="K24"/>
    </row>
    <row r="25" spans="1:11">
      <c r="A25" s="114" t="str">
        <f t="shared" si="0"/>
        <v>4030000DEPN EXPENSE-ELECT3160000MISCELLANEOUS POWER PLANT EQUIPMENTSG</v>
      </c>
      <c r="B25" s="126" t="s">
        <v>1890</v>
      </c>
      <c r="C25" s="127" t="s">
        <v>1612</v>
      </c>
      <c r="D25" s="126" t="s">
        <v>1897</v>
      </c>
      <c r="E25" s="128" t="s">
        <v>1617</v>
      </c>
      <c r="F25" s="127" t="s">
        <v>87</v>
      </c>
      <c r="G25" s="136">
        <v>59.851419999999997</v>
      </c>
      <c r="H25" s="113" t="str">
        <f t="shared" si="1"/>
        <v>SG</v>
      </c>
      <c r="I25" s="117" t="str">
        <f>INDEX('BOOKDEPR Lookup'!$I:$I,MATCH('BOOKDEPR Jun22data'!$A25,'BOOKDEPR Lookup'!$A:$A,0))</f>
        <v>P</v>
      </c>
      <c r="J25" s="117" t="str">
        <f>IF('BOOKDEPR Jun22data'!$G25=0,"NO",IF(ISNA('BOOKDEPR Jun22data'!$I25),"YES",IF(_xlfn.ISFORMULA('BOOKDEPR Jun22data'!$I25),"NO","YES")))</f>
        <v>NO</v>
      </c>
      <c r="K25"/>
    </row>
    <row r="26" spans="1:11">
      <c r="A26" s="114" t="str">
        <f t="shared" si="0"/>
        <v>4030000DEPN EXPENSE-ELECT3302000LAND RIGHTSSG-P</v>
      </c>
      <c r="B26" s="126" t="s">
        <v>1890</v>
      </c>
      <c r="C26" s="127" t="s">
        <v>1612</v>
      </c>
      <c r="D26" s="126" t="s">
        <v>1898</v>
      </c>
      <c r="E26" s="128" t="s">
        <v>1514</v>
      </c>
      <c r="F26" s="127" t="s">
        <v>280</v>
      </c>
      <c r="G26" s="136">
        <v>45.009729999999998</v>
      </c>
      <c r="H26" s="113" t="str">
        <f t="shared" si="1"/>
        <v>SG-P</v>
      </c>
      <c r="I26" s="117" t="str">
        <f>INDEX('BOOKDEPR Lookup'!$I:$I,MATCH('BOOKDEPR Jun22data'!$A26,'BOOKDEPR Lookup'!$A:$A,0))</f>
        <v>P</v>
      </c>
      <c r="J26" s="117" t="str">
        <f>IF('BOOKDEPR Jun22data'!$G26=0,"NO",IF(ISNA('BOOKDEPR Jun22data'!$I26),"YES",IF(_xlfn.ISFORMULA('BOOKDEPR Jun22data'!$I26),"NO","YES")))</f>
        <v>NO</v>
      </c>
      <c r="K26"/>
    </row>
    <row r="27" spans="1:11">
      <c r="A27" s="114" t="str">
        <f t="shared" si="0"/>
        <v>4030000DEPN EXPENSE-ELECT3302000LAND RIGHTSSG-U</v>
      </c>
      <c r="B27" s="126" t="s">
        <v>1890</v>
      </c>
      <c r="C27" s="127" t="s">
        <v>1612</v>
      </c>
      <c r="D27" s="126" t="s">
        <v>1898</v>
      </c>
      <c r="E27" s="128" t="s">
        <v>1514</v>
      </c>
      <c r="F27" s="127" t="s">
        <v>1455</v>
      </c>
      <c r="G27" s="136">
        <v>38.903500000000001</v>
      </c>
      <c r="H27" s="113" t="str">
        <f t="shared" si="1"/>
        <v>SG-U</v>
      </c>
      <c r="I27" s="117" t="str">
        <f>INDEX('BOOKDEPR Lookup'!$I:$I,MATCH('BOOKDEPR Jun22data'!$A27,'BOOKDEPR Lookup'!$A:$A,0))</f>
        <v>P</v>
      </c>
      <c r="J27" s="117" t="str">
        <f>IF('BOOKDEPR Jun22data'!$G27=0,"NO",IF(ISNA('BOOKDEPR Jun22data'!$I27),"YES",IF(_xlfn.ISFORMULA('BOOKDEPR Jun22data'!$I27),"NO","YES")))</f>
        <v>NO</v>
      </c>
      <c r="K27"/>
    </row>
    <row r="28" spans="1:11">
      <c r="A28" s="114" t="str">
        <f t="shared" si="0"/>
        <v>4030000DEPN EXPENSE-ELECT3303000WATER RIGHTSSG-P</v>
      </c>
      <c r="B28" s="126" t="s">
        <v>1890</v>
      </c>
      <c r="C28" s="127" t="s">
        <v>1612</v>
      </c>
      <c r="D28" s="126" t="s">
        <v>1899</v>
      </c>
      <c r="E28" s="128" t="s">
        <v>1618</v>
      </c>
      <c r="F28" s="127" t="s">
        <v>280</v>
      </c>
      <c r="G28" s="136">
        <v>0.42370000000000002</v>
      </c>
      <c r="H28" s="113" t="str">
        <f t="shared" si="1"/>
        <v>SG-P</v>
      </c>
      <c r="I28" s="117" t="str">
        <f>INDEX('BOOKDEPR Lookup'!$I:$I,MATCH('BOOKDEPR Jun22data'!$A28,'BOOKDEPR Lookup'!$A:$A,0))</f>
        <v>P</v>
      </c>
      <c r="J28" s="117" t="str">
        <f>IF('BOOKDEPR Jun22data'!$G28=0,"NO",IF(ISNA('BOOKDEPR Jun22data'!$I28),"YES",IF(_xlfn.ISFORMULA('BOOKDEPR Jun22data'!$I28),"NO","YES")))</f>
        <v>NO</v>
      </c>
      <c r="K28"/>
    </row>
    <row r="29" spans="1:11">
      <c r="A29" s="114" t="str">
        <f t="shared" si="0"/>
        <v>4030000DEPN EXPENSE-ELECT3303000WATER RIGHTSSG-U</v>
      </c>
      <c r="B29" s="126" t="s">
        <v>1890</v>
      </c>
      <c r="C29" s="127" t="s">
        <v>1612</v>
      </c>
      <c r="D29" s="126" t="s">
        <v>1899</v>
      </c>
      <c r="E29" s="128" t="s">
        <v>1618</v>
      </c>
      <c r="F29" s="127" t="s">
        <v>1455</v>
      </c>
      <c r="G29" s="136">
        <v>1.66276</v>
      </c>
      <c r="H29" s="113" t="str">
        <f t="shared" si="1"/>
        <v>SG-U</v>
      </c>
      <c r="I29" s="117" t="str">
        <f>INDEX('BOOKDEPR Lookup'!$I:$I,MATCH('BOOKDEPR Jun22data'!$A29,'BOOKDEPR Lookup'!$A:$A,0))</f>
        <v>P</v>
      </c>
      <c r="J29" s="117" t="str">
        <f>IF('BOOKDEPR Jun22data'!$G29=0,"NO",IF(ISNA('BOOKDEPR Jun22data'!$I29),"YES",IF(_xlfn.ISFORMULA('BOOKDEPR Jun22data'!$I29),"NO","YES")))</f>
        <v>NO</v>
      </c>
      <c r="K29"/>
    </row>
    <row r="30" spans="1:11">
      <c r="A30" s="114" t="str">
        <f t="shared" si="0"/>
        <v>4030000DEPN EXPENSE-ELECT3304000FLOOD RIGHTSSG-P</v>
      </c>
      <c r="B30" s="126" t="s">
        <v>1890</v>
      </c>
      <c r="C30" s="127" t="s">
        <v>1612</v>
      </c>
      <c r="D30" s="126" t="s">
        <v>1900</v>
      </c>
      <c r="E30" s="128" t="s">
        <v>1619</v>
      </c>
      <c r="F30" s="127" t="s">
        <v>280</v>
      </c>
      <c r="G30" s="136">
        <v>5.1973200000000004</v>
      </c>
      <c r="H30" s="113" t="str">
        <f t="shared" si="1"/>
        <v>SG-P</v>
      </c>
      <c r="I30" s="117" t="str">
        <f>INDEX('BOOKDEPR Lookup'!$I:$I,MATCH('BOOKDEPR Jun22data'!$A30,'BOOKDEPR Lookup'!$A:$A,0))</f>
        <v>P</v>
      </c>
      <c r="J30" s="117" t="str">
        <f>IF('BOOKDEPR Jun22data'!$G30=0,"NO",IF(ISNA('BOOKDEPR Jun22data'!$I30),"YES",IF(_xlfn.ISFORMULA('BOOKDEPR Jun22data'!$I30),"NO","YES")))</f>
        <v>NO</v>
      </c>
      <c r="K30"/>
    </row>
    <row r="31" spans="1:11">
      <c r="A31" s="114" t="str">
        <f t="shared" si="0"/>
        <v>4030000DEPN EXPENSE-ELECT3304000FLOOD RIGHTSSG-U</v>
      </c>
      <c r="B31" s="126" t="s">
        <v>1890</v>
      </c>
      <c r="C31" s="127" t="s">
        <v>1612</v>
      </c>
      <c r="D31" s="126" t="s">
        <v>1900</v>
      </c>
      <c r="E31" s="128" t="s">
        <v>1619</v>
      </c>
      <c r="F31" s="127" t="s">
        <v>1455</v>
      </c>
      <c r="G31" s="136">
        <v>2.6601499999999998</v>
      </c>
      <c r="H31" s="113" t="str">
        <f t="shared" si="1"/>
        <v>SG-U</v>
      </c>
      <c r="I31" s="117" t="str">
        <f>INDEX('BOOKDEPR Lookup'!$I:$I,MATCH('BOOKDEPR Jun22data'!$A31,'BOOKDEPR Lookup'!$A:$A,0))</f>
        <v>P</v>
      </c>
      <c r="J31" s="117" t="str">
        <f>IF('BOOKDEPR Jun22data'!$G31=0,"NO",IF(ISNA('BOOKDEPR Jun22data'!$I31),"YES",IF(_xlfn.ISFORMULA('BOOKDEPR Jun22data'!$I31),"NO","YES")))</f>
        <v>NO</v>
      </c>
      <c r="K31"/>
    </row>
    <row r="32" spans="1:11">
      <c r="A32" s="114" t="str">
        <f t="shared" si="0"/>
        <v>4030000DEPN EXPENSE-ELECT3305000LAND RIGHTS - FISH/WILDLIFESG-P</v>
      </c>
      <c r="B32" s="126" t="s">
        <v>1890</v>
      </c>
      <c r="C32" s="127" t="s">
        <v>1612</v>
      </c>
      <c r="D32" s="126" t="s">
        <v>1901</v>
      </c>
      <c r="E32" s="128" t="s">
        <v>1620</v>
      </c>
      <c r="F32" s="127" t="s">
        <v>280</v>
      </c>
      <c r="G32" s="136">
        <v>2.4370099999999999</v>
      </c>
      <c r="H32" s="113" t="str">
        <f t="shared" si="1"/>
        <v>SG-P</v>
      </c>
      <c r="I32" s="117" t="str">
        <f>INDEX('BOOKDEPR Lookup'!$I:$I,MATCH('BOOKDEPR Jun22data'!$A32,'BOOKDEPR Lookup'!$A:$A,0))</f>
        <v>P</v>
      </c>
      <c r="J32" s="117" t="str">
        <f>IF('BOOKDEPR Jun22data'!$G32=0,"NO",IF(ISNA('BOOKDEPR Jun22data'!$I32),"YES",IF(_xlfn.ISFORMULA('BOOKDEPR Jun22data'!$I32),"NO","YES")))</f>
        <v>NO</v>
      </c>
      <c r="K32"/>
    </row>
    <row r="33" spans="1:11">
      <c r="A33" s="114" t="str">
        <f t="shared" si="0"/>
        <v>4030000DEPN EXPENSE-ELECT3310000STRUCTURES AND IMPROVESG-P</v>
      </c>
      <c r="B33" s="126" t="s">
        <v>1890</v>
      </c>
      <c r="C33" s="127" t="s">
        <v>1612</v>
      </c>
      <c r="D33" s="126" t="s">
        <v>1902</v>
      </c>
      <c r="E33" s="128" t="s">
        <v>1621</v>
      </c>
      <c r="F33" s="127" t="s">
        <v>280</v>
      </c>
      <c r="G33" s="136">
        <v>59.128540000000001</v>
      </c>
      <c r="H33" s="113" t="str">
        <f t="shared" si="1"/>
        <v>SG-P</v>
      </c>
      <c r="I33" s="117" t="str">
        <f>INDEX('BOOKDEPR Lookup'!$I:$I,MATCH('BOOKDEPR Jun22data'!$A33,'BOOKDEPR Lookup'!$A:$A,0))</f>
        <v>P</v>
      </c>
      <c r="J33" s="117" t="str">
        <f>IF('BOOKDEPR Jun22data'!$G33=0,"NO",IF(ISNA('BOOKDEPR Jun22data'!$I33),"YES",IF(_xlfn.ISFORMULA('BOOKDEPR Jun22data'!$I33),"NO","YES")))</f>
        <v>NO</v>
      </c>
      <c r="K33"/>
    </row>
    <row r="34" spans="1:11">
      <c r="A34" s="114" t="str">
        <f t="shared" si="0"/>
        <v>4030000DEPN EXPENSE-ELECT3310000STRUCTURES AND IMPROVESG-U</v>
      </c>
      <c r="B34" s="126" t="s">
        <v>1890</v>
      </c>
      <c r="C34" s="127" t="s">
        <v>1612</v>
      </c>
      <c r="D34" s="126" t="s">
        <v>1902</v>
      </c>
      <c r="E34" s="128" t="s">
        <v>1621</v>
      </c>
      <c r="F34" s="127" t="s">
        <v>1455</v>
      </c>
      <c r="G34" s="136">
        <v>280.26641999999998</v>
      </c>
      <c r="H34" s="113" t="str">
        <f t="shared" si="1"/>
        <v>SG-U</v>
      </c>
      <c r="I34" s="117" t="str">
        <f>INDEX('BOOKDEPR Lookup'!$I:$I,MATCH('BOOKDEPR Jun22data'!$A34,'BOOKDEPR Lookup'!$A:$A,0))</f>
        <v>P</v>
      </c>
      <c r="J34" s="117" t="str">
        <f>IF('BOOKDEPR Jun22data'!$G34=0,"NO",IF(ISNA('BOOKDEPR Jun22data'!$I34),"YES",IF(_xlfn.ISFORMULA('BOOKDEPR Jun22data'!$I34),"NO","YES")))</f>
        <v>NO</v>
      </c>
      <c r="K34"/>
    </row>
    <row r="35" spans="1:11">
      <c r="A35" s="114" t="str">
        <f t="shared" si="0"/>
        <v>4030000DEPN EXPENSE-ELECT3311000STRUCTURES AND IMPROVE-PRODUCTIONSG-P</v>
      </c>
      <c r="B35" s="126" t="s">
        <v>1890</v>
      </c>
      <c r="C35" s="127" t="s">
        <v>1612</v>
      </c>
      <c r="D35" s="126" t="s">
        <v>1903</v>
      </c>
      <c r="E35" s="128" t="s">
        <v>1622</v>
      </c>
      <c r="F35" s="127" t="s">
        <v>280</v>
      </c>
      <c r="G35" s="136">
        <v>792.95813999999996</v>
      </c>
      <c r="H35" s="113" t="str">
        <f t="shared" si="1"/>
        <v>SG-P</v>
      </c>
      <c r="I35" s="117" t="str">
        <f>INDEX('BOOKDEPR Lookup'!$I:$I,MATCH('BOOKDEPR Jun22data'!$A35,'BOOKDEPR Lookup'!$A:$A,0))</f>
        <v>P</v>
      </c>
      <c r="J35" s="117" t="str">
        <f>IF('BOOKDEPR Jun22data'!$G35=0,"NO",IF(ISNA('BOOKDEPR Jun22data'!$I35),"YES",IF(_xlfn.ISFORMULA('BOOKDEPR Jun22data'!$I35),"NO","YES")))</f>
        <v>NO</v>
      </c>
      <c r="K35"/>
    </row>
    <row r="36" spans="1:11">
      <c r="A36" s="114" t="str">
        <f t="shared" si="0"/>
        <v>4030000DEPN EXPENSE-ELECT3311000STRUCTURES AND IMPROVE-PRODUCTIONSG-U</v>
      </c>
      <c r="B36" s="126" t="s">
        <v>1890</v>
      </c>
      <c r="C36" s="127" t="s">
        <v>1612</v>
      </c>
      <c r="D36" s="126" t="s">
        <v>1903</v>
      </c>
      <c r="E36" s="128" t="s">
        <v>1622</v>
      </c>
      <c r="F36" s="127" t="s">
        <v>1455</v>
      </c>
      <c r="G36" s="136">
        <v>376.26825000000002</v>
      </c>
      <c r="H36" s="113" t="str">
        <f t="shared" si="1"/>
        <v>SG-U</v>
      </c>
      <c r="I36" s="117" t="str">
        <f>INDEX('BOOKDEPR Lookup'!$I:$I,MATCH('BOOKDEPR Jun22data'!$A36,'BOOKDEPR Lookup'!$A:$A,0))</f>
        <v>P</v>
      </c>
      <c r="J36" s="117" t="str">
        <f>IF('BOOKDEPR Jun22data'!$G36=0,"NO",IF(ISNA('BOOKDEPR Jun22data'!$I36),"YES",IF(_xlfn.ISFORMULA('BOOKDEPR Jun22data'!$I36),"NO","YES")))</f>
        <v>NO</v>
      </c>
      <c r="K36"/>
    </row>
    <row r="37" spans="1:11">
      <c r="A37" s="114" t="str">
        <f t="shared" si="0"/>
        <v>4030000DEPN EXPENSE-ELECT3312000STRUCTURES AND IMPROVE-FISH/WILDLIFESG-P</v>
      </c>
      <c r="B37" s="126" t="s">
        <v>1890</v>
      </c>
      <c r="C37" s="127" t="s">
        <v>1612</v>
      </c>
      <c r="D37" s="126" t="s">
        <v>1904</v>
      </c>
      <c r="E37" s="128" t="s">
        <v>1623</v>
      </c>
      <c r="F37" s="127" t="s">
        <v>280</v>
      </c>
      <c r="G37" s="136">
        <v>8964.7266899999995</v>
      </c>
      <c r="H37" s="113" t="str">
        <f t="shared" si="1"/>
        <v>SG-P</v>
      </c>
      <c r="I37" s="117" t="str">
        <f>INDEX('BOOKDEPR Lookup'!$I:$I,MATCH('BOOKDEPR Jun22data'!$A37,'BOOKDEPR Lookup'!$A:$A,0))</f>
        <v>P</v>
      </c>
      <c r="J37" s="117" t="str">
        <f>IF('BOOKDEPR Jun22data'!$G37=0,"NO",IF(ISNA('BOOKDEPR Jun22data'!$I37),"YES",IF(_xlfn.ISFORMULA('BOOKDEPR Jun22data'!$I37),"NO","YES")))</f>
        <v>NO</v>
      </c>
      <c r="K37"/>
    </row>
    <row r="38" spans="1:11">
      <c r="A38" s="114" t="str">
        <f t="shared" si="0"/>
        <v>4030000DEPN EXPENSE-ELECT3312000STRUCTURES AND IMPROVE-FISH/WILDLIFESG-U</v>
      </c>
      <c r="B38" s="126" t="s">
        <v>1890</v>
      </c>
      <c r="C38" s="127" t="s">
        <v>1612</v>
      </c>
      <c r="D38" s="126" t="s">
        <v>1904</v>
      </c>
      <c r="E38" s="128" t="s">
        <v>1623</v>
      </c>
      <c r="F38" s="127" t="s">
        <v>1455</v>
      </c>
      <c r="G38" s="136">
        <v>31.8596</v>
      </c>
      <c r="H38" s="113" t="str">
        <f t="shared" si="1"/>
        <v>SG-U</v>
      </c>
      <c r="I38" s="117" t="str">
        <f>INDEX('BOOKDEPR Lookup'!$I:$I,MATCH('BOOKDEPR Jun22data'!$A38,'BOOKDEPR Lookup'!$A:$A,0))</f>
        <v>P</v>
      </c>
      <c r="J38" s="117" t="str">
        <f>IF('BOOKDEPR Jun22data'!$G38=0,"NO",IF(ISNA('BOOKDEPR Jun22data'!$I38),"YES",IF(_xlfn.ISFORMULA('BOOKDEPR Jun22data'!$I38),"NO","YES")))</f>
        <v>NO</v>
      </c>
      <c r="K38"/>
    </row>
    <row r="39" spans="1:11">
      <c r="A39" s="114" t="str">
        <f t="shared" si="0"/>
        <v>4030000DEPN EXPENSE-ELECT3313000STRUCTURES AND IMPROVE-RECREATIONSG-P</v>
      </c>
      <c r="B39" s="126" t="s">
        <v>1890</v>
      </c>
      <c r="C39" s="127" t="s">
        <v>1612</v>
      </c>
      <c r="D39" s="126" t="s">
        <v>1905</v>
      </c>
      <c r="E39" s="128" t="s">
        <v>1624</v>
      </c>
      <c r="F39" s="127" t="s">
        <v>280</v>
      </c>
      <c r="G39" s="136">
        <v>887.65222000000006</v>
      </c>
      <c r="H39" s="113" t="str">
        <f t="shared" si="1"/>
        <v>SG-P</v>
      </c>
      <c r="I39" s="117" t="str">
        <f>INDEX('BOOKDEPR Lookup'!$I:$I,MATCH('BOOKDEPR Jun22data'!$A39,'BOOKDEPR Lookup'!$A:$A,0))</f>
        <v>P</v>
      </c>
      <c r="J39" s="117" t="str">
        <f>IF('BOOKDEPR Jun22data'!$G39=0,"NO",IF(ISNA('BOOKDEPR Jun22data'!$I39),"YES",IF(_xlfn.ISFORMULA('BOOKDEPR Jun22data'!$I39),"NO","YES")))</f>
        <v>NO</v>
      </c>
      <c r="K39"/>
    </row>
    <row r="40" spans="1:11">
      <c r="A40" s="114" t="str">
        <f t="shared" si="0"/>
        <v>4030000DEPN EXPENSE-ELECT3313000STRUCTURES AND IMPROVE-RECREATIONSG-U</v>
      </c>
      <c r="B40" s="126" t="s">
        <v>1890</v>
      </c>
      <c r="C40" s="127" t="s">
        <v>1612</v>
      </c>
      <c r="D40" s="126" t="s">
        <v>1905</v>
      </c>
      <c r="E40" s="128" t="s">
        <v>1624</v>
      </c>
      <c r="F40" s="127" t="s">
        <v>1455</v>
      </c>
      <c r="G40" s="136">
        <v>16.45476</v>
      </c>
      <c r="H40" s="113" t="str">
        <f t="shared" si="1"/>
        <v>SG-U</v>
      </c>
      <c r="I40" s="117" t="str">
        <f>INDEX('BOOKDEPR Lookup'!$I:$I,MATCH('BOOKDEPR Jun22data'!$A40,'BOOKDEPR Lookup'!$A:$A,0))</f>
        <v>P</v>
      </c>
      <c r="J40" s="117" t="str">
        <f>IF('BOOKDEPR Jun22data'!$G40=0,"NO",IF(ISNA('BOOKDEPR Jun22data'!$I40),"YES",IF(_xlfn.ISFORMULA('BOOKDEPR Jun22data'!$I40),"NO","YES")))</f>
        <v>NO</v>
      </c>
      <c r="K40"/>
    </row>
    <row r="41" spans="1:11">
      <c r="A41" s="114" t="str">
        <f t="shared" si="0"/>
        <v>4030000DEPN EXPENSE-ELECT3320000"RESERVOIRS, DAMS &amp; WATERWAYS"SG-P</v>
      </c>
      <c r="B41" s="126" t="s">
        <v>1890</v>
      </c>
      <c r="C41" s="127" t="s">
        <v>1612</v>
      </c>
      <c r="D41" s="126" t="s">
        <v>1906</v>
      </c>
      <c r="E41" s="128" t="s">
        <v>1625</v>
      </c>
      <c r="F41" s="127" t="s">
        <v>280</v>
      </c>
      <c r="G41" s="136">
        <v>111.48593</v>
      </c>
      <c r="H41" s="113" t="str">
        <f t="shared" si="1"/>
        <v>SG-P</v>
      </c>
      <c r="I41" s="117" t="str">
        <f>INDEX('BOOKDEPR Lookup'!$I:$I,MATCH('BOOKDEPR Jun22data'!$A41,'BOOKDEPR Lookup'!$A:$A,0))</f>
        <v>P</v>
      </c>
      <c r="J41" s="117" t="str">
        <f>IF('BOOKDEPR Jun22data'!$G41=0,"NO",IF(ISNA('BOOKDEPR Jun22data'!$I41),"YES",IF(_xlfn.ISFORMULA('BOOKDEPR Jun22data'!$I41),"NO","YES")))</f>
        <v>NO</v>
      </c>
      <c r="K41"/>
    </row>
    <row r="42" spans="1:11">
      <c r="A42" s="114" t="str">
        <f t="shared" si="0"/>
        <v>4030000DEPN EXPENSE-ELECT3320000"RESERVOIRS, DAMS &amp; WATERWAYS"SG-U</v>
      </c>
      <c r="B42" s="126" t="s">
        <v>1890</v>
      </c>
      <c r="C42" s="127" t="s">
        <v>1612</v>
      </c>
      <c r="D42" s="126" t="s">
        <v>1906</v>
      </c>
      <c r="E42" s="128" t="s">
        <v>1625</v>
      </c>
      <c r="F42" s="127" t="s">
        <v>1455</v>
      </c>
      <c r="G42" s="136">
        <v>1023.8244</v>
      </c>
      <c r="H42" s="113" t="str">
        <f t="shared" si="1"/>
        <v>SG-U</v>
      </c>
      <c r="I42" s="117" t="str">
        <f>INDEX('BOOKDEPR Lookup'!$I:$I,MATCH('BOOKDEPR Jun22data'!$A42,'BOOKDEPR Lookup'!$A:$A,0))</f>
        <v>P</v>
      </c>
      <c r="J42" s="117" t="str">
        <f>IF('BOOKDEPR Jun22data'!$G42=0,"NO",IF(ISNA('BOOKDEPR Jun22data'!$I42),"YES",IF(_xlfn.ISFORMULA('BOOKDEPR Jun22data'!$I42),"NO","YES")))</f>
        <v>NO</v>
      </c>
      <c r="K42"/>
    </row>
    <row r="43" spans="1:11">
      <c r="A43" s="114" t="str">
        <f t="shared" si="0"/>
        <v>4030000DEPN EXPENSE-ELECT3321000"RESERVOIRS, DAMS, &amp; WTRWYS-PRODUCTION"SG-P</v>
      </c>
      <c r="B43" s="126" t="s">
        <v>1890</v>
      </c>
      <c r="C43" s="127" t="s">
        <v>1612</v>
      </c>
      <c r="D43" s="126" t="s">
        <v>1907</v>
      </c>
      <c r="E43" s="128" t="s">
        <v>1626</v>
      </c>
      <c r="F43" s="127" t="s">
        <v>280</v>
      </c>
      <c r="G43" s="136">
        <v>14170.142809999999</v>
      </c>
      <c r="H43" s="113" t="str">
        <f t="shared" si="1"/>
        <v>SG-P</v>
      </c>
      <c r="I43" s="117" t="str">
        <f>INDEX('BOOKDEPR Lookup'!$I:$I,MATCH('BOOKDEPR Jun22data'!$A43,'BOOKDEPR Lookup'!$A:$A,0))</f>
        <v>P</v>
      </c>
      <c r="J43" s="117" t="str">
        <f>IF('BOOKDEPR Jun22data'!$G43=0,"NO",IF(ISNA('BOOKDEPR Jun22data'!$I43),"YES",IF(_xlfn.ISFORMULA('BOOKDEPR Jun22data'!$I43),"NO","YES")))</f>
        <v>NO</v>
      </c>
      <c r="K43"/>
    </row>
    <row r="44" spans="1:11">
      <c r="A44" s="114" t="str">
        <f t="shared" si="0"/>
        <v>4030000DEPN EXPENSE-ELECT3321000"RESERVOIRS, DAMS, &amp; WTRWYS-PRODUCTION"SG-U</v>
      </c>
      <c r="B44" s="126" t="s">
        <v>1890</v>
      </c>
      <c r="C44" s="127" t="s">
        <v>1612</v>
      </c>
      <c r="D44" s="126" t="s">
        <v>1907</v>
      </c>
      <c r="E44" s="128" t="s">
        <v>1626</v>
      </c>
      <c r="F44" s="127" t="s">
        <v>1455</v>
      </c>
      <c r="G44" s="136">
        <v>4053.4203499999999</v>
      </c>
      <c r="H44" s="113" t="str">
        <f t="shared" si="1"/>
        <v>SG-U</v>
      </c>
      <c r="I44" s="117" t="str">
        <f>INDEX('BOOKDEPR Lookup'!$I:$I,MATCH('BOOKDEPR Jun22data'!$A44,'BOOKDEPR Lookup'!$A:$A,0))</f>
        <v>P</v>
      </c>
      <c r="J44" s="117" t="str">
        <f>IF('BOOKDEPR Jun22data'!$G44=0,"NO",IF(ISNA('BOOKDEPR Jun22data'!$I44),"YES",IF(_xlfn.ISFORMULA('BOOKDEPR Jun22data'!$I44),"NO","YES")))</f>
        <v>NO</v>
      </c>
      <c r="K44"/>
    </row>
    <row r="45" spans="1:11">
      <c r="A45" s="114" t="str">
        <f t="shared" si="0"/>
        <v>4030000DEPN EXPENSE-ELECT3322000"RESERVOIRS, DAMS, &amp; WTRWYS-FISH/WILDLIFSG-P</v>
      </c>
      <c r="B45" s="126" t="s">
        <v>1890</v>
      </c>
      <c r="C45" s="127" t="s">
        <v>1612</v>
      </c>
      <c r="D45" s="126" t="s">
        <v>1908</v>
      </c>
      <c r="E45" s="128" t="s">
        <v>1627</v>
      </c>
      <c r="F45" s="127" t="s">
        <v>280</v>
      </c>
      <c r="G45" s="136">
        <v>7657.8509000000004</v>
      </c>
      <c r="H45" s="113" t="str">
        <f t="shared" si="1"/>
        <v>SG-P</v>
      </c>
      <c r="I45" s="117" t="str">
        <f>INDEX('BOOKDEPR Lookup'!$I:$I,MATCH('BOOKDEPR Jun22data'!$A45,'BOOKDEPR Lookup'!$A:$A,0))</f>
        <v>P</v>
      </c>
      <c r="J45" s="117" t="str">
        <f>IF('BOOKDEPR Jun22data'!$G45=0,"NO",IF(ISNA('BOOKDEPR Jun22data'!$I45),"YES",IF(_xlfn.ISFORMULA('BOOKDEPR Jun22data'!$I45),"NO","YES")))</f>
        <v>NO</v>
      </c>
      <c r="K45"/>
    </row>
    <row r="46" spans="1:11">
      <c r="A46" s="114" t="str">
        <f t="shared" si="0"/>
        <v>4030000DEPN EXPENSE-ELECT3322000"RESERVOIRS, DAMS, &amp; WTRWYS-FISH/WILDLIFSG-U</v>
      </c>
      <c r="B46" s="126" t="s">
        <v>1890</v>
      </c>
      <c r="C46" s="127" t="s">
        <v>1612</v>
      </c>
      <c r="D46" s="126" t="s">
        <v>1908</v>
      </c>
      <c r="E46" s="128" t="s">
        <v>1627</v>
      </c>
      <c r="F46" s="127" t="s">
        <v>1455</v>
      </c>
      <c r="G46" s="136">
        <v>16.882239999999999</v>
      </c>
      <c r="H46" s="113" t="str">
        <f t="shared" si="1"/>
        <v>SG-U</v>
      </c>
      <c r="I46" s="117" t="str">
        <f>INDEX('BOOKDEPR Lookup'!$I:$I,MATCH('BOOKDEPR Jun22data'!$A46,'BOOKDEPR Lookup'!$A:$A,0))</f>
        <v>P</v>
      </c>
      <c r="J46" s="117" t="str">
        <f>IF('BOOKDEPR Jun22data'!$G46=0,"NO",IF(ISNA('BOOKDEPR Jun22data'!$I46),"YES",IF(_xlfn.ISFORMULA('BOOKDEPR Jun22data'!$I46),"NO","YES")))</f>
        <v>NO</v>
      </c>
      <c r="K46"/>
    </row>
    <row r="47" spans="1:11">
      <c r="A47" s="114" t="str">
        <f t="shared" si="0"/>
        <v>4030000DEPN EXPENSE-ELECT3323000"RESERVOIRS, DAMS, &amp; WTRWYS-RECREATION"SG-P</v>
      </c>
      <c r="B47" s="126" t="s">
        <v>1890</v>
      </c>
      <c r="C47" s="127" t="s">
        <v>1612</v>
      </c>
      <c r="D47" s="126" t="s">
        <v>1909</v>
      </c>
      <c r="E47" s="128" t="s">
        <v>1628</v>
      </c>
      <c r="F47" s="127" t="s">
        <v>280</v>
      </c>
      <c r="G47" s="136">
        <v>3.57009</v>
      </c>
      <c r="H47" s="113" t="str">
        <f t="shared" si="1"/>
        <v>SG-P</v>
      </c>
      <c r="I47" s="117" t="str">
        <f>INDEX('BOOKDEPR Lookup'!$I:$I,MATCH('BOOKDEPR Jun22data'!$A47,'BOOKDEPR Lookup'!$A:$A,0))</f>
        <v>P</v>
      </c>
      <c r="J47" s="117" t="str">
        <f>IF('BOOKDEPR Jun22data'!$G47=0,"NO",IF(ISNA('BOOKDEPR Jun22data'!$I47),"YES",IF(_xlfn.ISFORMULA('BOOKDEPR Jun22data'!$I47),"NO","YES")))</f>
        <v>NO</v>
      </c>
      <c r="K47"/>
    </row>
    <row r="48" spans="1:11">
      <c r="A48" s="114" t="str">
        <f t="shared" si="0"/>
        <v>4030000DEPN EXPENSE-ELECT3323000"RESERVOIRS, DAMS, &amp; WTRWYS-RECREATION"SG-U</v>
      </c>
      <c r="B48" s="126" t="s">
        <v>1890</v>
      </c>
      <c r="C48" s="127" t="s">
        <v>1612</v>
      </c>
      <c r="D48" s="126" t="s">
        <v>1909</v>
      </c>
      <c r="E48" s="128" t="s">
        <v>1628</v>
      </c>
      <c r="F48" s="127" t="s">
        <v>1455</v>
      </c>
      <c r="G48" s="136">
        <v>0.54579</v>
      </c>
      <c r="H48" s="113" t="str">
        <f t="shared" si="1"/>
        <v>SG-U</v>
      </c>
      <c r="I48" s="117" t="str">
        <f>INDEX('BOOKDEPR Lookup'!$I:$I,MATCH('BOOKDEPR Jun22data'!$A48,'BOOKDEPR Lookup'!$A:$A,0))</f>
        <v>P</v>
      </c>
      <c r="J48" s="117" t="str">
        <f>IF('BOOKDEPR Jun22data'!$G48=0,"NO",IF(ISNA('BOOKDEPR Jun22data'!$I48),"YES",IF(_xlfn.ISFORMULA('BOOKDEPR Jun22data'!$I48),"NO","YES")))</f>
        <v>NO</v>
      </c>
      <c r="K48"/>
    </row>
    <row r="49" spans="1:11">
      <c r="A49" s="114" t="str">
        <f t="shared" si="0"/>
        <v>4030000DEPN EXPENSE-ELECT3330000"WATER WHEELS, TURB &amp; GENERATORS"SG-P</v>
      </c>
      <c r="B49" s="126" t="s">
        <v>1890</v>
      </c>
      <c r="C49" s="127" t="s">
        <v>1612</v>
      </c>
      <c r="D49" s="126" t="s">
        <v>1910</v>
      </c>
      <c r="E49" s="128" t="s">
        <v>1629</v>
      </c>
      <c r="F49" s="127" t="s">
        <v>280</v>
      </c>
      <c r="G49" s="136">
        <v>-3838.9338200000002</v>
      </c>
      <c r="H49" s="113" t="str">
        <f t="shared" si="1"/>
        <v>SG-P</v>
      </c>
      <c r="I49" s="117" t="str">
        <f>INDEX('BOOKDEPR Lookup'!$I:$I,MATCH('BOOKDEPR Jun22data'!$A49,'BOOKDEPR Lookup'!$A:$A,0))</f>
        <v>P</v>
      </c>
      <c r="J49" s="117" t="str">
        <f>IF('BOOKDEPR Jun22data'!$G49=0,"NO",IF(ISNA('BOOKDEPR Jun22data'!$I49),"YES",IF(_xlfn.ISFORMULA('BOOKDEPR Jun22data'!$I49),"NO","YES")))</f>
        <v>NO</v>
      </c>
      <c r="K49"/>
    </row>
    <row r="50" spans="1:11">
      <c r="A50" s="114" t="str">
        <f t="shared" si="0"/>
        <v>4030000DEPN EXPENSE-ELECT3330000"WATER WHEELS, TURB &amp; GENERATORS"SG-U</v>
      </c>
      <c r="B50" s="126" t="s">
        <v>1890</v>
      </c>
      <c r="C50" s="127" t="s">
        <v>1612</v>
      </c>
      <c r="D50" s="126" t="s">
        <v>1910</v>
      </c>
      <c r="E50" s="128" t="s">
        <v>1629</v>
      </c>
      <c r="F50" s="127" t="s">
        <v>1455</v>
      </c>
      <c r="G50" s="136">
        <v>1946.90797</v>
      </c>
      <c r="H50" s="113" t="str">
        <f t="shared" si="1"/>
        <v>SG-U</v>
      </c>
      <c r="I50" s="117" t="str">
        <f>INDEX('BOOKDEPR Lookup'!$I:$I,MATCH('BOOKDEPR Jun22data'!$A50,'BOOKDEPR Lookup'!$A:$A,0))</f>
        <v>P</v>
      </c>
      <c r="J50" s="117" t="str">
        <f>IF('BOOKDEPR Jun22data'!$G50=0,"NO",IF(ISNA('BOOKDEPR Jun22data'!$I50),"YES",IF(_xlfn.ISFORMULA('BOOKDEPR Jun22data'!$I50),"NO","YES")))</f>
        <v>NO</v>
      </c>
      <c r="K50"/>
    </row>
    <row r="51" spans="1:11">
      <c r="A51" s="114" t="str">
        <f t="shared" si="0"/>
        <v>4030000DEPN EXPENSE-ELECT3340000ACCESSORY ELECTRIC EQUIPMENTSG-P</v>
      </c>
      <c r="B51" s="126" t="s">
        <v>1890</v>
      </c>
      <c r="C51" s="127" t="s">
        <v>1612</v>
      </c>
      <c r="D51" s="126" t="s">
        <v>1911</v>
      </c>
      <c r="E51" s="128" t="s">
        <v>1615</v>
      </c>
      <c r="F51" s="127" t="s">
        <v>280</v>
      </c>
      <c r="G51" s="136">
        <v>-5945.2917399999997</v>
      </c>
      <c r="H51" s="113" t="str">
        <f t="shared" si="1"/>
        <v>SG-P</v>
      </c>
      <c r="I51" s="117" t="str">
        <f>INDEX('BOOKDEPR Lookup'!$I:$I,MATCH('BOOKDEPR Jun22data'!$A51,'BOOKDEPR Lookup'!$A:$A,0))</f>
        <v>P</v>
      </c>
      <c r="J51" s="117" t="str">
        <f>IF('BOOKDEPR Jun22data'!$G51=0,"NO",IF(ISNA('BOOKDEPR Jun22data'!$I51),"YES",IF(_xlfn.ISFORMULA('BOOKDEPR Jun22data'!$I51),"NO","YES")))</f>
        <v>NO</v>
      </c>
      <c r="K51"/>
    </row>
    <row r="52" spans="1:11">
      <c r="A52" s="114" t="str">
        <f t="shared" si="0"/>
        <v>4030000DEPN EXPENSE-ELECT3340000ACCESSORY ELECTRIC EQUIPMENTSG-U</v>
      </c>
      <c r="B52" s="126" t="s">
        <v>1890</v>
      </c>
      <c r="C52" s="127" t="s">
        <v>1612</v>
      </c>
      <c r="D52" s="126" t="s">
        <v>1911</v>
      </c>
      <c r="E52" s="128" t="s">
        <v>1615</v>
      </c>
      <c r="F52" s="127" t="s">
        <v>1455</v>
      </c>
      <c r="G52" s="136">
        <v>588.77632000000006</v>
      </c>
      <c r="H52" s="113" t="str">
        <f t="shared" si="1"/>
        <v>SG-U</v>
      </c>
      <c r="I52" s="117" t="str">
        <f>INDEX('BOOKDEPR Lookup'!$I:$I,MATCH('BOOKDEPR Jun22data'!$A52,'BOOKDEPR Lookup'!$A:$A,0))</f>
        <v>P</v>
      </c>
      <c r="J52" s="117" t="str">
        <f>IF('BOOKDEPR Jun22data'!$G52=0,"NO",IF(ISNA('BOOKDEPR Jun22data'!$I52),"YES",IF(_xlfn.ISFORMULA('BOOKDEPR Jun22data'!$I52),"NO","YES")))</f>
        <v>NO</v>
      </c>
      <c r="K52"/>
    </row>
    <row r="53" spans="1:11">
      <c r="A53" s="114" t="str">
        <f t="shared" si="0"/>
        <v>4030000DEPN EXPENSE-ELECT3347000ACCESSORY ELECT EQUIP - SUPV &amp; ALARMSG-P</v>
      </c>
      <c r="B53" s="126" t="s">
        <v>1890</v>
      </c>
      <c r="C53" s="127" t="s">
        <v>1612</v>
      </c>
      <c r="D53" s="126" t="s">
        <v>1912</v>
      </c>
      <c r="E53" s="128" t="s">
        <v>1630</v>
      </c>
      <c r="F53" s="127" t="s">
        <v>280</v>
      </c>
      <c r="G53" s="136">
        <v>-890.71391000000006</v>
      </c>
      <c r="H53" s="113" t="str">
        <f t="shared" si="1"/>
        <v>SG-P</v>
      </c>
      <c r="I53" s="117" t="str">
        <f>INDEX('BOOKDEPR Lookup'!$I:$I,MATCH('BOOKDEPR Jun22data'!$A53,'BOOKDEPR Lookup'!$A:$A,0))</f>
        <v>P</v>
      </c>
      <c r="J53" s="117" t="str">
        <f>IF('BOOKDEPR Jun22data'!$G53=0,"NO",IF(ISNA('BOOKDEPR Jun22data'!$I53),"YES",IF(_xlfn.ISFORMULA('BOOKDEPR Jun22data'!$I53),"NO","YES")))</f>
        <v>NO</v>
      </c>
      <c r="K53"/>
    </row>
    <row r="54" spans="1:11">
      <c r="A54" s="114" t="str">
        <f t="shared" si="0"/>
        <v>4030000DEPN EXPENSE-ELECT3347000ACCESSORY ELECT EQUIP - SUPV &amp; ALARMSG-U</v>
      </c>
      <c r="B54" s="126" t="s">
        <v>1890</v>
      </c>
      <c r="C54" s="127" t="s">
        <v>1612</v>
      </c>
      <c r="D54" s="126" t="s">
        <v>1912</v>
      </c>
      <c r="E54" s="128" t="s">
        <v>1630</v>
      </c>
      <c r="F54" s="127" t="s">
        <v>1455</v>
      </c>
      <c r="G54" s="136">
        <v>5.1849499999999997</v>
      </c>
      <c r="H54" s="113" t="str">
        <f t="shared" si="1"/>
        <v>SG-U</v>
      </c>
      <c r="I54" s="117" t="str">
        <f>INDEX('BOOKDEPR Lookup'!$I:$I,MATCH('BOOKDEPR Jun22data'!$A54,'BOOKDEPR Lookup'!$A:$A,0))</f>
        <v>P</v>
      </c>
      <c r="J54" s="117" t="str">
        <f>IF('BOOKDEPR Jun22data'!$G54=0,"NO",IF(ISNA('BOOKDEPR Jun22data'!$I54),"YES",IF(_xlfn.ISFORMULA('BOOKDEPR Jun22data'!$I54),"NO","YES")))</f>
        <v>NO</v>
      </c>
      <c r="K54"/>
    </row>
    <row r="55" spans="1:11">
      <c r="A55" s="114" t="str">
        <f t="shared" si="0"/>
        <v>4030000DEPN EXPENSE-ELECT3350000MISC POWER PLANT EQUIPSG-U</v>
      </c>
      <c r="B55" s="126" t="s">
        <v>1890</v>
      </c>
      <c r="C55" s="127" t="s">
        <v>1612</v>
      </c>
      <c r="D55" s="126" t="s">
        <v>1913</v>
      </c>
      <c r="E55" s="128" t="s">
        <v>1631</v>
      </c>
      <c r="F55" s="127" t="s">
        <v>1455</v>
      </c>
      <c r="G55" s="136">
        <v>4.9108499999999999</v>
      </c>
      <c r="H55" s="113" t="str">
        <f t="shared" si="1"/>
        <v>SG-U</v>
      </c>
      <c r="I55" s="117" t="str">
        <f>INDEX('BOOKDEPR Lookup'!$I:$I,MATCH('BOOKDEPR Jun22data'!$A55,'BOOKDEPR Lookup'!$A:$A,0))</f>
        <v>P</v>
      </c>
      <c r="J55" s="117" t="str">
        <f>IF('BOOKDEPR Jun22data'!$G55=0,"NO",IF(ISNA('BOOKDEPR Jun22data'!$I55),"YES",IF(_xlfn.ISFORMULA('BOOKDEPR Jun22data'!$I55),"NO","YES")))</f>
        <v>NO</v>
      </c>
      <c r="K55"/>
    </row>
    <row r="56" spans="1:11">
      <c r="A56" s="114" t="str">
        <f t="shared" si="0"/>
        <v>4030000DEPN EXPENSE-ELECT3351000MISC POWER PLANT EQUIP - PRODUCTIONSG-P</v>
      </c>
      <c r="B56" s="126" t="s">
        <v>1890</v>
      </c>
      <c r="C56" s="127" t="s">
        <v>1612</v>
      </c>
      <c r="D56" s="126" t="s">
        <v>1914</v>
      </c>
      <c r="E56" s="128" t="s">
        <v>1632</v>
      </c>
      <c r="F56" s="127" t="s">
        <v>280</v>
      </c>
      <c r="G56" s="136">
        <v>13.07358</v>
      </c>
      <c r="H56" s="113" t="str">
        <f t="shared" si="1"/>
        <v>SG-P</v>
      </c>
      <c r="I56" s="117" t="str">
        <f>INDEX('BOOKDEPR Lookup'!$I:$I,MATCH('BOOKDEPR Jun22data'!$A56,'BOOKDEPR Lookup'!$A:$A,0))</f>
        <v>P</v>
      </c>
      <c r="J56" s="117" t="str">
        <f>IF('BOOKDEPR Jun22data'!$G56=0,"NO",IF(ISNA('BOOKDEPR Jun22data'!$I56),"YES",IF(_xlfn.ISFORMULA('BOOKDEPR Jun22data'!$I56),"NO","YES")))</f>
        <v>NO</v>
      </c>
      <c r="K56"/>
    </row>
    <row r="57" spans="1:11">
      <c r="A57" s="114" t="str">
        <f t="shared" si="0"/>
        <v>4030000DEPN EXPENSE-ELECT3360000"ROADS, RAILROADS &amp; BRIDGES"SG-P</v>
      </c>
      <c r="B57" s="126" t="s">
        <v>1890</v>
      </c>
      <c r="C57" s="127" t="s">
        <v>1612</v>
      </c>
      <c r="D57" s="126" t="s">
        <v>1915</v>
      </c>
      <c r="E57" s="128" t="s">
        <v>1634</v>
      </c>
      <c r="F57" s="127" t="s">
        <v>280</v>
      </c>
      <c r="G57" s="136">
        <v>538.56282999999996</v>
      </c>
      <c r="H57" s="113" t="str">
        <f t="shared" si="1"/>
        <v>SG-P</v>
      </c>
      <c r="I57" s="117" t="str">
        <f>INDEX('BOOKDEPR Lookup'!$I:$I,MATCH('BOOKDEPR Jun22data'!$A57,'BOOKDEPR Lookup'!$A:$A,0))</f>
        <v>P</v>
      </c>
      <c r="J57" s="117" t="str">
        <f>IF('BOOKDEPR Jun22data'!$G57=0,"NO",IF(ISNA('BOOKDEPR Jun22data'!$I57),"YES",IF(_xlfn.ISFORMULA('BOOKDEPR Jun22data'!$I57),"NO","YES")))</f>
        <v>NO</v>
      </c>
      <c r="K57"/>
    </row>
    <row r="58" spans="1:11">
      <c r="A58" s="114" t="str">
        <f t="shared" si="0"/>
        <v>4030000DEPN EXPENSE-ELECT3360000"ROADS, RAILROADS &amp; BRIDGES"SG-U</v>
      </c>
      <c r="B58" s="126" t="s">
        <v>1890</v>
      </c>
      <c r="C58" s="127" t="s">
        <v>1612</v>
      </c>
      <c r="D58" s="126" t="s">
        <v>1915</v>
      </c>
      <c r="E58" s="128" t="s">
        <v>1634</v>
      </c>
      <c r="F58" s="127" t="s">
        <v>1455</v>
      </c>
      <c r="G58" s="136">
        <v>118.99159</v>
      </c>
      <c r="H58" s="113" t="str">
        <f t="shared" si="1"/>
        <v>SG-U</v>
      </c>
      <c r="I58" s="117" t="str">
        <f>INDEX('BOOKDEPR Lookup'!$I:$I,MATCH('BOOKDEPR Jun22data'!$A58,'BOOKDEPR Lookup'!$A:$A,0))</f>
        <v>P</v>
      </c>
      <c r="J58" s="117" t="str">
        <f>IF('BOOKDEPR Jun22data'!$G58=0,"NO",IF(ISNA('BOOKDEPR Jun22data'!$I58),"YES",IF(_xlfn.ISFORMULA('BOOKDEPR Jun22data'!$I58),"NO","YES")))</f>
        <v>NO</v>
      </c>
      <c r="K58"/>
    </row>
    <row r="59" spans="1:11">
      <c r="A59" s="114" t="str">
        <f t="shared" si="0"/>
        <v>4030000DEPN EXPENSE-ELECT3402000LAND RIGHTSSG-W</v>
      </c>
      <c r="B59" s="126" t="s">
        <v>1890</v>
      </c>
      <c r="C59" s="127" t="s">
        <v>1612</v>
      </c>
      <c r="D59" s="126" t="s">
        <v>1916</v>
      </c>
      <c r="E59" s="128" t="s">
        <v>1514</v>
      </c>
      <c r="F59" s="127" t="s">
        <v>3109</v>
      </c>
      <c r="G59" s="136">
        <v>183.79697999999999</v>
      </c>
      <c r="H59" s="113" t="str">
        <f t="shared" si="1"/>
        <v>SG-W</v>
      </c>
      <c r="I59" s="117" t="str">
        <f>INDEX('BOOKDEPR Lookup'!$I:$I,MATCH('BOOKDEPR Jun22data'!$A59,'BOOKDEPR Lookup'!$A:$A,0))</f>
        <v>P</v>
      </c>
      <c r="J59" s="117" t="str">
        <f>IF('BOOKDEPR Jun22data'!$G59=0,"NO",IF(ISNA('BOOKDEPR Jun22data'!$I59),"YES",IF(_xlfn.ISFORMULA('BOOKDEPR Jun22data'!$I59),"NO","YES")))</f>
        <v>NO</v>
      </c>
      <c r="K59"/>
    </row>
    <row r="60" spans="1:11">
      <c r="A60" s="114" t="str">
        <f t="shared" si="0"/>
        <v>4030000DEPN EXPENSE-ELECT3410000STRUCTURES &amp; IMPROVEMENTSSG</v>
      </c>
      <c r="B60" s="126" t="s">
        <v>1890</v>
      </c>
      <c r="C60" s="127" t="s">
        <v>1612</v>
      </c>
      <c r="D60" s="126" t="s">
        <v>1917</v>
      </c>
      <c r="E60" s="128" t="s">
        <v>1635</v>
      </c>
      <c r="F60" s="127" t="s">
        <v>3106</v>
      </c>
      <c r="G60" s="136">
        <v>3746.8702699999999</v>
      </c>
      <c r="H60" s="113" t="str">
        <f t="shared" si="1"/>
        <v>SG</v>
      </c>
      <c r="I60" s="117" t="str">
        <f>INDEX('BOOKDEPR Lookup'!$I:$I,MATCH('BOOKDEPR Jun22data'!$A60,'BOOKDEPR Lookup'!$A:$A,0))</f>
        <v>P</v>
      </c>
      <c r="J60" s="117" t="str">
        <f>IF('BOOKDEPR Jun22data'!$G60=0,"NO",IF(ISNA('BOOKDEPR Jun22data'!$I60),"YES",IF(_xlfn.ISFORMULA('BOOKDEPR Jun22data'!$I60),"NO","YES")))</f>
        <v>NO</v>
      </c>
      <c r="K60"/>
    </row>
    <row r="61" spans="1:11">
      <c r="A61" s="114" t="str">
        <f t="shared" si="0"/>
        <v>4030000DEPN EXPENSE-ELECT3410000STRUCTURES &amp; IMPROVEMENTSSG</v>
      </c>
      <c r="B61" s="126" t="s">
        <v>1890</v>
      </c>
      <c r="C61" s="127" t="s">
        <v>1612</v>
      </c>
      <c r="D61" s="126" t="s">
        <v>1917</v>
      </c>
      <c r="E61" s="128" t="s">
        <v>1635</v>
      </c>
      <c r="F61" s="127" t="s">
        <v>3108</v>
      </c>
      <c r="G61" s="136">
        <v>1081.81276</v>
      </c>
      <c r="H61" s="113" t="str">
        <f t="shared" si="1"/>
        <v>SG</v>
      </c>
      <c r="I61" s="117" t="str">
        <f>INDEX('BOOKDEPR Lookup'!$I:$I,MATCH('BOOKDEPR Jun22data'!$A61,'BOOKDEPR Lookup'!$A:$A,0))</f>
        <v>P</v>
      </c>
      <c r="J61" s="117" t="str">
        <f>IF('BOOKDEPR Jun22data'!$G61=0,"NO",IF(ISNA('BOOKDEPR Jun22data'!$I61),"YES",IF(_xlfn.ISFORMULA('BOOKDEPR Jun22data'!$I61),"NO","YES")))</f>
        <v>NO</v>
      </c>
      <c r="K61"/>
    </row>
    <row r="62" spans="1:11">
      <c r="A62" s="114" t="str">
        <f t="shared" si="0"/>
        <v>4030000DEPN EXPENSE-ELECT3410000STRUCTURES &amp; IMPROVEMENTSSITUS</v>
      </c>
      <c r="B62" s="126" t="s">
        <v>1890</v>
      </c>
      <c r="C62" s="127" t="s">
        <v>1612</v>
      </c>
      <c r="D62" s="126" t="s">
        <v>1917</v>
      </c>
      <c r="E62" s="128" t="s">
        <v>1635</v>
      </c>
      <c r="F62" s="127" t="s">
        <v>343</v>
      </c>
      <c r="G62" s="136">
        <v>0.15153</v>
      </c>
      <c r="H62" s="113" t="str">
        <f t="shared" si="1"/>
        <v>SITUS</v>
      </c>
      <c r="I62" s="117" t="str">
        <f>INDEX('BOOKDEPR Lookup'!$I:$I,MATCH('BOOKDEPR Jun22data'!$A62,'BOOKDEPR Lookup'!$A:$A,0))</f>
        <v>P</v>
      </c>
      <c r="J62" s="117" t="str">
        <f>IF('BOOKDEPR Jun22data'!$G62=0,"NO",IF(ISNA('BOOKDEPR Jun22data'!$I62),"YES",IF(_xlfn.ISFORMULA('BOOKDEPR Jun22data'!$I62),"NO","YES")))</f>
        <v>NO</v>
      </c>
      <c r="K62"/>
    </row>
    <row r="63" spans="1:11">
      <c r="A63" s="114" t="str">
        <f t="shared" si="0"/>
        <v>4030000DEPN EXPENSE-ELECT3410000STRUCTURES &amp; IMPROVEMENTSSG-W</v>
      </c>
      <c r="B63" s="126" t="s">
        <v>1890</v>
      </c>
      <c r="C63" s="127" t="s">
        <v>1612</v>
      </c>
      <c r="D63" s="126" t="s">
        <v>1917</v>
      </c>
      <c r="E63" s="128" t="s">
        <v>1635</v>
      </c>
      <c r="F63" s="127" t="s">
        <v>3109</v>
      </c>
      <c r="G63" s="136">
        <v>2768.9597899999999</v>
      </c>
      <c r="H63" s="113" t="str">
        <f t="shared" si="1"/>
        <v>SG-W</v>
      </c>
      <c r="I63" s="117" t="str">
        <f>INDEX('BOOKDEPR Lookup'!$I:$I,MATCH('BOOKDEPR Jun22data'!$A63,'BOOKDEPR Lookup'!$A:$A,0))</f>
        <v>P</v>
      </c>
      <c r="J63" s="117" t="str">
        <f>IF('BOOKDEPR Jun22data'!$G63=0,"NO",IF(ISNA('BOOKDEPR Jun22data'!$I63),"YES",IF(_xlfn.ISFORMULA('BOOKDEPR Jun22data'!$I63),"NO","YES")))</f>
        <v>NO</v>
      </c>
      <c r="K63"/>
    </row>
    <row r="64" spans="1:11">
      <c r="A64" s="114" t="str">
        <f t="shared" si="0"/>
        <v>4030000DEPN EXPENSE-ELECT3410000STRUCTURES &amp; IMPROVEMENTSSITUS</v>
      </c>
      <c r="B64" s="126" t="s">
        <v>1890</v>
      </c>
      <c r="C64" s="127" t="s">
        <v>1612</v>
      </c>
      <c r="D64" s="126" t="s">
        <v>1917</v>
      </c>
      <c r="E64" s="128" t="s">
        <v>1635</v>
      </c>
      <c r="F64" s="127" t="s">
        <v>370</v>
      </c>
      <c r="G64" s="136">
        <v>2.9037700000000002</v>
      </c>
      <c r="H64" s="113" t="str">
        <f t="shared" si="1"/>
        <v>SITUS</v>
      </c>
      <c r="I64" s="117" t="str">
        <f>INDEX('BOOKDEPR Lookup'!$I:$I,MATCH('BOOKDEPR Jun22data'!$A64,'BOOKDEPR Lookup'!$A:$A,0))</f>
        <v>P</v>
      </c>
      <c r="J64" s="117" t="str">
        <f>IF('BOOKDEPR Jun22data'!$G64=0,"NO",IF(ISNA('BOOKDEPR Jun22data'!$I64),"YES",IF(_xlfn.ISFORMULA('BOOKDEPR Jun22data'!$I64),"NO","YES")))</f>
        <v>NO</v>
      </c>
      <c r="K64"/>
    </row>
    <row r="65" spans="1:11">
      <c r="A65" s="114" t="str">
        <f t="shared" si="0"/>
        <v>4030000DEPN EXPENSE-ELECT3420000"FUEL HOLDERS,PRODUCERS, ACCES"SG</v>
      </c>
      <c r="B65" s="126" t="s">
        <v>1890</v>
      </c>
      <c r="C65" s="127" t="s">
        <v>1612</v>
      </c>
      <c r="D65" s="126" t="s">
        <v>1918</v>
      </c>
      <c r="E65" s="128" t="s">
        <v>1636</v>
      </c>
      <c r="F65" s="127" t="s">
        <v>3106</v>
      </c>
      <c r="G65" s="136">
        <v>483.41091999999998</v>
      </c>
      <c r="H65" s="113" t="str">
        <f t="shared" si="1"/>
        <v>SG</v>
      </c>
      <c r="I65" s="117" t="str">
        <f>INDEX('BOOKDEPR Lookup'!$I:$I,MATCH('BOOKDEPR Jun22data'!$A65,'BOOKDEPR Lookup'!$A:$A,0))</f>
        <v>P</v>
      </c>
      <c r="J65" s="117" t="str">
        <f>IF('BOOKDEPR Jun22data'!$G65=0,"NO",IF(ISNA('BOOKDEPR Jun22data'!$I65),"YES",IF(_xlfn.ISFORMULA('BOOKDEPR Jun22data'!$I65),"NO","YES")))</f>
        <v>NO</v>
      </c>
      <c r="K65"/>
    </row>
    <row r="66" spans="1:11">
      <c r="A66" s="114" t="str">
        <f t="shared" si="0"/>
        <v>4030000DEPN EXPENSE-ELECT3420000"FUEL HOLDERS,PRODUCERS, ACCES"SG</v>
      </c>
      <c r="B66" s="126" t="s">
        <v>1890</v>
      </c>
      <c r="C66" s="127" t="s">
        <v>1612</v>
      </c>
      <c r="D66" s="126" t="s">
        <v>1918</v>
      </c>
      <c r="E66" s="128" t="s">
        <v>1636</v>
      </c>
      <c r="F66" s="127" t="s">
        <v>3108</v>
      </c>
      <c r="G66" s="136">
        <v>56.068919999999999</v>
      </c>
      <c r="H66" s="113" t="str">
        <f t="shared" si="1"/>
        <v>SG</v>
      </c>
      <c r="I66" s="117" t="str">
        <f>INDEX('BOOKDEPR Lookup'!$I:$I,MATCH('BOOKDEPR Jun22data'!$A66,'BOOKDEPR Lookup'!$A:$A,0))</f>
        <v>P</v>
      </c>
      <c r="J66" s="117" t="str">
        <f>IF('BOOKDEPR Jun22data'!$G66=0,"NO",IF(ISNA('BOOKDEPR Jun22data'!$I66),"YES",IF(_xlfn.ISFORMULA('BOOKDEPR Jun22data'!$I66),"NO","YES")))</f>
        <v>NO</v>
      </c>
      <c r="K66"/>
    </row>
    <row r="67" spans="1:11">
      <c r="A67" s="114" t="str">
        <f t="shared" ref="A67:A130" si="2">CONCATENATE($B67,$C67,$D67,$E67,$H67)</f>
        <v>4030000DEPN EXPENSE-ELECT3430000PRIME MOVERSSG</v>
      </c>
      <c r="B67" s="126" t="s">
        <v>1890</v>
      </c>
      <c r="C67" s="127" t="s">
        <v>1612</v>
      </c>
      <c r="D67" s="126" t="s">
        <v>1919</v>
      </c>
      <c r="E67" s="128" t="s">
        <v>1637</v>
      </c>
      <c r="F67" s="127" t="s">
        <v>3106</v>
      </c>
      <c r="G67" s="136">
        <v>32856.472659999999</v>
      </c>
      <c r="H67" s="113" t="str">
        <f t="shared" ref="H67:H130" si="3">IF(OR(F67="IDU",F67="OR",F67="UT",F67="WYU",F67="WYP",F67="CA",F67="WA"),"SITUS",IF(OR(F67="CAEE",F67="JBE"),"SE",IF(OR(F67="CAGE",F67="CAGW",F67="JBG"),"SG",F67)))</f>
        <v>SG</v>
      </c>
      <c r="I67" s="117" t="str">
        <f>INDEX('BOOKDEPR Lookup'!$I:$I,MATCH('BOOKDEPR Jun22data'!$A67,'BOOKDEPR Lookup'!$A:$A,0))</f>
        <v>P</v>
      </c>
      <c r="J67" s="117" t="str">
        <f>IF('BOOKDEPR Jun22data'!$G67=0,"NO",IF(ISNA('BOOKDEPR Jun22data'!$I67),"YES",IF(_xlfn.ISFORMULA('BOOKDEPR Jun22data'!$I67),"NO","YES")))</f>
        <v>NO</v>
      </c>
      <c r="K67"/>
    </row>
    <row r="68" spans="1:11">
      <c r="A68" s="114" t="str">
        <f t="shared" si="2"/>
        <v>4030000DEPN EXPENSE-ELECT3430000PRIME MOVERSSG</v>
      </c>
      <c r="B68" s="126" t="s">
        <v>1890</v>
      </c>
      <c r="C68" s="127" t="s">
        <v>1612</v>
      </c>
      <c r="D68" s="126" t="s">
        <v>1919</v>
      </c>
      <c r="E68" s="128" t="s">
        <v>1637</v>
      </c>
      <c r="F68" s="127" t="s">
        <v>3108</v>
      </c>
      <c r="G68" s="136">
        <v>13792.567489999999</v>
      </c>
      <c r="H68" s="113" t="str">
        <f t="shared" si="3"/>
        <v>SG</v>
      </c>
      <c r="I68" s="117" t="str">
        <f>INDEX('BOOKDEPR Lookup'!$I:$I,MATCH('BOOKDEPR Jun22data'!$A68,'BOOKDEPR Lookup'!$A:$A,0))</f>
        <v>P</v>
      </c>
      <c r="J68" s="117" t="str">
        <f>IF('BOOKDEPR Jun22data'!$G68=0,"NO",IF(ISNA('BOOKDEPR Jun22data'!$I68),"YES",IF(_xlfn.ISFORMULA('BOOKDEPR Jun22data'!$I68),"NO","YES")))</f>
        <v>NO</v>
      </c>
      <c r="K68"/>
    </row>
    <row r="69" spans="1:11">
      <c r="A69" s="114" t="str">
        <f t="shared" si="2"/>
        <v>4030000DEPN EXPENSE-ELECT3430000PRIME MOVERSSG-W</v>
      </c>
      <c r="B69" s="126" t="s">
        <v>1890</v>
      </c>
      <c r="C69" s="127" t="s">
        <v>1612</v>
      </c>
      <c r="D69" s="126" t="s">
        <v>1919</v>
      </c>
      <c r="E69" s="128" t="s">
        <v>1637</v>
      </c>
      <c r="F69" s="127" t="s">
        <v>3109</v>
      </c>
      <c r="G69" s="136">
        <v>123805.99467</v>
      </c>
      <c r="H69" s="113" t="str">
        <f t="shared" si="3"/>
        <v>SG-W</v>
      </c>
      <c r="I69" s="117" t="str">
        <f>INDEX('BOOKDEPR Lookup'!$I:$I,MATCH('BOOKDEPR Jun22data'!$A69,'BOOKDEPR Lookup'!$A:$A,0))</f>
        <v>P</v>
      </c>
      <c r="J69" s="117" t="str">
        <f>IF('BOOKDEPR Jun22data'!$G69=0,"NO",IF(ISNA('BOOKDEPR Jun22data'!$I69),"YES",IF(_xlfn.ISFORMULA('BOOKDEPR Jun22data'!$I69),"NO","YES")))</f>
        <v>NO</v>
      </c>
      <c r="K69"/>
    </row>
    <row r="70" spans="1:11">
      <c r="A70" s="114" t="str">
        <f t="shared" si="2"/>
        <v>4030000DEPN EXPENSE-ELECT3440000GENERATORSSG</v>
      </c>
      <c r="B70" s="126" t="s">
        <v>1890</v>
      </c>
      <c r="C70" s="127" t="s">
        <v>1612</v>
      </c>
      <c r="D70" s="126" t="s">
        <v>1920</v>
      </c>
      <c r="E70" s="128" t="s">
        <v>1638</v>
      </c>
      <c r="F70" s="127" t="s">
        <v>3106</v>
      </c>
      <c r="G70" s="136">
        <v>9715.3672800000004</v>
      </c>
      <c r="H70" s="113" t="str">
        <f t="shared" si="3"/>
        <v>SG</v>
      </c>
      <c r="I70" s="117" t="str">
        <f>INDEX('BOOKDEPR Lookup'!$I:$I,MATCH('BOOKDEPR Jun22data'!$A70,'BOOKDEPR Lookup'!$A:$A,0))</f>
        <v>P</v>
      </c>
      <c r="J70" s="117" t="str">
        <f>IF('BOOKDEPR Jun22data'!$G70=0,"NO",IF(ISNA('BOOKDEPR Jun22data'!$I70),"YES",IF(_xlfn.ISFORMULA('BOOKDEPR Jun22data'!$I70),"NO","YES")))</f>
        <v>NO</v>
      </c>
      <c r="K70"/>
    </row>
    <row r="71" spans="1:11">
      <c r="A71" s="114" t="str">
        <f t="shared" si="2"/>
        <v>4030000DEPN EXPENSE-ELECT3440000GENERATORSSG</v>
      </c>
      <c r="B71" s="126" t="s">
        <v>1890</v>
      </c>
      <c r="C71" s="127" t="s">
        <v>1612</v>
      </c>
      <c r="D71" s="126" t="s">
        <v>1920</v>
      </c>
      <c r="E71" s="128" t="s">
        <v>1638</v>
      </c>
      <c r="F71" s="127" t="s">
        <v>3108</v>
      </c>
      <c r="G71" s="136">
        <v>3566.2966099999999</v>
      </c>
      <c r="H71" s="113" t="str">
        <f t="shared" si="3"/>
        <v>SG</v>
      </c>
      <c r="I71" s="117" t="str">
        <f>INDEX('BOOKDEPR Lookup'!$I:$I,MATCH('BOOKDEPR Jun22data'!$A71,'BOOKDEPR Lookup'!$A:$A,0))</f>
        <v>P</v>
      </c>
      <c r="J71" s="117" t="str">
        <f>IF('BOOKDEPR Jun22data'!$G71=0,"NO",IF(ISNA('BOOKDEPR Jun22data'!$I71),"YES",IF(_xlfn.ISFORMULA('BOOKDEPR Jun22data'!$I71),"NO","YES")))</f>
        <v>NO</v>
      </c>
      <c r="K71"/>
    </row>
    <row r="72" spans="1:11">
      <c r="A72" s="114" t="str">
        <f t="shared" si="2"/>
        <v>4030000DEPN EXPENSE-ELECT3440000GENERATORSSG</v>
      </c>
      <c r="B72" s="126" t="s">
        <v>1890</v>
      </c>
      <c r="C72" s="127" t="s">
        <v>1612</v>
      </c>
      <c r="D72" s="126" t="s">
        <v>1920</v>
      </c>
      <c r="E72" s="128" t="s">
        <v>1638</v>
      </c>
      <c r="F72" s="127" t="s">
        <v>87</v>
      </c>
      <c r="G72" s="136">
        <v>0.22794</v>
      </c>
      <c r="H72" s="113" t="str">
        <f t="shared" si="3"/>
        <v>SG</v>
      </c>
      <c r="I72" s="117" t="str">
        <f>INDEX('BOOKDEPR Lookup'!$I:$I,MATCH('BOOKDEPR Jun22data'!$A72,'BOOKDEPR Lookup'!$A:$A,0))</f>
        <v>P</v>
      </c>
      <c r="J72" s="117" t="str">
        <f>IF('BOOKDEPR Jun22data'!$G72=0,"NO",IF(ISNA('BOOKDEPR Jun22data'!$I72),"YES",IF(_xlfn.ISFORMULA('BOOKDEPR Jun22data'!$I72),"NO","YES")))</f>
        <v>NO</v>
      </c>
      <c r="K72"/>
    </row>
    <row r="73" spans="1:11">
      <c r="A73" s="114" t="str">
        <f t="shared" si="2"/>
        <v>4030000DEPN EXPENSE-ELECT3440000GENERATORSSG-W</v>
      </c>
      <c r="B73" s="126" t="s">
        <v>1890</v>
      </c>
      <c r="C73" s="127" t="s">
        <v>1612</v>
      </c>
      <c r="D73" s="126" t="s">
        <v>1920</v>
      </c>
      <c r="E73" s="128" t="s">
        <v>1638</v>
      </c>
      <c r="F73" s="127" t="s">
        <v>3109</v>
      </c>
      <c r="G73" s="136">
        <v>9122.4305999999997</v>
      </c>
      <c r="H73" s="113" t="str">
        <f t="shared" si="3"/>
        <v>SG-W</v>
      </c>
      <c r="I73" s="117" t="str">
        <f>INDEX('BOOKDEPR Lookup'!$I:$I,MATCH('BOOKDEPR Jun22data'!$A73,'BOOKDEPR Lookup'!$A:$A,0))</f>
        <v>P</v>
      </c>
      <c r="J73" s="117" t="str">
        <f>IF('BOOKDEPR Jun22data'!$G73=0,"NO",IF(ISNA('BOOKDEPR Jun22data'!$I73),"YES",IF(_xlfn.ISFORMULA('BOOKDEPR Jun22data'!$I73),"NO","YES")))</f>
        <v>NO</v>
      </c>
      <c r="K73"/>
    </row>
    <row r="74" spans="1:11">
      <c r="A74" s="114" t="str">
        <f t="shared" si="2"/>
        <v>4030000DEPN EXPENSE-ELECT3440000GENERATORSSITUS</v>
      </c>
      <c r="B74" s="126" t="s">
        <v>1890</v>
      </c>
      <c r="C74" s="127" t="s">
        <v>1612</v>
      </c>
      <c r="D74" s="126" t="s">
        <v>1920</v>
      </c>
      <c r="E74" s="128" t="s">
        <v>1638</v>
      </c>
      <c r="F74" s="127" t="s">
        <v>370</v>
      </c>
      <c r="G74" s="136">
        <v>13.1493</v>
      </c>
      <c r="H74" s="113" t="str">
        <f t="shared" si="3"/>
        <v>SITUS</v>
      </c>
      <c r="I74" s="117" t="str">
        <f>INDEX('BOOKDEPR Lookup'!$I:$I,MATCH('BOOKDEPR Jun22data'!$A74,'BOOKDEPR Lookup'!$A:$A,0))</f>
        <v>P</v>
      </c>
      <c r="J74" s="117" t="str">
        <f>IF('BOOKDEPR Jun22data'!$G74=0,"NO",IF(ISNA('BOOKDEPR Jun22data'!$I74),"YES",IF(_xlfn.ISFORMULA('BOOKDEPR Jun22data'!$I74),"NO","YES")))</f>
        <v>NO</v>
      </c>
      <c r="K74"/>
    </row>
    <row r="75" spans="1:11">
      <c r="A75" s="114" t="str">
        <f t="shared" si="2"/>
        <v>4030000DEPN EXPENSE-ELECT3450000ACCESSORY ELECTRIC EQUIPMENTSG</v>
      </c>
      <c r="B75" s="126" t="s">
        <v>1890</v>
      </c>
      <c r="C75" s="127" t="s">
        <v>1612</v>
      </c>
      <c r="D75" s="126" t="s">
        <v>1921</v>
      </c>
      <c r="E75" s="128" t="s">
        <v>1615</v>
      </c>
      <c r="F75" s="127" t="s">
        <v>3106</v>
      </c>
      <c r="G75" s="136">
        <v>4771.8777600000003</v>
      </c>
      <c r="H75" s="113" t="str">
        <f t="shared" si="3"/>
        <v>SG</v>
      </c>
      <c r="I75" s="117" t="str">
        <f>INDEX('BOOKDEPR Lookup'!$I:$I,MATCH('BOOKDEPR Jun22data'!$A75,'BOOKDEPR Lookup'!$A:$A,0))</f>
        <v>P</v>
      </c>
      <c r="J75" s="117" t="str">
        <f>IF('BOOKDEPR Jun22data'!$G75=0,"NO",IF(ISNA('BOOKDEPR Jun22data'!$I75),"YES",IF(_xlfn.ISFORMULA('BOOKDEPR Jun22data'!$I75),"NO","YES")))</f>
        <v>NO</v>
      </c>
      <c r="K75"/>
    </row>
    <row r="76" spans="1:11">
      <c r="A76" s="114" t="str">
        <f t="shared" si="2"/>
        <v>4030000DEPN EXPENSE-ELECT3450000ACCESSORY ELECTRIC EQUIPMENTSG</v>
      </c>
      <c r="B76" s="126" t="s">
        <v>1890</v>
      </c>
      <c r="C76" s="127" t="s">
        <v>1612</v>
      </c>
      <c r="D76" s="126" t="s">
        <v>1921</v>
      </c>
      <c r="E76" s="128" t="s">
        <v>1615</v>
      </c>
      <c r="F76" s="127" t="s">
        <v>3108</v>
      </c>
      <c r="G76" s="136">
        <v>1387.78766</v>
      </c>
      <c r="H76" s="113" t="str">
        <f t="shared" si="3"/>
        <v>SG</v>
      </c>
      <c r="I76" s="117" t="str">
        <f>INDEX('BOOKDEPR Lookup'!$I:$I,MATCH('BOOKDEPR Jun22data'!$A76,'BOOKDEPR Lookup'!$A:$A,0))</f>
        <v>P</v>
      </c>
      <c r="J76" s="117" t="str">
        <f>IF('BOOKDEPR Jun22data'!$G76=0,"NO",IF(ISNA('BOOKDEPR Jun22data'!$I76),"YES",IF(_xlfn.ISFORMULA('BOOKDEPR Jun22data'!$I76),"NO","YES")))</f>
        <v>NO</v>
      </c>
      <c r="K76"/>
    </row>
    <row r="77" spans="1:11">
      <c r="A77" s="114" t="str">
        <f t="shared" si="2"/>
        <v>4030000DEPN EXPENSE-ELECT3450000ACCESSORY ELECTRIC EQUIPMENTSG-W</v>
      </c>
      <c r="B77" s="126" t="s">
        <v>1890</v>
      </c>
      <c r="C77" s="127" t="s">
        <v>1612</v>
      </c>
      <c r="D77" s="126" t="s">
        <v>1921</v>
      </c>
      <c r="E77" s="128" t="s">
        <v>1615</v>
      </c>
      <c r="F77" s="127" t="s">
        <v>3109</v>
      </c>
      <c r="G77" s="136">
        <v>7467.5730400000002</v>
      </c>
      <c r="H77" s="113" t="str">
        <f t="shared" si="3"/>
        <v>SG-W</v>
      </c>
      <c r="I77" s="117" t="str">
        <f>INDEX('BOOKDEPR Lookup'!$I:$I,MATCH('BOOKDEPR Jun22data'!$A77,'BOOKDEPR Lookup'!$A:$A,0))</f>
        <v>P</v>
      </c>
      <c r="J77" s="117" t="str">
        <f>IF('BOOKDEPR Jun22data'!$G77=0,"NO",IF(ISNA('BOOKDEPR Jun22data'!$I77),"YES",IF(_xlfn.ISFORMULA('BOOKDEPR Jun22data'!$I77),"NO","YES")))</f>
        <v>NO</v>
      </c>
      <c r="K77"/>
    </row>
    <row r="78" spans="1:11">
      <c r="A78" s="114" t="str">
        <f t="shared" si="2"/>
        <v>4030000DEPN EXPENSE-ELECT3450000ACCESSORY ELECTRIC EQUIPMENTSITUS</v>
      </c>
      <c r="B78" s="126" t="s">
        <v>1890</v>
      </c>
      <c r="C78" s="127" t="s">
        <v>1612</v>
      </c>
      <c r="D78" s="126" t="s">
        <v>1921</v>
      </c>
      <c r="E78" s="128" t="s">
        <v>1615</v>
      </c>
      <c r="F78" s="127" t="s">
        <v>370</v>
      </c>
      <c r="G78" s="136">
        <v>3.7002100000000002</v>
      </c>
      <c r="H78" s="113" t="str">
        <f t="shared" si="3"/>
        <v>SITUS</v>
      </c>
      <c r="I78" s="117" t="str">
        <f>INDEX('BOOKDEPR Lookup'!$I:$I,MATCH('BOOKDEPR Jun22data'!$A78,'BOOKDEPR Lookup'!$A:$A,0))</f>
        <v>P</v>
      </c>
      <c r="J78" s="117" t="str">
        <f>IF('BOOKDEPR Jun22data'!$G78=0,"NO",IF(ISNA('BOOKDEPR Jun22data'!$I78),"YES",IF(_xlfn.ISFORMULA('BOOKDEPR Jun22data'!$I78),"NO","YES")))</f>
        <v>NO</v>
      </c>
      <c r="K78"/>
    </row>
    <row r="79" spans="1:11">
      <c r="A79" s="114" t="str">
        <f t="shared" si="2"/>
        <v>4030000DEPN EXPENSE-ELECT3460000MISCELLANEOUS PWR PLANT EQUIPSG</v>
      </c>
      <c r="B79" s="126" t="s">
        <v>1890</v>
      </c>
      <c r="C79" s="127" t="s">
        <v>1612</v>
      </c>
      <c r="D79" s="126" t="s">
        <v>1922</v>
      </c>
      <c r="E79" s="128" t="s">
        <v>1639</v>
      </c>
      <c r="F79" s="127" t="s">
        <v>3106</v>
      </c>
      <c r="G79" s="136">
        <v>262.94877000000002</v>
      </c>
      <c r="H79" s="113" t="str">
        <f t="shared" si="3"/>
        <v>SG</v>
      </c>
      <c r="I79" s="117" t="str">
        <f>INDEX('BOOKDEPR Lookup'!$I:$I,MATCH('BOOKDEPR Jun22data'!$A79,'BOOKDEPR Lookup'!$A:$A,0))</f>
        <v>P</v>
      </c>
      <c r="J79" s="117" t="str">
        <f>IF('BOOKDEPR Jun22data'!$G79=0,"NO",IF(ISNA('BOOKDEPR Jun22data'!$I79),"YES",IF(_xlfn.ISFORMULA('BOOKDEPR Jun22data'!$I79),"NO","YES")))</f>
        <v>NO</v>
      </c>
      <c r="K79"/>
    </row>
    <row r="80" spans="1:11">
      <c r="A80" s="114" t="str">
        <f t="shared" si="2"/>
        <v>4030000DEPN EXPENSE-ELECT3460000MISCELLANEOUS PWR PLANT EQUIPSG</v>
      </c>
      <c r="B80" s="126" t="s">
        <v>1890</v>
      </c>
      <c r="C80" s="127" t="s">
        <v>1612</v>
      </c>
      <c r="D80" s="126" t="s">
        <v>1922</v>
      </c>
      <c r="E80" s="128" t="s">
        <v>1639</v>
      </c>
      <c r="F80" s="127" t="s">
        <v>3108</v>
      </c>
      <c r="G80" s="136">
        <v>103.54277</v>
      </c>
      <c r="H80" s="113" t="str">
        <f t="shared" si="3"/>
        <v>SG</v>
      </c>
      <c r="I80" s="117" t="str">
        <f>INDEX('BOOKDEPR Lookup'!$I:$I,MATCH('BOOKDEPR Jun22data'!$A80,'BOOKDEPR Lookup'!$A:$A,0))</f>
        <v>P</v>
      </c>
      <c r="J80" s="117" t="str">
        <f>IF('BOOKDEPR Jun22data'!$G80=0,"NO",IF(ISNA('BOOKDEPR Jun22data'!$I80),"YES",IF(_xlfn.ISFORMULA('BOOKDEPR Jun22data'!$I80),"NO","YES")))</f>
        <v>NO</v>
      </c>
      <c r="K80"/>
    </row>
    <row r="81" spans="1:11">
      <c r="A81" s="114" t="str">
        <f t="shared" si="2"/>
        <v>4030000DEPN EXPENSE-ELECT3460000MISCELLANEOUS PWR PLANT EQUIPSG-W</v>
      </c>
      <c r="B81" s="126" t="s">
        <v>1890</v>
      </c>
      <c r="C81" s="127" t="s">
        <v>1612</v>
      </c>
      <c r="D81" s="126" t="s">
        <v>1922</v>
      </c>
      <c r="E81" s="128" t="s">
        <v>1639</v>
      </c>
      <c r="F81" s="127" t="s">
        <v>3109</v>
      </c>
      <c r="G81" s="136">
        <v>388.96508999999998</v>
      </c>
      <c r="H81" s="113" t="str">
        <f t="shared" si="3"/>
        <v>SG-W</v>
      </c>
      <c r="I81" s="117" t="str">
        <f>INDEX('BOOKDEPR Lookup'!$I:$I,MATCH('BOOKDEPR Jun22data'!$A81,'BOOKDEPR Lookup'!$A:$A,0))</f>
        <v>P</v>
      </c>
      <c r="J81" s="117" t="str">
        <f>IF('BOOKDEPR Jun22data'!$G81=0,"NO",IF(ISNA('BOOKDEPR Jun22data'!$I81),"YES",IF(_xlfn.ISFORMULA('BOOKDEPR Jun22data'!$I81),"NO","YES")))</f>
        <v>NO</v>
      </c>
      <c r="K81"/>
    </row>
    <row r="82" spans="1:11">
      <c r="A82" s="114" t="str">
        <f t="shared" si="2"/>
        <v>4030000DEPN EXPENSE-ELECT3502000LAND RIGHTSSG</v>
      </c>
      <c r="B82" s="126" t="s">
        <v>1890</v>
      </c>
      <c r="C82" s="127" t="s">
        <v>1612</v>
      </c>
      <c r="D82" s="126" t="s">
        <v>1923</v>
      </c>
      <c r="E82" s="128" t="s">
        <v>1514</v>
      </c>
      <c r="F82" s="127" t="s">
        <v>87</v>
      </c>
      <c r="G82" s="136">
        <v>2725.91201</v>
      </c>
      <c r="H82" s="113" t="str">
        <f t="shared" si="3"/>
        <v>SG</v>
      </c>
      <c r="I82" s="117" t="str">
        <f>INDEX('BOOKDEPR Lookup'!$I:$I,MATCH('BOOKDEPR Jun22data'!$A82,'BOOKDEPR Lookup'!$A:$A,0))</f>
        <v>T</v>
      </c>
      <c r="J82" s="117" t="str">
        <f>IF('BOOKDEPR Jun22data'!$G82=0,"NO",IF(ISNA('BOOKDEPR Jun22data'!$I82),"YES",IF(_xlfn.ISFORMULA('BOOKDEPR Jun22data'!$I82),"NO","YES")))</f>
        <v>NO</v>
      </c>
      <c r="K82"/>
    </row>
    <row r="83" spans="1:11">
      <c r="A83" s="114" t="str">
        <f t="shared" si="2"/>
        <v>4030000DEPN EXPENSE-ELECT3520000STRUCTURES &amp; IMPROVEMENTSSG</v>
      </c>
      <c r="B83" s="126" t="s">
        <v>1890</v>
      </c>
      <c r="C83" s="127" t="s">
        <v>1612</v>
      </c>
      <c r="D83" s="126" t="s">
        <v>1924</v>
      </c>
      <c r="E83" s="128" t="s">
        <v>1635</v>
      </c>
      <c r="F83" s="127" t="s">
        <v>87</v>
      </c>
      <c r="G83" s="136">
        <v>4745.6196399999999</v>
      </c>
      <c r="H83" s="113" t="str">
        <f t="shared" si="3"/>
        <v>SG</v>
      </c>
      <c r="I83" s="117" t="str">
        <f>INDEX('BOOKDEPR Lookup'!$I:$I,MATCH('BOOKDEPR Jun22data'!$A83,'BOOKDEPR Lookup'!$A:$A,0))</f>
        <v>T</v>
      </c>
      <c r="J83" s="117" t="str">
        <f>IF('BOOKDEPR Jun22data'!$G83=0,"NO",IF(ISNA('BOOKDEPR Jun22data'!$I83),"YES",IF(_xlfn.ISFORMULA('BOOKDEPR Jun22data'!$I83),"NO","YES")))</f>
        <v>NO</v>
      </c>
      <c r="K83"/>
    </row>
    <row r="84" spans="1:11">
      <c r="A84" s="114" t="str">
        <f t="shared" si="2"/>
        <v>4030000DEPN EXPENSE-ELECT3530000STATION EQUIPMENTSG</v>
      </c>
      <c r="B84" s="126" t="s">
        <v>1890</v>
      </c>
      <c r="C84" s="127" t="s">
        <v>1612</v>
      </c>
      <c r="D84" s="126" t="s">
        <v>1925</v>
      </c>
      <c r="E84" s="128" t="s">
        <v>1640</v>
      </c>
      <c r="F84" s="127" t="s">
        <v>87</v>
      </c>
      <c r="G84" s="136">
        <v>41020.054190000003</v>
      </c>
      <c r="H84" s="113" t="str">
        <f t="shared" si="3"/>
        <v>SG</v>
      </c>
      <c r="I84" s="117" t="str">
        <f>INDEX('BOOKDEPR Lookup'!$I:$I,MATCH('BOOKDEPR Jun22data'!$A84,'BOOKDEPR Lookup'!$A:$A,0))</f>
        <v>T</v>
      </c>
      <c r="J84" s="117" t="str">
        <f>IF('BOOKDEPR Jun22data'!$G84=0,"NO",IF(ISNA('BOOKDEPR Jun22data'!$I84),"YES",IF(_xlfn.ISFORMULA('BOOKDEPR Jun22data'!$I84),"NO","YES")))</f>
        <v>NO</v>
      </c>
      <c r="K84"/>
    </row>
    <row r="85" spans="1:11">
      <c r="A85" s="114" t="str">
        <f t="shared" si="2"/>
        <v>4030000DEPN EXPENSE-ELECT3534000STATION EQUIPMENT, STEP-UP TRANSFORMERSSG</v>
      </c>
      <c r="B85" s="126" t="s">
        <v>1890</v>
      </c>
      <c r="C85" s="127" t="s">
        <v>1612</v>
      </c>
      <c r="D85" s="126" t="s">
        <v>1926</v>
      </c>
      <c r="E85" s="128" t="s">
        <v>1641</v>
      </c>
      <c r="F85" s="127" t="s">
        <v>3108</v>
      </c>
      <c r="G85" s="136">
        <v>35.064999999999998</v>
      </c>
      <c r="H85" s="113" t="str">
        <f t="shared" si="3"/>
        <v>SG</v>
      </c>
      <c r="I85" s="117" t="str">
        <f>INDEX('BOOKDEPR Lookup'!$I:$I,MATCH('BOOKDEPR Jun22data'!$A85,'BOOKDEPR Lookup'!$A:$A,0))</f>
        <v>T</v>
      </c>
      <c r="J85" s="117" t="str">
        <f>IF('BOOKDEPR Jun22data'!$G85=0,"NO",IF(ISNA('BOOKDEPR Jun22data'!$I85),"YES",IF(_xlfn.ISFORMULA('BOOKDEPR Jun22data'!$I85),"NO","YES")))</f>
        <v>NO</v>
      </c>
      <c r="K85"/>
    </row>
    <row r="86" spans="1:11">
      <c r="A86" s="114" t="str">
        <f t="shared" si="2"/>
        <v>4030000DEPN EXPENSE-ELECT3534000STATION EQUIPMENT, STEP-UP TRANSFORMERSSG</v>
      </c>
      <c r="B86" s="126" t="s">
        <v>1890</v>
      </c>
      <c r="C86" s="127" t="s">
        <v>1612</v>
      </c>
      <c r="D86" s="126" t="s">
        <v>1926</v>
      </c>
      <c r="E86" s="128" t="s">
        <v>1641</v>
      </c>
      <c r="F86" s="127" t="s">
        <v>87</v>
      </c>
      <c r="G86" s="136">
        <v>3002.5317799999998</v>
      </c>
      <c r="H86" s="113" t="str">
        <f t="shared" si="3"/>
        <v>SG</v>
      </c>
      <c r="I86" s="117" t="str">
        <f>INDEX('BOOKDEPR Lookup'!$I:$I,MATCH('BOOKDEPR Jun22data'!$A86,'BOOKDEPR Lookup'!$A:$A,0))</f>
        <v>T</v>
      </c>
      <c r="J86" s="117" t="str">
        <f>IF('BOOKDEPR Jun22data'!$G86=0,"NO",IF(ISNA('BOOKDEPR Jun22data'!$I86),"YES",IF(_xlfn.ISFORMULA('BOOKDEPR Jun22data'!$I86),"NO","YES")))</f>
        <v>NO</v>
      </c>
      <c r="K86"/>
    </row>
    <row r="87" spans="1:11">
      <c r="A87" s="114" t="str">
        <f t="shared" si="2"/>
        <v>4030000DEPN EXPENSE-ELECT3537000STATION EQUIPMENT-SUPERVISORY &amp; ALARMSG</v>
      </c>
      <c r="B87" s="126" t="s">
        <v>1890</v>
      </c>
      <c r="C87" s="127" t="s">
        <v>1612</v>
      </c>
      <c r="D87" s="126" t="s">
        <v>1927</v>
      </c>
      <c r="E87" s="128" t="s">
        <v>1642</v>
      </c>
      <c r="F87" s="127" t="s">
        <v>87</v>
      </c>
      <c r="G87" s="136">
        <v>429.42700000000002</v>
      </c>
      <c r="H87" s="113" t="str">
        <f t="shared" si="3"/>
        <v>SG</v>
      </c>
      <c r="I87" s="117" t="str">
        <f>INDEX('BOOKDEPR Lookup'!$I:$I,MATCH('BOOKDEPR Jun22data'!$A87,'BOOKDEPR Lookup'!$A:$A,0))</f>
        <v>T</v>
      </c>
      <c r="J87" s="117" t="str">
        <f>IF('BOOKDEPR Jun22data'!$G87=0,"NO",IF(ISNA('BOOKDEPR Jun22data'!$I87),"YES",IF(_xlfn.ISFORMULA('BOOKDEPR Jun22data'!$I87),"NO","YES")))</f>
        <v>NO</v>
      </c>
      <c r="K87"/>
    </row>
    <row r="88" spans="1:11">
      <c r="A88" s="114" t="str">
        <f t="shared" si="2"/>
        <v>4030000DEPN EXPENSE-ELECT3540000TOWERS AND FIXTURESSG</v>
      </c>
      <c r="B88" s="126" t="s">
        <v>1890</v>
      </c>
      <c r="C88" s="127" t="s">
        <v>1612</v>
      </c>
      <c r="D88" s="126" t="s">
        <v>1928</v>
      </c>
      <c r="E88" s="128" t="s">
        <v>1643</v>
      </c>
      <c r="F88" s="127" t="s">
        <v>87</v>
      </c>
      <c r="G88" s="136">
        <v>20496.51139</v>
      </c>
      <c r="H88" s="113" t="str">
        <f t="shared" si="3"/>
        <v>SG</v>
      </c>
      <c r="I88" s="117" t="str">
        <f>INDEX('BOOKDEPR Lookup'!$I:$I,MATCH('BOOKDEPR Jun22data'!$A88,'BOOKDEPR Lookup'!$A:$A,0))</f>
        <v>T</v>
      </c>
      <c r="J88" s="117" t="str">
        <f>IF('BOOKDEPR Jun22data'!$G88=0,"NO",IF(ISNA('BOOKDEPR Jun22data'!$I88),"YES",IF(_xlfn.ISFORMULA('BOOKDEPR Jun22data'!$I88),"NO","YES")))</f>
        <v>NO</v>
      </c>
      <c r="K88"/>
    </row>
    <row r="89" spans="1:11">
      <c r="A89" s="114" t="str">
        <f t="shared" si="2"/>
        <v>4030000DEPN EXPENSE-ELECT3550000POLES AND FIXTURESSG</v>
      </c>
      <c r="B89" s="126" t="s">
        <v>1890</v>
      </c>
      <c r="C89" s="127" t="s">
        <v>1612</v>
      </c>
      <c r="D89" s="126" t="s">
        <v>1929</v>
      </c>
      <c r="E89" s="128" t="s">
        <v>1644</v>
      </c>
      <c r="F89" s="127" t="s">
        <v>87</v>
      </c>
      <c r="G89" s="136">
        <v>25579.521840000001</v>
      </c>
      <c r="H89" s="113" t="str">
        <f t="shared" si="3"/>
        <v>SG</v>
      </c>
      <c r="I89" s="117" t="str">
        <f>INDEX('BOOKDEPR Lookup'!$I:$I,MATCH('BOOKDEPR Jun22data'!$A89,'BOOKDEPR Lookup'!$A:$A,0))</f>
        <v>T</v>
      </c>
      <c r="J89" s="117" t="str">
        <f>IF('BOOKDEPR Jun22data'!$G89=0,"NO",IF(ISNA('BOOKDEPR Jun22data'!$I89),"YES",IF(_xlfn.ISFORMULA('BOOKDEPR Jun22data'!$I89),"NO","YES")))</f>
        <v>NO</v>
      </c>
      <c r="K89"/>
    </row>
    <row r="90" spans="1:11">
      <c r="A90" s="114" t="str">
        <f t="shared" si="2"/>
        <v>4030000DEPN EXPENSE-ELECT3560000OVERHEAD CONDUCTORS &amp; DEVICESSG</v>
      </c>
      <c r="B90" s="126" t="s">
        <v>1890</v>
      </c>
      <c r="C90" s="127" t="s">
        <v>1612</v>
      </c>
      <c r="D90" s="126" t="s">
        <v>1930</v>
      </c>
      <c r="E90" s="128" t="s">
        <v>1645</v>
      </c>
      <c r="F90" s="127" t="s">
        <v>87</v>
      </c>
      <c r="G90" s="136">
        <v>27491.604490000002</v>
      </c>
      <c r="H90" s="113" t="str">
        <f t="shared" si="3"/>
        <v>SG</v>
      </c>
      <c r="I90" s="117" t="str">
        <f>INDEX('BOOKDEPR Lookup'!$I:$I,MATCH('BOOKDEPR Jun22data'!$A90,'BOOKDEPR Lookup'!$A:$A,0))</f>
        <v>T</v>
      </c>
      <c r="J90" s="117" t="str">
        <f>IF('BOOKDEPR Jun22data'!$G90=0,"NO",IF(ISNA('BOOKDEPR Jun22data'!$I90),"YES",IF(_xlfn.ISFORMULA('BOOKDEPR Jun22data'!$I90),"NO","YES")))</f>
        <v>NO</v>
      </c>
      <c r="K90"/>
    </row>
    <row r="91" spans="1:11">
      <c r="A91" s="114" t="str">
        <f t="shared" si="2"/>
        <v>4030000DEPN EXPENSE-ELECT3570000UNDERGROUND CONDUITSG</v>
      </c>
      <c r="B91" s="126" t="s">
        <v>1890</v>
      </c>
      <c r="C91" s="127" t="s">
        <v>1612</v>
      </c>
      <c r="D91" s="126" t="s">
        <v>1931</v>
      </c>
      <c r="E91" s="128" t="s">
        <v>1646</v>
      </c>
      <c r="F91" s="127" t="s">
        <v>87</v>
      </c>
      <c r="G91" s="136">
        <v>59.799120000000002</v>
      </c>
      <c r="H91" s="113" t="str">
        <f t="shared" si="3"/>
        <v>SG</v>
      </c>
      <c r="I91" s="117" t="str">
        <f>INDEX('BOOKDEPR Lookup'!$I:$I,MATCH('BOOKDEPR Jun22data'!$A91,'BOOKDEPR Lookup'!$A:$A,0))</f>
        <v>T</v>
      </c>
      <c r="J91" s="117" t="str">
        <f>IF('BOOKDEPR Jun22data'!$G91=0,"NO",IF(ISNA('BOOKDEPR Jun22data'!$I91),"YES",IF(_xlfn.ISFORMULA('BOOKDEPR Jun22data'!$I91),"NO","YES")))</f>
        <v>NO</v>
      </c>
      <c r="K91"/>
    </row>
    <row r="92" spans="1:11">
      <c r="A92" s="114" t="str">
        <f t="shared" si="2"/>
        <v>4030000DEPN EXPENSE-ELECT3580000UNDERGROUND CONDUCTORS &amp; DEVICESSG</v>
      </c>
      <c r="B92" s="126" t="s">
        <v>1890</v>
      </c>
      <c r="C92" s="127" t="s">
        <v>1612</v>
      </c>
      <c r="D92" s="126" t="s">
        <v>1932</v>
      </c>
      <c r="E92" s="128" t="s">
        <v>1647</v>
      </c>
      <c r="F92" s="127" t="s">
        <v>87</v>
      </c>
      <c r="G92" s="136">
        <v>146.19794999999999</v>
      </c>
      <c r="H92" s="113" t="str">
        <f t="shared" si="3"/>
        <v>SG</v>
      </c>
      <c r="I92" s="117" t="str">
        <f>INDEX('BOOKDEPR Lookup'!$I:$I,MATCH('BOOKDEPR Jun22data'!$A92,'BOOKDEPR Lookup'!$A:$A,0))</f>
        <v>T</v>
      </c>
      <c r="J92" s="117" t="str">
        <f>IF('BOOKDEPR Jun22data'!$G92=0,"NO",IF(ISNA('BOOKDEPR Jun22data'!$I92),"YES",IF(_xlfn.ISFORMULA('BOOKDEPR Jun22data'!$I92),"NO","YES")))</f>
        <v>NO</v>
      </c>
      <c r="K92"/>
    </row>
    <row r="93" spans="1:11">
      <c r="A93" s="114" t="str">
        <f t="shared" si="2"/>
        <v>4030000DEPN EXPENSE-ELECT3590000ROADS AND TRAILSSG</v>
      </c>
      <c r="B93" s="126" t="s">
        <v>1890</v>
      </c>
      <c r="C93" s="127" t="s">
        <v>1612</v>
      </c>
      <c r="D93" s="126" t="s">
        <v>1933</v>
      </c>
      <c r="E93" s="128" t="s">
        <v>1648</v>
      </c>
      <c r="F93" s="127" t="s">
        <v>87</v>
      </c>
      <c r="G93" s="136">
        <v>146.91412</v>
      </c>
      <c r="H93" s="113" t="str">
        <f t="shared" si="3"/>
        <v>SG</v>
      </c>
      <c r="I93" s="117" t="str">
        <f>INDEX('BOOKDEPR Lookup'!$I:$I,MATCH('BOOKDEPR Jun22data'!$A93,'BOOKDEPR Lookup'!$A:$A,0))</f>
        <v>T</v>
      </c>
      <c r="J93" s="117" t="str">
        <f>IF('BOOKDEPR Jun22data'!$G93=0,"NO",IF(ISNA('BOOKDEPR Jun22data'!$I93),"YES",IF(_xlfn.ISFORMULA('BOOKDEPR Jun22data'!$I93),"NO","YES")))</f>
        <v>NO</v>
      </c>
      <c r="K93"/>
    </row>
    <row r="94" spans="1:11">
      <c r="A94" s="114" t="str">
        <f t="shared" si="2"/>
        <v>4030000DEPN EXPENSE-ELECT3602000LAND RIGHTSSITUS</v>
      </c>
      <c r="B94" s="126" t="s">
        <v>1890</v>
      </c>
      <c r="C94" s="127" t="s">
        <v>1612</v>
      </c>
      <c r="D94" s="126" t="s">
        <v>1934</v>
      </c>
      <c r="E94" s="128" t="s">
        <v>1514</v>
      </c>
      <c r="F94" s="127" t="s">
        <v>387</v>
      </c>
      <c r="G94" s="136">
        <v>12.23448</v>
      </c>
      <c r="H94" s="113" t="str">
        <f t="shared" si="3"/>
        <v>SITUS</v>
      </c>
      <c r="I94" s="117" t="str">
        <f>INDEX('BOOKDEPR Lookup'!$I:$I,MATCH('BOOKDEPR Jun22data'!$A94,'BOOKDEPR Lookup'!$A:$A,0))</f>
        <v>DPW</v>
      </c>
      <c r="J94" s="117" t="str">
        <f>IF('BOOKDEPR Jun22data'!$G94=0,"NO",IF(ISNA('BOOKDEPR Jun22data'!$I94),"YES",IF(_xlfn.ISFORMULA('BOOKDEPR Jun22data'!$I94),"NO","YES")))</f>
        <v>NO</v>
      </c>
      <c r="K94"/>
    </row>
    <row r="95" spans="1:11">
      <c r="A95" s="114" t="str">
        <f t="shared" si="2"/>
        <v>4030000DEPN EXPENSE-ELECT3602000LAND RIGHTSSITUS</v>
      </c>
      <c r="B95" s="126" t="s">
        <v>1890</v>
      </c>
      <c r="C95" s="127" t="s">
        <v>1612</v>
      </c>
      <c r="D95" s="126" t="s">
        <v>1934</v>
      </c>
      <c r="E95" s="128" t="s">
        <v>1514</v>
      </c>
      <c r="F95" s="127" t="s">
        <v>372</v>
      </c>
      <c r="G95" s="136">
        <v>22.303850000000001</v>
      </c>
      <c r="H95" s="113" t="str">
        <f t="shared" si="3"/>
        <v>SITUS</v>
      </c>
      <c r="I95" s="117" t="str">
        <f>INDEX('BOOKDEPR Lookup'!$I:$I,MATCH('BOOKDEPR Jun22data'!$A95,'BOOKDEPR Lookup'!$A:$A,0))</f>
        <v>DPW</v>
      </c>
      <c r="J95" s="117" t="str">
        <f>IF('BOOKDEPR Jun22data'!$G95=0,"NO",IF(ISNA('BOOKDEPR Jun22data'!$I95),"YES",IF(_xlfn.ISFORMULA('BOOKDEPR Jun22data'!$I95),"NO","YES")))</f>
        <v>NO</v>
      </c>
      <c r="K95"/>
    </row>
    <row r="96" spans="1:11">
      <c r="A96" s="114" t="str">
        <f t="shared" si="2"/>
        <v>4030000DEPN EXPENSE-ELECT3602000LAND RIGHTSSITUS</v>
      </c>
      <c r="B96" s="126" t="s">
        <v>1890</v>
      </c>
      <c r="C96" s="127" t="s">
        <v>1612</v>
      </c>
      <c r="D96" s="126" t="s">
        <v>1934</v>
      </c>
      <c r="E96" s="128" t="s">
        <v>1514</v>
      </c>
      <c r="F96" s="127" t="s">
        <v>343</v>
      </c>
      <c r="G96" s="136">
        <v>61.088880000000003</v>
      </c>
      <c r="H96" s="113" t="str">
        <f t="shared" si="3"/>
        <v>SITUS</v>
      </c>
      <c r="I96" s="117" t="str">
        <f>INDEX('BOOKDEPR Lookup'!$I:$I,MATCH('BOOKDEPR Jun22data'!$A96,'BOOKDEPR Lookup'!$A:$A,0))</f>
        <v>DPW</v>
      </c>
      <c r="J96" s="117" t="str">
        <f>IF('BOOKDEPR Jun22data'!$G96=0,"NO",IF(ISNA('BOOKDEPR Jun22data'!$I96),"YES",IF(_xlfn.ISFORMULA('BOOKDEPR Jun22data'!$I96),"NO","YES")))</f>
        <v>NO</v>
      </c>
      <c r="K96"/>
    </row>
    <row r="97" spans="1:11">
      <c r="A97" s="114" t="str">
        <f t="shared" si="2"/>
        <v>4030000DEPN EXPENSE-ELECT3602000LAND RIGHTSSITUS</v>
      </c>
      <c r="B97" s="126" t="s">
        <v>1890</v>
      </c>
      <c r="C97" s="127" t="s">
        <v>1612</v>
      </c>
      <c r="D97" s="126" t="s">
        <v>1934</v>
      </c>
      <c r="E97" s="128" t="s">
        <v>1514</v>
      </c>
      <c r="F97" s="127" t="s">
        <v>370</v>
      </c>
      <c r="G97" s="136">
        <v>178.00155000000001</v>
      </c>
      <c r="H97" s="113" t="str">
        <f t="shared" si="3"/>
        <v>SITUS</v>
      </c>
      <c r="I97" s="117" t="str">
        <f>INDEX('BOOKDEPR Lookup'!$I:$I,MATCH('BOOKDEPR Jun22data'!$A97,'BOOKDEPR Lookup'!$A:$A,0))</f>
        <v>DPW</v>
      </c>
      <c r="J97" s="117" t="str">
        <f>IF('BOOKDEPR Jun22data'!$G97=0,"NO",IF(ISNA('BOOKDEPR Jun22data'!$I97),"YES",IF(_xlfn.ISFORMULA('BOOKDEPR Jun22data'!$I97),"NO","YES")))</f>
        <v>NO</v>
      </c>
      <c r="K97"/>
    </row>
    <row r="98" spans="1:11">
      <c r="A98" s="114" t="str">
        <f t="shared" si="2"/>
        <v>4030000DEPN EXPENSE-ELECT3602000LAND RIGHTSSITUS</v>
      </c>
      <c r="B98" s="126" t="s">
        <v>1890</v>
      </c>
      <c r="C98" s="127" t="s">
        <v>1612</v>
      </c>
      <c r="D98" s="126" t="s">
        <v>1934</v>
      </c>
      <c r="E98" s="128" t="s">
        <v>1514</v>
      </c>
      <c r="F98" s="127" t="s">
        <v>367</v>
      </c>
      <c r="G98" s="136">
        <v>7.7421199999999999</v>
      </c>
      <c r="H98" s="113" t="str">
        <f t="shared" si="3"/>
        <v>SITUS</v>
      </c>
      <c r="I98" s="117" t="str">
        <f>INDEX('BOOKDEPR Lookup'!$I:$I,MATCH('BOOKDEPR Jun22data'!$A98,'BOOKDEPR Lookup'!$A:$A,0))</f>
        <v>DPW</v>
      </c>
      <c r="J98" s="117" t="str">
        <f>IF('BOOKDEPR Jun22data'!$G98=0,"NO",IF(ISNA('BOOKDEPR Jun22data'!$I98),"YES",IF(_xlfn.ISFORMULA('BOOKDEPR Jun22data'!$I98),"NO","YES")))</f>
        <v>NO</v>
      </c>
      <c r="K98"/>
    </row>
    <row r="99" spans="1:11">
      <c r="A99" s="114" t="str">
        <f t="shared" si="2"/>
        <v>4030000DEPN EXPENSE-ELECT3602000LAND RIGHTSSITUS</v>
      </c>
      <c r="B99" s="126" t="s">
        <v>1890</v>
      </c>
      <c r="C99" s="127" t="s">
        <v>1612</v>
      </c>
      <c r="D99" s="126" t="s">
        <v>1934</v>
      </c>
      <c r="E99" s="128" t="s">
        <v>1514</v>
      </c>
      <c r="F99" s="127" t="s">
        <v>386</v>
      </c>
      <c r="G99" s="136">
        <v>78.492509999999996</v>
      </c>
      <c r="H99" s="113" t="str">
        <f t="shared" si="3"/>
        <v>SITUS</v>
      </c>
      <c r="I99" s="117" t="str">
        <f>INDEX('BOOKDEPR Lookup'!$I:$I,MATCH('BOOKDEPR Jun22data'!$A99,'BOOKDEPR Lookup'!$A:$A,0))</f>
        <v>DPW</v>
      </c>
      <c r="J99" s="117" t="str">
        <f>IF('BOOKDEPR Jun22data'!$G99=0,"NO",IF(ISNA('BOOKDEPR Jun22data'!$I99),"YES",IF(_xlfn.ISFORMULA('BOOKDEPR Jun22data'!$I99),"NO","YES")))</f>
        <v>NO</v>
      </c>
      <c r="K99"/>
    </row>
    <row r="100" spans="1:11">
      <c r="A100" s="114" t="str">
        <f t="shared" si="2"/>
        <v>4030000DEPN EXPENSE-ELECT3602000LAND RIGHTSSITUS</v>
      </c>
      <c r="B100" s="126" t="s">
        <v>1890</v>
      </c>
      <c r="C100" s="127" t="s">
        <v>1612</v>
      </c>
      <c r="D100" s="126" t="s">
        <v>1934</v>
      </c>
      <c r="E100" s="128" t="s">
        <v>1514</v>
      </c>
      <c r="F100" s="127" t="s">
        <v>378</v>
      </c>
      <c r="G100" s="136">
        <v>79.316699999999997</v>
      </c>
      <c r="H100" s="113" t="str">
        <f t="shared" si="3"/>
        <v>SITUS</v>
      </c>
      <c r="I100" s="117" t="str">
        <f>INDEX('BOOKDEPR Lookup'!$I:$I,MATCH('BOOKDEPR Jun22data'!$A100,'BOOKDEPR Lookup'!$A:$A,0))</f>
        <v>DPW</v>
      </c>
      <c r="J100" s="117" t="str">
        <f>IF('BOOKDEPR Jun22data'!$G100=0,"NO",IF(ISNA('BOOKDEPR Jun22data'!$I100),"YES",IF(_xlfn.ISFORMULA('BOOKDEPR Jun22data'!$I100),"NO","YES")))</f>
        <v>NO</v>
      </c>
      <c r="K100"/>
    </row>
    <row r="101" spans="1:11">
      <c r="A101" s="114" t="str">
        <f t="shared" si="2"/>
        <v>4030000DEPN EXPENSE-ELECT3610000STRUCTURES &amp; IMPROVEMENTSSITUS</v>
      </c>
      <c r="B101" s="126" t="s">
        <v>1890</v>
      </c>
      <c r="C101" s="127" t="s">
        <v>1612</v>
      </c>
      <c r="D101" s="126" t="s">
        <v>1935</v>
      </c>
      <c r="E101" s="128" t="s">
        <v>1635</v>
      </c>
      <c r="F101" s="127" t="s">
        <v>387</v>
      </c>
      <c r="G101" s="136">
        <v>98.342399999999998</v>
      </c>
      <c r="H101" s="113" t="str">
        <f t="shared" si="3"/>
        <v>SITUS</v>
      </c>
      <c r="I101" s="117" t="str">
        <f>INDEX('BOOKDEPR Lookup'!$I:$I,MATCH('BOOKDEPR Jun22data'!$A101,'BOOKDEPR Lookup'!$A:$A,0))</f>
        <v>DPW</v>
      </c>
      <c r="J101" s="117" t="str">
        <f>IF('BOOKDEPR Jun22data'!$G101=0,"NO",IF(ISNA('BOOKDEPR Jun22data'!$I101),"YES",IF(_xlfn.ISFORMULA('BOOKDEPR Jun22data'!$I101),"NO","YES")))</f>
        <v>NO</v>
      </c>
      <c r="K101"/>
    </row>
    <row r="102" spans="1:11">
      <c r="A102" s="114" t="str">
        <f t="shared" si="2"/>
        <v>4030000DEPN EXPENSE-ELECT3610000STRUCTURES &amp; IMPROVEMENTSSITUS</v>
      </c>
      <c r="B102" s="126" t="s">
        <v>1890</v>
      </c>
      <c r="C102" s="127" t="s">
        <v>1612</v>
      </c>
      <c r="D102" s="126" t="s">
        <v>1935</v>
      </c>
      <c r="E102" s="128" t="s">
        <v>1635</v>
      </c>
      <c r="F102" s="127" t="s">
        <v>372</v>
      </c>
      <c r="G102" s="136">
        <v>58.263669999999998</v>
      </c>
      <c r="H102" s="113" t="str">
        <f t="shared" si="3"/>
        <v>SITUS</v>
      </c>
      <c r="I102" s="117" t="str">
        <f>INDEX('BOOKDEPR Lookup'!$I:$I,MATCH('BOOKDEPR Jun22data'!$A102,'BOOKDEPR Lookup'!$A:$A,0))</f>
        <v>DPW</v>
      </c>
      <c r="J102" s="117" t="str">
        <f>IF('BOOKDEPR Jun22data'!$G102=0,"NO",IF(ISNA('BOOKDEPR Jun22data'!$I102),"YES",IF(_xlfn.ISFORMULA('BOOKDEPR Jun22data'!$I102),"NO","YES")))</f>
        <v>NO</v>
      </c>
      <c r="K102"/>
    </row>
    <row r="103" spans="1:11">
      <c r="A103" s="114" t="str">
        <f t="shared" si="2"/>
        <v>4030000DEPN EXPENSE-ELECT3610000STRUCTURES &amp; IMPROVEMENTSSITUS</v>
      </c>
      <c r="B103" s="126" t="s">
        <v>1890</v>
      </c>
      <c r="C103" s="127" t="s">
        <v>1612</v>
      </c>
      <c r="D103" s="126" t="s">
        <v>1935</v>
      </c>
      <c r="E103" s="128" t="s">
        <v>1635</v>
      </c>
      <c r="F103" s="127" t="s">
        <v>343</v>
      </c>
      <c r="G103" s="136">
        <v>510.29079999999999</v>
      </c>
      <c r="H103" s="113" t="str">
        <f t="shared" si="3"/>
        <v>SITUS</v>
      </c>
      <c r="I103" s="117" t="str">
        <f>INDEX('BOOKDEPR Lookup'!$I:$I,MATCH('BOOKDEPR Jun22data'!$A103,'BOOKDEPR Lookup'!$A:$A,0))</f>
        <v>DPW</v>
      </c>
      <c r="J103" s="117" t="str">
        <f>IF('BOOKDEPR Jun22data'!$G103=0,"NO",IF(ISNA('BOOKDEPR Jun22data'!$I103),"YES",IF(_xlfn.ISFORMULA('BOOKDEPR Jun22data'!$I103),"NO","YES")))</f>
        <v>NO</v>
      </c>
      <c r="K103"/>
    </row>
    <row r="104" spans="1:11">
      <c r="A104" s="114" t="str">
        <f t="shared" si="2"/>
        <v>4030000DEPN EXPENSE-ELECT3610000STRUCTURES &amp; IMPROVEMENTSSITUS</v>
      </c>
      <c r="B104" s="126" t="s">
        <v>1890</v>
      </c>
      <c r="C104" s="127" t="s">
        <v>1612</v>
      </c>
      <c r="D104" s="126" t="s">
        <v>1935</v>
      </c>
      <c r="E104" s="128" t="s">
        <v>1635</v>
      </c>
      <c r="F104" s="127" t="s">
        <v>370</v>
      </c>
      <c r="G104" s="136">
        <v>1158.5671500000001</v>
      </c>
      <c r="H104" s="113" t="str">
        <f t="shared" si="3"/>
        <v>SITUS</v>
      </c>
      <c r="I104" s="117" t="str">
        <f>INDEX('BOOKDEPR Lookup'!$I:$I,MATCH('BOOKDEPR Jun22data'!$A104,'BOOKDEPR Lookup'!$A:$A,0))</f>
        <v>DPW</v>
      </c>
      <c r="J104" s="117" t="str">
        <f>IF('BOOKDEPR Jun22data'!$G104=0,"NO",IF(ISNA('BOOKDEPR Jun22data'!$I104),"YES",IF(_xlfn.ISFORMULA('BOOKDEPR Jun22data'!$I104),"NO","YES")))</f>
        <v>NO</v>
      </c>
      <c r="K104"/>
    </row>
    <row r="105" spans="1:11">
      <c r="A105" s="114" t="str">
        <f t="shared" si="2"/>
        <v>4030000DEPN EXPENSE-ELECT3610000STRUCTURES &amp; IMPROVEMENTSSITUS</v>
      </c>
      <c r="B105" s="126" t="s">
        <v>1890</v>
      </c>
      <c r="C105" s="127" t="s">
        <v>1612</v>
      </c>
      <c r="D105" s="126" t="s">
        <v>1935</v>
      </c>
      <c r="E105" s="128" t="s">
        <v>1635</v>
      </c>
      <c r="F105" s="127" t="s">
        <v>367</v>
      </c>
      <c r="G105" s="136">
        <v>124.51891000000001</v>
      </c>
      <c r="H105" s="113" t="str">
        <f t="shared" si="3"/>
        <v>SITUS</v>
      </c>
      <c r="I105" s="117" t="str">
        <f>INDEX('BOOKDEPR Lookup'!$I:$I,MATCH('BOOKDEPR Jun22data'!$A105,'BOOKDEPR Lookup'!$A:$A,0))</f>
        <v>DPW</v>
      </c>
      <c r="J105" s="117" t="str">
        <f>IF('BOOKDEPR Jun22data'!$G105=0,"NO",IF(ISNA('BOOKDEPR Jun22data'!$I105),"YES",IF(_xlfn.ISFORMULA('BOOKDEPR Jun22data'!$I105),"NO","YES")))</f>
        <v>NO</v>
      </c>
      <c r="K105"/>
    </row>
    <row r="106" spans="1:11">
      <c r="A106" s="114" t="str">
        <f t="shared" si="2"/>
        <v>4030000DEPN EXPENSE-ELECT3610000STRUCTURES &amp; IMPROVEMENTSSITUS</v>
      </c>
      <c r="B106" s="126" t="s">
        <v>1890</v>
      </c>
      <c r="C106" s="127" t="s">
        <v>1612</v>
      </c>
      <c r="D106" s="126" t="s">
        <v>1935</v>
      </c>
      <c r="E106" s="128" t="s">
        <v>1635</v>
      </c>
      <c r="F106" s="127" t="s">
        <v>386</v>
      </c>
      <c r="G106" s="136">
        <v>252.05607000000001</v>
      </c>
      <c r="H106" s="113" t="str">
        <f t="shared" si="3"/>
        <v>SITUS</v>
      </c>
      <c r="I106" s="117" t="str">
        <f>INDEX('BOOKDEPR Lookup'!$I:$I,MATCH('BOOKDEPR Jun22data'!$A106,'BOOKDEPR Lookup'!$A:$A,0))</f>
        <v>DPW</v>
      </c>
      <c r="J106" s="117" t="str">
        <f>IF('BOOKDEPR Jun22data'!$G106=0,"NO",IF(ISNA('BOOKDEPR Jun22data'!$I106),"YES",IF(_xlfn.ISFORMULA('BOOKDEPR Jun22data'!$I106),"NO","YES")))</f>
        <v>NO</v>
      </c>
      <c r="K106"/>
    </row>
    <row r="107" spans="1:11">
      <c r="A107" s="114" t="str">
        <f t="shared" si="2"/>
        <v>4030000DEPN EXPENSE-ELECT3610000STRUCTURES &amp; IMPROVEMENTSSITUS</v>
      </c>
      <c r="B107" s="126" t="s">
        <v>1890</v>
      </c>
      <c r="C107" s="127" t="s">
        <v>1612</v>
      </c>
      <c r="D107" s="126" t="s">
        <v>1935</v>
      </c>
      <c r="E107" s="128" t="s">
        <v>1635</v>
      </c>
      <c r="F107" s="127" t="s">
        <v>378</v>
      </c>
      <c r="G107" s="136">
        <v>79.474900000000005</v>
      </c>
      <c r="H107" s="113" t="str">
        <f t="shared" si="3"/>
        <v>SITUS</v>
      </c>
      <c r="I107" s="117" t="str">
        <f>INDEX('BOOKDEPR Lookup'!$I:$I,MATCH('BOOKDEPR Jun22data'!$A107,'BOOKDEPR Lookup'!$A:$A,0))</f>
        <v>DPW</v>
      </c>
      <c r="J107" s="117" t="str">
        <f>IF('BOOKDEPR Jun22data'!$G107=0,"NO",IF(ISNA('BOOKDEPR Jun22data'!$I107),"YES",IF(_xlfn.ISFORMULA('BOOKDEPR Jun22data'!$I107),"NO","YES")))</f>
        <v>NO</v>
      </c>
      <c r="K107"/>
    </row>
    <row r="108" spans="1:11">
      <c r="A108" s="114" t="str">
        <f t="shared" si="2"/>
        <v>4030000DEPN EXPENSE-ELECT3620000STATION EQUIPMENTSITUS</v>
      </c>
      <c r="B108" s="126" t="s">
        <v>1890</v>
      </c>
      <c r="C108" s="127" t="s">
        <v>1612</v>
      </c>
      <c r="D108" s="126" t="s">
        <v>1936</v>
      </c>
      <c r="E108" s="128" t="s">
        <v>1640</v>
      </c>
      <c r="F108" s="127" t="s">
        <v>387</v>
      </c>
      <c r="G108" s="136">
        <v>744.15493000000004</v>
      </c>
      <c r="H108" s="113" t="str">
        <f t="shared" si="3"/>
        <v>SITUS</v>
      </c>
      <c r="I108" s="117" t="str">
        <f>INDEX('BOOKDEPR Lookup'!$I:$I,MATCH('BOOKDEPR Jun22data'!$A108,'BOOKDEPR Lookup'!$A:$A,0))</f>
        <v>DPW</v>
      </c>
      <c r="J108" s="117" t="str">
        <f>IF('BOOKDEPR Jun22data'!$G108=0,"NO",IF(ISNA('BOOKDEPR Jun22data'!$I108),"YES",IF(_xlfn.ISFORMULA('BOOKDEPR Jun22data'!$I108),"NO","YES")))</f>
        <v>NO</v>
      </c>
      <c r="K108"/>
    </row>
    <row r="109" spans="1:11">
      <c r="A109" s="114" t="str">
        <f t="shared" si="2"/>
        <v>4030000DEPN EXPENSE-ELECT3620000STATION EQUIPMENTSITUS</v>
      </c>
      <c r="B109" s="126" t="s">
        <v>1890</v>
      </c>
      <c r="C109" s="127" t="s">
        <v>1612</v>
      </c>
      <c r="D109" s="126" t="s">
        <v>1936</v>
      </c>
      <c r="E109" s="128" t="s">
        <v>1640</v>
      </c>
      <c r="F109" s="127" t="s">
        <v>372</v>
      </c>
      <c r="G109" s="136">
        <v>790.78873999999996</v>
      </c>
      <c r="H109" s="113" t="str">
        <f t="shared" si="3"/>
        <v>SITUS</v>
      </c>
      <c r="I109" s="117" t="str">
        <f>INDEX('BOOKDEPR Lookup'!$I:$I,MATCH('BOOKDEPR Jun22data'!$A109,'BOOKDEPR Lookup'!$A:$A,0))</f>
        <v>DPW</v>
      </c>
      <c r="J109" s="117" t="str">
        <f>IF('BOOKDEPR Jun22data'!$G109=0,"NO",IF(ISNA('BOOKDEPR Jun22data'!$I109),"YES",IF(_xlfn.ISFORMULA('BOOKDEPR Jun22data'!$I109),"NO","YES")))</f>
        <v>NO</v>
      </c>
      <c r="K109"/>
    </row>
    <row r="110" spans="1:11">
      <c r="A110" s="114" t="str">
        <f t="shared" si="2"/>
        <v>4030000DEPN EXPENSE-ELECT3620000STATION EQUIPMENTSITUS</v>
      </c>
      <c r="B110" s="126" t="s">
        <v>1890</v>
      </c>
      <c r="C110" s="127" t="s">
        <v>1612</v>
      </c>
      <c r="D110" s="126" t="s">
        <v>1936</v>
      </c>
      <c r="E110" s="128" t="s">
        <v>1640</v>
      </c>
      <c r="F110" s="127" t="s">
        <v>343</v>
      </c>
      <c r="G110" s="136">
        <v>5421.3118599999998</v>
      </c>
      <c r="H110" s="113" t="str">
        <f t="shared" si="3"/>
        <v>SITUS</v>
      </c>
      <c r="I110" s="117" t="str">
        <f>INDEX('BOOKDEPR Lookup'!$I:$I,MATCH('BOOKDEPR Jun22data'!$A110,'BOOKDEPR Lookup'!$A:$A,0))</f>
        <v>DPW</v>
      </c>
      <c r="J110" s="117" t="str">
        <f>IF('BOOKDEPR Jun22data'!$G110=0,"NO",IF(ISNA('BOOKDEPR Jun22data'!$I110),"YES",IF(_xlfn.ISFORMULA('BOOKDEPR Jun22data'!$I110),"NO","YES")))</f>
        <v>NO</v>
      </c>
      <c r="K110"/>
    </row>
    <row r="111" spans="1:11">
      <c r="A111" s="114" t="str">
        <f t="shared" si="2"/>
        <v>4030000DEPN EXPENSE-ELECT3620000STATION EQUIPMENTSITUS</v>
      </c>
      <c r="B111" s="126" t="s">
        <v>1890</v>
      </c>
      <c r="C111" s="127" t="s">
        <v>1612</v>
      </c>
      <c r="D111" s="126" t="s">
        <v>1936</v>
      </c>
      <c r="E111" s="128" t="s">
        <v>1640</v>
      </c>
      <c r="F111" s="127" t="s">
        <v>370</v>
      </c>
      <c r="G111" s="136">
        <v>11767.103719999999</v>
      </c>
      <c r="H111" s="113" t="str">
        <f t="shared" si="3"/>
        <v>SITUS</v>
      </c>
      <c r="I111" s="117" t="str">
        <f>INDEX('BOOKDEPR Lookup'!$I:$I,MATCH('BOOKDEPR Jun22data'!$A111,'BOOKDEPR Lookup'!$A:$A,0))</f>
        <v>DPW</v>
      </c>
      <c r="J111" s="117" t="str">
        <f>IF('BOOKDEPR Jun22data'!$G111=0,"NO",IF(ISNA('BOOKDEPR Jun22data'!$I111),"YES",IF(_xlfn.ISFORMULA('BOOKDEPR Jun22data'!$I111),"NO","YES")))</f>
        <v>NO</v>
      </c>
      <c r="K111"/>
    </row>
    <row r="112" spans="1:11">
      <c r="A112" s="114" t="str">
        <f t="shared" si="2"/>
        <v>4030000DEPN EXPENSE-ELECT3620000STATION EQUIPMENTSITUS</v>
      </c>
      <c r="B112" s="126" t="s">
        <v>1890</v>
      </c>
      <c r="C112" s="127" t="s">
        <v>1612</v>
      </c>
      <c r="D112" s="126" t="s">
        <v>1936</v>
      </c>
      <c r="E112" s="128" t="s">
        <v>1640</v>
      </c>
      <c r="F112" s="127" t="s">
        <v>367</v>
      </c>
      <c r="G112" s="136">
        <v>1834.82158</v>
      </c>
      <c r="H112" s="113" t="str">
        <f t="shared" si="3"/>
        <v>SITUS</v>
      </c>
      <c r="I112" s="117" t="str">
        <f>INDEX('BOOKDEPR Lookup'!$I:$I,MATCH('BOOKDEPR Jun22data'!$A112,'BOOKDEPR Lookup'!$A:$A,0))</f>
        <v>DPW</v>
      </c>
      <c r="J112" s="117" t="str">
        <f>IF('BOOKDEPR Jun22data'!$G112=0,"NO",IF(ISNA('BOOKDEPR Jun22data'!$I112),"YES",IF(_xlfn.ISFORMULA('BOOKDEPR Jun22data'!$I112),"NO","YES")))</f>
        <v>NO</v>
      </c>
      <c r="K112"/>
    </row>
    <row r="113" spans="1:11">
      <c r="A113" s="114" t="str">
        <f t="shared" si="2"/>
        <v>4030000DEPN EXPENSE-ELECT3620000STATION EQUIPMENTSITUS</v>
      </c>
      <c r="B113" s="126" t="s">
        <v>1890</v>
      </c>
      <c r="C113" s="127" t="s">
        <v>1612</v>
      </c>
      <c r="D113" s="126" t="s">
        <v>1936</v>
      </c>
      <c r="E113" s="128" t="s">
        <v>1640</v>
      </c>
      <c r="F113" s="127" t="s">
        <v>386</v>
      </c>
      <c r="G113" s="136">
        <v>2342.3200999999999</v>
      </c>
      <c r="H113" s="113" t="str">
        <f t="shared" si="3"/>
        <v>SITUS</v>
      </c>
      <c r="I113" s="117" t="str">
        <f>INDEX('BOOKDEPR Lookup'!$I:$I,MATCH('BOOKDEPR Jun22data'!$A113,'BOOKDEPR Lookup'!$A:$A,0))</f>
        <v>DPW</v>
      </c>
      <c r="J113" s="117" t="str">
        <f>IF('BOOKDEPR Jun22data'!$G113=0,"NO",IF(ISNA('BOOKDEPR Jun22data'!$I113),"YES",IF(_xlfn.ISFORMULA('BOOKDEPR Jun22data'!$I113),"NO","YES")))</f>
        <v>NO</v>
      </c>
      <c r="K113"/>
    </row>
    <row r="114" spans="1:11">
      <c r="A114" s="114" t="str">
        <f t="shared" si="2"/>
        <v>4030000DEPN EXPENSE-ELECT3620000STATION EQUIPMENTSITUS</v>
      </c>
      <c r="B114" s="126" t="s">
        <v>1890</v>
      </c>
      <c r="C114" s="127" t="s">
        <v>1612</v>
      </c>
      <c r="D114" s="126" t="s">
        <v>1936</v>
      </c>
      <c r="E114" s="128" t="s">
        <v>1640</v>
      </c>
      <c r="F114" s="127" t="s">
        <v>378</v>
      </c>
      <c r="G114" s="136">
        <v>355.97656999999998</v>
      </c>
      <c r="H114" s="113" t="str">
        <f t="shared" si="3"/>
        <v>SITUS</v>
      </c>
      <c r="I114" s="117" t="str">
        <f>INDEX('BOOKDEPR Lookup'!$I:$I,MATCH('BOOKDEPR Jun22data'!$A114,'BOOKDEPR Lookup'!$A:$A,0))</f>
        <v>DPW</v>
      </c>
      <c r="J114" s="117" t="str">
        <f>IF('BOOKDEPR Jun22data'!$G114=0,"NO",IF(ISNA('BOOKDEPR Jun22data'!$I114),"YES",IF(_xlfn.ISFORMULA('BOOKDEPR Jun22data'!$I114),"NO","YES")))</f>
        <v>NO</v>
      </c>
      <c r="K114"/>
    </row>
    <row r="115" spans="1:11">
      <c r="A115" s="114" t="str">
        <f t="shared" si="2"/>
        <v>4030000DEPN EXPENSE-ELECT3627000STATION EQUIPMENT-SUPERVISORY &amp; ALARMSITUS</v>
      </c>
      <c r="B115" s="126" t="s">
        <v>1890</v>
      </c>
      <c r="C115" s="127" t="s">
        <v>1612</v>
      </c>
      <c r="D115" s="126" t="s">
        <v>1937</v>
      </c>
      <c r="E115" s="128" t="s">
        <v>1642</v>
      </c>
      <c r="F115" s="127" t="s">
        <v>387</v>
      </c>
      <c r="G115" s="136">
        <v>10.13123</v>
      </c>
      <c r="H115" s="113" t="str">
        <f t="shared" si="3"/>
        <v>SITUS</v>
      </c>
      <c r="I115" s="117" t="str">
        <f>INDEX('BOOKDEPR Lookup'!$I:$I,MATCH('BOOKDEPR Jun22data'!$A115,'BOOKDEPR Lookup'!$A:$A,0))</f>
        <v>DPW</v>
      </c>
      <c r="J115" s="117" t="str">
        <f>IF('BOOKDEPR Jun22data'!$G115=0,"NO",IF(ISNA('BOOKDEPR Jun22data'!$I115),"YES",IF(_xlfn.ISFORMULA('BOOKDEPR Jun22data'!$I115),"NO","YES")))</f>
        <v>NO</v>
      </c>
      <c r="K115"/>
    </row>
    <row r="116" spans="1:11">
      <c r="A116" s="114" t="str">
        <f t="shared" si="2"/>
        <v>4030000DEPN EXPENSE-ELECT3627000STATION EQUIPMENT-SUPERVISORY &amp; ALARMSITUS</v>
      </c>
      <c r="B116" s="126" t="s">
        <v>1890</v>
      </c>
      <c r="C116" s="127" t="s">
        <v>1612</v>
      </c>
      <c r="D116" s="126" t="s">
        <v>1937</v>
      </c>
      <c r="E116" s="128" t="s">
        <v>1642</v>
      </c>
      <c r="F116" s="127" t="s">
        <v>372</v>
      </c>
      <c r="G116" s="136">
        <v>11.2963</v>
      </c>
      <c r="H116" s="113" t="str">
        <f t="shared" si="3"/>
        <v>SITUS</v>
      </c>
      <c r="I116" s="117" t="str">
        <f>INDEX('BOOKDEPR Lookup'!$I:$I,MATCH('BOOKDEPR Jun22data'!$A116,'BOOKDEPR Lookup'!$A:$A,0))</f>
        <v>DPW</v>
      </c>
      <c r="J116" s="117" t="str">
        <f>IF('BOOKDEPR Jun22data'!$G116=0,"NO",IF(ISNA('BOOKDEPR Jun22data'!$I116),"YES",IF(_xlfn.ISFORMULA('BOOKDEPR Jun22data'!$I116),"NO","YES")))</f>
        <v>NO</v>
      </c>
      <c r="K116"/>
    </row>
    <row r="117" spans="1:11">
      <c r="A117" s="114" t="str">
        <f t="shared" si="2"/>
        <v>4030000DEPN EXPENSE-ELECT3627000STATION EQUIPMENT-SUPERVISORY &amp; ALARMSITUS</v>
      </c>
      <c r="B117" s="126" t="s">
        <v>1890</v>
      </c>
      <c r="C117" s="127" t="s">
        <v>1612</v>
      </c>
      <c r="D117" s="126" t="s">
        <v>1937</v>
      </c>
      <c r="E117" s="128" t="s">
        <v>1642</v>
      </c>
      <c r="F117" s="127" t="s">
        <v>343</v>
      </c>
      <c r="G117" s="136">
        <v>86.094899999999996</v>
      </c>
      <c r="H117" s="113" t="str">
        <f t="shared" si="3"/>
        <v>SITUS</v>
      </c>
      <c r="I117" s="117" t="str">
        <f>INDEX('BOOKDEPR Lookup'!$I:$I,MATCH('BOOKDEPR Jun22data'!$A117,'BOOKDEPR Lookup'!$A:$A,0))</f>
        <v>DPW</v>
      </c>
      <c r="J117" s="117" t="str">
        <f>IF('BOOKDEPR Jun22data'!$G117=0,"NO",IF(ISNA('BOOKDEPR Jun22data'!$I117),"YES",IF(_xlfn.ISFORMULA('BOOKDEPR Jun22data'!$I117),"NO","YES")))</f>
        <v>NO</v>
      </c>
      <c r="K117"/>
    </row>
    <row r="118" spans="1:11">
      <c r="A118" s="114" t="str">
        <f t="shared" si="2"/>
        <v>4030000DEPN EXPENSE-ELECT3627000STATION EQUIPMENT-SUPERVISORY &amp; ALARMSITUS</v>
      </c>
      <c r="B118" s="126" t="s">
        <v>1890</v>
      </c>
      <c r="C118" s="127" t="s">
        <v>1612</v>
      </c>
      <c r="D118" s="126" t="s">
        <v>1937</v>
      </c>
      <c r="E118" s="128" t="s">
        <v>1642</v>
      </c>
      <c r="F118" s="127" t="s">
        <v>370</v>
      </c>
      <c r="G118" s="136">
        <v>170.59217000000001</v>
      </c>
      <c r="H118" s="113" t="str">
        <f t="shared" si="3"/>
        <v>SITUS</v>
      </c>
      <c r="I118" s="117" t="str">
        <f>INDEX('BOOKDEPR Lookup'!$I:$I,MATCH('BOOKDEPR Jun22data'!$A118,'BOOKDEPR Lookup'!$A:$A,0))</f>
        <v>DPW</v>
      </c>
      <c r="J118" s="117" t="str">
        <f>IF('BOOKDEPR Jun22data'!$G118=0,"NO",IF(ISNA('BOOKDEPR Jun22data'!$I118),"YES",IF(_xlfn.ISFORMULA('BOOKDEPR Jun22data'!$I118),"NO","YES")))</f>
        <v>NO</v>
      </c>
      <c r="K118"/>
    </row>
    <row r="119" spans="1:11">
      <c r="A119" s="114" t="str">
        <f t="shared" si="2"/>
        <v>4030000DEPN EXPENSE-ELECT3627000STATION EQUIPMENT-SUPERVISORY &amp; ALARMSITUS</v>
      </c>
      <c r="B119" s="126" t="s">
        <v>1890</v>
      </c>
      <c r="C119" s="127" t="s">
        <v>1612</v>
      </c>
      <c r="D119" s="126" t="s">
        <v>1937</v>
      </c>
      <c r="E119" s="128" t="s">
        <v>1642</v>
      </c>
      <c r="F119" s="127" t="s">
        <v>367</v>
      </c>
      <c r="G119" s="136">
        <v>31.716740000000001</v>
      </c>
      <c r="H119" s="113" t="str">
        <f t="shared" si="3"/>
        <v>SITUS</v>
      </c>
      <c r="I119" s="117" t="str">
        <f>INDEX('BOOKDEPR Lookup'!$I:$I,MATCH('BOOKDEPR Jun22data'!$A119,'BOOKDEPR Lookup'!$A:$A,0))</f>
        <v>DPW</v>
      </c>
      <c r="J119" s="117" t="str">
        <f>IF('BOOKDEPR Jun22data'!$G119=0,"NO",IF(ISNA('BOOKDEPR Jun22data'!$I119),"YES",IF(_xlfn.ISFORMULA('BOOKDEPR Jun22data'!$I119),"NO","YES")))</f>
        <v>NO</v>
      </c>
      <c r="K119"/>
    </row>
    <row r="120" spans="1:11">
      <c r="A120" s="114" t="str">
        <f t="shared" si="2"/>
        <v>4030000DEPN EXPENSE-ELECT3627000STATION EQUIPMENT-SUPERVISORY &amp; ALARMSITUS</v>
      </c>
      <c r="B120" s="126" t="s">
        <v>1890</v>
      </c>
      <c r="C120" s="127" t="s">
        <v>1612</v>
      </c>
      <c r="D120" s="126" t="s">
        <v>1937</v>
      </c>
      <c r="E120" s="128" t="s">
        <v>1642</v>
      </c>
      <c r="F120" s="127" t="s">
        <v>386</v>
      </c>
      <c r="G120" s="136">
        <v>37.048589999999997</v>
      </c>
      <c r="H120" s="113" t="str">
        <f t="shared" si="3"/>
        <v>SITUS</v>
      </c>
      <c r="I120" s="117" t="str">
        <f>INDEX('BOOKDEPR Lookup'!$I:$I,MATCH('BOOKDEPR Jun22data'!$A120,'BOOKDEPR Lookup'!$A:$A,0))</f>
        <v>DPW</v>
      </c>
      <c r="J120" s="117" t="str">
        <f>IF('BOOKDEPR Jun22data'!$G120=0,"NO",IF(ISNA('BOOKDEPR Jun22data'!$I120),"YES",IF(_xlfn.ISFORMULA('BOOKDEPR Jun22data'!$I120),"NO","YES")))</f>
        <v>NO</v>
      </c>
      <c r="K120"/>
    </row>
    <row r="121" spans="1:11">
      <c r="A121" s="114" t="str">
        <f t="shared" si="2"/>
        <v>4030000DEPN EXPENSE-ELECT3627000STATION EQUIPMENT-SUPERVISORY &amp; ALARMSITUS</v>
      </c>
      <c r="B121" s="126" t="s">
        <v>1890</v>
      </c>
      <c r="C121" s="127" t="s">
        <v>1612</v>
      </c>
      <c r="D121" s="126" t="s">
        <v>1937</v>
      </c>
      <c r="E121" s="128" t="s">
        <v>1642</v>
      </c>
      <c r="F121" s="127" t="s">
        <v>378</v>
      </c>
      <c r="G121" s="136">
        <v>5.3308400000000002</v>
      </c>
      <c r="H121" s="113" t="str">
        <f t="shared" si="3"/>
        <v>SITUS</v>
      </c>
      <c r="I121" s="117" t="str">
        <f>INDEX('BOOKDEPR Lookup'!$I:$I,MATCH('BOOKDEPR Jun22data'!$A121,'BOOKDEPR Lookup'!$A:$A,0))</f>
        <v>DPW</v>
      </c>
      <c r="J121" s="117" t="str">
        <f>IF('BOOKDEPR Jun22data'!$G121=0,"NO",IF(ISNA('BOOKDEPR Jun22data'!$I121),"YES",IF(_xlfn.ISFORMULA('BOOKDEPR Jun22data'!$I121),"NO","YES")))</f>
        <v>NO</v>
      </c>
      <c r="K121"/>
    </row>
    <row r="122" spans="1:11">
      <c r="A122" s="114" t="str">
        <f t="shared" si="2"/>
        <v>4030000DEPN EXPENSE-ELECT3640000"POLES, TOWERS AND FIXTURES"SITUS</v>
      </c>
      <c r="B122" s="126" t="s">
        <v>1890</v>
      </c>
      <c r="C122" s="127" t="s">
        <v>1612</v>
      </c>
      <c r="D122" s="126" t="s">
        <v>1938</v>
      </c>
      <c r="E122" s="128" t="s">
        <v>1649</v>
      </c>
      <c r="F122" s="127" t="s">
        <v>387</v>
      </c>
      <c r="G122" s="136">
        <v>3086.0681399999999</v>
      </c>
      <c r="H122" s="113" t="str">
        <f t="shared" si="3"/>
        <v>SITUS</v>
      </c>
      <c r="I122" s="117" t="str">
        <f>INDEX('BOOKDEPR Lookup'!$I:$I,MATCH('BOOKDEPR Jun22data'!$A122,'BOOKDEPR Lookup'!$A:$A,0))</f>
        <v>DPW</v>
      </c>
      <c r="J122" s="117" t="str">
        <f>IF('BOOKDEPR Jun22data'!$G122=0,"NO",IF(ISNA('BOOKDEPR Jun22data'!$I122),"YES",IF(_xlfn.ISFORMULA('BOOKDEPR Jun22data'!$I122),"NO","YES")))</f>
        <v>NO</v>
      </c>
      <c r="K122"/>
    </row>
    <row r="123" spans="1:11">
      <c r="A123" s="114" t="str">
        <f t="shared" si="2"/>
        <v>4030000DEPN EXPENSE-ELECT3640000"POLES, TOWERS AND FIXTURES"SITUS</v>
      </c>
      <c r="B123" s="126" t="s">
        <v>1890</v>
      </c>
      <c r="C123" s="127" t="s">
        <v>1612</v>
      </c>
      <c r="D123" s="126" t="s">
        <v>1938</v>
      </c>
      <c r="E123" s="128" t="s">
        <v>1649</v>
      </c>
      <c r="F123" s="127" t="s">
        <v>372</v>
      </c>
      <c r="G123" s="136">
        <v>3505.3616699999998</v>
      </c>
      <c r="H123" s="113" t="str">
        <f t="shared" si="3"/>
        <v>SITUS</v>
      </c>
      <c r="I123" s="117" t="str">
        <f>INDEX('BOOKDEPR Lookup'!$I:$I,MATCH('BOOKDEPR Jun22data'!$A123,'BOOKDEPR Lookup'!$A:$A,0))</f>
        <v>DPW</v>
      </c>
      <c r="J123" s="117" t="str">
        <f>IF('BOOKDEPR Jun22data'!$G123=0,"NO",IF(ISNA('BOOKDEPR Jun22data'!$I123),"YES",IF(_xlfn.ISFORMULA('BOOKDEPR Jun22data'!$I123),"NO","YES")))</f>
        <v>NO</v>
      </c>
      <c r="K123"/>
    </row>
    <row r="124" spans="1:11">
      <c r="A124" s="114" t="str">
        <f t="shared" si="2"/>
        <v>4030000DEPN EXPENSE-ELECT3640000"POLES, TOWERS AND FIXTURES"SITUS</v>
      </c>
      <c r="B124" s="126" t="s">
        <v>1890</v>
      </c>
      <c r="C124" s="127" t="s">
        <v>1612</v>
      </c>
      <c r="D124" s="126" t="s">
        <v>1938</v>
      </c>
      <c r="E124" s="128" t="s">
        <v>1649</v>
      </c>
      <c r="F124" s="127" t="s">
        <v>343</v>
      </c>
      <c r="G124" s="136">
        <v>15114.73738</v>
      </c>
      <c r="H124" s="113" t="str">
        <f t="shared" si="3"/>
        <v>SITUS</v>
      </c>
      <c r="I124" s="117" t="str">
        <f>INDEX('BOOKDEPR Lookup'!$I:$I,MATCH('BOOKDEPR Jun22data'!$A124,'BOOKDEPR Lookup'!$A:$A,0))</f>
        <v>DPW</v>
      </c>
      <c r="J124" s="117" t="str">
        <f>IF('BOOKDEPR Jun22data'!$G124=0,"NO",IF(ISNA('BOOKDEPR Jun22data'!$I124),"YES",IF(_xlfn.ISFORMULA('BOOKDEPR Jun22data'!$I124),"NO","YES")))</f>
        <v>NO</v>
      </c>
      <c r="K124"/>
    </row>
    <row r="125" spans="1:11">
      <c r="A125" s="114" t="str">
        <f t="shared" si="2"/>
        <v>4030000DEPN EXPENSE-ELECT3640000"POLES, TOWERS AND FIXTURES"SITUS</v>
      </c>
      <c r="B125" s="126" t="s">
        <v>1890</v>
      </c>
      <c r="C125" s="127" t="s">
        <v>1612</v>
      </c>
      <c r="D125" s="126" t="s">
        <v>1938</v>
      </c>
      <c r="E125" s="128" t="s">
        <v>1649</v>
      </c>
      <c r="F125" s="127" t="s">
        <v>370</v>
      </c>
      <c r="G125" s="136">
        <v>16074.90337</v>
      </c>
      <c r="H125" s="113" t="str">
        <f t="shared" si="3"/>
        <v>SITUS</v>
      </c>
      <c r="I125" s="117" t="str">
        <f>INDEX('BOOKDEPR Lookup'!$I:$I,MATCH('BOOKDEPR Jun22data'!$A125,'BOOKDEPR Lookup'!$A:$A,0))</f>
        <v>DPW</v>
      </c>
      <c r="J125" s="117" t="str">
        <f>IF('BOOKDEPR Jun22data'!$G125=0,"NO",IF(ISNA('BOOKDEPR Jun22data'!$I125),"YES",IF(_xlfn.ISFORMULA('BOOKDEPR Jun22data'!$I125),"NO","YES")))</f>
        <v>NO</v>
      </c>
      <c r="K125"/>
    </row>
    <row r="126" spans="1:11">
      <c r="A126" s="114" t="str">
        <f t="shared" si="2"/>
        <v>4030000DEPN EXPENSE-ELECT3640000"POLES, TOWERS AND FIXTURES"SITUS</v>
      </c>
      <c r="B126" s="126" t="s">
        <v>1890</v>
      </c>
      <c r="C126" s="127" t="s">
        <v>1612</v>
      </c>
      <c r="D126" s="126" t="s">
        <v>1938</v>
      </c>
      <c r="E126" s="128" t="s">
        <v>1649</v>
      </c>
      <c r="F126" s="127" t="s">
        <v>367</v>
      </c>
      <c r="G126" s="136">
        <v>4052.9453199999998</v>
      </c>
      <c r="H126" s="113" t="str">
        <f t="shared" si="3"/>
        <v>SITUS</v>
      </c>
      <c r="I126" s="117" t="str">
        <f>INDEX('BOOKDEPR Lookup'!$I:$I,MATCH('BOOKDEPR Jun22data'!$A126,'BOOKDEPR Lookup'!$A:$A,0))</f>
        <v>DPW</v>
      </c>
      <c r="J126" s="117" t="str">
        <f>IF('BOOKDEPR Jun22data'!$G126=0,"NO",IF(ISNA('BOOKDEPR Jun22data'!$I126),"YES",IF(_xlfn.ISFORMULA('BOOKDEPR Jun22data'!$I126),"NO","YES")))</f>
        <v>NO</v>
      </c>
      <c r="K126"/>
    </row>
    <row r="127" spans="1:11">
      <c r="A127" s="114" t="str">
        <f t="shared" si="2"/>
        <v>4030000DEPN EXPENSE-ELECT3640000"POLES, TOWERS AND FIXTURES"SITUS</v>
      </c>
      <c r="B127" s="126" t="s">
        <v>1890</v>
      </c>
      <c r="C127" s="127" t="s">
        <v>1612</v>
      </c>
      <c r="D127" s="126" t="s">
        <v>1938</v>
      </c>
      <c r="E127" s="128" t="s">
        <v>1649</v>
      </c>
      <c r="F127" s="127" t="s">
        <v>386</v>
      </c>
      <c r="G127" s="136">
        <v>5065.7698</v>
      </c>
      <c r="H127" s="113" t="str">
        <f t="shared" si="3"/>
        <v>SITUS</v>
      </c>
      <c r="I127" s="117" t="str">
        <f>INDEX('BOOKDEPR Lookup'!$I:$I,MATCH('BOOKDEPR Jun22data'!$A127,'BOOKDEPR Lookup'!$A:$A,0))</f>
        <v>DPW</v>
      </c>
      <c r="J127" s="117" t="str">
        <f>IF('BOOKDEPR Jun22data'!$G127=0,"NO",IF(ISNA('BOOKDEPR Jun22data'!$I127),"YES",IF(_xlfn.ISFORMULA('BOOKDEPR Jun22data'!$I127),"NO","YES")))</f>
        <v>NO</v>
      </c>
      <c r="K127"/>
    </row>
    <row r="128" spans="1:11">
      <c r="A128" s="114" t="str">
        <f t="shared" si="2"/>
        <v>4030000DEPN EXPENSE-ELECT3640000"POLES, TOWERS AND FIXTURES"SITUS</v>
      </c>
      <c r="B128" s="126" t="s">
        <v>1890</v>
      </c>
      <c r="C128" s="127" t="s">
        <v>1612</v>
      </c>
      <c r="D128" s="126" t="s">
        <v>1938</v>
      </c>
      <c r="E128" s="128" t="s">
        <v>1649</v>
      </c>
      <c r="F128" s="127" t="s">
        <v>378</v>
      </c>
      <c r="G128" s="136">
        <v>1007.05316</v>
      </c>
      <c r="H128" s="113" t="str">
        <f t="shared" si="3"/>
        <v>SITUS</v>
      </c>
      <c r="I128" s="117" t="str">
        <f>INDEX('BOOKDEPR Lookup'!$I:$I,MATCH('BOOKDEPR Jun22data'!$A128,'BOOKDEPR Lookup'!$A:$A,0))</f>
        <v>DPW</v>
      </c>
      <c r="J128" s="117" t="str">
        <f>IF('BOOKDEPR Jun22data'!$G128=0,"NO",IF(ISNA('BOOKDEPR Jun22data'!$I128),"YES",IF(_xlfn.ISFORMULA('BOOKDEPR Jun22data'!$I128),"NO","YES")))</f>
        <v>NO</v>
      </c>
      <c r="K128"/>
    </row>
    <row r="129" spans="1:11">
      <c r="A129" s="114" t="str">
        <f t="shared" si="2"/>
        <v>4030000DEPN EXPENSE-ELECT3650000OVERHEAD CONDUCTORS &amp; DEVICESSITUS</v>
      </c>
      <c r="B129" s="126" t="s">
        <v>1890</v>
      </c>
      <c r="C129" s="127" t="s">
        <v>1612</v>
      </c>
      <c r="D129" s="126" t="s">
        <v>1939</v>
      </c>
      <c r="E129" s="128" t="s">
        <v>1645</v>
      </c>
      <c r="F129" s="127" t="s">
        <v>387</v>
      </c>
      <c r="G129" s="136">
        <v>1031.1304399999999</v>
      </c>
      <c r="H129" s="113" t="str">
        <f t="shared" si="3"/>
        <v>SITUS</v>
      </c>
      <c r="I129" s="117" t="str">
        <f>INDEX('BOOKDEPR Lookup'!$I:$I,MATCH('BOOKDEPR Jun22data'!$A129,'BOOKDEPR Lookup'!$A:$A,0))</f>
        <v>DPW</v>
      </c>
      <c r="J129" s="117" t="str">
        <f>IF('BOOKDEPR Jun22data'!$G129=0,"NO",IF(ISNA('BOOKDEPR Jun22data'!$I129),"YES",IF(_xlfn.ISFORMULA('BOOKDEPR Jun22data'!$I129),"NO","YES")))</f>
        <v>NO</v>
      </c>
      <c r="K129"/>
    </row>
    <row r="130" spans="1:11">
      <c r="A130" s="114" t="str">
        <f t="shared" si="2"/>
        <v>4030000DEPN EXPENSE-ELECT3650000OVERHEAD CONDUCTORS &amp; DEVICESSITUS</v>
      </c>
      <c r="B130" s="126" t="s">
        <v>1890</v>
      </c>
      <c r="C130" s="127" t="s">
        <v>1612</v>
      </c>
      <c r="D130" s="126" t="s">
        <v>1939</v>
      </c>
      <c r="E130" s="128" t="s">
        <v>1645</v>
      </c>
      <c r="F130" s="127" t="s">
        <v>372</v>
      </c>
      <c r="G130" s="136">
        <v>991.82136000000003</v>
      </c>
      <c r="H130" s="113" t="str">
        <f t="shared" si="3"/>
        <v>SITUS</v>
      </c>
      <c r="I130" s="117" t="str">
        <f>INDEX('BOOKDEPR Lookup'!$I:$I,MATCH('BOOKDEPR Jun22data'!$A130,'BOOKDEPR Lookup'!$A:$A,0))</f>
        <v>DPW</v>
      </c>
      <c r="J130" s="117" t="str">
        <f>IF('BOOKDEPR Jun22data'!$G130=0,"NO",IF(ISNA('BOOKDEPR Jun22data'!$I130),"YES",IF(_xlfn.ISFORMULA('BOOKDEPR Jun22data'!$I130),"NO","YES")))</f>
        <v>NO</v>
      </c>
      <c r="K130"/>
    </row>
    <row r="131" spans="1:11">
      <c r="A131" s="114" t="str">
        <f t="shared" ref="A131:A194" si="4">CONCATENATE($B131,$C131,$D131,$E131,$H131)</f>
        <v>4030000DEPN EXPENSE-ELECT3650000OVERHEAD CONDUCTORS &amp; DEVICESSITUS</v>
      </c>
      <c r="B131" s="126" t="s">
        <v>1890</v>
      </c>
      <c r="C131" s="127" t="s">
        <v>1612</v>
      </c>
      <c r="D131" s="126" t="s">
        <v>1939</v>
      </c>
      <c r="E131" s="128" t="s">
        <v>1645</v>
      </c>
      <c r="F131" s="127" t="s">
        <v>343</v>
      </c>
      <c r="G131" s="136">
        <v>6422.1335399999998</v>
      </c>
      <c r="H131" s="113" t="str">
        <f t="shared" ref="H131:H194" si="5">IF(OR(F131="IDU",F131="OR",F131="UT",F131="WYU",F131="WYP",F131="CA",F131="WA"),"SITUS",IF(OR(F131="CAEE",F131="JBE"),"SE",IF(OR(F131="CAGE",F131="CAGW",F131="JBG"),"SG",F131)))</f>
        <v>SITUS</v>
      </c>
      <c r="I131" s="117" t="str">
        <f>INDEX('BOOKDEPR Lookup'!$I:$I,MATCH('BOOKDEPR Jun22data'!$A131,'BOOKDEPR Lookup'!$A:$A,0))</f>
        <v>DPW</v>
      </c>
      <c r="J131" s="117" t="str">
        <f>IF('BOOKDEPR Jun22data'!$G131=0,"NO",IF(ISNA('BOOKDEPR Jun22data'!$I131),"YES",IF(_xlfn.ISFORMULA('BOOKDEPR Jun22data'!$I131),"NO","YES")))</f>
        <v>NO</v>
      </c>
      <c r="K131"/>
    </row>
    <row r="132" spans="1:11">
      <c r="A132" s="114" t="str">
        <f t="shared" si="4"/>
        <v>4030000DEPN EXPENSE-ELECT3650000OVERHEAD CONDUCTORS &amp; DEVICESSITUS</v>
      </c>
      <c r="B132" s="126" t="s">
        <v>1890</v>
      </c>
      <c r="C132" s="127" t="s">
        <v>1612</v>
      </c>
      <c r="D132" s="126" t="s">
        <v>1939</v>
      </c>
      <c r="E132" s="128" t="s">
        <v>1645</v>
      </c>
      <c r="F132" s="127" t="s">
        <v>370</v>
      </c>
      <c r="G132" s="136">
        <v>7088.2111400000003</v>
      </c>
      <c r="H132" s="113" t="str">
        <f t="shared" si="5"/>
        <v>SITUS</v>
      </c>
      <c r="I132" s="117" t="str">
        <f>INDEX('BOOKDEPR Lookup'!$I:$I,MATCH('BOOKDEPR Jun22data'!$A132,'BOOKDEPR Lookup'!$A:$A,0))</f>
        <v>DPW</v>
      </c>
      <c r="J132" s="117" t="str">
        <f>IF('BOOKDEPR Jun22data'!$G132=0,"NO",IF(ISNA('BOOKDEPR Jun22data'!$I132),"YES",IF(_xlfn.ISFORMULA('BOOKDEPR Jun22data'!$I132),"NO","YES")))</f>
        <v>NO</v>
      </c>
      <c r="K132"/>
    </row>
    <row r="133" spans="1:11">
      <c r="A133" s="114" t="str">
        <f t="shared" si="4"/>
        <v>4030000DEPN EXPENSE-ELECT3650000OVERHEAD CONDUCTORS &amp; DEVICESSITUS</v>
      </c>
      <c r="B133" s="126" t="s">
        <v>1890</v>
      </c>
      <c r="C133" s="127" t="s">
        <v>1612</v>
      </c>
      <c r="D133" s="126" t="s">
        <v>1939</v>
      </c>
      <c r="E133" s="128" t="s">
        <v>1645</v>
      </c>
      <c r="F133" s="127" t="s">
        <v>367</v>
      </c>
      <c r="G133" s="136">
        <v>2063.3345599999998</v>
      </c>
      <c r="H133" s="113" t="str">
        <f t="shared" si="5"/>
        <v>SITUS</v>
      </c>
      <c r="I133" s="117" t="str">
        <f>INDEX('BOOKDEPR Lookup'!$I:$I,MATCH('BOOKDEPR Jun22data'!$A133,'BOOKDEPR Lookup'!$A:$A,0))</f>
        <v>DPW</v>
      </c>
      <c r="J133" s="117" t="str">
        <f>IF('BOOKDEPR Jun22data'!$G133=0,"NO",IF(ISNA('BOOKDEPR Jun22data'!$I133),"YES",IF(_xlfn.ISFORMULA('BOOKDEPR Jun22data'!$I133),"NO","YES")))</f>
        <v>NO</v>
      </c>
      <c r="K133"/>
    </row>
    <row r="134" spans="1:11">
      <c r="A134" s="114" t="str">
        <f t="shared" si="4"/>
        <v>4030000DEPN EXPENSE-ELECT3650000OVERHEAD CONDUCTORS &amp; DEVICESSITUS</v>
      </c>
      <c r="B134" s="126" t="s">
        <v>1890</v>
      </c>
      <c r="C134" s="127" t="s">
        <v>1612</v>
      </c>
      <c r="D134" s="126" t="s">
        <v>1939</v>
      </c>
      <c r="E134" s="128" t="s">
        <v>1645</v>
      </c>
      <c r="F134" s="127" t="s">
        <v>386</v>
      </c>
      <c r="G134" s="136">
        <v>2732.4691699999998</v>
      </c>
      <c r="H134" s="113" t="str">
        <f t="shared" si="5"/>
        <v>SITUS</v>
      </c>
      <c r="I134" s="117" t="str">
        <f>INDEX('BOOKDEPR Lookup'!$I:$I,MATCH('BOOKDEPR Jun22data'!$A134,'BOOKDEPR Lookup'!$A:$A,0))</f>
        <v>DPW</v>
      </c>
      <c r="J134" s="117" t="str">
        <f>IF('BOOKDEPR Jun22data'!$G134=0,"NO",IF(ISNA('BOOKDEPR Jun22data'!$I134),"YES",IF(_xlfn.ISFORMULA('BOOKDEPR Jun22data'!$I134),"NO","YES")))</f>
        <v>NO</v>
      </c>
      <c r="K134"/>
    </row>
    <row r="135" spans="1:11">
      <c r="A135" s="114" t="str">
        <f t="shared" si="4"/>
        <v>4030000DEPN EXPENSE-ELECT3650000OVERHEAD CONDUCTORS &amp; DEVICESSITUS</v>
      </c>
      <c r="B135" s="126" t="s">
        <v>1890</v>
      </c>
      <c r="C135" s="127" t="s">
        <v>1612</v>
      </c>
      <c r="D135" s="126" t="s">
        <v>1939</v>
      </c>
      <c r="E135" s="128" t="s">
        <v>1645</v>
      </c>
      <c r="F135" s="127" t="s">
        <v>378</v>
      </c>
      <c r="G135" s="136">
        <v>357.54838999999998</v>
      </c>
      <c r="H135" s="113" t="str">
        <f t="shared" si="5"/>
        <v>SITUS</v>
      </c>
      <c r="I135" s="117" t="str">
        <f>INDEX('BOOKDEPR Lookup'!$I:$I,MATCH('BOOKDEPR Jun22data'!$A135,'BOOKDEPR Lookup'!$A:$A,0))</f>
        <v>DPW</v>
      </c>
      <c r="J135" s="117" t="str">
        <f>IF('BOOKDEPR Jun22data'!$G135=0,"NO",IF(ISNA('BOOKDEPR Jun22data'!$I135),"YES",IF(_xlfn.ISFORMULA('BOOKDEPR Jun22data'!$I135),"NO","YES")))</f>
        <v>NO</v>
      </c>
      <c r="K135"/>
    </row>
    <row r="136" spans="1:11">
      <c r="A136" s="114" t="str">
        <f t="shared" si="4"/>
        <v>4030000DEPN EXPENSE-ELECT3660000UNDERGROUND CONDUITSITUS</v>
      </c>
      <c r="B136" s="126" t="s">
        <v>1890</v>
      </c>
      <c r="C136" s="127" t="s">
        <v>1612</v>
      </c>
      <c r="D136" s="126" t="s">
        <v>1940</v>
      </c>
      <c r="E136" s="128" t="s">
        <v>1646</v>
      </c>
      <c r="F136" s="127" t="s">
        <v>387</v>
      </c>
      <c r="G136" s="136">
        <v>468.26060000000001</v>
      </c>
      <c r="H136" s="113" t="str">
        <f t="shared" si="5"/>
        <v>SITUS</v>
      </c>
      <c r="I136" s="117" t="str">
        <f>INDEX('BOOKDEPR Lookup'!$I:$I,MATCH('BOOKDEPR Jun22data'!$A136,'BOOKDEPR Lookup'!$A:$A,0))</f>
        <v>DPW</v>
      </c>
      <c r="J136" s="117" t="str">
        <f>IF('BOOKDEPR Jun22data'!$G136=0,"NO",IF(ISNA('BOOKDEPR Jun22data'!$I136),"YES",IF(_xlfn.ISFORMULA('BOOKDEPR Jun22data'!$I136),"NO","YES")))</f>
        <v>NO</v>
      </c>
      <c r="K136"/>
    </row>
    <row r="137" spans="1:11">
      <c r="A137" s="114" t="str">
        <f t="shared" si="4"/>
        <v>4030000DEPN EXPENSE-ELECT3660000UNDERGROUND CONDUITSITUS</v>
      </c>
      <c r="B137" s="126" t="s">
        <v>1890</v>
      </c>
      <c r="C137" s="127" t="s">
        <v>1612</v>
      </c>
      <c r="D137" s="126" t="s">
        <v>1940</v>
      </c>
      <c r="E137" s="128" t="s">
        <v>1646</v>
      </c>
      <c r="F137" s="127" t="s">
        <v>372</v>
      </c>
      <c r="G137" s="136">
        <v>283.27992999999998</v>
      </c>
      <c r="H137" s="113" t="str">
        <f t="shared" si="5"/>
        <v>SITUS</v>
      </c>
      <c r="I137" s="117" t="str">
        <f>INDEX('BOOKDEPR Lookup'!$I:$I,MATCH('BOOKDEPR Jun22data'!$A137,'BOOKDEPR Lookup'!$A:$A,0))</f>
        <v>DPW</v>
      </c>
      <c r="J137" s="117" t="str">
        <f>IF('BOOKDEPR Jun22data'!$G137=0,"NO",IF(ISNA('BOOKDEPR Jun22data'!$I137),"YES",IF(_xlfn.ISFORMULA('BOOKDEPR Jun22data'!$I137),"NO","YES")))</f>
        <v>NO</v>
      </c>
      <c r="K137"/>
    </row>
    <row r="138" spans="1:11">
      <c r="A138" s="114" t="str">
        <f t="shared" si="4"/>
        <v>4030000DEPN EXPENSE-ELECT3660000UNDERGROUND CONDUITSITUS</v>
      </c>
      <c r="B138" s="126" t="s">
        <v>1890</v>
      </c>
      <c r="C138" s="127" t="s">
        <v>1612</v>
      </c>
      <c r="D138" s="126" t="s">
        <v>1940</v>
      </c>
      <c r="E138" s="128" t="s">
        <v>1646</v>
      </c>
      <c r="F138" s="127" t="s">
        <v>343</v>
      </c>
      <c r="G138" s="136">
        <v>1965.2358300000001</v>
      </c>
      <c r="H138" s="113" t="str">
        <f t="shared" si="5"/>
        <v>SITUS</v>
      </c>
      <c r="I138" s="117" t="str">
        <f>INDEX('BOOKDEPR Lookup'!$I:$I,MATCH('BOOKDEPR Jun22data'!$A138,'BOOKDEPR Lookup'!$A:$A,0))</f>
        <v>DPW</v>
      </c>
      <c r="J138" s="117" t="str">
        <f>IF('BOOKDEPR Jun22data'!$G138=0,"NO",IF(ISNA('BOOKDEPR Jun22data'!$I138),"YES",IF(_xlfn.ISFORMULA('BOOKDEPR Jun22data'!$I138),"NO","YES")))</f>
        <v>NO</v>
      </c>
      <c r="K138"/>
    </row>
    <row r="139" spans="1:11">
      <c r="A139" s="114" t="str">
        <f t="shared" si="4"/>
        <v>4030000DEPN EXPENSE-ELECT3660000UNDERGROUND CONDUITSITUS</v>
      </c>
      <c r="B139" s="126" t="s">
        <v>1890</v>
      </c>
      <c r="C139" s="127" t="s">
        <v>1612</v>
      </c>
      <c r="D139" s="126" t="s">
        <v>1940</v>
      </c>
      <c r="E139" s="128" t="s">
        <v>1646</v>
      </c>
      <c r="F139" s="127" t="s">
        <v>370</v>
      </c>
      <c r="G139" s="136">
        <v>5650.8513199999998</v>
      </c>
      <c r="H139" s="113" t="str">
        <f t="shared" si="5"/>
        <v>SITUS</v>
      </c>
      <c r="I139" s="117" t="str">
        <f>INDEX('BOOKDEPR Lookup'!$I:$I,MATCH('BOOKDEPR Jun22data'!$A139,'BOOKDEPR Lookup'!$A:$A,0))</f>
        <v>DPW</v>
      </c>
      <c r="J139" s="117" t="str">
        <f>IF('BOOKDEPR Jun22data'!$G139=0,"NO",IF(ISNA('BOOKDEPR Jun22data'!$I139),"YES",IF(_xlfn.ISFORMULA('BOOKDEPR Jun22data'!$I139),"NO","YES")))</f>
        <v>NO</v>
      </c>
      <c r="K139"/>
    </row>
    <row r="140" spans="1:11">
      <c r="A140" s="114" t="str">
        <f t="shared" si="4"/>
        <v>4030000DEPN EXPENSE-ELECT3660000UNDERGROUND CONDUITSITUS</v>
      </c>
      <c r="B140" s="126" t="s">
        <v>1890</v>
      </c>
      <c r="C140" s="127" t="s">
        <v>1612</v>
      </c>
      <c r="D140" s="126" t="s">
        <v>1940</v>
      </c>
      <c r="E140" s="128" t="s">
        <v>1646</v>
      </c>
      <c r="F140" s="127" t="s">
        <v>367</v>
      </c>
      <c r="G140" s="136">
        <v>502.64760999999999</v>
      </c>
      <c r="H140" s="113" t="str">
        <f t="shared" si="5"/>
        <v>SITUS</v>
      </c>
      <c r="I140" s="117" t="str">
        <f>INDEX('BOOKDEPR Lookup'!$I:$I,MATCH('BOOKDEPR Jun22data'!$A140,'BOOKDEPR Lookup'!$A:$A,0))</f>
        <v>DPW</v>
      </c>
      <c r="J140" s="117" t="str">
        <f>IF('BOOKDEPR Jun22data'!$G140=0,"NO",IF(ISNA('BOOKDEPR Jun22data'!$I140),"YES",IF(_xlfn.ISFORMULA('BOOKDEPR Jun22data'!$I140),"NO","YES")))</f>
        <v>NO</v>
      </c>
      <c r="K140"/>
    </row>
    <row r="141" spans="1:11">
      <c r="A141" s="114" t="str">
        <f t="shared" si="4"/>
        <v>4030000DEPN EXPENSE-ELECT3660000UNDERGROUND CONDUITSITUS</v>
      </c>
      <c r="B141" s="126" t="s">
        <v>1890</v>
      </c>
      <c r="C141" s="127" t="s">
        <v>1612</v>
      </c>
      <c r="D141" s="126" t="s">
        <v>1940</v>
      </c>
      <c r="E141" s="128" t="s">
        <v>1646</v>
      </c>
      <c r="F141" s="127" t="s">
        <v>386</v>
      </c>
      <c r="G141" s="136">
        <v>801.02224000000001</v>
      </c>
      <c r="H141" s="113" t="str">
        <f t="shared" si="5"/>
        <v>SITUS</v>
      </c>
      <c r="I141" s="117" t="str">
        <f>INDEX('BOOKDEPR Lookup'!$I:$I,MATCH('BOOKDEPR Jun22data'!$A141,'BOOKDEPR Lookup'!$A:$A,0))</f>
        <v>DPW</v>
      </c>
      <c r="J141" s="117" t="str">
        <f>IF('BOOKDEPR Jun22data'!$G141=0,"NO",IF(ISNA('BOOKDEPR Jun22data'!$I141),"YES",IF(_xlfn.ISFORMULA('BOOKDEPR Jun22data'!$I141),"NO","YES")))</f>
        <v>NO</v>
      </c>
      <c r="K141"/>
    </row>
    <row r="142" spans="1:11">
      <c r="A142" s="114" t="str">
        <f t="shared" si="4"/>
        <v>4030000DEPN EXPENSE-ELECT3660000UNDERGROUND CONDUITSITUS</v>
      </c>
      <c r="B142" s="126" t="s">
        <v>1890</v>
      </c>
      <c r="C142" s="127" t="s">
        <v>1612</v>
      </c>
      <c r="D142" s="126" t="s">
        <v>1940</v>
      </c>
      <c r="E142" s="128" t="s">
        <v>1646</v>
      </c>
      <c r="F142" s="127" t="s">
        <v>378</v>
      </c>
      <c r="G142" s="136">
        <v>148.85269</v>
      </c>
      <c r="H142" s="113" t="str">
        <f t="shared" si="5"/>
        <v>SITUS</v>
      </c>
      <c r="I142" s="117" t="str">
        <f>INDEX('BOOKDEPR Lookup'!$I:$I,MATCH('BOOKDEPR Jun22data'!$A142,'BOOKDEPR Lookup'!$A:$A,0))</f>
        <v>DPW</v>
      </c>
      <c r="J142" s="117" t="str">
        <f>IF('BOOKDEPR Jun22data'!$G142=0,"NO",IF(ISNA('BOOKDEPR Jun22data'!$I142),"YES",IF(_xlfn.ISFORMULA('BOOKDEPR Jun22data'!$I142),"NO","YES")))</f>
        <v>NO</v>
      </c>
      <c r="K142"/>
    </row>
    <row r="143" spans="1:11">
      <c r="A143" s="114" t="str">
        <f t="shared" si="4"/>
        <v>4030000DEPN EXPENSE-ELECT3670000UNDERGROUND CONDUCTORS &amp; DEVICESSITUS</v>
      </c>
      <c r="B143" s="126" t="s">
        <v>1890</v>
      </c>
      <c r="C143" s="127" t="s">
        <v>1612</v>
      </c>
      <c r="D143" s="126" t="s">
        <v>1941</v>
      </c>
      <c r="E143" s="128" t="s">
        <v>1647</v>
      </c>
      <c r="F143" s="127" t="s">
        <v>387</v>
      </c>
      <c r="G143" s="136">
        <v>542.72658000000001</v>
      </c>
      <c r="H143" s="113" t="str">
        <f t="shared" si="5"/>
        <v>SITUS</v>
      </c>
      <c r="I143" s="117" t="str">
        <f>INDEX('BOOKDEPR Lookup'!$I:$I,MATCH('BOOKDEPR Jun22data'!$A143,'BOOKDEPR Lookup'!$A:$A,0))</f>
        <v>DPW</v>
      </c>
      <c r="J143" s="117" t="str">
        <f>IF('BOOKDEPR Jun22data'!$G143=0,"NO",IF(ISNA('BOOKDEPR Jun22data'!$I143),"YES",IF(_xlfn.ISFORMULA('BOOKDEPR Jun22data'!$I143),"NO","YES")))</f>
        <v>NO</v>
      </c>
      <c r="K143"/>
    </row>
    <row r="144" spans="1:11">
      <c r="A144" s="114" t="str">
        <f t="shared" si="4"/>
        <v>4030000DEPN EXPENSE-ELECT3670000UNDERGROUND CONDUCTORS &amp; DEVICESSITUS</v>
      </c>
      <c r="B144" s="126" t="s">
        <v>1890</v>
      </c>
      <c r="C144" s="127" t="s">
        <v>1612</v>
      </c>
      <c r="D144" s="126" t="s">
        <v>1941</v>
      </c>
      <c r="E144" s="128" t="s">
        <v>1647</v>
      </c>
      <c r="F144" s="127" t="s">
        <v>372</v>
      </c>
      <c r="G144" s="136">
        <v>589.02110000000005</v>
      </c>
      <c r="H144" s="113" t="str">
        <f t="shared" si="5"/>
        <v>SITUS</v>
      </c>
      <c r="I144" s="117" t="str">
        <f>INDEX('BOOKDEPR Lookup'!$I:$I,MATCH('BOOKDEPR Jun22data'!$A144,'BOOKDEPR Lookup'!$A:$A,0))</f>
        <v>DPW</v>
      </c>
      <c r="J144" s="117" t="str">
        <f>IF('BOOKDEPR Jun22data'!$G144=0,"NO",IF(ISNA('BOOKDEPR Jun22data'!$I144),"YES",IF(_xlfn.ISFORMULA('BOOKDEPR Jun22data'!$I144),"NO","YES")))</f>
        <v>NO</v>
      </c>
      <c r="K144"/>
    </row>
    <row r="145" spans="1:11">
      <c r="A145" s="114" t="str">
        <f t="shared" si="4"/>
        <v>4030000DEPN EXPENSE-ELECT3670000UNDERGROUND CONDUCTORS &amp; DEVICESSITUS</v>
      </c>
      <c r="B145" s="126" t="s">
        <v>1890</v>
      </c>
      <c r="C145" s="127" t="s">
        <v>1612</v>
      </c>
      <c r="D145" s="126" t="s">
        <v>1941</v>
      </c>
      <c r="E145" s="128" t="s">
        <v>1647</v>
      </c>
      <c r="F145" s="127" t="s">
        <v>343</v>
      </c>
      <c r="G145" s="136">
        <v>4314.4464600000001</v>
      </c>
      <c r="H145" s="113" t="str">
        <f t="shared" si="5"/>
        <v>SITUS</v>
      </c>
      <c r="I145" s="117" t="str">
        <f>INDEX('BOOKDEPR Lookup'!$I:$I,MATCH('BOOKDEPR Jun22data'!$A145,'BOOKDEPR Lookup'!$A:$A,0))</f>
        <v>DPW</v>
      </c>
      <c r="J145" s="117" t="str">
        <f>IF('BOOKDEPR Jun22data'!$G145=0,"NO",IF(ISNA('BOOKDEPR Jun22data'!$I145),"YES",IF(_xlfn.ISFORMULA('BOOKDEPR Jun22data'!$I145),"NO","YES")))</f>
        <v>NO</v>
      </c>
      <c r="K145"/>
    </row>
    <row r="146" spans="1:11">
      <c r="A146" s="114" t="str">
        <f t="shared" si="4"/>
        <v>4030000DEPN EXPENSE-ELECT3670000UNDERGROUND CONDUCTORS &amp; DEVICESSITUS</v>
      </c>
      <c r="B146" s="126" t="s">
        <v>1890</v>
      </c>
      <c r="C146" s="127" t="s">
        <v>1612</v>
      </c>
      <c r="D146" s="126" t="s">
        <v>1941</v>
      </c>
      <c r="E146" s="128" t="s">
        <v>1647</v>
      </c>
      <c r="F146" s="127" t="s">
        <v>370</v>
      </c>
      <c r="G146" s="136">
        <v>12201.37947</v>
      </c>
      <c r="H146" s="113" t="str">
        <f t="shared" si="5"/>
        <v>SITUS</v>
      </c>
      <c r="I146" s="117" t="str">
        <f>INDEX('BOOKDEPR Lookup'!$I:$I,MATCH('BOOKDEPR Jun22data'!$A146,'BOOKDEPR Lookup'!$A:$A,0))</f>
        <v>DPW</v>
      </c>
      <c r="J146" s="117" t="str">
        <f>IF('BOOKDEPR Jun22data'!$G146=0,"NO",IF(ISNA('BOOKDEPR Jun22data'!$I146),"YES",IF(_xlfn.ISFORMULA('BOOKDEPR Jun22data'!$I146),"NO","YES")))</f>
        <v>NO</v>
      </c>
      <c r="K146"/>
    </row>
    <row r="147" spans="1:11">
      <c r="A147" s="114" t="str">
        <f t="shared" si="4"/>
        <v>4030000DEPN EXPENSE-ELECT3670000UNDERGROUND CONDUCTORS &amp; DEVICESSITUS</v>
      </c>
      <c r="B147" s="126" t="s">
        <v>1890</v>
      </c>
      <c r="C147" s="127" t="s">
        <v>1612</v>
      </c>
      <c r="D147" s="126" t="s">
        <v>1941</v>
      </c>
      <c r="E147" s="128" t="s">
        <v>1647</v>
      </c>
      <c r="F147" s="127" t="s">
        <v>367</v>
      </c>
      <c r="G147" s="136">
        <v>722.09310000000005</v>
      </c>
      <c r="H147" s="113" t="str">
        <f t="shared" si="5"/>
        <v>SITUS</v>
      </c>
      <c r="I147" s="117" t="str">
        <f>INDEX('BOOKDEPR Lookup'!$I:$I,MATCH('BOOKDEPR Jun22data'!$A147,'BOOKDEPR Lookup'!$A:$A,0))</f>
        <v>DPW</v>
      </c>
      <c r="J147" s="117" t="str">
        <f>IF('BOOKDEPR Jun22data'!$G147=0,"NO",IF(ISNA('BOOKDEPR Jun22data'!$I147),"YES",IF(_xlfn.ISFORMULA('BOOKDEPR Jun22data'!$I147),"NO","YES")))</f>
        <v>NO</v>
      </c>
      <c r="K147"/>
    </row>
    <row r="148" spans="1:11">
      <c r="A148" s="114" t="str">
        <f t="shared" si="4"/>
        <v>4030000DEPN EXPENSE-ELECT3670000UNDERGROUND CONDUCTORS &amp; DEVICESSITUS</v>
      </c>
      <c r="B148" s="126" t="s">
        <v>1890</v>
      </c>
      <c r="C148" s="127" t="s">
        <v>1612</v>
      </c>
      <c r="D148" s="126" t="s">
        <v>1941</v>
      </c>
      <c r="E148" s="128" t="s">
        <v>1647</v>
      </c>
      <c r="F148" s="127" t="s">
        <v>386</v>
      </c>
      <c r="G148" s="136">
        <v>1283.2500199999999</v>
      </c>
      <c r="H148" s="113" t="str">
        <f t="shared" si="5"/>
        <v>SITUS</v>
      </c>
      <c r="I148" s="117" t="str">
        <f>INDEX('BOOKDEPR Lookup'!$I:$I,MATCH('BOOKDEPR Jun22data'!$A148,'BOOKDEPR Lookup'!$A:$A,0))</f>
        <v>DPW</v>
      </c>
      <c r="J148" s="117" t="str">
        <f>IF('BOOKDEPR Jun22data'!$G148=0,"NO",IF(ISNA('BOOKDEPR Jun22data'!$I148),"YES",IF(_xlfn.ISFORMULA('BOOKDEPR Jun22data'!$I148),"NO","YES")))</f>
        <v>NO</v>
      </c>
      <c r="K148"/>
    </row>
    <row r="149" spans="1:11">
      <c r="A149" s="114" t="str">
        <f t="shared" si="4"/>
        <v>4030000DEPN EXPENSE-ELECT3670000UNDERGROUND CONDUCTORS &amp; DEVICESSITUS</v>
      </c>
      <c r="B149" s="126" t="s">
        <v>1890</v>
      </c>
      <c r="C149" s="127" t="s">
        <v>1612</v>
      </c>
      <c r="D149" s="126" t="s">
        <v>1941</v>
      </c>
      <c r="E149" s="128" t="s">
        <v>1647</v>
      </c>
      <c r="F149" s="127" t="s">
        <v>378</v>
      </c>
      <c r="G149" s="136">
        <v>482.16419000000002</v>
      </c>
      <c r="H149" s="113" t="str">
        <f t="shared" si="5"/>
        <v>SITUS</v>
      </c>
      <c r="I149" s="117" t="str">
        <f>INDEX('BOOKDEPR Lookup'!$I:$I,MATCH('BOOKDEPR Jun22data'!$A149,'BOOKDEPR Lookup'!$A:$A,0))</f>
        <v>DPW</v>
      </c>
      <c r="J149" s="117" t="str">
        <f>IF('BOOKDEPR Jun22data'!$G149=0,"NO",IF(ISNA('BOOKDEPR Jun22data'!$I149),"YES",IF(_xlfn.ISFORMULA('BOOKDEPR Jun22data'!$I149),"NO","YES")))</f>
        <v>NO</v>
      </c>
      <c r="K149"/>
    </row>
    <row r="150" spans="1:11">
      <c r="A150" s="114" t="str">
        <f t="shared" si="4"/>
        <v>4030000DEPN EXPENSE-ELECT3680000LINE TRANSFORMERSSITUS</v>
      </c>
      <c r="B150" s="126" t="s">
        <v>1890</v>
      </c>
      <c r="C150" s="127" t="s">
        <v>1612</v>
      </c>
      <c r="D150" s="126" t="s">
        <v>1942</v>
      </c>
      <c r="E150" s="128" t="s">
        <v>1650</v>
      </c>
      <c r="F150" s="127" t="s">
        <v>387</v>
      </c>
      <c r="G150" s="136">
        <v>1332.8901800000001</v>
      </c>
      <c r="H150" s="113" t="str">
        <f t="shared" si="5"/>
        <v>SITUS</v>
      </c>
      <c r="I150" s="117" t="str">
        <f>INDEX('BOOKDEPR Lookup'!$I:$I,MATCH('BOOKDEPR Jun22data'!$A150,'BOOKDEPR Lookup'!$A:$A,0))</f>
        <v>DPW</v>
      </c>
      <c r="J150" s="117" t="str">
        <f>IF('BOOKDEPR Jun22data'!$G150=0,"NO",IF(ISNA('BOOKDEPR Jun22data'!$I150),"YES",IF(_xlfn.ISFORMULA('BOOKDEPR Jun22data'!$I150),"NO","YES")))</f>
        <v>NO</v>
      </c>
      <c r="K150"/>
    </row>
    <row r="151" spans="1:11">
      <c r="A151" s="114" t="str">
        <f t="shared" si="4"/>
        <v>4030000DEPN EXPENSE-ELECT3680000LINE TRANSFORMERSSITUS</v>
      </c>
      <c r="B151" s="126" t="s">
        <v>1890</v>
      </c>
      <c r="C151" s="127" t="s">
        <v>1612</v>
      </c>
      <c r="D151" s="126" t="s">
        <v>1942</v>
      </c>
      <c r="E151" s="128" t="s">
        <v>1650</v>
      </c>
      <c r="F151" s="127" t="s">
        <v>372</v>
      </c>
      <c r="G151" s="136">
        <v>1966.7377799999999</v>
      </c>
      <c r="H151" s="113" t="str">
        <f t="shared" si="5"/>
        <v>SITUS</v>
      </c>
      <c r="I151" s="117" t="str">
        <f>INDEX('BOOKDEPR Lookup'!$I:$I,MATCH('BOOKDEPR Jun22data'!$A151,'BOOKDEPR Lookup'!$A:$A,0))</f>
        <v>DPW</v>
      </c>
      <c r="J151" s="117" t="str">
        <f>IF('BOOKDEPR Jun22data'!$G151=0,"NO",IF(ISNA('BOOKDEPR Jun22data'!$I151),"YES",IF(_xlfn.ISFORMULA('BOOKDEPR Jun22data'!$I151),"NO","YES")))</f>
        <v>NO</v>
      </c>
      <c r="K151"/>
    </row>
    <row r="152" spans="1:11">
      <c r="A152" s="114" t="str">
        <f t="shared" si="4"/>
        <v>4030000DEPN EXPENSE-ELECT3680000LINE TRANSFORMERSSITUS</v>
      </c>
      <c r="B152" s="126" t="s">
        <v>1890</v>
      </c>
      <c r="C152" s="127" t="s">
        <v>1612</v>
      </c>
      <c r="D152" s="126" t="s">
        <v>1942</v>
      </c>
      <c r="E152" s="128" t="s">
        <v>1650</v>
      </c>
      <c r="F152" s="127" t="s">
        <v>343</v>
      </c>
      <c r="G152" s="136">
        <v>11744.53736</v>
      </c>
      <c r="H152" s="113" t="str">
        <f t="shared" si="5"/>
        <v>SITUS</v>
      </c>
      <c r="I152" s="117" t="str">
        <f>INDEX('BOOKDEPR Lookup'!$I:$I,MATCH('BOOKDEPR Jun22data'!$A152,'BOOKDEPR Lookup'!$A:$A,0))</f>
        <v>DPW</v>
      </c>
      <c r="J152" s="117" t="str">
        <f>IF('BOOKDEPR Jun22data'!$G152=0,"NO",IF(ISNA('BOOKDEPR Jun22data'!$I152),"YES",IF(_xlfn.ISFORMULA('BOOKDEPR Jun22data'!$I152),"NO","YES")))</f>
        <v>NO</v>
      </c>
      <c r="K152"/>
    </row>
    <row r="153" spans="1:11">
      <c r="A153" s="114" t="str">
        <f t="shared" si="4"/>
        <v>4030000DEPN EXPENSE-ELECT3680000LINE TRANSFORMERSSITUS</v>
      </c>
      <c r="B153" s="126" t="s">
        <v>1890</v>
      </c>
      <c r="C153" s="127" t="s">
        <v>1612</v>
      </c>
      <c r="D153" s="126" t="s">
        <v>1942</v>
      </c>
      <c r="E153" s="128" t="s">
        <v>1650</v>
      </c>
      <c r="F153" s="127" t="s">
        <v>370</v>
      </c>
      <c r="G153" s="136">
        <v>14625.41137</v>
      </c>
      <c r="H153" s="113" t="str">
        <f t="shared" si="5"/>
        <v>SITUS</v>
      </c>
      <c r="I153" s="117" t="str">
        <f>INDEX('BOOKDEPR Lookup'!$I:$I,MATCH('BOOKDEPR Jun22data'!$A153,'BOOKDEPR Lookup'!$A:$A,0))</f>
        <v>DPW</v>
      </c>
      <c r="J153" s="117" t="str">
        <f>IF('BOOKDEPR Jun22data'!$G153=0,"NO",IF(ISNA('BOOKDEPR Jun22data'!$I153),"YES",IF(_xlfn.ISFORMULA('BOOKDEPR Jun22data'!$I153),"NO","YES")))</f>
        <v>NO</v>
      </c>
      <c r="K153"/>
    </row>
    <row r="154" spans="1:11">
      <c r="A154" s="114" t="str">
        <f t="shared" si="4"/>
        <v>4030000DEPN EXPENSE-ELECT3680000LINE TRANSFORMERSSITUS</v>
      </c>
      <c r="B154" s="126" t="s">
        <v>1890</v>
      </c>
      <c r="C154" s="127" t="s">
        <v>1612</v>
      </c>
      <c r="D154" s="126" t="s">
        <v>1942</v>
      </c>
      <c r="E154" s="128" t="s">
        <v>1650</v>
      </c>
      <c r="F154" s="127" t="s">
        <v>367</v>
      </c>
      <c r="G154" s="136">
        <v>2926.4147499999999</v>
      </c>
      <c r="H154" s="113" t="str">
        <f t="shared" si="5"/>
        <v>SITUS</v>
      </c>
      <c r="I154" s="117" t="str">
        <f>INDEX('BOOKDEPR Lookup'!$I:$I,MATCH('BOOKDEPR Jun22data'!$A154,'BOOKDEPR Lookup'!$A:$A,0))</f>
        <v>DPW</v>
      </c>
      <c r="J154" s="117" t="str">
        <f>IF('BOOKDEPR Jun22data'!$G154=0,"NO",IF(ISNA('BOOKDEPR Jun22data'!$I154),"YES",IF(_xlfn.ISFORMULA('BOOKDEPR Jun22data'!$I154),"NO","YES")))</f>
        <v>NO</v>
      </c>
      <c r="K154"/>
    </row>
    <row r="155" spans="1:11">
      <c r="A155" s="114" t="str">
        <f t="shared" si="4"/>
        <v>4030000DEPN EXPENSE-ELECT3680000LINE TRANSFORMERSSITUS</v>
      </c>
      <c r="B155" s="126" t="s">
        <v>1890</v>
      </c>
      <c r="C155" s="127" t="s">
        <v>1612</v>
      </c>
      <c r="D155" s="126" t="s">
        <v>1942</v>
      </c>
      <c r="E155" s="128" t="s">
        <v>1650</v>
      </c>
      <c r="F155" s="127" t="s">
        <v>386</v>
      </c>
      <c r="G155" s="136">
        <v>3407.68806</v>
      </c>
      <c r="H155" s="113" t="str">
        <f t="shared" si="5"/>
        <v>SITUS</v>
      </c>
      <c r="I155" s="117" t="str">
        <f>INDEX('BOOKDEPR Lookup'!$I:$I,MATCH('BOOKDEPR Jun22data'!$A155,'BOOKDEPR Lookup'!$A:$A,0))</f>
        <v>DPW</v>
      </c>
      <c r="J155" s="117" t="str">
        <f>IF('BOOKDEPR Jun22data'!$G155=0,"NO",IF(ISNA('BOOKDEPR Jun22data'!$I155),"YES",IF(_xlfn.ISFORMULA('BOOKDEPR Jun22data'!$I155),"NO","YES")))</f>
        <v>NO</v>
      </c>
      <c r="K155"/>
    </row>
    <row r="156" spans="1:11">
      <c r="A156" s="114" t="str">
        <f t="shared" si="4"/>
        <v>4030000DEPN EXPENSE-ELECT3680000LINE TRANSFORMERSSITUS</v>
      </c>
      <c r="B156" s="126" t="s">
        <v>1890</v>
      </c>
      <c r="C156" s="127" t="s">
        <v>1612</v>
      </c>
      <c r="D156" s="126" t="s">
        <v>1942</v>
      </c>
      <c r="E156" s="128" t="s">
        <v>1650</v>
      </c>
      <c r="F156" s="127" t="s">
        <v>378</v>
      </c>
      <c r="G156" s="136">
        <v>475.99621999999999</v>
      </c>
      <c r="H156" s="113" t="str">
        <f t="shared" si="5"/>
        <v>SITUS</v>
      </c>
      <c r="I156" s="117" t="str">
        <f>INDEX('BOOKDEPR Lookup'!$I:$I,MATCH('BOOKDEPR Jun22data'!$A156,'BOOKDEPR Lookup'!$A:$A,0))</f>
        <v>DPW</v>
      </c>
      <c r="J156" s="117" t="str">
        <f>IF('BOOKDEPR Jun22data'!$G156=0,"NO",IF(ISNA('BOOKDEPR Jun22data'!$I156),"YES",IF(_xlfn.ISFORMULA('BOOKDEPR Jun22data'!$I156),"NO","YES")))</f>
        <v>NO</v>
      </c>
      <c r="K156"/>
    </row>
    <row r="157" spans="1:11">
      <c r="A157" s="114" t="str">
        <f t="shared" si="4"/>
        <v>4030000DEPN EXPENSE-ELECT3691000SERVICES - OVERHEADSITUS</v>
      </c>
      <c r="B157" s="126" t="s">
        <v>1890</v>
      </c>
      <c r="C157" s="127" t="s">
        <v>1612</v>
      </c>
      <c r="D157" s="126" t="s">
        <v>1943</v>
      </c>
      <c r="E157" s="128" t="s">
        <v>1651</v>
      </c>
      <c r="F157" s="127" t="s">
        <v>387</v>
      </c>
      <c r="G157" s="136">
        <v>260.08832999999998</v>
      </c>
      <c r="H157" s="113" t="str">
        <f t="shared" si="5"/>
        <v>SITUS</v>
      </c>
      <c r="I157" s="117" t="str">
        <f>INDEX('BOOKDEPR Lookup'!$I:$I,MATCH('BOOKDEPR Jun22data'!$A157,'BOOKDEPR Lookup'!$A:$A,0))</f>
        <v>DPW</v>
      </c>
      <c r="J157" s="117" t="str">
        <f>IF('BOOKDEPR Jun22data'!$G157=0,"NO",IF(ISNA('BOOKDEPR Jun22data'!$I157),"YES",IF(_xlfn.ISFORMULA('BOOKDEPR Jun22data'!$I157),"NO","YES")))</f>
        <v>NO</v>
      </c>
      <c r="K157"/>
    </row>
    <row r="158" spans="1:11">
      <c r="A158" s="114" t="str">
        <f t="shared" si="4"/>
        <v>4030000DEPN EXPENSE-ELECT3691000SERVICES - OVERHEADSITUS</v>
      </c>
      <c r="B158" s="126" t="s">
        <v>1890</v>
      </c>
      <c r="C158" s="127" t="s">
        <v>1612</v>
      </c>
      <c r="D158" s="126" t="s">
        <v>1943</v>
      </c>
      <c r="E158" s="128" t="s">
        <v>1651</v>
      </c>
      <c r="F158" s="127" t="s">
        <v>372</v>
      </c>
      <c r="G158" s="136">
        <v>222.53982999999999</v>
      </c>
      <c r="H158" s="113" t="str">
        <f t="shared" si="5"/>
        <v>SITUS</v>
      </c>
      <c r="I158" s="117" t="str">
        <f>INDEX('BOOKDEPR Lookup'!$I:$I,MATCH('BOOKDEPR Jun22data'!$A158,'BOOKDEPR Lookup'!$A:$A,0))</f>
        <v>DPW</v>
      </c>
      <c r="J158" s="117" t="str">
        <f>IF('BOOKDEPR Jun22data'!$G158=0,"NO",IF(ISNA('BOOKDEPR Jun22data'!$I158),"YES",IF(_xlfn.ISFORMULA('BOOKDEPR Jun22data'!$I158),"NO","YES")))</f>
        <v>NO</v>
      </c>
      <c r="K158"/>
    </row>
    <row r="159" spans="1:11">
      <c r="A159" s="114" t="str">
        <f t="shared" si="4"/>
        <v>4030000DEPN EXPENSE-ELECT3691000SERVICES - OVERHEADSITUS</v>
      </c>
      <c r="B159" s="126" t="s">
        <v>1890</v>
      </c>
      <c r="C159" s="127" t="s">
        <v>1612</v>
      </c>
      <c r="D159" s="126" t="s">
        <v>1943</v>
      </c>
      <c r="E159" s="128" t="s">
        <v>1651</v>
      </c>
      <c r="F159" s="127" t="s">
        <v>343</v>
      </c>
      <c r="G159" s="136">
        <v>2154.09024</v>
      </c>
      <c r="H159" s="113" t="str">
        <f t="shared" si="5"/>
        <v>SITUS</v>
      </c>
      <c r="I159" s="117" t="str">
        <f>INDEX('BOOKDEPR Lookup'!$I:$I,MATCH('BOOKDEPR Jun22data'!$A159,'BOOKDEPR Lookup'!$A:$A,0))</f>
        <v>DPW</v>
      </c>
      <c r="J159" s="117" t="str">
        <f>IF('BOOKDEPR Jun22data'!$G159=0,"NO",IF(ISNA('BOOKDEPR Jun22data'!$I159),"YES",IF(_xlfn.ISFORMULA('BOOKDEPR Jun22data'!$I159),"NO","YES")))</f>
        <v>NO</v>
      </c>
      <c r="K159"/>
    </row>
    <row r="160" spans="1:11">
      <c r="A160" s="114" t="str">
        <f t="shared" si="4"/>
        <v>4030000DEPN EXPENSE-ELECT3691000SERVICES - OVERHEADSITUS</v>
      </c>
      <c r="B160" s="126" t="s">
        <v>1890</v>
      </c>
      <c r="C160" s="127" t="s">
        <v>1612</v>
      </c>
      <c r="D160" s="126" t="s">
        <v>1943</v>
      </c>
      <c r="E160" s="128" t="s">
        <v>1651</v>
      </c>
      <c r="F160" s="127" t="s">
        <v>370</v>
      </c>
      <c r="G160" s="136">
        <v>2357.4367299999999</v>
      </c>
      <c r="H160" s="113" t="str">
        <f t="shared" si="5"/>
        <v>SITUS</v>
      </c>
      <c r="I160" s="117" t="str">
        <f>INDEX('BOOKDEPR Lookup'!$I:$I,MATCH('BOOKDEPR Jun22data'!$A160,'BOOKDEPR Lookup'!$A:$A,0))</f>
        <v>DPW</v>
      </c>
      <c r="J160" s="117" t="str">
        <f>IF('BOOKDEPR Jun22data'!$G160=0,"NO",IF(ISNA('BOOKDEPR Jun22data'!$I160),"YES",IF(_xlfn.ISFORMULA('BOOKDEPR Jun22data'!$I160),"NO","YES")))</f>
        <v>NO</v>
      </c>
      <c r="K160"/>
    </row>
    <row r="161" spans="1:11">
      <c r="A161" s="114" t="str">
        <f t="shared" si="4"/>
        <v>4030000DEPN EXPENSE-ELECT3691000SERVICES - OVERHEADSITUS</v>
      </c>
      <c r="B161" s="126" t="s">
        <v>1890</v>
      </c>
      <c r="C161" s="127" t="s">
        <v>1612</v>
      </c>
      <c r="D161" s="126" t="s">
        <v>1943</v>
      </c>
      <c r="E161" s="128" t="s">
        <v>1651</v>
      </c>
      <c r="F161" s="127" t="s">
        <v>367</v>
      </c>
      <c r="G161" s="136">
        <v>572.69425999999999</v>
      </c>
      <c r="H161" s="113" t="str">
        <f t="shared" si="5"/>
        <v>SITUS</v>
      </c>
      <c r="I161" s="117" t="str">
        <f>INDEX('BOOKDEPR Lookup'!$I:$I,MATCH('BOOKDEPR Jun22data'!$A161,'BOOKDEPR Lookup'!$A:$A,0))</f>
        <v>DPW</v>
      </c>
      <c r="J161" s="117" t="str">
        <f>IF('BOOKDEPR Jun22data'!$G161=0,"NO",IF(ISNA('BOOKDEPR Jun22data'!$I161),"YES",IF(_xlfn.ISFORMULA('BOOKDEPR Jun22data'!$I161),"NO","YES")))</f>
        <v>NO</v>
      </c>
      <c r="K161"/>
    </row>
    <row r="162" spans="1:11">
      <c r="A162" s="114" t="str">
        <f t="shared" si="4"/>
        <v>4030000DEPN EXPENSE-ELECT3691000SERVICES - OVERHEADSITUS</v>
      </c>
      <c r="B162" s="126" t="s">
        <v>1890</v>
      </c>
      <c r="C162" s="127" t="s">
        <v>1612</v>
      </c>
      <c r="D162" s="126" t="s">
        <v>1943</v>
      </c>
      <c r="E162" s="128" t="s">
        <v>1651</v>
      </c>
      <c r="F162" s="127" t="s">
        <v>386</v>
      </c>
      <c r="G162" s="136">
        <v>422.99709999999999</v>
      </c>
      <c r="H162" s="113" t="str">
        <f t="shared" si="5"/>
        <v>SITUS</v>
      </c>
      <c r="I162" s="117" t="str">
        <f>INDEX('BOOKDEPR Lookup'!$I:$I,MATCH('BOOKDEPR Jun22data'!$A162,'BOOKDEPR Lookup'!$A:$A,0))</f>
        <v>DPW</v>
      </c>
      <c r="J162" s="117" t="str">
        <f>IF('BOOKDEPR Jun22data'!$G162=0,"NO",IF(ISNA('BOOKDEPR Jun22data'!$I162),"YES",IF(_xlfn.ISFORMULA('BOOKDEPR Jun22data'!$I162),"NO","YES")))</f>
        <v>NO</v>
      </c>
      <c r="K162"/>
    </row>
    <row r="163" spans="1:11">
      <c r="A163" s="114" t="str">
        <f t="shared" si="4"/>
        <v>4030000DEPN EXPENSE-ELECT3691000SERVICES - OVERHEADSITUS</v>
      </c>
      <c r="B163" s="126" t="s">
        <v>1890</v>
      </c>
      <c r="C163" s="127" t="s">
        <v>1612</v>
      </c>
      <c r="D163" s="126" t="s">
        <v>1943</v>
      </c>
      <c r="E163" s="128" t="s">
        <v>1651</v>
      </c>
      <c r="F163" s="127" t="s">
        <v>378</v>
      </c>
      <c r="G163" s="136">
        <v>93.081739999999996</v>
      </c>
      <c r="H163" s="113" t="str">
        <f t="shared" si="5"/>
        <v>SITUS</v>
      </c>
      <c r="I163" s="117" t="str">
        <f>INDEX('BOOKDEPR Lookup'!$I:$I,MATCH('BOOKDEPR Jun22data'!$A163,'BOOKDEPR Lookup'!$A:$A,0))</f>
        <v>DPW</v>
      </c>
      <c r="J163" s="117" t="str">
        <f>IF('BOOKDEPR Jun22data'!$G163=0,"NO",IF(ISNA('BOOKDEPR Jun22data'!$I163),"YES",IF(_xlfn.ISFORMULA('BOOKDEPR Jun22data'!$I163),"NO","YES")))</f>
        <v>NO</v>
      </c>
      <c r="K163"/>
    </row>
    <row r="164" spans="1:11">
      <c r="A164" s="114" t="str">
        <f t="shared" si="4"/>
        <v>4030000DEPN EXPENSE-ELECT3692000SERVICES - UNDERGROUNDSITUS</v>
      </c>
      <c r="B164" s="126" t="s">
        <v>1890</v>
      </c>
      <c r="C164" s="127" t="s">
        <v>1612</v>
      </c>
      <c r="D164" s="126" t="s">
        <v>1944</v>
      </c>
      <c r="E164" s="128" t="s">
        <v>1652</v>
      </c>
      <c r="F164" s="127" t="s">
        <v>387</v>
      </c>
      <c r="G164" s="136">
        <v>395.73586999999998</v>
      </c>
      <c r="H164" s="113" t="str">
        <f t="shared" si="5"/>
        <v>SITUS</v>
      </c>
      <c r="I164" s="117" t="str">
        <f>INDEX('BOOKDEPR Lookup'!$I:$I,MATCH('BOOKDEPR Jun22data'!$A164,'BOOKDEPR Lookup'!$A:$A,0))</f>
        <v>DPW</v>
      </c>
      <c r="J164" s="117" t="str">
        <f>IF('BOOKDEPR Jun22data'!$G164=0,"NO",IF(ISNA('BOOKDEPR Jun22data'!$I164),"YES",IF(_xlfn.ISFORMULA('BOOKDEPR Jun22data'!$I164),"NO","YES")))</f>
        <v>NO</v>
      </c>
      <c r="K164"/>
    </row>
    <row r="165" spans="1:11">
      <c r="A165" s="114" t="str">
        <f t="shared" si="4"/>
        <v>4030000DEPN EXPENSE-ELECT3692000SERVICES - UNDERGROUNDSITUS</v>
      </c>
      <c r="B165" s="126" t="s">
        <v>1890</v>
      </c>
      <c r="C165" s="127" t="s">
        <v>1612</v>
      </c>
      <c r="D165" s="126" t="s">
        <v>1944</v>
      </c>
      <c r="E165" s="128" t="s">
        <v>1652</v>
      </c>
      <c r="F165" s="127" t="s">
        <v>372</v>
      </c>
      <c r="G165" s="136">
        <v>904.06365000000005</v>
      </c>
      <c r="H165" s="113" t="str">
        <f t="shared" si="5"/>
        <v>SITUS</v>
      </c>
      <c r="I165" s="117" t="str">
        <f>INDEX('BOOKDEPR Lookup'!$I:$I,MATCH('BOOKDEPR Jun22data'!$A165,'BOOKDEPR Lookup'!$A:$A,0))</f>
        <v>DPW</v>
      </c>
      <c r="J165" s="117" t="str">
        <f>IF('BOOKDEPR Jun22data'!$G165=0,"NO",IF(ISNA('BOOKDEPR Jun22data'!$I165),"YES",IF(_xlfn.ISFORMULA('BOOKDEPR Jun22data'!$I165),"NO","YES")))</f>
        <v>NO</v>
      </c>
      <c r="K165"/>
    </row>
    <row r="166" spans="1:11">
      <c r="A166" s="114" t="str">
        <f t="shared" si="4"/>
        <v>4030000DEPN EXPENSE-ELECT3692000SERVICES - UNDERGROUNDSITUS</v>
      </c>
      <c r="B166" s="126" t="s">
        <v>1890</v>
      </c>
      <c r="C166" s="127" t="s">
        <v>1612</v>
      </c>
      <c r="D166" s="126" t="s">
        <v>1944</v>
      </c>
      <c r="E166" s="128" t="s">
        <v>1652</v>
      </c>
      <c r="F166" s="127" t="s">
        <v>343</v>
      </c>
      <c r="G166" s="136">
        <v>4703.6678099999999</v>
      </c>
      <c r="H166" s="113" t="str">
        <f t="shared" si="5"/>
        <v>SITUS</v>
      </c>
      <c r="I166" s="117" t="str">
        <f>INDEX('BOOKDEPR Lookup'!$I:$I,MATCH('BOOKDEPR Jun22data'!$A166,'BOOKDEPR Lookup'!$A:$A,0))</f>
        <v>DPW</v>
      </c>
      <c r="J166" s="117" t="str">
        <f>IF('BOOKDEPR Jun22data'!$G166=0,"NO",IF(ISNA('BOOKDEPR Jun22data'!$I166),"YES",IF(_xlfn.ISFORMULA('BOOKDEPR Jun22data'!$I166),"NO","YES")))</f>
        <v>NO</v>
      </c>
      <c r="K166"/>
    </row>
    <row r="167" spans="1:11">
      <c r="A167" s="114" t="str">
        <f t="shared" si="4"/>
        <v>4030000DEPN EXPENSE-ELECT3692000SERVICES - UNDERGROUNDSITUS</v>
      </c>
      <c r="B167" s="126" t="s">
        <v>1890</v>
      </c>
      <c r="C167" s="127" t="s">
        <v>1612</v>
      </c>
      <c r="D167" s="126" t="s">
        <v>1944</v>
      </c>
      <c r="E167" s="128" t="s">
        <v>1652</v>
      </c>
      <c r="F167" s="127" t="s">
        <v>370</v>
      </c>
      <c r="G167" s="136">
        <v>6698.6434300000001</v>
      </c>
      <c r="H167" s="113" t="str">
        <f t="shared" si="5"/>
        <v>SITUS</v>
      </c>
      <c r="I167" s="117" t="str">
        <f>INDEX('BOOKDEPR Lookup'!$I:$I,MATCH('BOOKDEPR Jun22data'!$A167,'BOOKDEPR Lookup'!$A:$A,0))</f>
        <v>DPW</v>
      </c>
      <c r="J167" s="117" t="str">
        <f>IF('BOOKDEPR Jun22data'!$G167=0,"NO",IF(ISNA('BOOKDEPR Jun22data'!$I167),"YES",IF(_xlfn.ISFORMULA('BOOKDEPR Jun22data'!$I167),"NO","YES")))</f>
        <v>NO</v>
      </c>
      <c r="K167"/>
    </row>
    <row r="168" spans="1:11">
      <c r="A168" s="114" t="str">
        <f t="shared" si="4"/>
        <v>4030000DEPN EXPENSE-ELECT3692000SERVICES - UNDERGROUNDSITUS</v>
      </c>
      <c r="B168" s="126" t="s">
        <v>1890</v>
      </c>
      <c r="C168" s="127" t="s">
        <v>1612</v>
      </c>
      <c r="D168" s="126" t="s">
        <v>1944</v>
      </c>
      <c r="E168" s="128" t="s">
        <v>1652</v>
      </c>
      <c r="F168" s="127" t="s">
        <v>367</v>
      </c>
      <c r="G168" s="136">
        <v>1187.3714399999999</v>
      </c>
      <c r="H168" s="113" t="str">
        <f t="shared" si="5"/>
        <v>SITUS</v>
      </c>
      <c r="I168" s="117" t="str">
        <f>INDEX('BOOKDEPR Lookup'!$I:$I,MATCH('BOOKDEPR Jun22data'!$A168,'BOOKDEPR Lookup'!$A:$A,0))</f>
        <v>DPW</v>
      </c>
      <c r="J168" s="117" t="str">
        <f>IF('BOOKDEPR Jun22data'!$G168=0,"NO",IF(ISNA('BOOKDEPR Jun22data'!$I168),"YES",IF(_xlfn.ISFORMULA('BOOKDEPR Jun22data'!$I168),"NO","YES")))</f>
        <v>NO</v>
      </c>
      <c r="K168"/>
    </row>
    <row r="169" spans="1:11">
      <c r="A169" s="114" t="str">
        <f t="shared" si="4"/>
        <v>4030000DEPN EXPENSE-ELECT3692000SERVICES - UNDERGROUNDSITUS</v>
      </c>
      <c r="B169" s="126" t="s">
        <v>1890</v>
      </c>
      <c r="C169" s="127" t="s">
        <v>1612</v>
      </c>
      <c r="D169" s="126" t="s">
        <v>1944</v>
      </c>
      <c r="E169" s="128" t="s">
        <v>1652</v>
      </c>
      <c r="F169" s="127" t="s">
        <v>386</v>
      </c>
      <c r="G169" s="136">
        <v>1148.9381599999999</v>
      </c>
      <c r="H169" s="113" t="str">
        <f t="shared" si="5"/>
        <v>SITUS</v>
      </c>
      <c r="I169" s="117" t="str">
        <f>INDEX('BOOKDEPR Lookup'!$I:$I,MATCH('BOOKDEPR Jun22data'!$A169,'BOOKDEPR Lookup'!$A:$A,0))</f>
        <v>DPW</v>
      </c>
      <c r="J169" s="117" t="str">
        <f>IF('BOOKDEPR Jun22data'!$G169=0,"NO",IF(ISNA('BOOKDEPR Jun22data'!$I169),"YES",IF(_xlfn.ISFORMULA('BOOKDEPR Jun22data'!$I169),"NO","YES")))</f>
        <v>NO</v>
      </c>
      <c r="K169"/>
    </row>
    <row r="170" spans="1:11">
      <c r="A170" s="114" t="str">
        <f t="shared" si="4"/>
        <v>4030000DEPN EXPENSE-ELECT3692000SERVICES - UNDERGROUNDSITUS</v>
      </c>
      <c r="B170" s="126" t="s">
        <v>1890</v>
      </c>
      <c r="C170" s="127" t="s">
        <v>1612</v>
      </c>
      <c r="D170" s="126" t="s">
        <v>1944</v>
      </c>
      <c r="E170" s="128" t="s">
        <v>1652</v>
      </c>
      <c r="F170" s="127" t="s">
        <v>378</v>
      </c>
      <c r="G170" s="136">
        <v>390.51839000000001</v>
      </c>
      <c r="H170" s="113" t="str">
        <f t="shared" si="5"/>
        <v>SITUS</v>
      </c>
      <c r="I170" s="117" t="str">
        <f>INDEX('BOOKDEPR Lookup'!$I:$I,MATCH('BOOKDEPR Jun22data'!$A170,'BOOKDEPR Lookup'!$A:$A,0))</f>
        <v>DPW</v>
      </c>
      <c r="J170" s="117" t="str">
        <f>IF('BOOKDEPR Jun22data'!$G170=0,"NO",IF(ISNA('BOOKDEPR Jun22data'!$I170),"YES",IF(_xlfn.ISFORMULA('BOOKDEPR Jun22data'!$I170),"NO","YES")))</f>
        <v>NO</v>
      </c>
      <c r="K170"/>
    </row>
    <row r="171" spans="1:11">
      <c r="A171" s="114" t="str">
        <f t="shared" si="4"/>
        <v>4030000DEPN EXPENSE-ELECT3700000METERSSITUS</v>
      </c>
      <c r="B171" s="126" t="s">
        <v>1890</v>
      </c>
      <c r="C171" s="127" t="s">
        <v>1612</v>
      </c>
      <c r="D171" s="126" t="s">
        <v>1945</v>
      </c>
      <c r="E171" s="128" t="s">
        <v>1653</v>
      </c>
      <c r="F171" s="127" t="s">
        <v>387</v>
      </c>
      <c r="G171" s="136">
        <v>303.59969000000001</v>
      </c>
      <c r="H171" s="113" t="str">
        <f t="shared" si="5"/>
        <v>SITUS</v>
      </c>
      <c r="I171" s="117" t="str">
        <f>INDEX('BOOKDEPR Lookup'!$I:$I,MATCH('BOOKDEPR Jun22data'!$A171,'BOOKDEPR Lookup'!$A:$A,0))</f>
        <v>DPW</v>
      </c>
      <c r="J171" s="117" t="str">
        <f>IF('BOOKDEPR Jun22data'!$G171=0,"NO",IF(ISNA('BOOKDEPR Jun22data'!$I171),"YES",IF(_xlfn.ISFORMULA('BOOKDEPR Jun22data'!$I171),"NO","YES")))</f>
        <v>NO</v>
      </c>
      <c r="K171"/>
    </row>
    <row r="172" spans="1:11">
      <c r="A172" s="114" t="str">
        <f t="shared" si="4"/>
        <v>4030000DEPN EXPENSE-ELECT3700000METERSSITUS</v>
      </c>
      <c r="B172" s="126" t="s">
        <v>1890</v>
      </c>
      <c r="C172" s="127" t="s">
        <v>1612</v>
      </c>
      <c r="D172" s="126" t="s">
        <v>1945</v>
      </c>
      <c r="E172" s="128" t="s">
        <v>1653</v>
      </c>
      <c r="F172" s="127" t="s">
        <v>372</v>
      </c>
      <c r="G172" s="136">
        <v>809.15072999999995</v>
      </c>
      <c r="H172" s="113" t="str">
        <f t="shared" si="5"/>
        <v>SITUS</v>
      </c>
      <c r="I172" s="117" t="str">
        <f>INDEX('BOOKDEPR Lookup'!$I:$I,MATCH('BOOKDEPR Jun22data'!$A172,'BOOKDEPR Lookup'!$A:$A,0))</f>
        <v>DPW</v>
      </c>
      <c r="J172" s="117" t="str">
        <f>IF('BOOKDEPR Jun22data'!$G172=0,"NO",IF(ISNA('BOOKDEPR Jun22data'!$I172),"YES",IF(_xlfn.ISFORMULA('BOOKDEPR Jun22data'!$I172),"NO","YES")))</f>
        <v>NO</v>
      </c>
      <c r="K172"/>
    </row>
    <row r="173" spans="1:11">
      <c r="A173" s="114" t="str">
        <f t="shared" si="4"/>
        <v>4030000DEPN EXPENSE-ELECT3700000METERSSITUS</v>
      </c>
      <c r="B173" s="126" t="s">
        <v>1890</v>
      </c>
      <c r="C173" s="127" t="s">
        <v>1612</v>
      </c>
      <c r="D173" s="126" t="s">
        <v>1945</v>
      </c>
      <c r="E173" s="128" t="s">
        <v>1653</v>
      </c>
      <c r="F173" s="127" t="s">
        <v>343</v>
      </c>
      <c r="G173" s="136">
        <v>1704.81504</v>
      </c>
      <c r="H173" s="113" t="str">
        <f t="shared" si="5"/>
        <v>SITUS</v>
      </c>
      <c r="I173" s="117" t="str">
        <f>INDEX('BOOKDEPR Lookup'!$I:$I,MATCH('BOOKDEPR Jun22data'!$A173,'BOOKDEPR Lookup'!$A:$A,0))</f>
        <v>DPW</v>
      </c>
      <c r="J173" s="117" t="str">
        <f>IF('BOOKDEPR Jun22data'!$G173=0,"NO",IF(ISNA('BOOKDEPR Jun22data'!$I173),"YES",IF(_xlfn.ISFORMULA('BOOKDEPR Jun22data'!$I173),"NO","YES")))</f>
        <v>NO</v>
      </c>
      <c r="K173"/>
    </row>
    <row r="174" spans="1:11">
      <c r="A174" s="114" t="str">
        <f t="shared" si="4"/>
        <v>4030000DEPN EXPENSE-ELECT3700000METERSSITUS</v>
      </c>
      <c r="B174" s="126" t="s">
        <v>1890</v>
      </c>
      <c r="C174" s="127" t="s">
        <v>1612</v>
      </c>
      <c r="D174" s="126" t="s">
        <v>1945</v>
      </c>
      <c r="E174" s="128" t="s">
        <v>1653</v>
      </c>
      <c r="F174" s="127" t="s">
        <v>370</v>
      </c>
      <c r="G174" s="136">
        <v>6146.3454000000002</v>
      </c>
      <c r="H174" s="113" t="str">
        <f t="shared" si="5"/>
        <v>SITUS</v>
      </c>
      <c r="I174" s="117" t="str">
        <f>INDEX('BOOKDEPR Lookup'!$I:$I,MATCH('BOOKDEPR Jun22data'!$A174,'BOOKDEPR Lookup'!$A:$A,0))</f>
        <v>DPW</v>
      </c>
      <c r="J174" s="117" t="str">
        <f>IF('BOOKDEPR Jun22data'!$G174=0,"NO",IF(ISNA('BOOKDEPR Jun22data'!$I174),"YES",IF(_xlfn.ISFORMULA('BOOKDEPR Jun22data'!$I174),"NO","YES")))</f>
        <v>NO</v>
      </c>
      <c r="K174"/>
    </row>
    <row r="175" spans="1:11">
      <c r="A175" s="114" t="str">
        <f t="shared" si="4"/>
        <v>4030000DEPN EXPENSE-ELECT3700000METERSSITUS</v>
      </c>
      <c r="B175" s="126" t="s">
        <v>1890</v>
      </c>
      <c r="C175" s="127" t="s">
        <v>1612</v>
      </c>
      <c r="D175" s="126" t="s">
        <v>1945</v>
      </c>
      <c r="E175" s="128" t="s">
        <v>1653</v>
      </c>
      <c r="F175" s="127" t="s">
        <v>367</v>
      </c>
      <c r="G175" s="136">
        <v>750.11469</v>
      </c>
      <c r="H175" s="113" t="str">
        <f t="shared" si="5"/>
        <v>SITUS</v>
      </c>
      <c r="I175" s="117" t="str">
        <f>INDEX('BOOKDEPR Lookup'!$I:$I,MATCH('BOOKDEPR Jun22data'!$A175,'BOOKDEPR Lookup'!$A:$A,0))</f>
        <v>DPW</v>
      </c>
      <c r="J175" s="117" t="str">
        <f>IF('BOOKDEPR Jun22data'!$G175=0,"NO",IF(ISNA('BOOKDEPR Jun22data'!$I175),"YES",IF(_xlfn.ISFORMULA('BOOKDEPR Jun22data'!$I175),"NO","YES")))</f>
        <v>NO</v>
      </c>
      <c r="K175"/>
    </row>
    <row r="176" spans="1:11">
      <c r="A176" s="114" t="str">
        <f t="shared" si="4"/>
        <v>4030000DEPN EXPENSE-ELECT3700000METERSSITUS</v>
      </c>
      <c r="B176" s="126" t="s">
        <v>1890</v>
      </c>
      <c r="C176" s="127" t="s">
        <v>1612</v>
      </c>
      <c r="D176" s="126" t="s">
        <v>1945</v>
      </c>
      <c r="E176" s="128" t="s">
        <v>1653</v>
      </c>
      <c r="F176" s="127" t="s">
        <v>386</v>
      </c>
      <c r="G176" s="136">
        <v>751.98533999999995</v>
      </c>
      <c r="H176" s="113" t="str">
        <f t="shared" si="5"/>
        <v>SITUS</v>
      </c>
      <c r="I176" s="117" t="str">
        <f>INDEX('BOOKDEPR Lookup'!$I:$I,MATCH('BOOKDEPR Jun22data'!$A176,'BOOKDEPR Lookup'!$A:$A,0))</f>
        <v>DPW</v>
      </c>
      <c r="J176" s="117" t="str">
        <f>IF('BOOKDEPR Jun22data'!$G176=0,"NO",IF(ISNA('BOOKDEPR Jun22data'!$I176),"YES",IF(_xlfn.ISFORMULA('BOOKDEPR Jun22data'!$I176),"NO","YES")))</f>
        <v>NO</v>
      </c>
      <c r="K176"/>
    </row>
    <row r="177" spans="1:11">
      <c r="A177" s="114" t="str">
        <f t="shared" si="4"/>
        <v>4030000DEPN EXPENSE-ELECT3700000METERSSITUS</v>
      </c>
      <c r="B177" s="126" t="s">
        <v>1890</v>
      </c>
      <c r="C177" s="127" t="s">
        <v>1612</v>
      </c>
      <c r="D177" s="126" t="s">
        <v>1945</v>
      </c>
      <c r="E177" s="128" t="s">
        <v>1653</v>
      </c>
      <c r="F177" s="127" t="s">
        <v>378</v>
      </c>
      <c r="G177" s="136">
        <v>141.86859999999999</v>
      </c>
      <c r="H177" s="113" t="str">
        <f t="shared" si="5"/>
        <v>SITUS</v>
      </c>
      <c r="I177" s="117" t="str">
        <f>INDEX('BOOKDEPR Lookup'!$I:$I,MATCH('BOOKDEPR Jun22data'!$A177,'BOOKDEPR Lookup'!$A:$A,0))</f>
        <v>DPW</v>
      </c>
      <c r="J177" s="117" t="str">
        <f>IF('BOOKDEPR Jun22data'!$G177=0,"NO",IF(ISNA('BOOKDEPR Jun22data'!$I177),"YES",IF(_xlfn.ISFORMULA('BOOKDEPR Jun22data'!$I177),"NO","YES")))</f>
        <v>NO</v>
      </c>
      <c r="K177"/>
    </row>
    <row r="178" spans="1:11">
      <c r="A178" s="114" t="str">
        <f t="shared" si="4"/>
        <v>4030000DEPN EXPENSE-ELECT3710000INSTALL ON CUSTOMERS PREMISESSITUS</v>
      </c>
      <c r="B178" s="126" t="s">
        <v>1890</v>
      </c>
      <c r="C178" s="127" t="s">
        <v>1612</v>
      </c>
      <c r="D178" s="126" t="s">
        <v>1946</v>
      </c>
      <c r="E178" s="128" t="s">
        <v>1654</v>
      </c>
      <c r="F178" s="127" t="s">
        <v>387</v>
      </c>
      <c r="G178" s="136">
        <v>14.96777</v>
      </c>
      <c r="H178" s="113" t="str">
        <f t="shared" si="5"/>
        <v>SITUS</v>
      </c>
      <c r="I178" s="117" t="str">
        <f>INDEX('BOOKDEPR Lookup'!$I:$I,MATCH('BOOKDEPR Jun22data'!$A178,'BOOKDEPR Lookup'!$A:$A,0))</f>
        <v>DPW</v>
      </c>
      <c r="J178" s="117" t="str">
        <f>IF('BOOKDEPR Jun22data'!$G178=0,"NO",IF(ISNA('BOOKDEPR Jun22data'!$I178),"YES",IF(_xlfn.ISFORMULA('BOOKDEPR Jun22data'!$I178),"NO","YES")))</f>
        <v>NO</v>
      </c>
      <c r="K178"/>
    </row>
    <row r="179" spans="1:11">
      <c r="A179" s="114" t="str">
        <f t="shared" si="4"/>
        <v>4030000DEPN EXPENSE-ELECT3710000INSTALL ON CUSTOMERS PREMISESSITUS</v>
      </c>
      <c r="B179" s="126" t="s">
        <v>1890</v>
      </c>
      <c r="C179" s="127" t="s">
        <v>1612</v>
      </c>
      <c r="D179" s="126" t="s">
        <v>1946</v>
      </c>
      <c r="E179" s="128" t="s">
        <v>1654</v>
      </c>
      <c r="F179" s="127" t="s">
        <v>372</v>
      </c>
      <c r="G179" s="136">
        <v>7.5422000000000002</v>
      </c>
      <c r="H179" s="113" t="str">
        <f t="shared" si="5"/>
        <v>SITUS</v>
      </c>
      <c r="I179" s="117" t="str">
        <f>INDEX('BOOKDEPR Lookup'!$I:$I,MATCH('BOOKDEPR Jun22data'!$A179,'BOOKDEPR Lookup'!$A:$A,0))</f>
        <v>DPW</v>
      </c>
      <c r="J179" s="117" t="str">
        <f>IF('BOOKDEPR Jun22data'!$G179=0,"NO",IF(ISNA('BOOKDEPR Jun22data'!$I179),"YES",IF(_xlfn.ISFORMULA('BOOKDEPR Jun22data'!$I179),"NO","YES")))</f>
        <v>NO</v>
      </c>
      <c r="K179"/>
    </row>
    <row r="180" spans="1:11">
      <c r="A180" s="114" t="str">
        <f t="shared" si="4"/>
        <v>4030000DEPN EXPENSE-ELECT3710000INSTALL ON CUSTOMERS PREMISESSITUS</v>
      </c>
      <c r="B180" s="126" t="s">
        <v>1890</v>
      </c>
      <c r="C180" s="127" t="s">
        <v>1612</v>
      </c>
      <c r="D180" s="126" t="s">
        <v>1946</v>
      </c>
      <c r="E180" s="128" t="s">
        <v>1654</v>
      </c>
      <c r="F180" s="127" t="s">
        <v>343</v>
      </c>
      <c r="G180" s="136">
        <v>115.61109</v>
      </c>
      <c r="H180" s="113" t="str">
        <f t="shared" si="5"/>
        <v>SITUS</v>
      </c>
      <c r="I180" s="117" t="str">
        <f>INDEX('BOOKDEPR Lookup'!$I:$I,MATCH('BOOKDEPR Jun22data'!$A180,'BOOKDEPR Lookup'!$A:$A,0))</f>
        <v>DPW</v>
      </c>
      <c r="J180" s="117" t="str">
        <f>IF('BOOKDEPR Jun22data'!$G180=0,"NO",IF(ISNA('BOOKDEPR Jun22data'!$I180),"YES",IF(_xlfn.ISFORMULA('BOOKDEPR Jun22data'!$I180),"NO","YES")))</f>
        <v>NO</v>
      </c>
      <c r="K180"/>
    </row>
    <row r="181" spans="1:11">
      <c r="A181" s="114" t="str">
        <f t="shared" si="4"/>
        <v>4030000DEPN EXPENSE-ELECT3710000INSTALL ON CUSTOMERS PREMISESSITUS</v>
      </c>
      <c r="B181" s="126" t="s">
        <v>1890</v>
      </c>
      <c r="C181" s="127" t="s">
        <v>1612</v>
      </c>
      <c r="D181" s="126" t="s">
        <v>1946</v>
      </c>
      <c r="E181" s="128" t="s">
        <v>1654</v>
      </c>
      <c r="F181" s="127" t="s">
        <v>370</v>
      </c>
      <c r="G181" s="136">
        <v>264.87067000000002</v>
      </c>
      <c r="H181" s="113" t="str">
        <f t="shared" si="5"/>
        <v>SITUS</v>
      </c>
      <c r="I181" s="117" t="str">
        <f>INDEX('BOOKDEPR Lookup'!$I:$I,MATCH('BOOKDEPR Jun22data'!$A181,'BOOKDEPR Lookup'!$A:$A,0))</f>
        <v>DPW</v>
      </c>
      <c r="J181" s="117" t="str">
        <f>IF('BOOKDEPR Jun22data'!$G181=0,"NO",IF(ISNA('BOOKDEPR Jun22data'!$I181),"YES",IF(_xlfn.ISFORMULA('BOOKDEPR Jun22data'!$I181),"NO","YES")))</f>
        <v>NO</v>
      </c>
      <c r="K181"/>
    </row>
    <row r="182" spans="1:11">
      <c r="A182" s="114" t="str">
        <f t="shared" si="4"/>
        <v>4030000DEPN EXPENSE-ELECT3710000INSTALL ON CUSTOMERS PREMISESSITUS</v>
      </c>
      <c r="B182" s="126" t="s">
        <v>1890</v>
      </c>
      <c r="C182" s="127" t="s">
        <v>1612</v>
      </c>
      <c r="D182" s="126" t="s">
        <v>1946</v>
      </c>
      <c r="E182" s="128" t="s">
        <v>1654</v>
      </c>
      <c r="F182" s="127" t="s">
        <v>367</v>
      </c>
      <c r="G182" s="136">
        <v>20.216750000000001</v>
      </c>
      <c r="H182" s="113" t="str">
        <f t="shared" si="5"/>
        <v>SITUS</v>
      </c>
      <c r="I182" s="117" t="str">
        <f>INDEX('BOOKDEPR Lookup'!$I:$I,MATCH('BOOKDEPR Jun22data'!$A182,'BOOKDEPR Lookup'!$A:$A,0))</f>
        <v>DPW</v>
      </c>
      <c r="J182" s="117" t="str">
        <f>IF('BOOKDEPR Jun22data'!$G182=0,"NO",IF(ISNA('BOOKDEPR Jun22data'!$I182),"YES",IF(_xlfn.ISFORMULA('BOOKDEPR Jun22data'!$I182),"NO","YES")))</f>
        <v>NO</v>
      </c>
      <c r="K182"/>
    </row>
    <row r="183" spans="1:11">
      <c r="A183" s="114" t="str">
        <f t="shared" si="4"/>
        <v>4030000DEPN EXPENSE-ELECT3710000INSTALL ON CUSTOMERS PREMISESSITUS</v>
      </c>
      <c r="B183" s="126" t="s">
        <v>1890</v>
      </c>
      <c r="C183" s="127" t="s">
        <v>1612</v>
      </c>
      <c r="D183" s="126" t="s">
        <v>1946</v>
      </c>
      <c r="E183" s="128" t="s">
        <v>1654</v>
      </c>
      <c r="F183" s="127" t="s">
        <v>386</v>
      </c>
      <c r="G183" s="136">
        <v>29.63785</v>
      </c>
      <c r="H183" s="113" t="str">
        <f t="shared" si="5"/>
        <v>SITUS</v>
      </c>
      <c r="I183" s="117" t="str">
        <f>INDEX('BOOKDEPR Lookup'!$I:$I,MATCH('BOOKDEPR Jun22data'!$A183,'BOOKDEPR Lookup'!$A:$A,0))</f>
        <v>DPW</v>
      </c>
      <c r="J183" s="117" t="str">
        <f>IF('BOOKDEPR Jun22data'!$G183=0,"NO",IF(ISNA('BOOKDEPR Jun22data'!$I183),"YES",IF(_xlfn.ISFORMULA('BOOKDEPR Jun22data'!$I183),"NO","YES")))</f>
        <v>NO</v>
      </c>
      <c r="K183"/>
    </row>
    <row r="184" spans="1:11">
      <c r="A184" s="114" t="str">
        <f t="shared" si="4"/>
        <v>4030000DEPN EXPENSE-ELECT3710000INSTALL ON CUSTOMERS PREMISESSITUS</v>
      </c>
      <c r="B184" s="126" t="s">
        <v>1890</v>
      </c>
      <c r="C184" s="127" t="s">
        <v>1612</v>
      </c>
      <c r="D184" s="126" t="s">
        <v>1946</v>
      </c>
      <c r="E184" s="128" t="s">
        <v>1654</v>
      </c>
      <c r="F184" s="127" t="s">
        <v>378</v>
      </c>
      <c r="G184" s="136">
        <v>5.5051399999999999</v>
      </c>
      <c r="H184" s="113" t="str">
        <f t="shared" si="5"/>
        <v>SITUS</v>
      </c>
      <c r="I184" s="117" t="str">
        <f>INDEX('BOOKDEPR Lookup'!$I:$I,MATCH('BOOKDEPR Jun22data'!$A184,'BOOKDEPR Lookup'!$A:$A,0))</f>
        <v>DPW</v>
      </c>
      <c r="J184" s="117" t="str">
        <f>IF('BOOKDEPR Jun22data'!$G184=0,"NO",IF(ISNA('BOOKDEPR Jun22data'!$I184),"YES",IF(_xlfn.ISFORMULA('BOOKDEPR Jun22data'!$I184),"NO","YES")))</f>
        <v>NO</v>
      </c>
      <c r="K184"/>
    </row>
    <row r="185" spans="1:11">
      <c r="A185" s="114" t="str">
        <f t="shared" si="4"/>
        <v>4030000DEPN EXPENSE-ELECT3730000STREET LIGHTING &amp; SIGNAL SYSTEMSSITUS</v>
      </c>
      <c r="B185" s="126" t="s">
        <v>1890</v>
      </c>
      <c r="C185" s="127" t="s">
        <v>1612</v>
      </c>
      <c r="D185" s="126" t="s">
        <v>1947</v>
      </c>
      <c r="E185" s="128" t="s">
        <v>1655</v>
      </c>
      <c r="F185" s="127" t="s">
        <v>387</v>
      </c>
      <c r="G185" s="136">
        <v>27.751010000000001</v>
      </c>
      <c r="H185" s="113" t="str">
        <f t="shared" si="5"/>
        <v>SITUS</v>
      </c>
      <c r="I185" s="117" t="str">
        <f>INDEX('BOOKDEPR Lookup'!$I:$I,MATCH('BOOKDEPR Jun22data'!$A185,'BOOKDEPR Lookup'!$A:$A,0))</f>
        <v>DPW</v>
      </c>
      <c r="J185" s="117" t="str">
        <f>IF('BOOKDEPR Jun22data'!$G185=0,"NO",IF(ISNA('BOOKDEPR Jun22data'!$I185),"YES",IF(_xlfn.ISFORMULA('BOOKDEPR Jun22data'!$I185),"NO","YES")))</f>
        <v>NO</v>
      </c>
      <c r="K185"/>
    </row>
    <row r="186" spans="1:11">
      <c r="A186" s="114" t="str">
        <f t="shared" si="4"/>
        <v>4030000DEPN EXPENSE-ELECT3730000STREET LIGHTING &amp; SIGNAL SYSTEMSSITUS</v>
      </c>
      <c r="B186" s="126" t="s">
        <v>1890</v>
      </c>
      <c r="C186" s="127" t="s">
        <v>1612</v>
      </c>
      <c r="D186" s="126" t="s">
        <v>1947</v>
      </c>
      <c r="E186" s="128" t="s">
        <v>1655</v>
      </c>
      <c r="F186" s="127" t="s">
        <v>372</v>
      </c>
      <c r="G186" s="136">
        <v>34.109110000000001</v>
      </c>
      <c r="H186" s="113" t="str">
        <f t="shared" si="5"/>
        <v>SITUS</v>
      </c>
      <c r="I186" s="117" t="str">
        <f>INDEX('BOOKDEPR Lookup'!$I:$I,MATCH('BOOKDEPR Jun22data'!$A186,'BOOKDEPR Lookup'!$A:$A,0))</f>
        <v>DPW</v>
      </c>
      <c r="J186" s="117" t="str">
        <f>IF('BOOKDEPR Jun22data'!$G186=0,"NO",IF(ISNA('BOOKDEPR Jun22data'!$I186),"YES",IF(_xlfn.ISFORMULA('BOOKDEPR Jun22data'!$I186),"NO","YES")))</f>
        <v>NO</v>
      </c>
      <c r="K186"/>
    </row>
    <row r="187" spans="1:11">
      <c r="A187" s="114" t="str">
        <f t="shared" si="4"/>
        <v>4030000DEPN EXPENSE-ELECT3730000STREET LIGHTING &amp; SIGNAL SYSTEMSSITUS</v>
      </c>
      <c r="B187" s="126" t="s">
        <v>1890</v>
      </c>
      <c r="C187" s="127" t="s">
        <v>1612</v>
      </c>
      <c r="D187" s="126" t="s">
        <v>1947</v>
      </c>
      <c r="E187" s="128" t="s">
        <v>1655</v>
      </c>
      <c r="F187" s="127" t="s">
        <v>343</v>
      </c>
      <c r="G187" s="136">
        <v>626.38485000000003</v>
      </c>
      <c r="H187" s="113" t="str">
        <f t="shared" si="5"/>
        <v>SITUS</v>
      </c>
      <c r="I187" s="117" t="str">
        <f>INDEX('BOOKDEPR Lookup'!$I:$I,MATCH('BOOKDEPR Jun22data'!$A187,'BOOKDEPR Lookup'!$A:$A,0))</f>
        <v>DPW</v>
      </c>
      <c r="J187" s="117" t="str">
        <f>IF('BOOKDEPR Jun22data'!$G187=0,"NO",IF(ISNA('BOOKDEPR Jun22data'!$I187),"YES",IF(_xlfn.ISFORMULA('BOOKDEPR Jun22data'!$I187),"NO","YES")))</f>
        <v>NO</v>
      </c>
      <c r="K187"/>
    </row>
    <row r="188" spans="1:11">
      <c r="A188" s="114" t="str">
        <f t="shared" si="4"/>
        <v>4030000DEPN EXPENSE-ELECT3730000STREET LIGHTING &amp; SIGNAL SYSTEMSSITUS</v>
      </c>
      <c r="B188" s="126" t="s">
        <v>1890</v>
      </c>
      <c r="C188" s="127" t="s">
        <v>1612</v>
      </c>
      <c r="D188" s="126" t="s">
        <v>1947</v>
      </c>
      <c r="E188" s="128" t="s">
        <v>1655</v>
      </c>
      <c r="F188" s="127" t="s">
        <v>370</v>
      </c>
      <c r="G188" s="136">
        <v>1144.6279400000001</v>
      </c>
      <c r="H188" s="113" t="str">
        <f t="shared" si="5"/>
        <v>SITUS</v>
      </c>
      <c r="I188" s="117" t="str">
        <f>INDEX('BOOKDEPR Lookup'!$I:$I,MATCH('BOOKDEPR Jun22data'!$A188,'BOOKDEPR Lookup'!$A:$A,0))</f>
        <v>DPW</v>
      </c>
      <c r="J188" s="117" t="str">
        <f>IF('BOOKDEPR Jun22data'!$G188=0,"NO",IF(ISNA('BOOKDEPR Jun22data'!$I188),"YES",IF(_xlfn.ISFORMULA('BOOKDEPR Jun22data'!$I188),"NO","YES")))</f>
        <v>NO</v>
      </c>
      <c r="K188"/>
    </row>
    <row r="189" spans="1:11">
      <c r="A189" s="114" t="str">
        <f t="shared" si="4"/>
        <v>4030000DEPN EXPENSE-ELECT3730000STREET LIGHTING &amp; SIGNAL SYSTEMSSITUS</v>
      </c>
      <c r="B189" s="126" t="s">
        <v>1890</v>
      </c>
      <c r="C189" s="127" t="s">
        <v>1612</v>
      </c>
      <c r="D189" s="126" t="s">
        <v>1947</v>
      </c>
      <c r="E189" s="128" t="s">
        <v>1655</v>
      </c>
      <c r="F189" s="127" t="s">
        <v>367</v>
      </c>
      <c r="G189" s="136">
        <v>117.48685</v>
      </c>
      <c r="H189" s="113" t="str">
        <f t="shared" si="5"/>
        <v>SITUS</v>
      </c>
      <c r="I189" s="117" t="str">
        <f>INDEX('BOOKDEPR Lookup'!$I:$I,MATCH('BOOKDEPR Jun22data'!$A189,'BOOKDEPR Lookup'!$A:$A,0))</f>
        <v>DPW</v>
      </c>
      <c r="J189" s="117" t="str">
        <f>IF('BOOKDEPR Jun22data'!$G189=0,"NO",IF(ISNA('BOOKDEPR Jun22data'!$I189),"YES",IF(_xlfn.ISFORMULA('BOOKDEPR Jun22data'!$I189),"NO","YES")))</f>
        <v>NO</v>
      </c>
      <c r="K189"/>
    </row>
    <row r="190" spans="1:11">
      <c r="A190" s="114" t="str">
        <f t="shared" si="4"/>
        <v>4030000DEPN EXPENSE-ELECT3730000STREET LIGHTING &amp; SIGNAL SYSTEMSSITUS</v>
      </c>
      <c r="B190" s="126" t="s">
        <v>1890</v>
      </c>
      <c r="C190" s="127" t="s">
        <v>1612</v>
      </c>
      <c r="D190" s="126" t="s">
        <v>1947</v>
      </c>
      <c r="E190" s="128" t="s">
        <v>1655</v>
      </c>
      <c r="F190" s="127" t="s">
        <v>386</v>
      </c>
      <c r="G190" s="136">
        <v>236.3785</v>
      </c>
      <c r="H190" s="113" t="str">
        <f t="shared" si="5"/>
        <v>SITUS</v>
      </c>
      <c r="I190" s="117" t="str">
        <f>INDEX('BOOKDEPR Lookup'!$I:$I,MATCH('BOOKDEPR Jun22data'!$A190,'BOOKDEPR Lookup'!$A:$A,0))</f>
        <v>DPW</v>
      </c>
      <c r="J190" s="117" t="str">
        <f>IF('BOOKDEPR Jun22data'!$G190=0,"NO",IF(ISNA('BOOKDEPR Jun22data'!$I190),"YES",IF(_xlfn.ISFORMULA('BOOKDEPR Jun22data'!$I190),"NO","YES")))</f>
        <v>NO</v>
      </c>
      <c r="K190"/>
    </row>
    <row r="191" spans="1:11">
      <c r="A191" s="114" t="str">
        <f t="shared" si="4"/>
        <v>4030000DEPN EXPENSE-ELECT3730000STREET LIGHTING &amp; SIGNAL SYSTEMSSITUS</v>
      </c>
      <c r="B191" s="126" t="s">
        <v>1890</v>
      </c>
      <c r="C191" s="127" t="s">
        <v>1612</v>
      </c>
      <c r="D191" s="126" t="s">
        <v>1947</v>
      </c>
      <c r="E191" s="128" t="s">
        <v>1655</v>
      </c>
      <c r="F191" s="127" t="s">
        <v>378</v>
      </c>
      <c r="G191" s="136">
        <v>62.416820000000001</v>
      </c>
      <c r="H191" s="113" t="str">
        <f t="shared" si="5"/>
        <v>SITUS</v>
      </c>
      <c r="I191" s="117" t="str">
        <f>INDEX('BOOKDEPR Lookup'!$I:$I,MATCH('BOOKDEPR Jun22data'!$A191,'BOOKDEPR Lookup'!$A:$A,0))</f>
        <v>DPW</v>
      </c>
      <c r="J191" s="117" t="str">
        <f>IF('BOOKDEPR Jun22data'!$G191=0,"NO",IF(ISNA('BOOKDEPR Jun22data'!$I191),"YES",IF(_xlfn.ISFORMULA('BOOKDEPR Jun22data'!$I191),"NO","YES")))</f>
        <v>NO</v>
      </c>
      <c r="K191"/>
    </row>
    <row r="192" spans="1:11">
      <c r="A192" s="114" t="str">
        <f t="shared" si="4"/>
        <v>4030000DEPN EXPENSE-ELECT3892000LAND RIGHTSSITUS</v>
      </c>
      <c r="B192" s="126" t="s">
        <v>1890</v>
      </c>
      <c r="C192" s="127" t="s">
        <v>1612</v>
      </c>
      <c r="D192" s="126" t="s">
        <v>1795</v>
      </c>
      <c r="E192" s="128" t="s">
        <v>1514</v>
      </c>
      <c r="F192" s="127" t="s">
        <v>372</v>
      </c>
      <c r="G192" s="136">
        <v>8.276E-2</v>
      </c>
      <c r="H192" s="113" t="str">
        <f t="shared" si="5"/>
        <v>SITUS</v>
      </c>
      <c r="I192" s="117" t="str">
        <f>INDEX('BOOKDEPR Lookup'!$I:$I,MATCH('BOOKDEPR Jun22data'!$A192,'BOOKDEPR Lookup'!$A:$A,0))</f>
        <v>G-SITUS</v>
      </c>
      <c r="J192" s="117" t="str">
        <f>IF('BOOKDEPR Jun22data'!$G192=0,"NO",IF(ISNA('BOOKDEPR Jun22data'!$I192),"YES",IF(_xlfn.ISFORMULA('BOOKDEPR Jun22data'!$I192),"NO","YES")))</f>
        <v>NO</v>
      </c>
      <c r="K192"/>
    </row>
    <row r="193" spans="1:11">
      <c r="A193" s="114" t="str">
        <f t="shared" si="4"/>
        <v>4030000DEPN EXPENSE-ELECT3892000LAND RIGHTSSITUS</v>
      </c>
      <c r="B193" s="126" t="s">
        <v>1890</v>
      </c>
      <c r="C193" s="127" t="s">
        <v>1612</v>
      </c>
      <c r="D193" s="126" t="s">
        <v>1795</v>
      </c>
      <c r="E193" s="128" t="s">
        <v>1514</v>
      </c>
      <c r="F193" s="127" t="s">
        <v>343</v>
      </c>
      <c r="G193" s="136">
        <v>2.1839999999999998E-2</v>
      </c>
      <c r="H193" s="113" t="str">
        <f t="shared" si="5"/>
        <v>SITUS</v>
      </c>
      <c r="I193" s="117" t="str">
        <f>INDEX('BOOKDEPR Lookup'!$I:$I,MATCH('BOOKDEPR Jun22data'!$A193,'BOOKDEPR Lookup'!$A:$A,0))</f>
        <v>G-SITUS</v>
      </c>
      <c r="J193" s="117" t="str">
        <f>IF('BOOKDEPR Jun22data'!$G193=0,"NO",IF(ISNA('BOOKDEPR Jun22data'!$I193),"YES",IF(_xlfn.ISFORMULA('BOOKDEPR Jun22data'!$I193),"NO","YES")))</f>
        <v>NO</v>
      </c>
      <c r="K193"/>
    </row>
    <row r="194" spans="1:11">
      <c r="A194" s="114" t="str">
        <f t="shared" si="4"/>
        <v>4030000DEPN EXPENSE-ELECT3892000LAND RIGHTSSG</v>
      </c>
      <c r="B194" s="126" t="s">
        <v>1890</v>
      </c>
      <c r="C194" s="127" t="s">
        <v>1612</v>
      </c>
      <c r="D194" s="126" t="s">
        <v>1795</v>
      </c>
      <c r="E194" s="128" t="s">
        <v>1514</v>
      </c>
      <c r="F194" s="127" t="s">
        <v>87</v>
      </c>
      <c r="G194" s="136">
        <v>2.5159999999999998E-2</v>
      </c>
      <c r="H194" s="113" t="str">
        <f t="shared" si="5"/>
        <v>SG</v>
      </c>
      <c r="I194" s="117" t="str">
        <f>INDEX('BOOKDEPR Lookup'!$I:$I,MATCH('BOOKDEPR Jun22data'!$A194,'BOOKDEPR Lookup'!$A:$A,0))</f>
        <v>G-DGP</v>
      </c>
      <c r="J194" s="117" t="str">
        <f>IF('BOOKDEPR Jun22data'!$G194=0,"NO",IF(ISNA('BOOKDEPR Jun22data'!$I194),"YES",IF(_xlfn.ISFORMULA('BOOKDEPR Jun22data'!$I194),"NO","YES")))</f>
        <v>NO</v>
      </c>
      <c r="K194"/>
    </row>
    <row r="195" spans="1:11">
      <c r="A195" s="114" t="str">
        <f t="shared" ref="A195:A258" si="6">CONCATENATE($B195,$C195,$D195,$E195,$H195)</f>
        <v>4030000DEPN EXPENSE-ELECT3892000LAND RIGHTSSO</v>
      </c>
      <c r="B195" s="126" t="s">
        <v>1890</v>
      </c>
      <c r="C195" s="127" t="s">
        <v>1612</v>
      </c>
      <c r="D195" s="126" t="s">
        <v>1795</v>
      </c>
      <c r="E195" s="128" t="s">
        <v>1514</v>
      </c>
      <c r="F195" s="127" t="s">
        <v>89</v>
      </c>
      <c r="G195" s="136">
        <v>2.38287</v>
      </c>
      <c r="H195" s="113" t="str">
        <f t="shared" ref="H195:H258" si="7">IF(OR(F195="IDU",F195="OR",F195="UT",F195="WYU",F195="WYP",F195="CA",F195="WA"),"SITUS",IF(OR(F195="CAEE",F195="JBE"),"SE",IF(OR(F195="CAGE",F195="CAGW",F195="JBG"),"SG",F195)))</f>
        <v>SO</v>
      </c>
      <c r="I195" s="117" t="str">
        <f>INDEX('BOOKDEPR Lookup'!$I:$I,MATCH('BOOKDEPR Jun22data'!$A195,'BOOKDEPR Lookup'!$A:$A,0))</f>
        <v>P</v>
      </c>
      <c r="J195" s="117" t="str">
        <f>IF('BOOKDEPR Jun22data'!$G195=0,"NO",IF(ISNA('BOOKDEPR Jun22data'!$I195),"YES",IF(_xlfn.ISFORMULA('BOOKDEPR Jun22data'!$I195),"NO","YES")))</f>
        <v>NO</v>
      </c>
      <c r="K195"/>
    </row>
    <row r="196" spans="1:11">
      <c r="A196" s="114" t="str">
        <f t="shared" si="6"/>
        <v>4030000DEPN EXPENSE-ELECT3892000LAND RIGHTSSITUS</v>
      </c>
      <c r="B196" s="126" t="s">
        <v>1890</v>
      </c>
      <c r="C196" s="127" t="s">
        <v>1612</v>
      </c>
      <c r="D196" s="126" t="s">
        <v>1795</v>
      </c>
      <c r="E196" s="128" t="s">
        <v>1514</v>
      </c>
      <c r="F196" s="127" t="s">
        <v>370</v>
      </c>
      <c r="G196" s="136">
        <v>1.7231399999999999</v>
      </c>
      <c r="H196" s="113" t="str">
        <f t="shared" si="7"/>
        <v>SITUS</v>
      </c>
      <c r="I196" s="117" t="str">
        <f>INDEX('BOOKDEPR Lookup'!$I:$I,MATCH('BOOKDEPR Jun22data'!$A196,'BOOKDEPR Lookup'!$A:$A,0))</f>
        <v>G-SITUS</v>
      </c>
      <c r="J196" s="117" t="str">
        <f>IF('BOOKDEPR Jun22data'!$G196=0,"NO",IF(ISNA('BOOKDEPR Jun22data'!$I196),"YES",IF(_xlfn.ISFORMULA('BOOKDEPR Jun22data'!$I196),"NO","YES")))</f>
        <v>NO</v>
      </c>
      <c r="K196"/>
    </row>
    <row r="197" spans="1:11">
      <c r="A197" s="114" t="str">
        <f t="shared" si="6"/>
        <v>4030000DEPN EXPENSE-ELECT3892000LAND RIGHTSSITUS</v>
      </c>
      <c r="B197" s="126" t="s">
        <v>1890</v>
      </c>
      <c r="C197" s="127" t="s">
        <v>1612</v>
      </c>
      <c r="D197" s="126" t="s">
        <v>1795</v>
      </c>
      <c r="E197" s="128" t="s">
        <v>1514</v>
      </c>
      <c r="F197" s="127" t="s">
        <v>386</v>
      </c>
      <c r="G197" s="136">
        <v>0.98</v>
      </c>
      <c r="H197" s="113" t="str">
        <f t="shared" si="7"/>
        <v>SITUS</v>
      </c>
      <c r="I197" s="117" t="str">
        <f>INDEX('BOOKDEPR Lookup'!$I:$I,MATCH('BOOKDEPR Jun22data'!$A197,'BOOKDEPR Lookup'!$A:$A,0))</f>
        <v>G-SITUS</v>
      </c>
      <c r="J197" s="117" t="str">
        <f>IF('BOOKDEPR Jun22data'!$G197=0,"NO",IF(ISNA('BOOKDEPR Jun22data'!$I197),"YES",IF(_xlfn.ISFORMULA('BOOKDEPR Jun22data'!$I197),"NO","YES")))</f>
        <v>NO</v>
      </c>
      <c r="K197"/>
    </row>
    <row r="198" spans="1:11">
      <c r="A198" s="114" t="str">
        <f t="shared" si="6"/>
        <v>4030000DEPN EXPENSE-ELECT3892000LAND RIGHTSSITUS</v>
      </c>
      <c r="B198" s="126" t="s">
        <v>1890</v>
      </c>
      <c r="C198" s="127" t="s">
        <v>1612</v>
      </c>
      <c r="D198" s="126" t="s">
        <v>1795</v>
      </c>
      <c r="E198" s="128" t="s">
        <v>1514</v>
      </c>
      <c r="F198" s="127" t="s">
        <v>378</v>
      </c>
      <c r="G198" s="136">
        <v>0.40967999999999999</v>
      </c>
      <c r="H198" s="113" t="str">
        <f t="shared" si="7"/>
        <v>SITUS</v>
      </c>
      <c r="I198" s="117" t="str">
        <f>INDEX('BOOKDEPR Lookup'!$I:$I,MATCH('BOOKDEPR Jun22data'!$A198,'BOOKDEPR Lookup'!$A:$A,0))</f>
        <v>G-SITUS</v>
      </c>
      <c r="J198" s="117" t="str">
        <f>IF('BOOKDEPR Jun22data'!$G198=0,"NO",IF(ISNA('BOOKDEPR Jun22data'!$I198),"YES",IF(_xlfn.ISFORMULA('BOOKDEPR Jun22data'!$I198),"NO","YES")))</f>
        <v>NO</v>
      </c>
      <c r="K198"/>
    </row>
    <row r="199" spans="1:11">
      <c r="A199" s="114" t="str">
        <f t="shared" si="6"/>
        <v>4030000DEPN EXPENSE-ELECT3900000STRUCTURES AND IMPROVEMENTSSITUS</v>
      </c>
      <c r="B199" s="126" t="s">
        <v>1890</v>
      </c>
      <c r="C199" s="127" t="s">
        <v>1612</v>
      </c>
      <c r="D199" s="126" t="s">
        <v>1796</v>
      </c>
      <c r="E199" s="128" t="s">
        <v>1515</v>
      </c>
      <c r="F199" s="127" t="s">
        <v>387</v>
      </c>
      <c r="G199" s="136">
        <v>76.021640000000005</v>
      </c>
      <c r="H199" s="113" t="str">
        <f t="shared" si="7"/>
        <v>SITUS</v>
      </c>
      <c r="I199" s="117" t="str">
        <f>INDEX('BOOKDEPR Lookup'!$I:$I,MATCH('BOOKDEPR Jun22data'!$A199,'BOOKDEPR Lookup'!$A:$A,0))</f>
        <v>G-SITUS</v>
      </c>
      <c r="J199" s="117" t="str">
        <f>IF('BOOKDEPR Jun22data'!$G199=0,"NO",IF(ISNA('BOOKDEPR Jun22data'!$I199),"YES",IF(_xlfn.ISFORMULA('BOOKDEPR Jun22data'!$I199),"NO","YES")))</f>
        <v>NO</v>
      </c>
      <c r="K199"/>
    </row>
    <row r="200" spans="1:11">
      <c r="A200" s="114" t="str">
        <f t="shared" si="6"/>
        <v>4030000DEPN EXPENSE-ELECT3900000STRUCTURES AND IMPROVEMENTSSE</v>
      </c>
      <c r="B200" s="126" t="s">
        <v>1890</v>
      </c>
      <c r="C200" s="127" t="s">
        <v>1612</v>
      </c>
      <c r="D200" s="126" t="s">
        <v>1796</v>
      </c>
      <c r="E200" s="128" t="s">
        <v>1515</v>
      </c>
      <c r="F200" s="127" t="s">
        <v>3110</v>
      </c>
      <c r="G200" s="136">
        <v>22.78801</v>
      </c>
      <c r="H200" s="113" t="str">
        <f t="shared" si="7"/>
        <v>SE</v>
      </c>
      <c r="I200" s="117" t="str">
        <f>INDEX('BOOKDEPR Lookup'!$I:$I,MATCH('BOOKDEPR Jun22data'!$A200,'BOOKDEPR Lookup'!$A:$A,0))</f>
        <v>P</v>
      </c>
      <c r="J200" s="117" t="str">
        <f>IF('BOOKDEPR Jun22data'!$G200=0,"NO",IF(ISNA('BOOKDEPR Jun22data'!$I200),"YES",IF(_xlfn.ISFORMULA('BOOKDEPR Jun22data'!$I200),"NO","YES")))</f>
        <v>NO</v>
      </c>
      <c r="K200"/>
    </row>
    <row r="201" spans="1:11">
      <c r="A201" s="114" t="str">
        <f t="shared" si="6"/>
        <v>4030000DEPN EXPENSE-ELECT3900000STRUCTURES AND IMPROVEMENTSSG</v>
      </c>
      <c r="B201" s="126" t="s">
        <v>1890</v>
      </c>
      <c r="C201" s="127" t="s">
        <v>1612</v>
      </c>
      <c r="D201" s="126" t="s">
        <v>1796</v>
      </c>
      <c r="E201" s="128" t="s">
        <v>1515</v>
      </c>
      <c r="F201" s="127" t="s">
        <v>3106</v>
      </c>
      <c r="G201" s="136">
        <v>12.357250000000001</v>
      </c>
      <c r="H201" s="113" t="str">
        <f t="shared" si="7"/>
        <v>SG</v>
      </c>
      <c r="I201" s="117" t="str">
        <f>INDEX('BOOKDEPR Lookup'!$I:$I,MATCH('BOOKDEPR Jun22data'!$A201,'BOOKDEPR Lookup'!$A:$A,0))</f>
        <v>G-DGU</v>
      </c>
      <c r="J201" s="117" t="str">
        <f>IF('BOOKDEPR Jun22data'!$G201=0,"NO",IF(ISNA('BOOKDEPR Jun22data'!$I201),"YES",IF(_xlfn.ISFORMULA('BOOKDEPR Jun22data'!$I201),"NO","YES")))</f>
        <v>NO</v>
      </c>
      <c r="K201"/>
    </row>
    <row r="202" spans="1:11">
      <c r="A202" s="114" t="str">
        <f t="shared" si="6"/>
        <v>4030000DEPN EXPENSE-ELECT3900000STRUCTURES AND IMPROVEMENTSSG</v>
      </c>
      <c r="B202" s="126" t="s">
        <v>1890</v>
      </c>
      <c r="C202" s="127" t="s">
        <v>1612</v>
      </c>
      <c r="D202" s="126" t="s">
        <v>1796</v>
      </c>
      <c r="E202" s="128" t="s">
        <v>1515</v>
      </c>
      <c r="F202" s="127" t="s">
        <v>3108</v>
      </c>
      <c r="G202" s="136">
        <v>0.18734000000000001</v>
      </c>
      <c r="H202" s="113" t="str">
        <f t="shared" si="7"/>
        <v>SG</v>
      </c>
      <c r="I202" s="117" t="str">
        <f>INDEX('BOOKDEPR Lookup'!$I:$I,MATCH('BOOKDEPR Jun22data'!$A202,'BOOKDEPR Lookup'!$A:$A,0))</f>
        <v>G-DGU</v>
      </c>
      <c r="J202" s="117" t="str">
        <f>IF('BOOKDEPR Jun22data'!$G202=0,"NO",IF(ISNA('BOOKDEPR Jun22data'!$I202),"YES",IF(_xlfn.ISFORMULA('BOOKDEPR Jun22data'!$I202),"NO","YES")))</f>
        <v>NO</v>
      </c>
      <c r="K202"/>
    </row>
    <row r="203" spans="1:11">
      <c r="A203" s="114" t="str">
        <f t="shared" si="6"/>
        <v>4030000DEPN EXPENSE-ELECT3900000STRUCTURES AND IMPROVEMENTSCN</v>
      </c>
      <c r="B203" s="126" t="s">
        <v>1890</v>
      </c>
      <c r="C203" s="127" t="s">
        <v>1612</v>
      </c>
      <c r="D203" s="126" t="s">
        <v>1796</v>
      </c>
      <c r="E203" s="128" t="s">
        <v>1515</v>
      </c>
      <c r="F203" s="127" t="s">
        <v>84</v>
      </c>
      <c r="G203" s="136">
        <v>209.29674020929701</v>
      </c>
      <c r="H203" s="113" t="str">
        <f t="shared" si="7"/>
        <v>CN</v>
      </c>
      <c r="I203" s="117" t="str">
        <f>INDEX('BOOKDEPR Lookup'!$I:$I,MATCH('BOOKDEPR Jun22data'!$A203,'BOOKDEPR Lookup'!$A:$A,0))</f>
        <v>CUST</v>
      </c>
      <c r="J203" s="117" t="str">
        <f>IF('BOOKDEPR Jun22data'!$G203=0,"NO",IF(ISNA('BOOKDEPR Jun22data'!$I203),"YES",IF(_xlfn.ISFORMULA('BOOKDEPR Jun22data'!$I203),"NO","YES")))</f>
        <v>NO</v>
      </c>
      <c r="K203"/>
    </row>
    <row r="204" spans="1:11">
      <c r="A204" s="114" t="str">
        <f t="shared" si="6"/>
        <v>4030000DEPN EXPENSE-ELECT3900000STRUCTURES AND IMPROVEMENTSSITUS</v>
      </c>
      <c r="B204" s="126" t="s">
        <v>1890</v>
      </c>
      <c r="C204" s="127" t="s">
        <v>1612</v>
      </c>
      <c r="D204" s="126" t="s">
        <v>1796</v>
      </c>
      <c r="E204" s="128" t="s">
        <v>1515</v>
      </c>
      <c r="F204" s="127" t="s">
        <v>372</v>
      </c>
      <c r="G204" s="136">
        <v>218.94417000000001</v>
      </c>
      <c r="H204" s="113" t="str">
        <f t="shared" si="7"/>
        <v>SITUS</v>
      </c>
      <c r="I204" s="117" t="str">
        <f>INDEX('BOOKDEPR Lookup'!$I:$I,MATCH('BOOKDEPR Jun22data'!$A204,'BOOKDEPR Lookup'!$A:$A,0))</f>
        <v>G-SITUS</v>
      </c>
      <c r="J204" s="117" t="str">
        <f>IF('BOOKDEPR Jun22data'!$G204=0,"NO",IF(ISNA('BOOKDEPR Jun22data'!$I204),"YES",IF(_xlfn.ISFORMULA('BOOKDEPR Jun22data'!$I204),"NO","YES")))</f>
        <v>NO</v>
      </c>
      <c r="K204"/>
    </row>
    <row r="205" spans="1:11">
      <c r="A205" s="114" t="str">
        <f t="shared" si="6"/>
        <v>4030000DEPN EXPENSE-ELECT3900000STRUCTURES AND IMPROVEMENTSSITUS</v>
      </c>
      <c r="B205" s="126" t="s">
        <v>1890</v>
      </c>
      <c r="C205" s="127" t="s">
        <v>1612</v>
      </c>
      <c r="D205" s="126" t="s">
        <v>1796</v>
      </c>
      <c r="E205" s="128" t="s">
        <v>1515</v>
      </c>
      <c r="F205" s="127" t="s">
        <v>343</v>
      </c>
      <c r="G205" s="136">
        <v>770.85400000000004</v>
      </c>
      <c r="H205" s="113" t="str">
        <f t="shared" si="7"/>
        <v>SITUS</v>
      </c>
      <c r="I205" s="117" t="str">
        <f>INDEX('BOOKDEPR Lookup'!$I:$I,MATCH('BOOKDEPR Jun22data'!$A205,'BOOKDEPR Lookup'!$A:$A,0))</f>
        <v>G-SITUS</v>
      </c>
      <c r="J205" s="117" t="str">
        <f>IF('BOOKDEPR Jun22data'!$G205=0,"NO",IF(ISNA('BOOKDEPR Jun22data'!$I205),"YES",IF(_xlfn.ISFORMULA('BOOKDEPR Jun22data'!$I205),"NO","YES")))</f>
        <v>NO</v>
      </c>
      <c r="K205"/>
    </row>
    <row r="206" spans="1:11">
      <c r="A206" s="114" t="str">
        <f t="shared" si="6"/>
        <v>4030000DEPN EXPENSE-ELECT3900000STRUCTURES AND IMPROVEMENTSSG</v>
      </c>
      <c r="B206" s="126" t="s">
        <v>1890</v>
      </c>
      <c r="C206" s="127" t="s">
        <v>1612</v>
      </c>
      <c r="D206" s="126" t="s">
        <v>1796</v>
      </c>
      <c r="E206" s="128" t="s">
        <v>1515</v>
      </c>
      <c r="F206" s="127" t="s">
        <v>87</v>
      </c>
      <c r="G206" s="136">
        <v>264.12513000000001</v>
      </c>
      <c r="H206" s="113" t="str">
        <f t="shared" si="7"/>
        <v>SG</v>
      </c>
      <c r="I206" s="117" t="str">
        <f>INDEX('BOOKDEPR Lookup'!$I:$I,MATCH('BOOKDEPR Jun22data'!$A206,'BOOKDEPR Lookup'!$A:$A,0))</f>
        <v>G-DGU</v>
      </c>
      <c r="J206" s="117" t="str">
        <f>IF('BOOKDEPR Jun22data'!$G206=0,"NO",IF(ISNA('BOOKDEPR Jun22data'!$I206),"YES",IF(_xlfn.ISFORMULA('BOOKDEPR Jun22data'!$I206),"NO","YES")))</f>
        <v>NO</v>
      </c>
      <c r="K206"/>
    </row>
    <row r="207" spans="1:11">
      <c r="A207" s="114" t="str">
        <f t="shared" si="6"/>
        <v>4030000DEPN EXPENSE-ELECT3900000STRUCTURES AND IMPROVEMENTSSO</v>
      </c>
      <c r="B207" s="126" t="s">
        <v>1890</v>
      </c>
      <c r="C207" s="127" t="s">
        <v>1612</v>
      </c>
      <c r="D207" s="126" t="s">
        <v>1796</v>
      </c>
      <c r="E207" s="128" t="s">
        <v>1515</v>
      </c>
      <c r="F207" s="127" t="s">
        <v>89</v>
      </c>
      <c r="G207" s="136">
        <v>2305.8472400000001</v>
      </c>
      <c r="H207" s="113" t="str">
        <f t="shared" si="7"/>
        <v>SO</v>
      </c>
      <c r="I207" s="117" t="str">
        <f>INDEX('BOOKDEPR Lookup'!$I:$I,MATCH('BOOKDEPR Jun22data'!$A207,'BOOKDEPR Lookup'!$A:$A,0))</f>
        <v>PTD</v>
      </c>
      <c r="J207" s="117" t="str">
        <f>IF('BOOKDEPR Jun22data'!$G207=0,"NO",IF(ISNA('BOOKDEPR Jun22data'!$I207),"YES",IF(_xlfn.ISFORMULA('BOOKDEPR Jun22data'!$I207),"NO","YES")))</f>
        <v>NO</v>
      </c>
      <c r="K207"/>
    </row>
    <row r="208" spans="1:11">
      <c r="A208" s="114" t="str">
        <f t="shared" si="6"/>
        <v>4030000DEPN EXPENSE-ELECT3900000STRUCTURES AND IMPROVEMENTSSITUS</v>
      </c>
      <c r="B208" s="126" t="s">
        <v>1890</v>
      </c>
      <c r="C208" s="127" t="s">
        <v>1612</v>
      </c>
      <c r="D208" s="126" t="s">
        <v>1796</v>
      </c>
      <c r="E208" s="128" t="s">
        <v>1515</v>
      </c>
      <c r="F208" s="127" t="s">
        <v>370</v>
      </c>
      <c r="G208" s="136">
        <v>1183.3771099999999</v>
      </c>
      <c r="H208" s="113" t="str">
        <f t="shared" si="7"/>
        <v>SITUS</v>
      </c>
      <c r="I208" s="117" t="str">
        <f>INDEX('BOOKDEPR Lookup'!$I:$I,MATCH('BOOKDEPR Jun22data'!$A208,'BOOKDEPR Lookup'!$A:$A,0))</f>
        <v>G-SITUS</v>
      </c>
      <c r="J208" s="117" t="str">
        <f>IF('BOOKDEPR Jun22data'!$G208=0,"NO",IF(ISNA('BOOKDEPR Jun22data'!$I208),"YES",IF(_xlfn.ISFORMULA('BOOKDEPR Jun22data'!$I208),"NO","YES")))</f>
        <v>NO</v>
      </c>
      <c r="K208"/>
    </row>
    <row r="209" spans="1:11">
      <c r="A209" s="114" t="str">
        <f t="shared" si="6"/>
        <v>4030000DEPN EXPENSE-ELECT3900000STRUCTURES AND IMPROVEMENTSSITUS</v>
      </c>
      <c r="B209" s="126" t="s">
        <v>1890</v>
      </c>
      <c r="C209" s="127" t="s">
        <v>1612</v>
      </c>
      <c r="D209" s="126" t="s">
        <v>1796</v>
      </c>
      <c r="E209" s="128" t="s">
        <v>1515</v>
      </c>
      <c r="F209" s="127" t="s">
        <v>367</v>
      </c>
      <c r="G209" s="136">
        <v>240.2638</v>
      </c>
      <c r="H209" s="113" t="str">
        <f t="shared" si="7"/>
        <v>SITUS</v>
      </c>
      <c r="I209" s="117" t="str">
        <f>INDEX('BOOKDEPR Lookup'!$I:$I,MATCH('BOOKDEPR Jun22data'!$A209,'BOOKDEPR Lookup'!$A:$A,0))</f>
        <v>G-SITUS</v>
      </c>
      <c r="J209" s="117" t="str">
        <f>IF('BOOKDEPR Jun22data'!$G209=0,"NO",IF(ISNA('BOOKDEPR Jun22data'!$I209),"YES",IF(_xlfn.ISFORMULA('BOOKDEPR Jun22data'!$I209),"NO","YES")))</f>
        <v>NO</v>
      </c>
      <c r="K209"/>
    </row>
    <row r="210" spans="1:11">
      <c r="A210" s="114" t="str">
        <f t="shared" si="6"/>
        <v>4030000DEPN EXPENSE-ELECT3900000STRUCTURES AND IMPROVEMENTSSITUS</v>
      </c>
      <c r="B210" s="126" t="s">
        <v>1890</v>
      </c>
      <c r="C210" s="127" t="s">
        <v>1612</v>
      </c>
      <c r="D210" s="126" t="s">
        <v>1796</v>
      </c>
      <c r="E210" s="128" t="s">
        <v>1515</v>
      </c>
      <c r="F210" s="127" t="s">
        <v>386</v>
      </c>
      <c r="G210" s="136">
        <v>248.63216</v>
      </c>
      <c r="H210" s="113" t="str">
        <f t="shared" si="7"/>
        <v>SITUS</v>
      </c>
      <c r="I210" s="117" t="str">
        <f>INDEX('BOOKDEPR Lookup'!$I:$I,MATCH('BOOKDEPR Jun22data'!$A210,'BOOKDEPR Lookup'!$A:$A,0))</f>
        <v>G-SITUS</v>
      </c>
      <c r="J210" s="117" t="str">
        <f>IF('BOOKDEPR Jun22data'!$G210=0,"NO",IF(ISNA('BOOKDEPR Jun22data'!$I210),"YES",IF(_xlfn.ISFORMULA('BOOKDEPR Jun22data'!$I210),"NO","YES")))</f>
        <v>NO</v>
      </c>
      <c r="K210"/>
    </row>
    <row r="211" spans="1:11">
      <c r="A211" s="114" t="str">
        <f t="shared" si="6"/>
        <v>4030000DEPN EXPENSE-ELECT3900000STRUCTURES AND IMPROVEMENTSSITUS</v>
      </c>
      <c r="B211" s="126" t="s">
        <v>1890</v>
      </c>
      <c r="C211" s="127" t="s">
        <v>1612</v>
      </c>
      <c r="D211" s="126" t="s">
        <v>1796</v>
      </c>
      <c r="E211" s="128" t="s">
        <v>1515</v>
      </c>
      <c r="F211" s="127" t="s">
        <v>378</v>
      </c>
      <c r="G211" s="136">
        <v>113.46614</v>
      </c>
      <c r="H211" s="113" t="str">
        <f t="shared" si="7"/>
        <v>SITUS</v>
      </c>
      <c r="I211" s="117" t="str">
        <f>INDEX('BOOKDEPR Lookup'!$I:$I,MATCH('BOOKDEPR Jun22data'!$A211,'BOOKDEPR Lookup'!$A:$A,0))</f>
        <v>G-SITUS</v>
      </c>
      <c r="J211" s="117" t="str">
        <f>IF('BOOKDEPR Jun22data'!$G211=0,"NO",IF(ISNA('BOOKDEPR Jun22data'!$I211),"YES",IF(_xlfn.ISFORMULA('BOOKDEPR Jun22data'!$I211),"NO","YES")))</f>
        <v>NO</v>
      </c>
      <c r="K211"/>
    </row>
    <row r="212" spans="1:11">
      <c r="A212" s="114" t="str">
        <f t="shared" si="6"/>
        <v>4030000DEPN EXPENSE-ELECT3910000OFFICE FURNITURESITUS</v>
      </c>
      <c r="B212" s="126" t="s">
        <v>1890</v>
      </c>
      <c r="C212" s="127" t="s">
        <v>1612</v>
      </c>
      <c r="D212" s="126" t="s">
        <v>1797</v>
      </c>
      <c r="E212" s="128" t="s">
        <v>1517</v>
      </c>
      <c r="F212" s="127" t="s">
        <v>387</v>
      </c>
      <c r="G212" s="136">
        <v>5.4792699999999996</v>
      </c>
      <c r="H212" s="113" t="str">
        <f t="shared" si="7"/>
        <v>SITUS</v>
      </c>
      <c r="I212" s="117" t="str">
        <f>INDEX('BOOKDEPR Lookup'!$I:$I,MATCH('BOOKDEPR Jun22data'!$A212,'BOOKDEPR Lookup'!$A:$A,0))</f>
        <v>G-SITUS</v>
      </c>
      <c r="J212" s="117" t="str">
        <f>IF('BOOKDEPR Jun22data'!$G212=0,"NO",IF(ISNA('BOOKDEPR Jun22data'!$I212),"YES",IF(_xlfn.ISFORMULA('BOOKDEPR Jun22data'!$I212),"NO","YES")))</f>
        <v>NO</v>
      </c>
      <c r="K212"/>
    </row>
    <row r="213" spans="1:11">
      <c r="A213" s="114" t="str">
        <f t="shared" si="6"/>
        <v>4030000DEPN EXPENSE-ELECT3910000OFFICE FURNITURESE</v>
      </c>
      <c r="B213" s="126" t="s">
        <v>1890</v>
      </c>
      <c r="C213" s="127" t="s">
        <v>1612</v>
      </c>
      <c r="D213" s="126" t="s">
        <v>1797</v>
      </c>
      <c r="E213" s="128" t="s">
        <v>1517</v>
      </c>
      <c r="F213" s="127" t="s">
        <v>3110</v>
      </c>
      <c r="G213" s="136">
        <v>0.19109000000000001</v>
      </c>
      <c r="H213" s="113" t="str">
        <f t="shared" si="7"/>
        <v>SE</v>
      </c>
      <c r="I213" s="117" t="str">
        <f>INDEX('BOOKDEPR Lookup'!$I:$I,MATCH('BOOKDEPR Jun22data'!$A213,'BOOKDEPR Lookup'!$A:$A,0))</f>
        <v>P</v>
      </c>
      <c r="J213" s="117" t="str">
        <f>IF('BOOKDEPR Jun22data'!$G213=0,"NO",IF(ISNA('BOOKDEPR Jun22data'!$I213),"YES",IF(_xlfn.ISFORMULA('BOOKDEPR Jun22data'!$I213),"NO","YES")))</f>
        <v>NO</v>
      </c>
      <c r="K213"/>
    </row>
    <row r="214" spans="1:11">
      <c r="A214" s="114" t="str">
        <f t="shared" si="6"/>
        <v>4030000DEPN EXPENSE-ELECT3910000OFFICE FURNITURESG</v>
      </c>
      <c r="B214" s="126" t="s">
        <v>1890</v>
      </c>
      <c r="C214" s="127" t="s">
        <v>1612</v>
      </c>
      <c r="D214" s="126" t="s">
        <v>1797</v>
      </c>
      <c r="E214" s="128" t="s">
        <v>1517</v>
      </c>
      <c r="F214" s="127" t="s">
        <v>3106</v>
      </c>
      <c r="G214" s="136">
        <v>60.503149999999998</v>
      </c>
      <c r="H214" s="113" t="str">
        <f t="shared" si="7"/>
        <v>SG</v>
      </c>
      <c r="I214" s="117" t="str">
        <f>INDEX('BOOKDEPR Lookup'!$I:$I,MATCH('BOOKDEPR Jun22data'!$A214,'BOOKDEPR Lookup'!$A:$A,0))</f>
        <v>G-SG</v>
      </c>
      <c r="J214" s="117" t="str">
        <f>IF('BOOKDEPR Jun22data'!$G214=0,"NO",IF(ISNA('BOOKDEPR Jun22data'!$I214),"YES",IF(_xlfn.ISFORMULA('BOOKDEPR Jun22data'!$I214),"NO","YES")))</f>
        <v>NO</v>
      </c>
      <c r="K214"/>
    </row>
    <row r="215" spans="1:11">
      <c r="A215" s="114" t="str">
        <f t="shared" si="6"/>
        <v>4030000DEPN EXPENSE-ELECT3910000OFFICE FURNITURESG</v>
      </c>
      <c r="B215" s="126" t="s">
        <v>1890</v>
      </c>
      <c r="C215" s="127" t="s">
        <v>1612</v>
      </c>
      <c r="D215" s="126" t="s">
        <v>1797</v>
      </c>
      <c r="E215" s="128" t="s">
        <v>1517</v>
      </c>
      <c r="F215" s="127" t="s">
        <v>3108</v>
      </c>
      <c r="G215" s="136">
        <v>2.4726400000000002</v>
      </c>
      <c r="H215" s="113" t="str">
        <f t="shared" si="7"/>
        <v>SG</v>
      </c>
      <c r="I215" s="117" t="str">
        <f>INDEX('BOOKDEPR Lookup'!$I:$I,MATCH('BOOKDEPR Jun22data'!$A215,'BOOKDEPR Lookup'!$A:$A,0))</f>
        <v>G-SG</v>
      </c>
      <c r="J215" s="117" t="str">
        <f>IF('BOOKDEPR Jun22data'!$G215=0,"NO",IF(ISNA('BOOKDEPR Jun22data'!$I215),"YES",IF(_xlfn.ISFORMULA('BOOKDEPR Jun22data'!$I215),"NO","YES")))</f>
        <v>NO</v>
      </c>
      <c r="K215"/>
    </row>
    <row r="216" spans="1:11">
      <c r="A216" s="114" t="str">
        <f t="shared" si="6"/>
        <v>4030000DEPN EXPENSE-ELECT3910000OFFICE FURNITURECN</v>
      </c>
      <c r="B216" s="126" t="s">
        <v>1890</v>
      </c>
      <c r="C216" s="127" t="s">
        <v>1612</v>
      </c>
      <c r="D216" s="126" t="s">
        <v>1797</v>
      </c>
      <c r="E216" s="128" t="s">
        <v>1517</v>
      </c>
      <c r="F216" s="127" t="s">
        <v>84</v>
      </c>
      <c r="G216" s="136">
        <v>39.911320039911303</v>
      </c>
      <c r="H216" s="113" t="str">
        <f t="shared" si="7"/>
        <v>CN</v>
      </c>
      <c r="I216" s="117" t="str">
        <f>INDEX('BOOKDEPR Lookup'!$I:$I,MATCH('BOOKDEPR Jun22data'!$A216,'BOOKDEPR Lookup'!$A:$A,0))</f>
        <v>CUST</v>
      </c>
      <c r="J216" s="117" t="str">
        <f>IF('BOOKDEPR Jun22data'!$G216=0,"NO",IF(ISNA('BOOKDEPR Jun22data'!$I216),"YES",IF(_xlfn.ISFORMULA('BOOKDEPR Jun22data'!$I216),"NO","YES")))</f>
        <v>NO</v>
      </c>
      <c r="K216"/>
    </row>
    <row r="217" spans="1:11">
      <c r="A217" s="114" t="str">
        <f t="shared" si="6"/>
        <v>4030000DEPN EXPENSE-ELECT3910000OFFICE FURNITURESITUS</v>
      </c>
      <c r="B217" s="126" t="s">
        <v>1890</v>
      </c>
      <c r="C217" s="127" t="s">
        <v>1612</v>
      </c>
      <c r="D217" s="126" t="s">
        <v>1797</v>
      </c>
      <c r="E217" s="128" t="s">
        <v>1517</v>
      </c>
      <c r="F217" s="127" t="s">
        <v>372</v>
      </c>
      <c r="G217" s="136">
        <v>4.0719799999999999</v>
      </c>
      <c r="H217" s="113" t="str">
        <f t="shared" si="7"/>
        <v>SITUS</v>
      </c>
      <c r="I217" s="117" t="str">
        <f>INDEX('BOOKDEPR Lookup'!$I:$I,MATCH('BOOKDEPR Jun22data'!$A217,'BOOKDEPR Lookup'!$A:$A,0))</f>
        <v>G-SITUS</v>
      </c>
      <c r="J217" s="117" t="str">
        <f>IF('BOOKDEPR Jun22data'!$G217=0,"NO",IF(ISNA('BOOKDEPR Jun22data'!$I217),"YES",IF(_xlfn.ISFORMULA('BOOKDEPR Jun22data'!$I217),"NO","YES")))</f>
        <v>NO</v>
      </c>
      <c r="K217"/>
    </row>
    <row r="218" spans="1:11">
      <c r="A218" s="114" t="str">
        <f t="shared" si="6"/>
        <v>4030000DEPN EXPENSE-ELECT3910000OFFICE FURNITURESG</v>
      </c>
      <c r="B218" s="126" t="s">
        <v>1890</v>
      </c>
      <c r="C218" s="127" t="s">
        <v>1612</v>
      </c>
      <c r="D218" s="126" t="s">
        <v>1797</v>
      </c>
      <c r="E218" s="128" t="s">
        <v>1517</v>
      </c>
      <c r="F218" s="127" t="s">
        <v>3107</v>
      </c>
      <c r="G218" s="136">
        <v>7.6206399999999999</v>
      </c>
      <c r="H218" s="113" t="str">
        <f t="shared" si="7"/>
        <v>SG</v>
      </c>
      <c r="I218" s="117" t="str">
        <f>INDEX('BOOKDEPR Lookup'!$I:$I,MATCH('BOOKDEPR Jun22data'!$A218,'BOOKDEPR Lookup'!$A:$A,0))</f>
        <v>G-SG</v>
      </c>
      <c r="J218" s="117" t="str">
        <f>IF('BOOKDEPR Jun22data'!$G218=0,"NO",IF(ISNA('BOOKDEPR Jun22data'!$I218),"YES",IF(_xlfn.ISFORMULA('BOOKDEPR Jun22data'!$I218),"NO","YES")))</f>
        <v>NO</v>
      </c>
      <c r="K218"/>
    </row>
    <row r="219" spans="1:11">
      <c r="A219" s="114" t="str">
        <f t="shared" si="6"/>
        <v>4030000DEPN EXPENSE-ELECT3910000OFFICE FURNITURESITUS</v>
      </c>
      <c r="B219" s="126" t="s">
        <v>1890</v>
      </c>
      <c r="C219" s="127" t="s">
        <v>1612</v>
      </c>
      <c r="D219" s="126" t="s">
        <v>1797</v>
      </c>
      <c r="E219" s="128" t="s">
        <v>1517</v>
      </c>
      <c r="F219" s="127" t="s">
        <v>343</v>
      </c>
      <c r="G219" s="136">
        <v>68.48545</v>
      </c>
      <c r="H219" s="113" t="str">
        <f t="shared" si="7"/>
        <v>SITUS</v>
      </c>
      <c r="I219" s="117" t="str">
        <f>INDEX('BOOKDEPR Lookup'!$I:$I,MATCH('BOOKDEPR Jun22data'!$A219,'BOOKDEPR Lookup'!$A:$A,0))</f>
        <v>G-SITUS</v>
      </c>
      <c r="J219" s="117" t="str">
        <f>IF('BOOKDEPR Jun22data'!$G219=0,"NO",IF(ISNA('BOOKDEPR Jun22data'!$I219),"YES",IF(_xlfn.ISFORMULA('BOOKDEPR Jun22data'!$I219),"NO","YES")))</f>
        <v>NO</v>
      </c>
      <c r="K219"/>
    </row>
    <row r="220" spans="1:11">
      <c r="A220" s="114" t="str">
        <f t="shared" si="6"/>
        <v>4030000DEPN EXPENSE-ELECT3910000OFFICE FURNITURESG</v>
      </c>
      <c r="B220" s="126" t="s">
        <v>1890</v>
      </c>
      <c r="C220" s="127" t="s">
        <v>1612</v>
      </c>
      <c r="D220" s="126" t="s">
        <v>1797</v>
      </c>
      <c r="E220" s="128" t="s">
        <v>1517</v>
      </c>
      <c r="F220" s="127" t="s">
        <v>87</v>
      </c>
      <c r="G220" s="136">
        <v>12.83437</v>
      </c>
      <c r="H220" s="113" t="str">
        <f t="shared" si="7"/>
        <v>SG</v>
      </c>
      <c r="I220" s="117" t="str">
        <f>INDEX('BOOKDEPR Lookup'!$I:$I,MATCH('BOOKDEPR Jun22data'!$A220,'BOOKDEPR Lookup'!$A:$A,0))</f>
        <v>G-SG</v>
      </c>
      <c r="J220" s="117" t="str">
        <f>IF('BOOKDEPR Jun22data'!$G220=0,"NO",IF(ISNA('BOOKDEPR Jun22data'!$I220),"YES",IF(_xlfn.ISFORMULA('BOOKDEPR Jun22data'!$I220),"NO","YES")))</f>
        <v>NO</v>
      </c>
      <c r="K220"/>
    </row>
    <row r="221" spans="1:11">
      <c r="A221" s="114" t="str">
        <f t="shared" si="6"/>
        <v>4030000DEPN EXPENSE-ELECT3910000OFFICE FURNITURESO</v>
      </c>
      <c r="B221" s="126" t="s">
        <v>1890</v>
      </c>
      <c r="C221" s="127" t="s">
        <v>1612</v>
      </c>
      <c r="D221" s="126" t="s">
        <v>1797</v>
      </c>
      <c r="E221" s="128" t="s">
        <v>1517</v>
      </c>
      <c r="F221" s="127" t="s">
        <v>89</v>
      </c>
      <c r="G221" s="136">
        <v>652.22320999999999</v>
      </c>
      <c r="H221" s="113" t="str">
        <f t="shared" si="7"/>
        <v>SO</v>
      </c>
      <c r="I221" s="117" t="str">
        <f>INDEX('BOOKDEPR Lookup'!$I:$I,MATCH('BOOKDEPR Jun22data'!$A221,'BOOKDEPR Lookup'!$A:$A,0))</f>
        <v>PTD</v>
      </c>
      <c r="J221" s="117" t="str">
        <f>IF('BOOKDEPR Jun22data'!$G221=0,"NO",IF(ISNA('BOOKDEPR Jun22data'!$I221),"YES",IF(_xlfn.ISFORMULA('BOOKDEPR Jun22data'!$I221),"NO","YES")))</f>
        <v>NO</v>
      </c>
      <c r="K221"/>
    </row>
    <row r="222" spans="1:11">
      <c r="A222" s="114" t="str">
        <f t="shared" si="6"/>
        <v>4030000DEPN EXPENSE-ELECT3910000OFFICE FURNITURESITUS</v>
      </c>
      <c r="B222" s="126" t="s">
        <v>1890</v>
      </c>
      <c r="C222" s="127" t="s">
        <v>1612</v>
      </c>
      <c r="D222" s="126" t="s">
        <v>1797</v>
      </c>
      <c r="E222" s="128" t="s">
        <v>1517</v>
      </c>
      <c r="F222" s="127" t="s">
        <v>370</v>
      </c>
      <c r="G222" s="136">
        <v>45.45402</v>
      </c>
      <c r="H222" s="113" t="str">
        <f t="shared" si="7"/>
        <v>SITUS</v>
      </c>
      <c r="I222" s="117" t="str">
        <f>INDEX('BOOKDEPR Lookup'!$I:$I,MATCH('BOOKDEPR Jun22data'!$A222,'BOOKDEPR Lookup'!$A:$A,0))</f>
        <v>G-SITUS</v>
      </c>
      <c r="J222" s="117" t="str">
        <f>IF('BOOKDEPR Jun22data'!$G222=0,"NO",IF(ISNA('BOOKDEPR Jun22data'!$I222),"YES",IF(_xlfn.ISFORMULA('BOOKDEPR Jun22data'!$I222),"NO","YES")))</f>
        <v>NO</v>
      </c>
      <c r="K222"/>
    </row>
    <row r="223" spans="1:11">
      <c r="A223" s="114" t="str">
        <f t="shared" si="6"/>
        <v>4030000DEPN EXPENSE-ELECT3910000OFFICE FURNITURESITUS</v>
      </c>
      <c r="B223" s="126" t="s">
        <v>1890</v>
      </c>
      <c r="C223" s="127" t="s">
        <v>1612</v>
      </c>
      <c r="D223" s="126" t="s">
        <v>1797</v>
      </c>
      <c r="E223" s="128" t="s">
        <v>1517</v>
      </c>
      <c r="F223" s="127" t="s">
        <v>367</v>
      </c>
      <c r="G223" s="136">
        <v>2.95092</v>
      </c>
      <c r="H223" s="113" t="str">
        <f t="shared" si="7"/>
        <v>SITUS</v>
      </c>
      <c r="I223" s="117" t="str">
        <f>INDEX('BOOKDEPR Lookup'!$I:$I,MATCH('BOOKDEPR Jun22data'!$A223,'BOOKDEPR Lookup'!$A:$A,0))</f>
        <v>G-SITUS</v>
      </c>
      <c r="J223" s="117" t="str">
        <f>IF('BOOKDEPR Jun22data'!$G223=0,"NO",IF(ISNA('BOOKDEPR Jun22data'!$I223),"YES",IF(_xlfn.ISFORMULA('BOOKDEPR Jun22data'!$I223),"NO","YES")))</f>
        <v>NO</v>
      </c>
      <c r="K223"/>
    </row>
    <row r="224" spans="1:11">
      <c r="A224" s="114" t="str">
        <f t="shared" si="6"/>
        <v>4030000DEPN EXPENSE-ELECT3910000OFFICE FURNITURESITUS</v>
      </c>
      <c r="B224" s="126" t="s">
        <v>1890</v>
      </c>
      <c r="C224" s="127" t="s">
        <v>1612</v>
      </c>
      <c r="D224" s="126" t="s">
        <v>1797</v>
      </c>
      <c r="E224" s="128" t="s">
        <v>1517</v>
      </c>
      <c r="F224" s="127" t="s">
        <v>386</v>
      </c>
      <c r="G224" s="136">
        <v>25.535129999999999</v>
      </c>
      <c r="H224" s="113" t="str">
        <f t="shared" si="7"/>
        <v>SITUS</v>
      </c>
      <c r="I224" s="117" t="str">
        <f>INDEX('BOOKDEPR Lookup'!$I:$I,MATCH('BOOKDEPR Jun22data'!$A224,'BOOKDEPR Lookup'!$A:$A,0))</f>
        <v>G-SITUS</v>
      </c>
      <c r="J224" s="117" t="str">
        <f>IF('BOOKDEPR Jun22data'!$G224=0,"NO",IF(ISNA('BOOKDEPR Jun22data'!$I224),"YES",IF(_xlfn.ISFORMULA('BOOKDEPR Jun22data'!$I224),"NO","YES")))</f>
        <v>NO</v>
      </c>
      <c r="K224"/>
    </row>
    <row r="225" spans="1:11">
      <c r="A225" s="114" t="str">
        <f t="shared" si="6"/>
        <v>4030000DEPN EXPENSE-ELECT3910000OFFICE FURNITURESITUS</v>
      </c>
      <c r="B225" s="126" t="s">
        <v>1890</v>
      </c>
      <c r="C225" s="127" t="s">
        <v>1612</v>
      </c>
      <c r="D225" s="126" t="s">
        <v>1797</v>
      </c>
      <c r="E225" s="128" t="s">
        <v>1517</v>
      </c>
      <c r="F225" s="127" t="s">
        <v>378</v>
      </c>
      <c r="G225" s="136">
        <v>2.29386</v>
      </c>
      <c r="H225" s="113" t="str">
        <f t="shared" si="7"/>
        <v>SITUS</v>
      </c>
      <c r="I225" s="117" t="str">
        <f>INDEX('BOOKDEPR Lookup'!$I:$I,MATCH('BOOKDEPR Jun22data'!$A225,'BOOKDEPR Lookup'!$A:$A,0))</f>
        <v>G-SITUS</v>
      </c>
      <c r="J225" s="117" t="str">
        <f>IF('BOOKDEPR Jun22data'!$G225=0,"NO",IF(ISNA('BOOKDEPR Jun22data'!$I225),"YES",IF(_xlfn.ISFORMULA('BOOKDEPR Jun22data'!$I225),"NO","YES")))</f>
        <v>NO</v>
      </c>
      <c r="K225"/>
    </row>
    <row r="226" spans="1:11">
      <c r="A226" s="114" t="str">
        <f t="shared" si="6"/>
        <v>4030000DEPN EXPENSE-ELECT3912000COMPUTER EQUIPMENT - PERSONAL COMPUTERSSITUS</v>
      </c>
      <c r="B226" s="126" t="s">
        <v>1890</v>
      </c>
      <c r="C226" s="127" t="s">
        <v>1612</v>
      </c>
      <c r="D226" s="126" t="s">
        <v>1798</v>
      </c>
      <c r="E226" s="128" t="s">
        <v>1518</v>
      </c>
      <c r="F226" s="127" t="s">
        <v>387</v>
      </c>
      <c r="G226" s="136">
        <v>8.9833700000000007</v>
      </c>
      <c r="H226" s="113" t="str">
        <f t="shared" si="7"/>
        <v>SITUS</v>
      </c>
      <c r="I226" s="117" t="str">
        <f>INDEX('BOOKDEPR Lookup'!$I:$I,MATCH('BOOKDEPR Jun22data'!$A226,'BOOKDEPR Lookup'!$A:$A,0))</f>
        <v>G-SITUS</v>
      </c>
      <c r="J226" s="117" t="str">
        <f>IF('BOOKDEPR Jun22data'!$G226=0,"NO",IF(ISNA('BOOKDEPR Jun22data'!$I226),"YES",IF(_xlfn.ISFORMULA('BOOKDEPR Jun22data'!$I226),"NO","YES")))</f>
        <v>NO</v>
      </c>
      <c r="K226"/>
    </row>
    <row r="227" spans="1:11">
      <c r="A227" s="114" t="str">
        <f t="shared" si="6"/>
        <v>4030000DEPN EXPENSE-ELECT3912000COMPUTER EQUIPMENT - PERSONAL COMPUTERSSE</v>
      </c>
      <c r="B227" s="126" t="s">
        <v>1890</v>
      </c>
      <c r="C227" s="127" t="s">
        <v>1612</v>
      </c>
      <c r="D227" s="126" t="s">
        <v>1798</v>
      </c>
      <c r="E227" s="128" t="s">
        <v>1518</v>
      </c>
      <c r="F227" s="127" t="s">
        <v>3110</v>
      </c>
      <c r="G227" s="136">
        <v>5.6263800000000002</v>
      </c>
      <c r="H227" s="113" t="str">
        <f t="shared" si="7"/>
        <v>SE</v>
      </c>
      <c r="I227" s="117" t="str">
        <f>INDEX('BOOKDEPR Lookup'!$I:$I,MATCH('BOOKDEPR Jun22data'!$A227,'BOOKDEPR Lookup'!$A:$A,0))</f>
        <v>P</v>
      </c>
      <c r="J227" s="117" t="str">
        <f>IF('BOOKDEPR Jun22data'!$G227=0,"NO",IF(ISNA('BOOKDEPR Jun22data'!$I227),"YES",IF(_xlfn.ISFORMULA('BOOKDEPR Jun22data'!$I227),"NO","YES")))</f>
        <v>NO</v>
      </c>
      <c r="K227"/>
    </row>
    <row r="228" spans="1:11">
      <c r="A228" s="114" t="str">
        <f t="shared" si="6"/>
        <v>4030000DEPN EXPENSE-ELECT3912000COMPUTER EQUIPMENT - PERSONAL COMPUTERSSG</v>
      </c>
      <c r="B228" s="126" t="s">
        <v>1890</v>
      </c>
      <c r="C228" s="127" t="s">
        <v>1612</v>
      </c>
      <c r="D228" s="126" t="s">
        <v>1798</v>
      </c>
      <c r="E228" s="128" t="s">
        <v>1518</v>
      </c>
      <c r="F228" s="127" t="s">
        <v>3106</v>
      </c>
      <c r="G228" s="136">
        <v>292.94824</v>
      </c>
      <c r="H228" s="113" t="str">
        <f t="shared" si="7"/>
        <v>SG</v>
      </c>
      <c r="I228" s="117" t="str">
        <f>INDEX('BOOKDEPR Lookup'!$I:$I,MATCH('BOOKDEPR Jun22data'!$A228,'BOOKDEPR Lookup'!$A:$A,0))</f>
        <v>G-DGU</v>
      </c>
      <c r="J228" s="117" t="str">
        <f>IF('BOOKDEPR Jun22data'!$G228=0,"NO",IF(ISNA('BOOKDEPR Jun22data'!$I228),"YES",IF(_xlfn.ISFORMULA('BOOKDEPR Jun22data'!$I228),"NO","YES")))</f>
        <v>NO</v>
      </c>
      <c r="K228"/>
    </row>
    <row r="229" spans="1:11">
      <c r="A229" s="114" t="str">
        <f t="shared" si="6"/>
        <v>4030000DEPN EXPENSE-ELECT3912000COMPUTER EQUIPMENT - PERSONAL COMPUTERSSG</v>
      </c>
      <c r="B229" s="126" t="s">
        <v>1890</v>
      </c>
      <c r="C229" s="127" t="s">
        <v>1612</v>
      </c>
      <c r="D229" s="126" t="s">
        <v>1798</v>
      </c>
      <c r="E229" s="128" t="s">
        <v>1518</v>
      </c>
      <c r="F229" s="127" t="s">
        <v>3108</v>
      </c>
      <c r="G229" s="136">
        <v>36.323929999999997</v>
      </c>
      <c r="H229" s="113" t="str">
        <f t="shared" si="7"/>
        <v>SG</v>
      </c>
      <c r="I229" s="117" t="str">
        <f>INDEX('BOOKDEPR Lookup'!$I:$I,MATCH('BOOKDEPR Jun22data'!$A229,'BOOKDEPR Lookup'!$A:$A,0))</f>
        <v>G-DGU</v>
      </c>
      <c r="J229" s="117" t="str">
        <f>IF('BOOKDEPR Jun22data'!$G229=0,"NO",IF(ISNA('BOOKDEPR Jun22data'!$I229),"YES",IF(_xlfn.ISFORMULA('BOOKDEPR Jun22data'!$I229),"NO","YES")))</f>
        <v>NO</v>
      </c>
      <c r="K229"/>
    </row>
    <row r="230" spans="1:11">
      <c r="A230" s="114" t="str">
        <f t="shared" si="6"/>
        <v>4030000DEPN EXPENSE-ELECT3912000COMPUTER EQUIPMENT - PERSONAL COMPUTERSCN</v>
      </c>
      <c r="B230" s="126" t="s">
        <v>1890</v>
      </c>
      <c r="C230" s="127" t="s">
        <v>1612</v>
      </c>
      <c r="D230" s="126" t="s">
        <v>1798</v>
      </c>
      <c r="E230" s="128" t="s">
        <v>1518</v>
      </c>
      <c r="F230" s="127" t="s">
        <v>84</v>
      </c>
      <c r="G230" s="136">
        <v>507.45259050745301</v>
      </c>
      <c r="H230" s="113" t="str">
        <f t="shared" si="7"/>
        <v>CN</v>
      </c>
      <c r="I230" s="117" t="str">
        <f>INDEX('BOOKDEPR Lookup'!$I:$I,MATCH('BOOKDEPR Jun22data'!$A230,'BOOKDEPR Lookup'!$A:$A,0))</f>
        <v>CUST</v>
      </c>
      <c r="J230" s="117" t="str">
        <f>IF('BOOKDEPR Jun22data'!$G230=0,"NO",IF(ISNA('BOOKDEPR Jun22data'!$I230),"YES",IF(_xlfn.ISFORMULA('BOOKDEPR Jun22data'!$I230),"NO","YES")))</f>
        <v>NO</v>
      </c>
      <c r="K230"/>
    </row>
    <row r="231" spans="1:11">
      <c r="A231" s="114" t="str">
        <f t="shared" si="6"/>
        <v>4030000DEPN EXPENSE-ELECT3912000COMPUTER EQUIPMENT - PERSONAL COMPUTERSSITUS</v>
      </c>
      <c r="B231" s="126" t="s">
        <v>1890</v>
      </c>
      <c r="C231" s="127" t="s">
        <v>1612</v>
      </c>
      <c r="D231" s="126" t="s">
        <v>1798</v>
      </c>
      <c r="E231" s="128" t="s">
        <v>1518</v>
      </c>
      <c r="F231" s="127" t="s">
        <v>372</v>
      </c>
      <c r="G231" s="136">
        <v>75.249399999999994</v>
      </c>
      <c r="H231" s="113" t="str">
        <f t="shared" si="7"/>
        <v>SITUS</v>
      </c>
      <c r="I231" s="117" t="str">
        <f>INDEX('BOOKDEPR Lookup'!$I:$I,MATCH('BOOKDEPR Jun22data'!$A231,'BOOKDEPR Lookup'!$A:$A,0))</f>
        <v>G-SITUS</v>
      </c>
      <c r="J231" s="117" t="str">
        <f>IF('BOOKDEPR Jun22data'!$G231=0,"NO",IF(ISNA('BOOKDEPR Jun22data'!$I231),"YES",IF(_xlfn.ISFORMULA('BOOKDEPR Jun22data'!$I231),"NO","YES")))</f>
        <v>NO</v>
      </c>
      <c r="K231"/>
    </row>
    <row r="232" spans="1:11">
      <c r="A232" s="114" t="str">
        <f t="shared" si="6"/>
        <v>4030000DEPN EXPENSE-ELECT3912000COMPUTER EQUIPMENT - PERSONAL COMPUTERSSG</v>
      </c>
      <c r="B232" s="126" t="s">
        <v>1890</v>
      </c>
      <c r="C232" s="127" t="s">
        <v>1612</v>
      </c>
      <c r="D232" s="126" t="s">
        <v>1798</v>
      </c>
      <c r="E232" s="128" t="s">
        <v>1518</v>
      </c>
      <c r="F232" s="127" t="s">
        <v>3107</v>
      </c>
      <c r="G232" s="136">
        <v>24.167190000000002</v>
      </c>
      <c r="H232" s="113" t="str">
        <f t="shared" si="7"/>
        <v>SG</v>
      </c>
      <c r="I232" s="117" t="str">
        <f>INDEX('BOOKDEPR Lookup'!$I:$I,MATCH('BOOKDEPR Jun22data'!$A232,'BOOKDEPR Lookup'!$A:$A,0))</f>
        <v>G-DGU</v>
      </c>
      <c r="J232" s="117" t="str">
        <f>IF('BOOKDEPR Jun22data'!$G232=0,"NO",IF(ISNA('BOOKDEPR Jun22data'!$I232),"YES",IF(_xlfn.ISFORMULA('BOOKDEPR Jun22data'!$I232),"NO","YES")))</f>
        <v>NO</v>
      </c>
      <c r="K232"/>
    </row>
    <row r="233" spans="1:11">
      <c r="A233" s="114" t="str">
        <f t="shared" si="6"/>
        <v>4030000DEPN EXPENSE-ELECT3912000COMPUTER EQUIPMENT - PERSONAL COMPUTERSSITUS</v>
      </c>
      <c r="B233" s="126" t="s">
        <v>1890</v>
      </c>
      <c r="C233" s="127" t="s">
        <v>1612</v>
      </c>
      <c r="D233" s="126" t="s">
        <v>1798</v>
      </c>
      <c r="E233" s="128" t="s">
        <v>1518</v>
      </c>
      <c r="F233" s="127" t="s">
        <v>343</v>
      </c>
      <c r="G233" s="136">
        <v>178.81752</v>
      </c>
      <c r="H233" s="113" t="str">
        <f t="shared" si="7"/>
        <v>SITUS</v>
      </c>
      <c r="I233" s="117" t="str">
        <f>INDEX('BOOKDEPR Lookup'!$I:$I,MATCH('BOOKDEPR Jun22data'!$A233,'BOOKDEPR Lookup'!$A:$A,0))</f>
        <v>G-SITUS</v>
      </c>
      <c r="J233" s="117" t="str">
        <f>IF('BOOKDEPR Jun22data'!$G233=0,"NO",IF(ISNA('BOOKDEPR Jun22data'!$I233),"YES",IF(_xlfn.ISFORMULA('BOOKDEPR Jun22data'!$I233),"NO","YES")))</f>
        <v>NO</v>
      </c>
      <c r="K233"/>
    </row>
    <row r="234" spans="1:11">
      <c r="A234" s="114" t="str">
        <f t="shared" si="6"/>
        <v>4030000DEPN EXPENSE-ELECT3912000COMPUTER EQUIPMENT - PERSONAL COMPUTERSSG</v>
      </c>
      <c r="B234" s="126" t="s">
        <v>1890</v>
      </c>
      <c r="C234" s="127" t="s">
        <v>1612</v>
      </c>
      <c r="D234" s="126" t="s">
        <v>1798</v>
      </c>
      <c r="E234" s="128" t="s">
        <v>1518</v>
      </c>
      <c r="F234" s="127" t="s">
        <v>87</v>
      </c>
      <c r="G234" s="136">
        <v>138.45327</v>
      </c>
      <c r="H234" s="113" t="str">
        <f t="shared" si="7"/>
        <v>SG</v>
      </c>
      <c r="I234" s="117" t="str">
        <f>INDEX('BOOKDEPR Lookup'!$I:$I,MATCH('BOOKDEPR Jun22data'!$A234,'BOOKDEPR Lookup'!$A:$A,0))</f>
        <v>G-DGU</v>
      </c>
      <c r="J234" s="117" t="str">
        <f>IF('BOOKDEPR Jun22data'!$G234=0,"NO",IF(ISNA('BOOKDEPR Jun22data'!$I234),"YES",IF(_xlfn.ISFORMULA('BOOKDEPR Jun22data'!$I234),"NO","YES")))</f>
        <v>NO</v>
      </c>
      <c r="K234"/>
    </row>
    <row r="235" spans="1:11">
      <c r="A235" s="114" t="str">
        <f t="shared" si="6"/>
        <v>4030000DEPN EXPENSE-ELECT3912000COMPUTER EQUIPMENT - PERSONAL COMPUTERSSO</v>
      </c>
      <c r="B235" s="126" t="s">
        <v>1890</v>
      </c>
      <c r="C235" s="127" t="s">
        <v>1612</v>
      </c>
      <c r="D235" s="126" t="s">
        <v>1798</v>
      </c>
      <c r="E235" s="128" t="s">
        <v>1518</v>
      </c>
      <c r="F235" s="127" t="s">
        <v>89</v>
      </c>
      <c r="G235" s="136">
        <v>10484.923779999999</v>
      </c>
      <c r="H235" s="113" t="str">
        <f t="shared" si="7"/>
        <v>SO</v>
      </c>
      <c r="I235" s="117" t="str">
        <f>INDEX('BOOKDEPR Lookup'!$I:$I,MATCH('BOOKDEPR Jun22data'!$A235,'BOOKDEPR Lookup'!$A:$A,0))</f>
        <v>PTD</v>
      </c>
      <c r="J235" s="117" t="str">
        <f>IF('BOOKDEPR Jun22data'!$G235=0,"NO",IF(ISNA('BOOKDEPR Jun22data'!$I235),"YES",IF(_xlfn.ISFORMULA('BOOKDEPR Jun22data'!$I235),"NO","YES")))</f>
        <v>NO</v>
      </c>
      <c r="K235"/>
    </row>
    <row r="236" spans="1:11">
      <c r="A236" s="114" t="str">
        <f t="shared" si="6"/>
        <v>4030000DEPN EXPENSE-ELECT3912000COMPUTER EQUIPMENT - PERSONAL COMPUTERSSITUS</v>
      </c>
      <c r="B236" s="126" t="s">
        <v>1890</v>
      </c>
      <c r="C236" s="127" t="s">
        <v>1612</v>
      </c>
      <c r="D236" s="126" t="s">
        <v>1798</v>
      </c>
      <c r="E236" s="128" t="s">
        <v>1518</v>
      </c>
      <c r="F236" s="127" t="s">
        <v>370</v>
      </c>
      <c r="G236" s="136">
        <v>154.01938999999999</v>
      </c>
      <c r="H236" s="113" t="str">
        <f t="shared" si="7"/>
        <v>SITUS</v>
      </c>
      <c r="I236" s="117" t="str">
        <f>INDEX('BOOKDEPR Lookup'!$I:$I,MATCH('BOOKDEPR Jun22data'!$A236,'BOOKDEPR Lookup'!$A:$A,0))</f>
        <v>G-SITUS</v>
      </c>
      <c r="J236" s="117" t="str">
        <f>IF('BOOKDEPR Jun22data'!$G236=0,"NO",IF(ISNA('BOOKDEPR Jun22data'!$I236),"YES",IF(_xlfn.ISFORMULA('BOOKDEPR Jun22data'!$I236),"NO","YES")))</f>
        <v>NO</v>
      </c>
      <c r="K236"/>
    </row>
    <row r="237" spans="1:11">
      <c r="A237" s="114" t="str">
        <f t="shared" si="6"/>
        <v>4030000DEPN EXPENSE-ELECT3912000COMPUTER EQUIPMENT - PERSONAL COMPUTERSSITUS</v>
      </c>
      <c r="B237" s="126" t="s">
        <v>1890</v>
      </c>
      <c r="C237" s="127" t="s">
        <v>1612</v>
      </c>
      <c r="D237" s="126" t="s">
        <v>1798</v>
      </c>
      <c r="E237" s="128" t="s">
        <v>1518</v>
      </c>
      <c r="F237" s="127" t="s">
        <v>367</v>
      </c>
      <c r="G237" s="136">
        <v>60.95561</v>
      </c>
      <c r="H237" s="113" t="str">
        <f t="shared" si="7"/>
        <v>SITUS</v>
      </c>
      <c r="I237" s="117" t="str">
        <f>INDEX('BOOKDEPR Lookup'!$I:$I,MATCH('BOOKDEPR Jun22data'!$A237,'BOOKDEPR Lookup'!$A:$A,0))</f>
        <v>G-SITUS</v>
      </c>
      <c r="J237" s="117" t="str">
        <f>IF('BOOKDEPR Jun22data'!$G237=0,"NO",IF(ISNA('BOOKDEPR Jun22data'!$I237),"YES",IF(_xlfn.ISFORMULA('BOOKDEPR Jun22data'!$I237),"NO","YES")))</f>
        <v>NO</v>
      </c>
      <c r="K237"/>
    </row>
    <row r="238" spans="1:11">
      <c r="A238" s="114" t="str">
        <f t="shared" si="6"/>
        <v>4030000DEPN EXPENSE-ELECT3912000COMPUTER EQUIPMENT - PERSONAL COMPUTERSSITUS</v>
      </c>
      <c r="B238" s="126" t="s">
        <v>1890</v>
      </c>
      <c r="C238" s="127" t="s">
        <v>1612</v>
      </c>
      <c r="D238" s="126" t="s">
        <v>1798</v>
      </c>
      <c r="E238" s="128" t="s">
        <v>1518</v>
      </c>
      <c r="F238" s="127" t="s">
        <v>386</v>
      </c>
      <c r="G238" s="136">
        <v>308.21679</v>
      </c>
      <c r="H238" s="113" t="str">
        <f t="shared" si="7"/>
        <v>SITUS</v>
      </c>
      <c r="I238" s="117" t="str">
        <f>INDEX('BOOKDEPR Lookup'!$I:$I,MATCH('BOOKDEPR Jun22data'!$A238,'BOOKDEPR Lookup'!$A:$A,0))</f>
        <v>G-SITUS</v>
      </c>
      <c r="J238" s="117" t="str">
        <f>IF('BOOKDEPR Jun22data'!$G238=0,"NO",IF(ISNA('BOOKDEPR Jun22data'!$I238),"YES",IF(_xlfn.ISFORMULA('BOOKDEPR Jun22data'!$I238),"NO","YES")))</f>
        <v>NO</v>
      </c>
      <c r="K238"/>
    </row>
    <row r="239" spans="1:11">
      <c r="A239" s="114" t="str">
        <f t="shared" si="6"/>
        <v>4030000DEPN EXPENSE-ELECT3912000COMPUTER EQUIPMENT - PERSONAL COMPUTERSSITUS</v>
      </c>
      <c r="B239" s="126" t="s">
        <v>1890</v>
      </c>
      <c r="C239" s="127" t="s">
        <v>1612</v>
      </c>
      <c r="D239" s="126" t="s">
        <v>1798</v>
      </c>
      <c r="E239" s="128" t="s">
        <v>1518</v>
      </c>
      <c r="F239" s="127" t="s">
        <v>378</v>
      </c>
      <c r="G239" s="136">
        <v>15.2645</v>
      </c>
      <c r="H239" s="113" t="str">
        <f t="shared" si="7"/>
        <v>SITUS</v>
      </c>
      <c r="I239" s="117" t="str">
        <f>INDEX('BOOKDEPR Lookup'!$I:$I,MATCH('BOOKDEPR Jun22data'!$A239,'BOOKDEPR Lookup'!$A:$A,0))</f>
        <v>G-SITUS</v>
      </c>
      <c r="J239" s="117" t="str">
        <f>IF('BOOKDEPR Jun22data'!$G239=0,"NO",IF(ISNA('BOOKDEPR Jun22data'!$I239),"YES",IF(_xlfn.ISFORMULA('BOOKDEPR Jun22data'!$I239),"NO","YES")))</f>
        <v>NO</v>
      </c>
      <c r="K239"/>
    </row>
    <row r="240" spans="1:11">
      <c r="A240" s="114" t="str">
        <f t="shared" si="6"/>
        <v>4030000DEPN EXPENSE-ELECT3913000OFFICE EQUIPMENTSG</v>
      </c>
      <c r="B240" s="126" t="s">
        <v>1890</v>
      </c>
      <c r="C240" s="127" t="s">
        <v>1612</v>
      </c>
      <c r="D240" s="126" t="s">
        <v>1799</v>
      </c>
      <c r="E240" s="128" t="s">
        <v>1519</v>
      </c>
      <c r="F240" s="127" t="s">
        <v>3106</v>
      </c>
      <c r="G240" s="136">
        <v>3.7007500000000002</v>
      </c>
      <c r="H240" s="113" t="str">
        <f t="shared" si="7"/>
        <v>SG</v>
      </c>
      <c r="I240" s="117" t="str">
        <f>INDEX('BOOKDEPR Lookup'!$I:$I,MATCH('BOOKDEPR Jun22data'!$A240,'BOOKDEPR Lookup'!$A:$A,0))</f>
        <v>G-SG</v>
      </c>
      <c r="J240" s="117" t="str">
        <f>IF('BOOKDEPR Jun22data'!$G240=0,"NO",IF(ISNA('BOOKDEPR Jun22data'!$I240),"YES",IF(_xlfn.ISFORMULA('BOOKDEPR Jun22data'!$I240),"NO","YES")))</f>
        <v>NO</v>
      </c>
      <c r="K240"/>
    </row>
    <row r="241" spans="1:11">
      <c r="A241" s="114" t="str">
        <f t="shared" si="6"/>
        <v>4030000DEPN EXPENSE-ELECT3913000OFFICE EQUIPMENTSG</v>
      </c>
      <c r="B241" s="126" t="s">
        <v>1890</v>
      </c>
      <c r="C241" s="127" t="s">
        <v>1612</v>
      </c>
      <c r="D241" s="126" t="s">
        <v>1799</v>
      </c>
      <c r="E241" s="128" t="s">
        <v>1519</v>
      </c>
      <c r="F241" s="127" t="s">
        <v>3108</v>
      </c>
      <c r="G241" s="136">
        <v>1.1095999999999999</v>
      </c>
      <c r="H241" s="113" t="str">
        <f t="shared" si="7"/>
        <v>SG</v>
      </c>
      <c r="I241" s="117" t="str">
        <f>INDEX('BOOKDEPR Lookup'!$I:$I,MATCH('BOOKDEPR Jun22data'!$A241,'BOOKDEPR Lookup'!$A:$A,0))</f>
        <v>G-SG</v>
      </c>
      <c r="J241" s="117" t="str">
        <f>IF('BOOKDEPR Jun22data'!$G241=0,"NO",IF(ISNA('BOOKDEPR Jun22data'!$I241),"YES",IF(_xlfn.ISFORMULA('BOOKDEPR Jun22data'!$I241),"NO","YES")))</f>
        <v>NO</v>
      </c>
      <c r="K241"/>
    </row>
    <row r="242" spans="1:11">
      <c r="A242" s="114" t="str">
        <f t="shared" si="6"/>
        <v>4030000DEPN EXPENSE-ELECT3913000OFFICE EQUIPMENTCN</v>
      </c>
      <c r="B242" s="126" t="s">
        <v>1890</v>
      </c>
      <c r="C242" s="127" t="s">
        <v>1612</v>
      </c>
      <c r="D242" s="126" t="s">
        <v>1799</v>
      </c>
      <c r="E242" s="128" t="s">
        <v>1519</v>
      </c>
      <c r="F242" s="127" t="s">
        <v>84</v>
      </c>
      <c r="G242" s="136">
        <v>5.3600000053600001E-2</v>
      </c>
      <c r="H242" s="113" t="str">
        <f t="shared" si="7"/>
        <v>CN</v>
      </c>
      <c r="I242" s="117" t="str">
        <f>INDEX('BOOKDEPR Lookup'!$I:$I,MATCH('BOOKDEPR Jun22data'!$A242,'BOOKDEPR Lookup'!$A:$A,0))</f>
        <v>CUST</v>
      </c>
      <c r="J242" s="117" t="str">
        <f>IF('BOOKDEPR Jun22data'!$G242=0,"NO",IF(ISNA('BOOKDEPR Jun22data'!$I242),"YES",IF(_xlfn.ISFORMULA('BOOKDEPR Jun22data'!$I242),"NO","YES")))</f>
        <v>NO</v>
      </c>
      <c r="K242"/>
    </row>
    <row r="243" spans="1:11">
      <c r="A243" s="114" t="str">
        <f t="shared" si="6"/>
        <v>4030000DEPN EXPENSE-ELECT3913000OFFICE EQUIPMENTSITUS</v>
      </c>
      <c r="B243" s="126" t="s">
        <v>1890</v>
      </c>
      <c r="C243" s="127" t="s">
        <v>1612</v>
      </c>
      <c r="D243" s="126" t="s">
        <v>1799</v>
      </c>
      <c r="E243" s="128" t="s">
        <v>1519</v>
      </c>
      <c r="F243" s="127" t="s">
        <v>343</v>
      </c>
      <c r="G243" s="136">
        <v>0.32735999999999998</v>
      </c>
      <c r="H243" s="113" t="str">
        <f t="shared" si="7"/>
        <v>SITUS</v>
      </c>
      <c r="I243" s="117" t="str">
        <f>INDEX('BOOKDEPR Lookup'!$I:$I,MATCH('BOOKDEPR Jun22data'!$A243,'BOOKDEPR Lookup'!$A:$A,0))</f>
        <v>G-SITUS</v>
      </c>
      <c r="J243" s="117" t="str">
        <f>IF('BOOKDEPR Jun22data'!$G243=0,"NO",IF(ISNA('BOOKDEPR Jun22data'!$I243),"YES",IF(_xlfn.ISFORMULA('BOOKDEPR Jun22data'!$I243),"NO","YES")))</f>
        <v>NO</v>
      </c>
      <c r="K243"/>
    </row>
    <row r="244" spans="1:11">
      <c r="A244" s="114" t="str">
        <f t="shared" si="6"/>
        <v>4030000DEPN EXPENSE-ELECT3913000OFFICE EQUIPMENTSO</v>
      </c>
      <c r="B244" s="126" t="s">
        <v>1890</v>
      </c>
      <c r="C244" s="127" t="s">
        <v>1612</v>
      </c>
      <c r="D244" s="126" t="s">
        <v>1799</v>
      </c>
      <c r="E244" s="128" t="s">
        <v>1519</v>
      </c>
      <c r="F244" s="127" t="s">
        <v>89</v>
      </c>
      <c r="G244" s="136">
        <v>31.847439999999999</v>
      </c>
      <c r="H244" s="113" t="str">
        <f t="shared" si="7"/>
        <v>SO</v>
      </c>
      <c r="I244" s="117" t="str">
        <f>INDEX('BOOKDEPR Lookup'!$I:$I,MATCH('BOOKDEPR Jun22data'!$A244,'BOOKDEPR Lookup'!$A:$A,0))</f>
        <v>PTD</v>
      </c>
      <c r="J244" s="117" t="str">
        <f>IF('BOOKDEPR Jun22data'!$G244=0,"NO",IF(ISNA('BOOKDEPR Jun22data'!$I244),"YES",IF(_xlfn.ISFORMULA('BOOKDEPR Jun22data'!$I244),"NO","YES")))</f>
        <v>NO</v>
      </c>
      <c r="K244"/>
    </row>
    <row r="245" spans="1:11">
      <c r="A245" s="114" t="str">
        <f t="shared" si="6"/>
        <v>4030000DEPN EXPENSE-ELECT3913000OFFICE EQUIPMENTSITUS</v>
      </c>
      <c r="B245" s="126" t="s">
        <v>1890</v>
      </c>
      <c r="C245" s="127" t="s">
        <v>1612</v>
      </c>
      <c r="D245" s="126" t="s">
        <v>1799</v>
      </c>
      <c r="E245" s="128" t="s">
        <v>1519</v>
      </c>
      <c r="F245" s="127" t="s">
        <v>370</v>
      </c>
      <c r="G245" s="136">
        <v>1.179</v>
      </c>
      <c r="H245" s="113" t="str">
        <f t="shared" si="7"/>
        <v>SITUS</v>
      </c>
      <c r="I245" s="117" t="str">
        <f>INDEX('BOOKDEPR Lookup'!$I:$I,MATCH('BOOKDEPR Jun22data'!$A245,'BOOKDEPR Lookup'!$A:$A,0))</f>
        <v>G-SITUS</v>
      </c>
      <c r="J245" s="117" t="str">
        <f>IF('BOOKDEPR Jun22data'!$G245=0,"NO",IF(ISNA('BOOKDEPR Jun22data'!$I245),"YES",IF(_xlfn.ISFORMULA('BOOKDEPR Jun22data'!$I245),"NO","YES")))</f>
        <v>NO</v>
      </c>
      <c r="K245"/>
    </row>
    <row r="246" spans="1:11">
      <c r="A246" s="114" t="str">
        <f t="shared" si="6"/>
        <v>4030000DEPN EXPENSE-ELECT3913000OFFICE EQUIPMENTSITUS</v>
      </c>
      <c r="B246" s="126" t="s">
        <v>1890</v>
      </c>
      <c r="C246" s="127" t="s">
        <v>1612</v>
      </c>
      <c r="D246" s="126" t="s">
        <v>1799</v>
      </c>
      <c r="E246" s="128" t="s">
        <v>1519</v>
      </c>
      <c r="F246" s="127" t="s">
        <v>378</v>
      </c>
      <c r="G246" s="136">
        <v>1.0269699999999999</v>
      </c>
      <c r="H246" s="113" t="str">
        <f t="shared" si="7"/>
        <v>SITUS</v>
      </c>
      <c r="I246" s="117" t="str">
        <f>INDEX('BOOKDEPR Lookup'!$I:$I,MATCH('BOOKDEPR Jun22data'!$A246,'BOOKDEPR Lookup'!$A:$A,0))</f>
        <v>G-SITUS</v>
      </c>
      <c r="J246" s="117" t="str">
        <f>IF('BOOKDEPR Jun22data'!$G246=0,"NO",IF(ISNA('BOOKDEPR Jun22data'!$I246),"YES",IF(_xlfn.ISFORMULA('BOOKDEPR Jun22data'!$I246),"NO","YES")))</f>
        <v>NO</v>
      </c>
      <c r="K246"/>
    </row>
    <row r="247" spans="1:11">
      <c r="A247" s="114" t="str">
        <f t="shared" si="6"/>
        <v>4030000DEPN EXPENSE-ELECT3930000STORES EQUIPMENTSITUS</v>
      </c>
      <c r="B247" s="126" t="s">
        <v>1890</v>
      </c>
      <c r="C247" s="127" t="s">
        <v>1612</v>
      </c>
      <c r="D247" s="126" t="s">
        <v>1800</v>
      </c>
      <c r="E247" s="128" t="s">
        <v>1529</v>
      </c>
      <c r="F247" s="127" t="s">
        <v>387</v>
      </c>
      <c r="G247" s="136">
        <v>5.9617500000000003</v>
      </c>
      <c r="H247" s="113" t="str">
        <f t="shared" si="7"/>
        <v>SITUS</v>
      </c>
      <c r="I247" s="117" t="str">
        <f>INDEX('BOOKDEPR Lookup'!$I:$I,MATCH('BOOKDEPR Jun22data'!$A247,'BOOKDEPR Lookup'!$A:$A,0))</f>
        <v>G-SITUS</v>
      </c>
      <c r="J247" s="117" t="str">
        <f>IF('BOOKDEPR Jun22data'!$G247=0,"NO",IF(ISNA('BOOKDEPR Jun22data'!$I247),"YES",IF(_xlfn.ISFORMULA('BOOKDEPR Jun22data'!$I247),"NO","YES")))</f>
        <v>NO</v>
      </c>
      <c r="K247"/>
    </row>
    <row r="248" spans="1:11">
      <c r="A248" s="114" t="str">
        <f t="shared" si="6"/>
        <v>4030000DEPN EXPENSE-ELECT3930000STORES EQUIPMENTSG</v>
      </c>
      <c r="B248" s="126" t="s">
        <v>1890</v>
      </c>
      <c r="C248" s="127" t="s">
        <v>1612</v>
      </c>
      <c r="D248" s="126" t="s">
        <v>1800</v>
      </c>
      <c r="E248" s="128" t="s">
        <v>1529</v>
      </c>
      <c r="F248" s="127" t="s">
        <v>3106</v>
      </c>
      <c r="G248" s="136">
        <v>134.43938</v>
      </c>
      <c r="H248" s="113" t="str">
        <f t="shared" si="7"/>
        <v>SG</v>
      </c>
      <c r="I248" s="117" t="str">
        <f>INDEX('BOOKDEPR Lookup'!$I:$I,MATCH('BOOKDEPR Jun22data'!$A248,'BOOKDEPR Lookup'!$A:$A,0))</f>
        <v>G-DGU</v>
      </c>
      <c r="J248" s="117" t="str">
        <f>IF('BOOKDEPR Jun22data'!$G248=0,"NO",IF(ISNA('BOOKDEPR Jun22data'!$I248),"YES",IF(_xlfn.ISFORMULA('BOOKDEPR Jun22data'!$I248),"NO","YES")))</f>
        <v>NO</v>
      </c>
      <c r="K248"/>
    </row>
    <row r="249" spans="1:11">
      <c r="A249" s="114" t="str">
        <f t="shared" si="6"/>
        <v>4030000DEPN EXPENSE-ELECT3930000STORES EQUIPMENTSG</v>
      </c>
      <c r="B249" s="126" t="s">
        <v>1890</v>
      </c>
      <c r="C249" s="127" t="s">
        <v>1612</v>
      </c>
      <c r="D249" s="126" t="s">
        <v>1800</v>
      </c>
      <c r="E249" s="128" t="s">
        <v>1529</v>
      </c>
      <c r="F249" s="127" t="s">
        <v>3108</v>
      </c>
      <c r="G249" s="136">
        <v>8.4055900000000001</v>
      </c>
      <c r="H249" s="113" t="str">
        <f t="shared" si="7"/>
        <v>SG</v>
      </c>
      <c r="I249" s="117" t="str">
        <f>INDEX('BOOKDEPR Lookup'!$I:$I,MATCH('BOOKDEPR Jun22data'!$A249,'BOOKDEPR Lookup'!$A:$A,0))</f>
        <v>G-DGU</v>
      </c>
      <c r="J249" s="117" t="str">
        <f>IF('BOOKDEPR Jun22data'!$G249=0,"NO",IF(ISNA('BOOKDEPR Jun22data'!$I249),"YES",IF(_xlfn.ISFORMULA('BOOKDEPR Jun22data'!$I249),"NO","YES")))</f>
        <v>NO</v>
      </c>
      <c r="K249"/>
    </row>
    <row r="250" spans="1:11">
      <c r="A250" s="114" t="str">
        <f t="shared" si="6"/>
        <v>4030000DEPN EXPENSE-ELECT3930000STORES EQUIPMENTSITUS</v>
      </c>
      <c r="B250" s="126" t="s">
        <v>1890</v>
      </c>
      <c r="C250" s="127" t="s">
        <v>1612</v>
      </c>
      <c r="D250" s="126" t="s">
        <v>1800</v>
      </c>
      <c r="E250" s="128" t="s">
        <v>1529</v>
      </c>
      <c r="F250" s="127" t="s">
        <v>372</v>
      </c>
      <c r="G250" s="136">
        <v>23.95072</v>
      </c>
      <c r="H250" s="113" t="str">
        <f t="shared" si="7"/>
        <v>SITUS</v>
      </c>
      <c r="I250" s="117" t="str">
        <f>INDEX('BOOKDEPR Lookup'!$I:$I,MATCH('BOOKDEPR Jun22data'!$A250,'BOOKDEPR Lookup'!$A:$A,0))</f>
        <v>G-SITUS</v>
      </c>
      <c r="J250" s="117" t="str">
        <f>IF('BOOKDEPR Jun22data'!$G250=0,"NO",IF(ISNA('BOOKDEPR Jun22data'!$I250),"YES",IF(_xlfn.ISFORMULA('BOOKDEPR Jun22data'!$I250),"NO","YES")))</f>
        <v>NO</v>
      </c>
      <c r="K250"/>
    </row>
    <row r="251" spans="1:11">
      <c r="A251" s="114" t="str">
        <f t="shared" si="6"/>
        <v>4030000DEPN EXPENSE-ELECT3930000STORES EQUIPMENTSG</v>
      </c>
      <c r="B251" s="126" t="s">
        <v>1890</v>
      </c>
      <c r="C251" s="127" t="s">
        <v>1612</v>
      </c>
      <c r="D251" s="126" t="s">
        <v>1800</v>
      </c>
      <c r="E251" s="128" t="s">
        <v>1529</v>
      </c>
      <c r="F251" s="127" t="s">
        <v>3107</v>
      </c>
      <c r="G251" s="136">
        <v>38.492820000000002</v>
      </c>
      <c r="H251" s="113" t="str">
        <f t="shared" si="7"/>
        <v>SG</v>
      </c>
      <c r="I251" s="117" t="str">
        <f>INDEX('BOOKDEPR Lookup'!$I:$I,MATCH('BOOKDEPR Jun22data'!$A251,'BOOKDEPR Lookup'!$A:$A,0))</f>
        <v>G-DGU</v>
      </c>
      <c r="J251" s="117" t="str">
        <f>IF('BOOKDEPR Jun22data'!$G251=0,"NO",IF(ISNA('BOOKDEPR Jun22data'!$I251),"YES",IF(_xlfn.ISFORMULA('BOOKDEPR Jun22data'!$I251),"NO","YES")))</f>
        <v>NO</v>
      </c>
      <c r="K251"/>
    </row>
    <row r="252" spans="1:11">
      <c r="A252" s="114" t="str">
        <f t="shared" si="6"/>
        <v>4030000DEPN EXPENSE-ELECT3930000STORES EQUIPMENTSITUS</v>
      </c>
      <c r="B252" s="126" t="s">
        <v>1890</v>
      </c>
      <c r="C252" s="127" t="s">
        <v>1612</v>
      </c>
      <c r="D252" s="126" t="s">
        <v>1800</v>
      </c>
      <c r="E252" s="128" t="s">
        <v>1529</v>
      </c>
      <c r="F252" s="127" t="s">
        <v>343</v>
      </c>
      <c r="G252" s="136">
        <v>107.57102999999999</v>
      </c>
      <c r="H252" s="113" t="str">
        <f t="shared" si="7"/>
        <v>SITUS</v>
      </c>
      <c r="I252" s="117" t="str">
        <f>INDEX('BOOKDEPR Lookup'!$I:$I,MATCH('BOOKDEPR Jun22data'!$A252,'BOOKDEPR Lookup'!$A:$A,0))</f>
        <v>G-SITUS</v>
      </c>
      <c r="J252" s="117" t="str">
        <f>IF('BOOKDEPR Jun22data'!$G252=0,"NO",IF(ISNA('BOOKDEPR Jun22data'!$I252),"YES",IF(_xlfn.ISFORMULA('BOOKDEPR Jun22data'!$I252),"NO","YES")))</f>
        <v>NO</v>
      </c>
      <c r="K252"/>
    </row>
    <row r="253" spans="1:11">
      <c r="A253" s="114" t="str">
        <f t="shared" si="6"/>
        <v>4030000DEPN EXPENSE-ELECT3930000STORES EQUIPMENTSG</v>
      </c>
      <c r="B253" s="126" t="s">
        <v>1890</v>
      </c>
      <c r="C253" s="127" t="s">
        <v>1612</v>
      </c>
      <c r="D253" s="126" t="s">
        <v>1800</v>
      </c>
      <c r="E253" s="128" t="s">
        <v>1529</v>
      </c>
      <c r="F253" s="127" t="s">
        <v>87</v>
      </c>
      <c r="G253" s="136">
        <v>65.528989999999993</v>
      </c>
      <c r="H253" s="113" t="str">
        <f t="shared" si="7"/>
        <v>SG</v>
      </c>
      <c r="I253" s="117" t="str">
        <f>INDEX('BOOKDEPR Lookup'!$I:$I,MATCH('BOOKDEPR Jun22data'!$A253,'BOOKDEPR Lookup'!$A:$A,0))</f>
        <v>G-DGU</v>
      </c>
      <c r="J253" s="117" t="str">
        <f>IF('BOOKDEPR Jun22data'!$G253=0,"NO",IF(ISNA('BOOKDEPR Jun22data'!$I253),"YES",IF(_xlfn.ISFORMULA('BOOKDEPR Jun22data'!$I253),"NO","YES")))</f>
        <v>NO</v>
      </c>
      <c r="K253"/>
    </row>
    <row r="254" spans="1:11">
      <c r="A254" s="114" t="str">
        <f t="shared" si="6"/>
        <v>4030000DEPN EXPENSE-ELECT3930000STORES EQUIPMENTSO</v>
      </c>
      <c r="B254" s="126" t="s">
        <v>1890</v>
      </c>
      <c r="C254" s="127" t="s">
        <v>1612</v>
      </c>
      <c r="D254" s="126" t="s">
        <v>1800</v>
      </c>
      <c r="E254" s="128" t="s">
        <v>1529</v>
      </c>
      <c r="F254" s="127" t="s">
        <v>89</v>
      </c>
      <c r="G254" s="136">
        <v>8.7375600000000002</v>
      </c>
      <c r="H254" s="113" t="str">
        <f t="shared" si="7"/>
        <v>SO</v>
      </c>
      <c r="I254" s="117" t="str">
        <f>INDEX('BOOKDEPR Lookup'!$I:$I,MATCH('BOOKDEPR Jun22data'!$A254,'BOOKDEPR Lookup'!$A:$A,0))</f>
        <v>PTD</v>
      </c>
      <c r="J254" s="117" t="str">
        <f>IF('BOOKDEPR Jun22data'!$G254=0,"NO",IF(ISNA('BOOKDEPR Jun22data'!$I254),"YES",IF(_xlfn.ISFORMULA('BOOKDEPR Jun22data'!$I254),"NO","YES")))</f>
        <v>NO</v>
      </c>
      <c r="K254"/>
    </row>
    <row r="255" spans="1:11">
      <c r="A255" s="114" t="str">
        <f t="shared" si="6"/>
        <v>4030000DEPN EXPENSE-ELECT3930000STORES EQUIPMENTSITUS</v>
      </c>
      <c r="B255" s="126" t="s">
        <v>1890</v>
      </c>
      <c r="C255" s="127" t="s">
        <v>1612</v>
      </c>
      <c r="D255" s="126" t="s">
        <v>1800</v>
      </c>
      <c r="E255" s="128" t="s">
        <v>1529</v>
      </c>
      <c r="F255" s="127" t="s">
        <v>370</v>
      </c>
      <c r="G255" s="136">
        <v>151.97146000000001</v>
      </c>
      <c r="H255" s="113" t="str">
        <f t="shared" si="7"/>
        <v>SITUS</v>
      </c>
      <c r="I255" s="117" t="str">
        <f>INDEX('BOOKDEPR Lookup'!$I:$I,MATCH('BOOKDEPR Jun22data'!$A255,'BOOKDEPR Lookup'!$A:$A,0))</f>
        <v>G-SITUS</v>
      </c>
      <c r="J255" s="117" t="str">
        <f>IF('BOOKDEPR Jun22data'!$G255=0,"NO",IF(ISNA('BOOKDEPR Jun22data'!$I255),"YES",IF(_xlfn.ISFORMULA('BOOKDEPR Jun22data'!$I255),"NO","YES")))</f>
        <v>NO</v>
      </c>
      <c r="K255"/>
    </row>
    <row r="256" spans="1:11">
      <c r="A256" s="114" t="str">
        <f t="shared" si="6"/>
        <v>4030000DEPN EXPENSE-ELECT3930000STORES EQUIPMENTSITUS</v>
      </c>
      <c r="B256" s="126" t="s">
        <v>1890</v>
      </c>
      <c r="C256" s="127" t="s">
        <v>1612</v>
      </c>
      <c r="D256" s="126" t="s">
        <v>1800</v>
      </c>
      <c r="E256" s="128" t="s">
        <v>1529</v>
      </c>
      <c r="F256" s="127" t="s">
        <v>367</v>
      </c>
      <c r="G256" s="136">
        <v>25.92483</v>
      </c>
      <c r="H256" s="113" t="str">
        <f t="shared" si="7"/>
        <v>SITUS</v>
      </c>
      <c r="I256" s="117" t="str">
        <f>INDEX('BOOKDEPR Lookup'!$I:$I,MATCH('BOOKDEPR Jun22data'!$A256,'BOOKDEPR Lookup'!$A:$A,0))</f>
        <v>G-SITUS</v>
      </c>
      <c r="J256" s="117" t="str">
        <f>IF('BOOKDEPR Jun22data'!$G256=0,"NO",IF(ISNA('BOOKDEPR Jun22data'!$I256),"YES",IF(_xlfn.ISFORMULA('BOOKDEPR Jun22data'!$I256),"NO","YES")))</f>
        <v>NO</v>
      </c>
      <c r="K256"/>
    </row>
    <row r="257" spans="1:11">
      <c r="A257" s="114" t="str">
        <f t="shared" si="6"/>
        <v>4030000DEPN EXPENSE-ELECT3930000STORES EQUIPMENTSITUS</v>
      </c>
      <c r="B257" s="126" t="s">
        <v>1890</v>
      </c>
      <c r="C257" s="127" t="s">
        <v>1612</v>
      </c>
      <c r="D257" s="126" t="s">
        <v>1800</v>
      </c>
      <c r="E257" s="128" t="s">
        <v>1529</v>
      </c>
      <c r="F257" s="127" t="s">
        <v>386</v>
      </c>
      <c r="G257" s="136">
        <v>50.098219999999998</v>
      </c>
      <c r="H257" s="113" t="str">
        <f t="shared" si="7"/>
        <v>SITUS</v>
      </c>
      <c r="I257" s="117" t="str">
        <f>INDEX('BOOKDEPR Lookup'!$I:$I,MATCH('BOOKDEPR Jun22data'!$A257,'BOOKDEPR Lookup'!$A:$A,0))</f>
        <v>G-SITUS</v>
      </c>
      <c r="J257" s="117" t="str">
        <f>IF('BOOKDEPR Jun22data'!$G257=0,"NO",IF(ISNA('BOOKDEPR Jun22data'!$I257),"YES",IF(_xlfn.ISFORMULA('BOOKDEPR Jun22data'!$I257),"NO","YES")))</f>
        <v>NO</v>
      </c>
      <c r="K257"/>
    </row>
    <row r="258" spans="1:11">
      <c r="A258" s="114" t="str">
        <f t="shared" si="6"/>
        <v>4030000DEPN EXPENSE-ELECT3930000STORES EQUIPMENTSITUS</v>
      </c>
      <c r="B258" s="126" t="s">
        <v>1890</v>
      </c>
      <c r="C258" s="127" t="s">
        <v>1612</v>
      </c>
      <c r="D258" s="126" t="s">
        <v>1800</v>
      </c>
      <c r="E258" s="128" t="s">
        <v>1529</v>
      </c>
      <c r="F258" s="127" t="s">
        <v>378</v>
      </c>
      <c r="G258" s="136">
        <v>5.3499999999999999E-2</v>
      </c>
      <c r="H258" s="113" t="str">
        <f t="shared" si="7"/>
        <v>SITUS</v>
      </c>
      <c r="I258" s="117" t="str">
        <f>INDEX('BOOKDEPR Lookup'!$I:$I,MATCH('BOOKDEPR Jun22data'!$A258,'BOOKDEPR Lookup'!$A:$A,0))</f>
        <v>G-SITUS</v>
      </c>
      <c r="J258" s="117" t="str">
        <f>IF('BOOKDEPR Jun22data'!$G258=0,"NO",IF(ISNA('BOOKDEPR Jun22data'!$I258),"YES",IF(_xlfn.ISFORMULA('BOOKDEPR Jun22data'!$I258),"NO","YES")))</f>
        <v>NO</v>
      </c>
      <c r="K258"/>
    </row>
    <row r="259" spans="1:11">
      <c r="A259" s="114" t="str">
        <f t="shared" ref="A259:A322" si="8">CONCATENATE($B259,$C259,$D259,$E259,$H259)</f>
        <v>4030000DEPN EXPENSE-ELECT3940000"TLS, SHOP, GAR EQUIPMENT"SITUS</v>
      </c>
      <c r="B259" s="126" t="s">
        <v>1890</v>
      </c>
      <c r="C259" s="127" t="s">
        <v>1612</v>
      </c>
      <c r="D259" s="126" t="s">
        <v>1801</v>
      </c>
      <c r="E259" s="128" t="s">
        <v>1530</v>
      </c>
      <c r="F259" s="127" t="s">
        <v>387</v>
      </c>
      <c r="G259" s="136">
        <v>39.139029999999998</v>
      </c>
      <c r="H259" s="113" t="str">
        <f t="shared" ref="H259:H322" si="9">IF(OR(F259="IDU",F259="OR",F259="UT",F259="WYU",F259="WYP",F259="CA",F259="WA"),"SITUS",IF(OR(F259="CAEE",F259="JBE"),"SE",IF(OR(F259="CAGE",F259="CAGW",F259="JBG"),"SG",F259)))</f>
        <v>SITUS</v>
      </c>
      <c r="I259" s="117" t="str">
        <f>INDEX('BOOKDEPR Lookup'!$I:$I,MATCH('BOOKDEPR Jun22data'!$A259,'BOOKDEPR Lookup'!$A:$A,0))</f>
        <v>G-SITUS</v>
      </c>
      <c r="J259" s="117" t="str">
        <f>IF('BOOKDEPR Jun22data'!$G259=0,"NO",IF(ISNA('BOOKDEPR Jun22data'!$I259),"YES",IF(_xlfn.ISFORMULA('BOOKDEPR Jun22data'!$I259),"NO","YES")))</f>
        <v>NO</v>
      </c>
      <c r="K259"/>
    </row>
    <row r="260" spans="1:11">
      <c r="A260" s="114" t="str">
        <f t="shared" si="8"/>
        <v>4030000DEPN EXPENSE-ELECT3940000"TLS, SHOP, GAR EQUIPMENT"SE</v>
      </c>
      <c r="B260" s="126" t="s">
        <v>1890</v>
      </c>
      <c r="C260" s="127" t="s">
        <v>1612</v>
      </c>
      <c r="D260" s="126" t="s">
        <v>1801</v>
      </c>
      <c r="E260" s="128" t="s">
        <v>1530</v>
      </c>
      <c r="F260" s="127" t="s">
        <v>3110</v>
      </c>
      <c r="G260" s="136">
        <v>3.9453299999999998</v>
      </c>
      <c r="H260" s="113" t="str">
        <f t="shared" si="9"/>
        <v>SE</v>
      </c>
      <c r="I260" s="117" t="str">
        <f>INDEX('BOOKDEPR Lookup'!$I:$I,MATCH('BOOKDEPR Jun22data'!$A260,'BOOKDEPR Lookup'!$A:$A,0))</f>
        <v>P</v>
      </c>
      <c r="J260" s="117" t="str">
        <f>IF('BOOKDEPR Jun22data'!$G260=0,"NO",IF(ISNA('BOOKDEPR Jun22data'!$I260),"YES",IF(_xlfn.ISFORMULA('BOOKDEPR Jun22data'!$I260),"NO","YES")))</f>
        <v>NO</v>
      </c>
      <c r="K260"/>
    </row>
    <row r="261" spans="1:11">
      <c r="A261" s="114" t="str">
        <f t="shared" si="8"/>
        <v>4030000DEPN EXPENSE-ELECT3940000"TLS, SHOP, GAR EQUIPMENT"SG</v>
      </c>
      <c r="B261" s="126" t="s">
        <v>1890</v>
      </c>
      <c r="C261" s="127" t="s">
        <v>1612</v>
      </c>
      <c r="D261" s="126" t="s">
        <v>1801</v>
      </c>
      <c r="E261" s="128" t="s">
        <v>1530</v>
      </c>
      <c r="F261" s="127" t="s">
        <v>3106</v>
      </c>
      <c r="G261" s="136">
        <v>619.56915000000004</v>
      </c>
      <c r="H261" s="113" t="str">
        <f t="shared" si="9"/>
        <v>SG</v>
      </c>
      <c r="I261" s="117" t="str">
        <f>INDEX('BOOKDEPR Lookup'!$I:$I,MATCH('BOOKDEPR Jun22data'!$A261,'BOOKDEPR Lookup'!$A:$A,0))</f>
        <v>G-SG</v>
      </c>
      <c r="J261" s="117" t="str">
        <f>IF('BOOKDEPR Jun22data'!$G261=0,"NO",IF(ISNA('BOOKDEPR Jun22data'!$I261),"YES",IF(_xlfn.ISFORMULA('BOOKDEPR Jun22data'!$I261),"NO","YES")))</f>
        <v>NO</v>
      </c>
      <c r="K261"/>
    </row>
    <row r="262" spans="1:11">
      <c r="A262" s="114" t="str">
        <f t="shared" si="8"/>
        <v>4030000DEPN EXPENSE-ELECT3940000"TLS, SHOP, GAR EQUIPMENT"SG</v>
      </c>
      <c r="B262" s="126" t="s">
        <v>1890</v>
      </c>
      <c r="C262" s="127" t="s">
        <v>1612</v>
      </c>
      <c r="D262" s="126" t="s">
        <v>1801</v>
      </c>
      <c r="E262" s="128" t="s">
        <v>1530</v>
      </c>
      <c r="F262" s="127" t="s">
        <v>3108</v>
      </c>
      <c r="G262" s="136">
        <v>30.331910000000001</v>
      </c>
      <c r="H262" s="113" t="str">
        <f t="shared" si="9"/>
        <v>SG</v>
      </c>
      <c r="I262" s="117" t="str">
        <f>INDEX('BOOKDEPR Lookup'!$I:$I,MATCH('BOOKDEPR Jun22data'!$A262,'BOOKDEPR Lookup'!$A:$A,0))</f>
        <v>G-SG</v>
      </c>
      <c r="J262" s="117" t="str">
        <f>IF('BOOKDEPR Jun22data'!$G262=0,"NO",IF(ISNA('BOOKDEPR Jun22data'!$I262),"YES",IF(_xlfn.ISFORMULA('BOOKDEPR Jun22data'!$I262),"NO","YES")))</f>
        <v>NO</v>
      </c>
      <c r="K262"/>
    </row>
    <row r="263" spans="1:11">
      <c r="A263" s="114" t="str">
        <f t="shared" si="8"/>
        <v>4030000DEPN EXPENSE-ELECT3940000"TLS, SHOP, GAR EQUIPMENT"SITUS</v>
      </c>
      <c r="B263" s="126" t="s">
        <v>1890</v>
      </c>
      <c r="C263" s="127" t="s">
        <v>1612</v>
      </c>
      <c r="D263" s="126" t="s">
        <v>1801</v>
      </c>
      <c r="E263" s="128" t="s">
        <v>1530</v>
      </c>
      <c r="F263" s="127" t="s">
        <v>372</v>
      </c>
      <c r="G263" s="136">
        <v>92.017070000000004</v>
      </c>
      <c r="H263" s="113" t="str">
        <f t="shared" si="9"/>
        <v>SITUS</v>
      </c>
      <c r="I263" s="117" t="str">
        <f>INDEX('BOOKDEPR Lookup'!$I:$I,MATCH('BOOKDEPR Jun22data'!$A263,'BOOKDEPR Lookup'!$A:$A,0))</f>
        <v>G-SITUS</v>
      </c>
      <c r="J263" s="117" t="str">
        <f>IF('BOOKDEPR Jun22data'!$G263=0,"NO",IF(ISNA('BOOKDEPR Jun22data'!$I263),"YES",IF(_xlfn.ISFORMULA('BOOKDEPR Jun22data'!$I263),"NO","YES")))</f>
        <v>NO</v>
      </c>
      <c r="K263"/>
    </row>
    <row r="264" spans="1:11">
      <c r="A264" s="114" t="str">
        <f t="shared" si="8"/>
        <v>4030000DEPN EXPENSE-ELECT3940000"TLS, SHOP, GAR EQUIPMENT"SG</v>
      </c>
      <c r="B264" s="126" t="s">
        <v>1890</v>
      </c>
      <c r="C264" s="127" t="s">
        <v>1612</v>
      </c>
      <c r="D264" s="126" t="s">
        <v>1801</v>
      </c>
      <c r="E264" s="128" t="s">
        <v>1530</v>
      </c>
      <c r="F264" s="127" t="s">
        <v>3107</v>
      </c>
      <c r="G264" s="136">
        <v>115.27081</v>
      </c>
      <c r="H264" s="113" t="str">
        <f t="shared" si="9"/>
        <v>SG</v>
      </c>
      <c r="I264" s="117" t="str">
        <f>INDEX('BOOKDEPR Lookup'!$I:$I,MATCH('BOOKDEPR Jun22data'!$A264,'BOOKDEPR Lookup'!$A:$A,0))</f>
        <v>G-SG</v>
      </c>
      <c r="J264" s="117" t="str">
        <f>IF('BOOKDEPR Jun22data'!$G264=0,"NO",IF(ISNA('BOOKDEPR Jun22data'!$I264),"YES",IF(_xlfn.ISFORMULA('BOOKDEPR Jun22data'!$I264),"NO","YES")))</f>
        <v>NO</v>
      </c>
      <c r="K264"/>
    </row>
    <row r="265" spans="1:11">
      <c r="A265" s="114" t="str">
        <f t="shared" si="8"/>
        <v>4030000DEPN EXPENSE-ELECT3940000"TLS, SHOP, GAR EQUIPMENT"SITUS</v>
      </c>
      <c r="B265" s="126" t="s">
        <v>1890</v>
      </c>
      <c r="C265" s="127" t="s">
        <v>1612</v>
      </c>
      <c r="D265" s="126" t="s">
        <v>1801</v>
      </c>
      <c r="E265" s="128" t="s">
        <v>1530</v>
      </c>
      <c r="F265" s="127" t="s">
        <v>343</v>
      </c>
      <c r="G265" s="136">
        <v>454.17430000000002</v>
      </c>
      <c r="H265" s="113" t="str">
        <f t="shared" si="9"/>
        <v>SITUS</v>
      </c>
      <c r="I265" s="117" t="str">
        <f>INDEX('BOOKDEPR Lookup'!$I:$I,MATCH('BOOKDEPR Jun22data'!$A265,'BOOKDEPR Lookup'!$A:$A,0))</f>
        <v>G-SITUS</v>
      </c>
      <c r="J265" s="117" t="str">
        <f>IF('BOOKDEPR Jun22data'!$G265=0,"NO",IF(ISNA('BOOKDEPR Jun22data'!$I265),"YES",IF(_xlfn.ISFORMULA('BOOKDEPR Jun22data'!$I265),"NO","YES")))</f>
        <v>NO</v>
      </c>
      <c r="K265"/>
    </row>
    <row r="266" spans="1:11">
      <c r="A266" s="114" t="str">
        <f t="shared" si="8"/>
        <v>4030000DEPN EXPENSE-ELECT3940000"TLS, SHOP, GAR EQUIPMENT"SG</v>
      </c>
      <c r="B266" s="126" t="s">
        <v>1890</v>
      </c>
      <c r="C266" s="127" t="s">
        <v>1612</v>
      </c>
      <c r="D266" s="126" t="s">
        <v>1801</v>
      </c>
      <c r="E266" s="128" t="s">
        <v>1530</v>
      </c>
      <c r="F266" s="127" t="s">
        <v>87</v>
      </c>
      <c r="G266" s="136">
        <v>123.06032</v>
      </c>
      <c r="H266" s="113" t="str">
        <f t="shared" si="9"/>
        <v>SG</v>
      </c>
      <c r="I266" s="117" t="str">
        <f>INDEX('BOOKDEPR Lookup'!$I:$I,MATCH('BOOKDEPR Jun22data'!$A266,'BOOKDEPR Lookup'!$A:$A,0))</f>
        <v>G-SG</v>
      </c>
      <c r="J266" s="117" t="str">
        <f>IF('BOOKDEPR Jun22data'!$G266=0,"NO",IF(ISNA('BOOKDEPR Jun22data'!$I266),"YES",IF(_xlfn.ISFORMULA('BOOKDEPR Jun22data'!$I266),"NO","YES")))</f>
        <v>NO</v>
      </c>
      <c r="K266"/>
    </row>
    <row r="267" spans="1:11">
      <c r="A267" s="114" t="str">
        <f t="shared" si="8"/>
        <v>4030000DEPN EXPENSE-ELECT3940000"TLS, SHOP, GAR EQUIPMENT"SO</v>
      </c>
      <c r="B267" s="126" t="s">
        <v>1890</v>
      </c>
      <c r="C267" s="127" t="s">
        <v>1612</v>
      </c>
      <c r="D267" s="126" t="s">
        <v>1801</v>
      </c>
      <c r="E267" s="128" t="s">
        <v>1530</v>
      </c>
      <c r="F267" s="127" t="s">
        <v>89</v>
      </c>
      <c r="G267" s="136">
        <v>77.392629999999997</v>
      </c>
      <c r="H267" s="113" t="str">
        <f t="shared" si="9"/>
        <v>SO</v>
      </c>
      <c r="I267" s="117" t="str">
        <f>INDEX('BOOKDEPR Lookup'!$I:$I,MATCH('BOOKDEPR Jun22data'!$A267,'BOOKDEPR Lookup'!$A:$A,0))</f>
        <v>PTD</v>
      </c>
      <c r="J267" s="117" t="str">
        <f>IF('BOOKDEPR Jun22data'!$G267=0,"NO",IF(ISNA('BOOKDEPR Jun22data'!$I267),"YES",IF(_xlfn.ISFORMULA('BOOKDEPR Jun22data'!$I267),"NO","YES")))</f>
        <v>NO</v>
      </c>
      <c r="K267"/>
    </row>
    <row r="268" spans="1:11">
      <c r="A268" s="114" t="str">
        <f t="shared" si="8"/>
        <v>4030000DEPN EXPENSE-ELECT3940000"TLS, SHOP, GAR EQUIPMENT"SITUS</v>
      </c>
      <c r="B268" s="126" t="s">
        <v>1890</v>
      </c>
      <c r="C268" s="127" t="s">
        <v>1612</v>
      </c>
      <c r="D268" s="126" t="s">
        <v>1801</v>
      </c>
      <c r="E268" s="128" t="s">
        <v>1530</v>
      </c>
      <c r="F268" s="127" t="s">
        <v>370</v>
      </c>
      <c r="G268" s="136">
        <v>668.65898000000004</v>
      </c>
      <c r="H268" s="113" t="str">
        <f t="shared" si="9"/>
        <v>SITUS</v>
      </c>
      <c r="I268" s="117" t="str">
        <f>INDEX('BOOKDEPR Lookup'!$I:$I,MATCH('BOOKDEPR Jun22data'!$A268,'BOOKDEPR Lookup'!$A:$A,0))</f>
        <v>G-SITUS</v>
      </c>
      <c r="J268" s="117" t="str">
        <f>IF('BOOKDEPR Jun22data'!$G268=0,"NO",IF(ISNA('BOOKDEPR Jun22data'!$I268),"YES",IF(_xlfn.ISFORMULA('BOOKDEPR Jun22data'!$I268),"NO","YES")))</f>
        <v>NO</v>
      </c>
      <c r="K268"/>
    </row>
    <row r="269" spans="1:11">
      <c r="A269" s="114" t="str">
        <f t="shared" si="8"/>
        <v>4030000DEPN EXPENSE-ELECT3940000"TLS, SHOP, GAR EQUIPMENT"SITUS</v>
      </c>
      <c r="B269" s="126" t="s">
        <v>1890</v>
      </c>
      <c r="C269" s="127" t="s">
        <v>1612</v>
      </c>
      <c r="D269" s="126" t="s">
        <v>1801</v>
      </c>
      <c r="E269" s="128" t="s">
        <v>1530</v>
      </c>
      <c r="F269" s="127" t="s">
        <v>367</v>
      </c>
      <c r="G269" s="136">
        <v>111.86502</v>
      </c>
      <c r="H269" s="113" t="str">
        <f t="shared" si="9"/>
        <v>SITUS</v>
      </c>
      <c r="I269" s="117" t="str">
        <f>INDEX('BOOKDEPR Lookup'!$I:$I,MATCH('BOOKDEPR Jun22data'!$A269,'BOOKDEPR Lookup'!$A:$A,0))</f>
        <v>G-SITUS</v>
      </c>
      <c r="J269" s="117" t="str">
        <f>IF('BOOKDEPR Jun22data'!$G269=0,"NO",IF(ISNA('BOOKDEPR Jun22data'!$I269),"YES",IF(_xlfn.ISFORMULA('BOOKDEPR Jun22data'!$I269),"NO","YES")))</f>
        <v>NO</v>
      </c>
      <c r="K269"/>
    </row>
    <row r="270" spans="1:11">
      <c r="A270" s="114" t="str">
        <f t="shared" si="8"/>
        <v>4030000DEPN EXPENSE-ELECT3940000"TLS, SHOP, GAR EQUIPMENT"SITUS</v>
      </c>
      <c r="B270" s="126" t="s">
        <v>1890</v>
      </c>
      <c r="C270" s="127" t="s">
        <v>1612</v>
      </c>
      <c r="D270" s="126" t="s">
        <v>1801</v>
      </c>
      <c r="E270" s="128" t="s">
        <v>1530</v>
      </c>
      <c r="F270" s="127" t="s">
        <v>386</v>
      </c>
      <c r="G270" s="136">
        <v>169.51075</v>
      </c>
      <c r="H270" s="113" t="str">
        <f t="shared" si="9"/>
        <v>SITUS</v>
      </c>
      <c r="I270" s="117" t="str">
        <f>INDEX('BOOKDEPR Lookup'!$I:$I,MATCH('BOOKDEPR Jun22data'!$A270,'BOOKDEPR Lookup'!$A:$A,0))</f>
        <v>G-SITUS</v>
      </c>
      <c r="J270" s="117" t="str">
        <f>IF('BOOKDEPR Jun22data'!$G270=0,"NO",IF(ISNA('BOOKDEPR Jun22data'!$I270),"YES",IF(_xlfn.ISFORMULA('BOOKDEPR Jun22data'!$I270),"NO","YES")))</f>
        <v>NO</v>
      </c>
      <c r="K270"/>
    </row>
    <row r="271" spans="1:11">
      <c r="A271" s="114" t="str">
        <f t="shared" si="8"/>
        <v>4030000DEPN EXPENSE-ELECT3940000"TLS, SHOP, GAR EQUIPMENT"SITUS</v>
      </c>
      <c r="B271" s="126" t="s">
        <v>1890</v>
      </c>
      <c r="C271" s="127" t="s">
        <v>1612</v>
      </c>
      <c r="D271" s="126" t="s">
        <v>1801</v>
      </c>
      <c r="E271" s="128" t="s">
        <v>1530</v>
      </c>
      <c r="F271" s="127" t="s">
        <v>378</v>
      </c>
      <c r="G271" s="136">
        <v>14.02366</v>
      </c>
      <c r="H271" s="113" t="str">
        <f t="shared" si="9"/>
        <v>SITUS</v>
      </c>
      <c r="I271" s="117" t="str">
        <f>INDEX('BOOKDEPR Lookup'!$I:$I,MATCH('BOOKDEPR Jun22data'!$A271,'BOOKDEPR Lookup'!$A:$A,0))</f>
        <v>G-SITUS</v>
      </c>
      <c r="J271" s="117" t="str">
        <f>IF('BOOKDEPR Jun22data'!$G271=0,"NO",IF(ISNA('BOOKDEPR Jun22data'!$I271),"YES",IF(_xlfn.ISFORMULA('BOOKDEPR Jun22data'!$I271),"NO","YES")))</f>
        <v>NO</v>
      </c>
      <c r="K271"/>
    </row>
    <row r="272" spans="1:11">
      <c r="A272" s="114" t="str">
        <f t="shared" si="8"/>
        <v>4030000DEPN EXPENSE-ELECT3950000LABORATORY EQUIPMENTSITUS</v>
      </c>
      <c r="B272" s="126" t="s">
        <v>1890</v>
      </c>
      <c r="C272" s="127" t="s">
        <v>1612</v>
      </c>
      <c r="D272" s="126" t="s">
        <v>1802</v>
      </c>
      <c r="E272" s="128" t="s">
        <v>1531</v>
      </c>
      <c r="F272" s="127" t="s">
        <v>387</v>
      </c>
      <c r="G272" s="136">
        <v>26.068149999999999</v>
      </c>
      <c r="H272" s="113" t="str">
        <f t="shared" si="9"/>
        <v>SITUS</v>
      </c>
      <c r="I272" s="117" t="str">
        <f>INDEX('BOOKDEPR Lookup'!$I:$I,MATCH('BOOKDEPR Jun22data'!$A272,'BOOKDEPR Lookup'!$A:$A,0))</f>
        <v>G-SITUS</v>
      </c>
      <c r="J272" s="117" t="str">
        <f>IF('BOOKDEPR Jun22data'!$G272=0,"NO",IF(ISNA('BOOKDEPR Jun22data'!$I272),"YES",IF(_xlfn.ISFORMULA('BOOKDEPR Jun22data'!$I272),"NO","YES")))</f>
        <v>NO</v>
      </c>
      <c r="K272"/>
    </row>
    <row r="273" spans="1:11">
      <c r="A273" s="114" t="str">
        <f t="shared" si="8"/>
        <v>4030000DEPN EXPENSE-ELECT3950000LABORATORY EQUIPMENTSE</v>
      </c>
      <c r="B273" s="126" t="s">
        <v>1890</v>
      </c>
      <c r="C273" s="127" t="s">
        <v>1612</v>
      </c>
      <c r="D273" s="126" t="s">
        <v>1802</v>
      </c>
      <c r="E273" s="128" t="s">
        <v>1531</v>
      </c>
      <c r="F273" s="127" t="s">
        <v>3110</v>
      </c>
      <c r="G273" s="136">
        <v>61.998019999999997</v>
      </c>
      <c r="H273" s="113" t="str">
        <f t="shared" si="9"/>
        <v>SE</v>
      </c>
      <c r="I273" s="117" t="str">
        <f>INDEX('BOOKDEPR Lookup'!$I:$I,MATCH('BOOKDEPR Jun22data'!$A273,'BOOKDEPR Lookup'!$A:$A,0))</f>
        <v>P</v>
      </c>
      <c r="J273" s="117" t="str">
        <f>IF('BOOKDEPR Jun22data'!$G273=0,"NO",IF(ISNA('BOOKDEPR Jun22data'!$I273),"YES",IF(_xlfn.ISFORMULA('BOOKDEPR Jun22data'!$I273),"NO","YES")))</f>
        <v>NO</v>
      </c>
      <c r="K273"/>
    </row>
    <row r="274" spans="1:11">
      <c r="A274" s="114" t="str">
        <f t="shared" si="8"/>
        <v>4030000DEPN EXPENSE-ELECT3950000LABORATORY EQUIPMENTSG</v>
      </c>
      <c r="B274" s="126" t="s">
        <v>1890</v>
      </c>
      <c r="C274" s="127" t="s">
        <v>1612</v>
      </c>
      <c r="D274" s="126" t="s">
        <v>1802</v>
      </c>
      <c r="E274" s="128" t="s">
        <v>1531</v>
      </c>
      <c r="F274" s="127" t="s">
        <v>3106</v>
      </c>
      <c r="G274" s="136">
        <v>175.6592</v>
      </c>
      <c r="H274" s="113" t="str">
        <f t="shared" si="9"/>
        <v>SG</v>
      </c>
      <c r="I274" s="117" t="str">
        <f>INDEX('BOOKDEPR Lookup'!$I:$I,MATCH('BOOKDEPR Jun22data'!$A274,'BOOKDEPR Lookup'!$A:$A,0))</f>
        <v>G-SG</v>
      </c>
      <c r="J274" s="117" t="str">
        <f>IF('BOOKDEPR Jun22data'!$G274=0,"NO",IF(ISNA('BOOKDEPR Jun22data'!$I274),"YES",IF(_xlfn.ISFORMULA('BOOKDEPR Jun22data'!$I274),"NO","YES")))</f>
        <v>NO</v>
      </c>
      <c r="K274"/>
    </row>
    <row r="275" spans="1:11">
      <c r="A275" s="114" t="str">
        <f t="shared" si="8"/>
        <v>4030000DEPN EXPENSE-ELECT3950000LABORATORY EQUIPMENTSG</v>
      </c>
      <c r="B275" s="126" t="s">
        <v>1890</v>
      </c>
      <c r="C275" s="127" t="s">
        <v>1612</v>
      </c>
      <c r="D275" s="126" t="s">
        <v>1802</v>
      </c>
      <c r="E275" s="128" t="s">
        <v>1531</v>
      </c>
      <c r="F275" s="127" t="s">
        <v>3108</v>
      </c>
      <c r="G275" s="136">
        <v>10.84276</v>
      </c>
      <c r="H275" s="113" t="str">
        <f t="shared" si="9"/>
        <v>SG</v>
      </c>
      <c r="I275" s="117" t="str">
        <f>INDEX('BOOKDEPR Lookup'!$I:$I,MATCH('BOOKDEPR Jun22data'!$A275,'BOOKDEPR Lookup'!$A:$A,0))</f>
        <v>G-SG</v>
      </c>
      <c r="J275" s="117" t="str">
        <f>IF('BOOKDEPR Jun22data'!$G275=0,"NO",IF(ISNA('BOOKDEPR Jun22data'!$I275),"YES",IF(_xlfn.ISFORMULA('BOOKDEPR Jun22data'!$I275),"NO","YES")))</f>
        <v>NO</v>
      </c>
      <c r="K275"/>
    </row>
    <row r="276" spans="1:11">
      <c r="A276" s="114" t="str">
        <f t="shared" si="8"/>
        <v>4030000DEPN EXPENSE-ELECT3950000LABORATORY EQUIPMENTSITUS</v>
      </c>
      <c r="B276" s="126" t="s">
        <v>1890</v>
      </c>
      <c r="C276" s="127" t="s">
        <v>1612</v>
      </c>
      <c r="D276" s="126" t="s">
        <v>1802</v>
      </c>
      <c r="E276" s="128" t="s">
        <v>1531</v>
      </c>
      <c r="F276" s="127" t="s">
        <v>372</v>
      </c>
      <c r="G276" s="136">
        <v>67.418130000000005</v>
      </c>
      <c r="H276" s="113" t="str">
        <f t="shared" si="9"/>
        <v>SITUS</v>
      </c>
      <c r="I276" s="117" t="str">
        <f>INDEX('BOOKDEPR Lookup'!$I:$I,MATCH('BOOKDEPR Jun22data'!$A276,'BOOKDEPR Lookup'!$A:$A,0))</f>
        <v>G-SITUS</v>
      </c>
      <c r="J276" s="117" t="str">
        <f>IF('BOOKDEPR Jun22data'!$G276=0,"NO",IF(ISNA('BOOKDEPR Jun22data'!$I276),"YES",IF(_xlfn.ISFORMULA('BOOKDEPR Jun22data'!$I276),"NO","YES")))</f>
        <v>NO</v>
      </c>
      <c r="K276"/>
    </row>
    <row r="277" spans="1:11">
      <c r="A277" s="114" t="str">
        <f t="shared" si="8"/>
        <v>4030000DEPN EXPENSE-ELECT3950000LABORATORY EQUIPMENTSG</v>
      </c>
      <c r="B277" s="126" t="s">
        <v>1890</v>
      </c>
      <c r="C277" s="127" t="s">
        <v>1612</v>
      </c>
      <c r="D277" s="126" t="s">
        <v>1802</v>
      </c>
      <c r="E277" s="128" t="s">
        <v>1531</v>
      </c>
      <c r="F277" s="127" t="s">
        <v>3107</v>
      </c>
      <c r="G277" s="137">
        <v>24.601400000000002</v>
      </c>
      <c r="H277" s="113" t="str">
        <f t="shared" si="9"/>
        <v>SG</v>
      </c>
      <c r="I277" s="117" t="str">
        <f>INDEX('BOOKDEPR Lookup'!$I:$I,MATCH('BOOKDEPR Jun22data'!$A277,'BOOKDEPR Lookup'!$A:$A,0))</f>
        <v>G-SG</v>
      </c>
      <c r="J277" s="117" t="str">
        <f>IF('BOOKDEPR Jun22data'!$G277=0,"NO",IF(ISNA('BOOKDEPR Jun22data'!$I277),"YES",IF(_xlfn.ISFORMULA('BOOKDEPR Jun22data'!$I277),"NO","YES")))</f>
        <v>NO</v>
      </c>
      <c r="K277"/>
    </row>
    <row r="278" spans="1:11">
      <c r="A278" s="114" t="str">
        <f t="shared" si="8"/>
        <v>4030000DEPN EXPENSE-ELECT3950000LABORATORY EQUIPMENTSITUS</v>
      </c>
      <c r="B278" s="126" t="s">
        <v>1890</v>
      </c>
      <c r="C278" s="127" t="s">
        <v>1612</v>
      </c>
      <c r="D278" s="126" t="s">
        <v>1802</v>
      </c>
      <c r="E278" s="128" t="s">
        <v>1531</v>
      </c>
      <c r="F278" s="127" t="s">
        <v>343</v>
      </c>
      <c r="G278" s="137">
        <v>487.18696999999997</v>
      </c>
      <c r="H278" s="113" t="str">
        <f t="shared" si="9"/>
        <v>SITUS</v>
      </c>
      <c r="I278" s="117" t="str">
        <f>INDEX('BOOKDEPR Lookup'!$I:$I,MATCH('BOOKDEPR Jun22data'!$A278,'BOOKDEPR Lookup'!$A:$A,0))</f>
        <v>G-SITUS</v>
      </c>
      <c r="J278" s="117" t="str">
        <f>IF('BOOKDEPR Jun22data'!$G278=0,"NO",IF(ISNA('BOOKDEPR Jun22data'!$I278),"YES",IF(_xlfn.ISFORMULA('BOOKDEPR Jun22data'!$I278),"NO","YES")))</f>
        <v>NO</v>
      </c>
    </row>
    <row r="279" spans="1:11">
      <c r="A279" s="114" t="str">
        <f t="shared" si="8"/>
        <v>4030000DEPN EXPENSE-ELECT3950000LABORATORY EQUIPMENTSG</v>
      </c>
      <c r="B279" s="126" t="s">
        <v>1890</v>
      </c>
      <c r="C279" s="127" t="s">
        <v>1612</v>
      </c>
      <c r="D279" s="126" t="s">
        <v>1802</v>
      </c>
      <c r="E279" s="128" t="s">
        <v>1531</v>
      </c>
      <c r="F279" s="127" t="s">
        <v>87</v>
      </c>
      <c r="G279" s="137">
        <v>119.27255</v>
      </c>
      <c r="H279" s="113" t="str">
        <f t="shared" si="9"/>
        <v>SG</v>
      </c>
      <c r="I279" s="117" t="str">
        <f>INDEX('BOOKDEPR Lookup'!$I:$I,MATCH('BOOKDEPR Jun22data'!$A279,'BOOKDEPR Lookup'!$A:$A,0))</f>
        <v>G-SG</v>
      </c>
      <c r="J279" s="117" t="str">
        <f>IF('BOOKDEPR Jun22data'!$G279=0,"NO",IF(ISNA('BOOKDEPR Jun22data'!$I279),"YES",IF(_xlfn.ISFORMULA('BOOKDEPR Jun22data'!$I279),"NO","YES")))</f>
        <v>NO</v>
      </c>
    </row>
    <row r="280" spans="1:11">
      <c r="A280" s="114" t="str">
        <f t="shared" si="8"/>
        <v>4030000DEPN EXPENSE-ELECT3950000LABORATORY EQUIPMENTSO</v>
      </c>
      <c r="B280" s="119" t="s">
        <v>1890</v>
      </c>
      <c r="C280" s="120" t="s">
        <v>1612</v>
      </c>
      <c r="D280" s="119" t="s">
        <v>1802</v>
      </c>
      <c r="E280" s="121" t="s">
        <v>1531</v>
      </c>
      <c r="F280" s="119" t="s">
        <v>89</v>
      </c>
      <c r="G280" s="138">
        <v>253.09780000000001</v>
      </c>
      <c r="H280" s="113" t="str">
        <f t="shared" si="9"/>
        <v>SO</v>
      </c>
      <c r="I280" s="117" t="str">
        <f>INDEX('BOOKDEPR Lookup'!$I:$I,MATCH('BOOKDEPR Jun22data'!$A280,'BOOKDEPR Lookup'!$A:$A,0))</f>
        <v>PTD</v>
      </c>
      <c r="J280" s="117" t="str">
        <f>IF('BOOKDEPR Jun22data'!$G280=0,"NO",IF(ISNA('BOOKDEPR Jun22data'!$I280),"YES",IF(_xlfn.ISFORMULA('BOOKDEPR Jun22data'!$I280),"NO","YES")))</f>
        <v>NO</v>
      </c>
    </row>
    <row r="281" spans="1:11">
      <c r="A281" s="114" t="str">
        <f t="shared" si="8"/>
        <v>4030000DEPN EXPENSE-ELECT3950000LABORATORY EQUIPMENTSITUS</v>
      </c>
      <c r="B281" s="119" t="s">
        <v>1890</v>
      </c>
      <c r="C281" s="120" t="s">
        <v>1612</v>
      </c>
      <c r="D281" s="119" t="s">
        <v>1802</v>
      </c>
      <c r="E281" s="121" t="s">
        <v>1531</v>
      </c>
      <c r="F281" s="119" t="s">
        <v>370</v>
      </c>
      <c r="G281" s="138">
        <v>386.22179999999997</v>
      </c>
      <c r="H281" s="113" t="str">
        <f t="shared" si="9"/>
        <v>SITUS</v>
      </c>
      <c r="I281" s="117" t="str">
        <f>INDEX('BOOKDEPR Lookup'!$I:$I,MATCH('BOOKDEPR Jun22data'!$A281,'BOOKDEPR Lookup'!$A:$A,0))</f>
        <v>G-SITUS</v>
      </c>
      <c r="J281" s="117" t="str">
        <f>IF('BOOKDEPR Jun22data'!$G281=0,"NO",IF(ISNA('BOOKDEPR Jun22data'!$I281),"YES",IF(_xlfn.ISFORMULA('BOOKDEPR Jun22data'!$I281),"NO","YES")))</f>
        <v>NO</v>
      </c>
    </row>
    <row r="282" spans="1:11">
      <c r="A282" s="114" t="str">
        <f t="shared" si="8"/>
        <v>4030000DEPN EXPENSE-ELECT3950000LABORATORY EQUIPMENTSITUS</v>
      </c>
      <c r="B282" s="119" t="s">
        <v>1890</v>
      </c>
      <c r="C282" s="120" t="s">
        <v>1612</v>
      </c>
      <c r="D282" s="119" t="s">
        <v>1802</v>
      </c>
      <c r="E282" s="121" t="s">
        <v>1531</v>
      </c>
      <c r="F282" s="119" t="s">
        <v>367</v>
      </c>
      <c r="G282" s="138">
        <v>72.163269999999997</v>
      </c>
      <c r="H282" s="113" t="str">
        <f t="shared" si="9"/>
        <v>SITUS</v>
      </c>
      <c r="I282" s="117" t="str">
        <f>INDEX('BOOKDEPR Lookup'!$I:$I,MATCH('BOOKDEPR Jun22data'!$A282,'BOOKDEPR Lookup'!$A:$A,0))</f>
        <v>G-SITUS</v>
      </c>
      <c r="J282" s="117" t="str">
        <f>IF('BOOKDEPR Jun22data'!$G282=0,"NO",IF(ISNA('BOOKDEPR Jun22data'!$I282),"YES",IF(_xlfn.ISFORMULA('BOOKDEPR Jun22data'!$I282),"NO","YES")))</f>
        <v>NO</v>
      </c>
    </row>
    <row r="283" spans="1:11">
      <c r="A283" s="114" t="str">
        <f t="shared" si="8"/>
        <v>4030000DEPN EXPENSE-ELECT3950000LABORATORY EQUIPMENTSITUS</v>
      </c>
      <c r="B283" s="119" t="s">
        <v>1890</v>
      </c>
      <c r="C283" s="120" t="s">
        <v>1612</v>
      </c>
      <c r="D283" s="119" t="s">
        <v>1802</v>
      </c>
      <c r="E283" s="121" t="s">
        <v>1531</v>
      </c>
      <c r="F283" s="119" t="s">
        <v>386</v>
      </c>
      <c r="G283" s="138">
        <v>133.90591000000001</v>
      </c>
      <c r="H283" s="113" t="str">
        <f t="shared" si="9"/>
        <v>SITUS</v>
      </c>
      <c r="I283" s="117" t="str">
        <f>INDEX('BOOKDEPR Lookup'!$I:$I,MATCH('BOOKDEPR Jun22data'!$A283,'BOOKDEPR Lookup'!$A:$A,0))</f>
        <v>G-SITUS</v>
      </c>
      <c r="J283" s="117" t="str">
        <f>IF('BOOKDEPR Jun22data'!$G283=0,"NO",IF(ISNA('BOOKDEPR Jun22data'!$I283),"YES",IF(_xlfn.ISFORMULA('BOOKDEPR Jun22data'!$I283),"NO","YES")))</f>
        <v>NO</v>
      </c>
    </row>
    <row r="284" spans="1:11">
      <c r="A284" s="114" t="str">
        <f t="shared" si="8"/>
        <v>4030000DEPN EXPENSE-ELECT3950000LABORATORY EQUIPMENTSITUS</v>
      </c>
      <c r="B284" s="119" t="s">
        <v>1890</v>
      </c>
      <c r="C284" s="120" t="s">
        <v>1612</v>
      </c>
      <c r="D284" s="119" t="s">
        <v>1802</v>
      </c>
      <c r="E284" s="121" t="s">
        <v>1531</v>
      </c>
      <c r="F284" s="119" t="s">
        <v>378</v>
      </c>
      <c r="G284" s="138">
        <v>4.7759900000000002</v>
      </c>
      <c r="H284" s="113" t="str">
        <f t="shared" si="9"/>
        <v>SITUS</v>
      </c>
      <c r="I284" s="117" t="str">
        <f>INDEX('BOOKDEPR Lookup'!$I:$I,MATCH('BOOKDEPR Jun22data'!$A284,'BOOKDEPR Lookup'!$A:$A,0))</f>
        <v>G-SITUS</v>
      </c>
      <c r="J284" s="117" t="str">
        <f>IF('BOOKDEPR Jun22data'!$G284=0,"NO",IF(ISNA('BOOKDEPR Jun22data'!$I284),"YES",IF(_xlfn.ISFORMULA('BOOKDEPR Jun22data'!$I284),"NO","YES")))</f>
        <v>NO</v>
      </c>
    </row>
    <row r="285" spans="1:11">
      <c r="A285" s="114" t="str">
        <f t="shared" si="8"/>
        <v>4030000DEPN EXPENSE-ELECT3970000COMMUNICATION EQUIPMENTSITUS</v>
      </c>
      <c r="B285" s="119" t="s">
        <v>1890</v>
      </c>
      <c r="C285" s="120" t="s">
        <v>1612</v>
      </c>
      <c r="D285" s="119" t="s">
        <v>1803</v>
      </c>
      <c r="E285" s="121" t="s">
        <v>1539</v>
      </c>
      <c r="F285" s="119" t="s">
        <v>387</v>
      </c>
      <c r="G285" s="138">
        <v>241.16310999999999</v>
      </c>
      <c r="H285" s="113" t="str">
        <f t="shared" si="9"/>
        <v>SITUS</v>
      </c>
      <c r="I285" s="117" t="str">
        <f>INDEX('BOOKDEPR Lookup'!$I:$I,MATCH('BOOKDEPR Jun22data'!$A285,'BOOKDEPR Lookup'!$A:$A,0))</f>
        <v>G-SITUS</v>
      </c>
      <c r="J285" s="117" t="str">
        <f>IF('BOOKDEPR Jun22data'!$G285=0,"NO",IF(ISNA('BOOKDEPR Jun22data'!$I285),"YES",IF(_xlfn.ISFORMULA('BOOKDEPR Jun22data'!$I285),"NO","YES")))</f>
        <v>NO</v>
      </c>
    </row>
    <row r="286" spans="1:11">
      <c r="A286" s="114" t="str">
        <f t="shared" si="8"/>
        <v>4030000DEPN EXPENSE-ELECT3970000COMMUNICATION EQUIPMENTSE</v>
      </c>
      <c r="B286" s="119" t="s">
        <v>1890</v>
      </c>
      <c r="C286" s="120" t="s">
        <v>1612</v>
      </c>
      <c r="D286" s="119" t="s">
        <v>1803</v>
      </c>
      <c r="E286" s="121" t="s">
        <v>1539</v>
      </c>
      <c r="F286" s="119" t="s">
        <v>3110</v>
      </c>
      <c r="G286" s="138">
        <v>12.024369999999999</v>
      </c>
      <c r="H286" s="113" t="str">
        <f t="shared" si="9"/>
        <v>SE</v>
      </c>
      <c r="I286" s="117" t="str">
        <f>INDEX('BOOKDEPR Lookup'!$I:$I,MATCH('BOOKDEPR Jun22data'!$A286,'BOOKDEPR Lookup'!$A:$A,0))</f>
        <v>P</v>
      </c>
      <c r="J286" s="117" t="str">
        <f>IF('BOOKDEPR Jun22data'!$G286=0,"NO",IF(ISNA('BOOKDEPR Jun22data'!$I286),"YES",IF(_xlfn.ISFORMULA('BOOKDEPR Jun22data'!$I286),"NO","YES")))</f>
        <v>NO</v>
      </c>
    </row>
    <row r="287" spans="1:11">
      <c r="A287" s="114" t="str">
        <f t="shared" si="8"/>
        <v>4030000DEPN EXPENSE-ELECT3970000COMMUNICATION EQUIPMENTSG</v>
      </c>
      <c r="B287" s="119" t="s">
        <v>1890</v>
      </c>
      <c r="C287" s="120" t="s">
        <v>1612</v>
      </c>
      <c r="D287" s="119" t="s">
        <v>1803</v>
      </c>
      <c r="E287" s="121" t="s">
        <v>1539</v>
      </c>
      <c r="F287" s="119" t="s">
        <v>3106</v>
      </c>
      <c r="G287" s="138">
        <v>1106.64447</v>
      </c>
      <c r="H287" s="113" t="str">
        <f t="shared" si="9"/>
        <v>SG</v>
      </c>
      <c r="I287" s="117" t="str">
        <f>INDEX('BOOKDEPR Lookup'!$I:$I,MATCH('BOOKDEPR Jun22data'!$A287,'BOOKDEPR Lookup'!$A:$A,0))</f>
        <v>G-SG</v>
      </c>
      <c r="J287" s="117" t="str">
        <f>IF('BOOKDEPR Jun22data'!$G287=0,"NO",IF(ISNA('BOOKDEPR Jun22data'!$I287),"YES",IF(_xlfn.ISFORMULA('BOOKDEPR Jun22data'!$I287),"NO","YES")))</f>
        <v>NO</v>
      </c>
    </row>
    <row r="288" spans="1:11">
      <c r="A288" s="114" t="str">
        <f t="shared" si="8"/>
        <v>4030000DEPN EXPENSE-ELECT3970000COMMUNICATION EQUIPMENTSG</v>
      </c>
      <c r="B288" s="119" t="s">
        <v>1890</v>
      </c>
      <c r="C288" s="120" t="s">
        <v>1612</v>
      </c>
      <c r="D288" s="119" t="s">
        <v>1803</v>
      </c>
      <c r="E288" s="121" t="s">
        <v>1539</v>
      </c>
      <c r="F288" s="119" t="s">
        <v>3108</v>
      </c>
      <c r="G288" s="138">
        <v>86.807310000000001</v>
      </c>
      <c r="H288" s="113" t="str">
        <f t="shared" si="9"/>
        <v>SG</v>
      </c>
      <c r="I288" s="117" t="str">
        <f>INDEX('BOOKDEPR Lookup'!$I:$I,MATCH('BOOKDEPR Jun22data'!$A288,'BOOKDEPR Lookup'!$A:$A,0))</f>
        <v>G-SG</v>
      </c>
      <c r="J288" s="117" t="str">
        <f>IF('BOOKDEPR Jun22data'!$G288=0,"NO",IF(ISNA('BOOKDEPR Jun22data'!$I288),"YES",IF(_xlfn.ISFORMULA('BOOKDEPR Jun22data'!$I288),"NO","YES")))</f>
        <v>NO</v>
      </c>
    </row>
    <row r="289" spans="1:10">
      <c r="A289" s="114" t="str">
        <f t="shared" si="8"/>
        <v>4030000DEPN EXPENSE-ELECT3970000COMMUNICATION EQUIPMENTCN</v>
      </c>
      <c r="B289" s="119" t="s">
        <v>1890</v>
      </c>
      <c r="C289" s="120" t="s">
        <v>1612</v>
      </c>
      <c r="D289" s="119" t="s">
        <v>1803</v>
      </c>
      <c r="E289" s="121" t="s">
        <v>1539</v>
      </c>
      <c r="F289" s="119" t="s">
        <v>84</v>
      </c>
      <c r="G289" s="138">
        <v>156.170640156171</v>
      </c>
      <c r="H289" s="113" t="str">
        <f t="shared" si="9"/>
        <v>CN</v>
      </c>
      <c r="I289" s="117" t="str">
        <f>INDEX('BOOKDEPR Lookup'!$I:$I,MATCH('BOOKDEPR Jun22data'!$A289,'BOOKDEPR Lookup'!$A:$A,0))</f>
        <v>CUST</v>
      </c>
      <c r="J289" s="117" t="str">
        <f>IF('BOOKDEPR Jun22data'!$G289=0,"NO",IF(ISNA('BOOKDEPR Jun22data'!$I289),"YES",IF(_xlfn.ISFORMULA('BOOKDEPR Jun22data'!$I289),"NO","YES")))</f>
        <v>NO</v>
      </c>
    </row>
    <row r="290" spans="1:10">
      <c r="A290" s="114" t="str">
        <f t="shared" si="8"/>
        <v>4030000DEPN EXPENSE-ELECT3970000COMMUNICATION EQUIPMENTSITUS</v>
      </c>
      <c r="B290" s="119" t="s">
        <v>1890</v>
      </c>
      <c r="C290" s="120" t="s">
        <v>1612</v>
      </c>
      <c r="D290" s="119" t="s">
        <v>1803</v>
      </c>
      <c r="E290" s="121" t="s">
        <v>1539</v>
      </c>
      <c r="F290" s="119" t="s">
        <v>372</v>
      </c>
      <c r="G290" s="138">
        <v>560.87081000000001</v>
      </c>
      <c r="H290" s="113" t="str">
        <f t="shared" si="9"/>
        <v>SITUS</v>
      </c>
      <c r="I290" s="117" t="str">
        <f>INDEX('BOOKDEPR Lookup'!$I:$I,MATCH('BOOKDEPR Jun22data'!$A290,'BOOKDEPR Lookup'!$A:$A,0))</f>
        <v>G-SITUS</v>
      </c>
      <c r="J290" s="117" t="str">
        <f>IF('BOOKDEPR Jun22data'!$G290=0,"NO",IF(ISNA('BOOKDEPR Jun22data'!$I290),"YES",IF(_xlfn.ISFORMULA('BOOKDEPR Jun22data'!$I290),"NO","YES")))</f>
        <v>NO</v>
      </c>
    </row>
    <row r="291" spans="1:10">
      <c r="A291" s="114" t="str">
        <f t="shared" si="8"/>
        <v>4030000DEPN EXPENSE-ELECT3970000COMMUNICATION EQUIPMENTSG</v>
      </c>
      <c r="B291" s="119" t="s">
        <v>1890</v>
      </c>
      <c r="C291" s="120" t="s">
        <v>1612</v>
      </c>
      <c r="D291" s="119" t="s">
        <v>1803</v>
      </c>
      <c r="E291" s="121" t="s">
        <v>1539</v>
      </c>
      <c r="F291" s="119" t="s">
        <v>3107</v>
      </c>
      <c r="G291" s="138">
        <v>158.48212000000001</v>
      </c>
      <c r="H291" s="113" t="str">
        <f t="shared" si="9"/>
        <v>SG</v>
      </c>
      <c r="I291" s="117" t="str">
        <f>INDEX('BOOKDEPR Lookup'!$I:$I,MATCH('BOOKDEPR Jun22data'!$A291,'BOOKDEPR Lookup'!$A:$A,0))</f>
        <v>G-SG</v>
      </c>
      <c r="J291" s="117" t="str">
        <f>IF('BOOKDEPR Jun22data'!$G291=0,"NO",IF(ISNA('BOOKDEPR Jun22data'!$I291),"YES",IF(_xlfn.ISFORMULA('BOOKDEPR Jun22data'!$I291),"NO","YES")))</f>
        <v>NO</v>
      </c>
    </row>
    <row r="292" spans="1:10">
      <c r="A292" s="114" t="str">
        <f t="shared" si="8"/>
        <v>4030000DEPN EXPENSE-ELECT3970000COMMUNICATION EQUIPMENTSITUS</v>
      </c>
      <c r="B292" s="119" t="s">
        <v>1890</v>
      </c>
      <c r="C292" s="120" t="s">
        <v>1612</v>
      </c>
      <c r="D292" s="119" t="s">
        <v>1803</v>
      </c>
      <c r="E292" s="121" t="s">
        <v>1539</v>
      </c>
      <c r="F292" s="119" t="s">
        <v>343</v>
      </c>
      <c r="G292" s="138">
        <v>2899.4176900000002</v>
      </c>
      <c r="H292" s="113" t="str">
        <f t="shared" si="9"/>
        <v>SITUS</v>
      </c>
      <c r="I292" s="117" t="str">
        <f>INDEX('BOOKDEPR Lookup'!$I:$I,MATCH('BOOKDEPR Jun22data'!$A292,'BOOKDEPR Lookup'!$A:$A,0))</f>
        <v>G-SITUS</v>
      </c>
      <c r="J292" s="117" t="str">
        <f>IF('BOOKDEPR Jun22data'!$G292=0,"NO",IF(ISNA('BOOKDEPR Jun22data'!$I292),"YES",IF(_xlfn.ISFORMULA('BOOKDEPR Jun22data'!$I292),"NO","YES")))</f>
        <v>NO</v>
      </c>
    </row>
    <row r="293" spans="1:10">
      <c r="A293" s="114" t="str">
        <f t="shared" si="8"/>
        <v>4030000DEPN EXPENSE-ELECT3970000COMMUNICATION EQUIPMENTSG</v>
      </c>
      <c r="B293" s="119" t="s">
        <v>1890</v>
      </c>
      <c r="C293" s="120" t="s">
        <v>1612</v>
      </c>
      <c r="D293" s="119" t="s">
        <v>1803</v>
      </c>
      <c r="E293" s="121" t="s">
        <v>1539</v>
      </c>
      <c r="F293" s="119" t="s">
        <v>87</v>
      </c>
      <c r="G293" s="138">
        <v>6403.7163799999998</v>
      </c>
      <c r="H293" s="113" t="str">
        <f t="shared" si="9"/>
        <v>SG</v>
      </c>
      <c r="I293" s="117" t="str">
        <f>INDEX('BOOKDEPR Lookup'!$I:$I,MATCH('BOOKDEPR Jun22data'!$A293,'BOOKDEPR Lookup'!$A:$A,0))</f>
        <v>G-SG</v>
      </c>
      <c r="J293" s="117" t="str">
        <f>IF('BOOKDEPR Jun22data'!$G293=0,"NO",IF(ISNA('BOOKDEPR Jun22data'!$I293),"YES",IF(_xlfn.ISFORMULA('BOOKDEPR Jun22data'!$I293),"NO","YES")))</f>
        <v>NO</v>
      </c>
    </row>
    <row r="294" spans="1:10">
      <c r="A294" s="114" t="str">
        <f t="shared" si="8"/>
        <v>4030000DEPN EXPENSE-ELECT3970000COMMUNICATION EQUIPMENTSO</v>
      </c>
      <c r="B294" s="119" t="s">
        <v>1890</v>
      </c>
      <c r="C294" s="120" t="s">
        <v>1612</v>
      </c>
      <c r="D294" s="119" t="s">
        <v>1803</v>
      </c>
      <c r="E294" s="121" t="s">
        <v>1539</v>
      </c>
      <c r="F294" s="119" t="s">
        <v>89</v>
      </c>
      <c r="G294" s="138">
        <v>4027.2093599999998</v>
      </c>
      <c r="H294" s="113" t="str">
        <f t="shared" si="9"/>
        <v>SO</v>
      </c>
      <c r="I294" s="117" t="str">
        <f>INDEX('BOOKDEPR Lookup'!$I:$I,MATCH('BOOKDEPR Jun22data'!$A294,'BOOKDEPR Lookup'!$A:$A,0))</f>
        <v>PTD</v>
      </c>
      <c r="J294" s="117" t="str">
        <f>IF('BOOKDEPR Jun22data'!$G294=0,"NO",IF(ISNA('BOOKDEPR Jun22data'!$I294),"YES",IF(_xlfn.ISFORMULA('BOOKDEPR Jun22data'!$I294),"NO","YES")))</f>
        <v>NO</v>
      </c>
    </row>
    <row r="295" spans="1:10">
      <c r="A295" s="114" t="str">
        <f t="shared" si="8"/>
        <v>4030000DEPN EXPENSE-ELECT3970000COMMUNICATION EQUIPMENTSITUS</v>
      </c>
      <c r="B295" s="119" t="s">
        <v>1890</v>
      </c>
      <c r="C295" s="120" t="s">
        <v>1612</v>
      </c>
      <c r="D295" s="119" t="s">
        <v>1803</v>
      </c>
      <c r="E295" s="121" t="s">
        <v>1539</v>
      </c>
      <c r="F295" s="119" t="s">
        <v>370</v>
      </c>
      <c r="G295" s="138">
        <v>2603.8281299999999</v>
      </c>
      <c r="H295" s="113" t="str">
        <f t="shared" si="9"/>
        <v>SITUS</v>
      </c>
      <c r="I295" s="117" t="str">
        <f>INDEX('BOOKDEPR Lookup'!$I:$I,MATCH('BOOKDEPR Jun22data'!$A295,'BOOKDEPR Lookup'!$A:$A,0))</f>
        <v>G-SITUS</v>
      </c>
      <c r="J295" s="117" t="str">
        <f>IF('BOOKDEPR Jun22data'!$G295=0,"NO",IF(ISNA('BOOKDEPR Jun22data'!$I295),"YES",IF(_xlfn.ISFORMULA('BOOKDEPR Jun22data'!$I295),"NO","YES")))</f>
        <v>NO</v>
      </c>
    </row>
    <row r="296" spans="1:10">
      <c r="A296" s="114" t="str">
        <f t="shared" si="8"/>
        <v>4030000DEPN EXPENSE-ELECT3970000COMMUNICATION EQUIPMENTSITUS</v>
      </c>
      <c r="B296" s="119" t="s">
        <v>1890</v>
      </c>
      <c r="C296" s="120" t="s">
        <v>1612</v>
      </c>
      <c r="D296" s="119" t="s">
        <v>1803</v>
      </c>
      <c r="E296" s="121" t="s">
        <v>1539</v>
      </c>
      <c r="F296" s="119" t="s">
        <v>367</v>
      </c>
      <c r="G296" s="138">
        <v>503.11090999999999</v>
      </c>
      <c r="H296" s="113" t="str">
        <f t="shared" si="9"/>
        <v>SITUS</v>
      </c>
      <c r="I296" s="117" t="str">
        <f>INDEX('BOOKDEPR Lookup'!$I:$I,MATCH('BOOKDEPR Jun22data'!$A296,'BOOKDEPR Lookup'!$A:$A,0))</f>
        <v>G-SITUS</v>
      </c>
      <c r="J296" s="117" t="str">
        <f>IF('BOOKDEPR Jun22data'!$G296=0,"NO",IF(ISNA('BOOKDEPR Jun22data'!$I296),"YES",IF(_xlfn.ISFORMULA('BOOKDEPR Jun22data'!$I296),"NO","YES")))</f>
        <v>NO</v>
      </c>
    </row>
    <row r="297" spans="1:10">
      <c r="A297" s="114" t="str">
        <f t="shared" si="8"/>
        <v>4030000DEPN EXPENSE-ELECT3970000COMMUNICATION EQUIPMENTSITUS</v>
      </c>
      <c r="B297" s="119" t="s">
        <v>1890</v>
      </c>
      <c r="C297" s="120" t="s">
        <v>1612</v>
      </c>
      <c r="D297" s="119" t="s">
        <v>1803</v>
      </c>
      <c r="E297" s="121" t="s">
        <v>1539</v>
      </c>
      <c r="F297" s="119" t="s">
        <v>386</v>
      </c>
      <c r="G297" s="138">
        <v>1055.4655399999999</v>
      </c>
      <c r="H297" s="113" t="str">
        <f t="shared" si="9"/>
        <v>SITUS</v>
      </c>
      <c r="I297" s="117" t="str">
        <f>INDEX('BOOKDEPR Lookup'!$I:$I,MATCH('BOOKDEPR Jun22data'!$A297,'BOOKDEPR Lookup'!$A:$A,0))</f>
        <v>G-SITUS</v>
      </c>
      <c r="J297" s="117" t="str">
        <f>IF('BOOKDEPR Jun22data'!$G297=0,"NO",IF(ISNA('BOOKDEPR Jun22data'!$I297),"YES",IF(_xlfn.ISFORMULA('BOOKDEPR Jun22data'!$I297),"NO","YES")))</f>
        <v>NO</v>
      </c>
    </row>
    <row r="298" spans="1:10">
      <c r="A298" s="114" t="str">
        <f t="shared" si="8"/>
        <v>4030000DEPN EXPENSE-ELECT3970000COMMUNICATION EQUIPMENTSITUS</v>
      </c>
      <c r="B298" s="119" t="s">
        <v>1890</v>
      </c>
      <c r="C298" s="120" t="s">
        <v>1612</v>
      </c>
      <c r="D298" s="119" t="s">
        <v>1803</v>
      </c>
      <c r="E298" s="121" t="s">
        <v>1539</v>
      </c>
      <c r="F298" s="119" t="s">
        <v>378</v>
      </c>
      <c r="G298" s="138">
        <v>252.26832999999999</v>
      </c>
      <c r="H298" s="113" t="str">
        <f t="shared" si="9"/>
        <v>SITUS</v>
      </c>
      <c r="I298" s="117" t="str">
        <f>INDEX('BOOKDEPR Lookup'!$I:$I,MATCH('BOOKDEPR Jun22data'!$A298,'BOOKDEPR Lookup'!$A:$A,0))</f>
        <v>G-SITUS</v>
      </c>
      <c r="J298" s="117" t="str">
        <f>IF('BOOKDEPR Jun22data'!$G298=0,"NO",IF(ISNA('BOOKDEPR Jun22data'!$I298),"YES",IF(_xlfn.ISFORMULA('BOOKDEPR Jun22data'!$I298),"NO","YES")))</f>
        <v>NO</v>
      </c>
    </row>
    <row r="299" spans="1:10">
      <c r="A299" s="114" t="str">
        <f t="shared" si="8"/>
        <v>4030000DEPN EXPENSE-ELECT3972000MOBILE RADIO EQUIPMENTSITUS</v>
      </c>
      <c r="B299" s="119" t="s">
        <v>1890</v>
      </c>
      <c r="C299" s="120" t="s">
        <v>1612</v>
      </c>
      <c r="D299" s="119" t="s">
        <v>1804</v>
      </c>
      <c r="E299" s="121" t="s">
        <v>1540</v>
      </c>
      <c r="F299" s="119" t="s">
        <v>387</v>
      </c>
      <c r="G299" s="138">
        <v>27.414390000000001</v>
      </c>
      <c r="H299" s="113" t="str">
        <f t="shared" si="9"/>
        <v>SITUS</v>
      </c>
      <c r="I299" s="117" t="str">
        <f>INDEX('BOOKDEPR Lookup'!$I:$I,MATCH('BOOKDEPR Jun22data'!$A299,'BOOKDEPR Lookup'!$A:$A,0))</f>
        <v>G-SITUS</v>
      </c>
      <c r="J299" s="117" t="str">
        <f>IF('BOOKDEPR Jun22data'!$G299=0,"NO",IF(ISNA('BOOKDEPR Jun22data'!$I299),"YES",IF(_xlfn.ISFORMULA('BOOKDEPR Jun22data'!$I299),"NO","YES")))</f>
        <v>NO</v>
      </c>
    </row>
    <row r="300" spans="1:10">
      <c r="A300" s="114" t="str">
        <f t="shared" si="8"/>
        <v>4030000DEPN EXPENSE-ELECT3972000MOBILE RADIO EQUIPMENTSE</v>
      </c>
      <c r="B300" s="119" t="s">
        <v>1890</v>
      </c>
      <c r="C300" s="120" t="s">
        <v>1612</v>
      </c>
      <c r="D300" s="119" t="s">
        <v>1804</v>
      </c>
      <c r="E300" s="121" t="s">
        <v>1540</v>
      </c>
      <c r="F300" s="119" t="s">
        <v>3110</v>
      </c>
      <c r="G300" s="138">
        <v>7.4672099999999997</v>
      </c>
      <c r="H300" s="113" t="str">
        <f t="shared" si="9"/>
        <v>SE</v>
      </c>
      <c r="I300" s="117" t="str">
        <f>INDEX('BOOKDEPR Lookup'!$I:$I,MATCH('BOOKDEPR Jun22data'!$A300,'BOOKDEPR Lookup'!$A:$A,0))</f>
        <v>P</v>
      </c>
      <c r="J300" s="117" t="str">
        <f>IF('BOOKDEPR Jun22data'!$G300=0,"NO",IF(ISNA('BOOKDEPR Jun22data'!$I300),"YES",IF(_xlfn.ISFORMULA('BOOKDEPR Jun22data'!$I300),"NO","YES")))</f>
        <v>NO</v>
      </c>
    </row>
    <row r="301" spans="1:10">
      <c r="A301" s="114" t="str">
        <f t="shared" si="8"/>
        <v>4030000DEPN EXPENSE-ELECT3972000MOBILE RADIO EQUIPMENTSG</v>
      </c>
      <c r="B301" s="119" t="s">
        <v>1890</v>
      </c>
      <c r="C301" s="120" t="s">
        <v>1612</v>
      </c>
      <c r="D301" s="119" t="s">
        <v>1804</v>
      </c>
      <c r="E301" s="121" t="s">
        <v>1540</v>
      </c>
      <c r="F301" s="119" t="s">
        <v>3106</v>
      </c>
      <c r="G301" s="138">
        <v>158.16408999999999</v>
      </c>
      <c r="H301" s="113" t="str">
        <f t="shared" si="9"/>
        <v>SG</v>
      </c>
      <c r="I301" s="117" t="str">
        <f>INDEX('BOOKDEPR Lookup'!$I:$I,MATCH('BOOKDEPR Jun22data'!$A301,'BOOKDEPR Lookup'!$A:$A,0))</f>
        <v>G-SG</v>
      </c>
      <c r="J301" s="117" t="str">
        <f>IF('BOOKDEPR Jun22data'!$G301=0,"NO",IF(ISNA('BOOKDEPR Jun22data'!$I301),"YES",IF(_xlfn.ISFORMULA('BOOKDEPR Jun22data'!$I301),"NO","YES")))</f>
        <v>NO</v>
      </c>
    </row>
    <row r="302" spans="1:10">
      <c r="A302" s="114" t="str">
        <f t="shared" si="8"/>
        <v>4030000DEPN EXPENSE-ELECT3972000MOBILE RADIO EQUIPMENTSG</v>
      </c>
      <c r="B302" s="119" t="s">
        <v>1890</v>
      </c>
      <c r="C302" s="120" t="s">
        <v>1612</v>
      </c>
      <c r="D302" s="119" t="s">
        <v>1804</v>
      </c>
      <c r="E302" s="121" t="s">
        <v>1540</v>
      </c>
      <c r="F302" s="119" t="s">
        <v>3108</v>
      </c>
      <c r="G302" s="138">
        <v>2.5600900000000002</v>
      </c>
      <c r="H302" s="113" t="str">
        <f t="shared" si="9"/>
        <v>SG</v>
      </c>
      <c r="I302" s="117" t="str">
        <f>INDEX('BOOKDEPR Lookup'!$I:$I,MATCH('BOOKDEPR Jun22data'!$A302,'BOOKDEPR Lookup'!$A:$A,0))</f>
        <v>G-SG</v>
      </c>
      <c r="J302" s="117" t="str">
        <f>IF('BOOKDEPR Jun22data'!$G302=0,"NO",IF(ISNA('BOOKDEPR Jun22data'!$I302),"YES",IF(_xlfn.ISFORMULA('BOOKDEPR Jun22data'!$I302),"NO","YES")))</f>
        <v>NO</v>
      </c>
    </row>
    <row r="303" spans="1:10">
      <c r="A303" s="114" t="str">
        <f t="shared" si="8"/>
        <v>4030000DEPN EXPENSE-ELECT3972000MOBILE RADIO EQUIPMENTSITUS</v>
      </c>
      <c r="B303" s="119" t="s">
        <v>1890</v>
      </c>
      <c r="C303" s="120" t="s">
        <v>1612</v>
      </c>
      <c r="D303" s="119" t="s">
        <v>1804</v>
      </c>
      <c r="E303" s="121" t="s">
        <v>1540</v>
      </c>
      <c r="F303" s="119" t="s">
        <v>372</v>
      </c>
      <c r="G303" s="138">
        <v>26.704699999999999</v>
      </c>
      <c r="H303" s="113" t="str">
        <f t="shared" si="9"/>
        <v>SITUS</v>
      </c>
      <c r="I303" s="117" t="str">
        <f>INDEX('BOOKDEPR Lookup'!$I:$I,MATCH('BOOKDEPR Jun22data'!$A303,'BOOKDEPR Lookup'!$A:$A,0))</f>
        <v>G-SITUS</v>
      </c>
      <c r="J303" s="117" t="str">
        <f>IF('BOOKDEPR Jun22data'!$G303=0,"NO",IF(ISNA('BOOKDEPR Jun22data'!$I303),"YES",IF(_xlfn.ISFORMULA('BOOKDEPR Jun22data'!$I303),"NO","YES")))</f>
        <v>NO</v>
      </c>
    </row>
    <row r="304" spans="1:10">
      <c r="A304" s="114" t="str">
        <f t="shared" si="8"/>
        <v>4030000DEPN EXPENSE-ELECT3972000MOBILE RADIO EQUIPMENTSG</v>
      </c>
      <c r="B304" s="119" t="s">
        <v>1890</v>
      </c>
      <c r="C304" s="120" t="s">
        <v>1612</v>
      </c>
      <c r="D304" s="119" t="s">
        <v>1804</v>
      </c>
      <c r="E304" s="121" t="s">
        <v>1540</v>
      </c>
      <c r="F304" s="119" t="s">
        <v>3107</v>
      </c>
      <c r="G304" s="138">
        <v>53.948009999999996</v>
      </c>
      <c r="H304" s="113" t="str">
        <f t="shared" si="9"/>
        <v>SG</v>
      </c>
      <c r="I304" s="117" t="str">
        <f>INDEX('BOOKDEPR Lookup'!$I:$I,MATCH('BOOKDEPR Jun22data'!$A304,'BOOKDEPR Lookup'!$A:$A,0))</f>
        <v>G-SG</v>
      </c>
      <c r="J304" s="117" t="str">
        <f>IF('BOOKDEPR Jun22data'!$G304=0,"NO",IF(ISNA('BOOKDEPR Jun22data'!$I304),"YES",IF(_xlfn.ISFORMULA('BOOKDEPR Jun22data'!$I304),"NO","YES")))</f>
        <v>NO</v>
      </c>
    </row>
    <row r="305" spans="1:10">
      <c r="A305" s="114" t="str">
        <f t="shared" si="8"/>
        <v>4030000DEPN EXPENSE-ELECT3972000MOBILE RADIO EQUIPMENTSITUS</v>
      </c>
      <c r="B305" s="119" t="s">
        <v>1890</v>
      </c>
      <c r="C305" s="120" t="s">
        <v>1612</v>
      </c>
      <c r="D305" s="119" t="s">
        <v>1804</v>
      </c>
      <c r="E305" s="121" t="s">
        <v>1540</v>
      </c>
      <c r="F305" s="119" t="s">
        <v>343</v>
      </c>
      <c r="G305" s="138">
        <v>218.67149000000001</v>
      </c>
      <c r="H305" s="113" t="str">
        <f t="shared" si="9"/>
        <v>SITUS</v>
      </c>
      <c r="I305" s="117" t="str">
        <f>INDEX('BOOKDEPR Lookup'!$I:$I,MATCH('BOOKDEPR Jun22data'!$A305,'BOOKDEPR Lookup'!$A:$A,0))</f>
        <v>G-SITUS</v>
      </c>
      <c r="J305" s="117" t="str">
        <f>IF('BOOKDEPR Jun22data'!$G305=0,"NO",IF(ISNA('BOOKDEPR Jun22data'!$I305),"YES",IF(_xlfn.ISFORMULA('BOOKDEPR Jun22data'!$I305),"NO","YES")))</f>
        <v>NO</v>
      </c>
    </row>
    <row r="306" spans="1:10">
      <c r="A306" s="114" t="str">
        <f t="shared" si="8"/>
        <v>4030000DEPN EXPENSE-ELECT3972000MOBILE RADIO EQUIPMENTSG</v>
      </c>
      <c r="B306" s="119" t="s">
        <v>1890</v>
      </c>
      <c r="C306" s="120" t="s">
        <v>1612</v>
      </c>
      <c r="D306" s="119" t="s">
        <v>1804</v>
      </c>
      <c r="E306" s="121" t="s">
        <v>1540</v>
      </c>
      <c r="F306" s="119" t="s">
        <v>87</v>
      </c>
      <c r="G306" s="138">
        <v>135.42631</v>
      </c>
      <c r="H306" s="113" t="str">
        <f t="shared" si="9"/>
        <v>SG</v>
      </c>
      <c r="I306" s="117" t="str">
        <f>INDEX('BOOKDEPR Lookup'!$I:$I,MATCH('BOOKDEPR Jun22data'!$A306,'BOOKDEPR Lookup'!$A:$A,0))</f>
        <v>G-SG</v>
      </c>
      <c r="J306" s="117" t="str">
        <f>IF('BOOKDEPR Jun22data'!$G306=0,"NO",IF(ISNA('BOOKDEPR Jun22data'!$I306),"YES",IF(_xlfn.ISFORMULA('BOOKDEPR Jun22data'!$I306),"NO","YES")))</f>
        <v>NO</v>
      </c>
    </row>
    <row r="307" spans="1:10">
      <c r="A307" s="114" t="str">
        <f t="shared" si="8"/>
        <v>4030000DEPN EXPENSE-ELECT3972000MOBILE RADIO EQUIPMENTSO</v>
      </c>
      <c r="B307" s="119" t="s">
        <v>1890</v>
      </c>
      <c r="C307" s="120" t="s">
        <v>1612</v>
      </c>
      <c r="D307" s="119" t="s">
        <v>1804</v>
      </c>
      <c r="E307" s="121" t="s">
        <v>1540</v>
      </c>
      <c r="F307" s="119" t="s">
        <v>89</v>
      </c>
      <c r="G307" s="138">
        <v>28.05584</v>
      </c>
      <c r="H307" s="113" t="str">
        <f t="shared" si="9"/>
        <v>SO</v>
      </c>
      <c r="I307" s="117" t="str">
        <f>INDEX('BOOKDEPR Lookup'!$I:$I,MATCH('BOOKDEPR Jun22data'!$A307,'BOOKDEPR Lookup'!$A:$A,0))</f>
        <v>PTD</v>
      </c>
      <c r="J307" s="117" t="str">
        <f>IF('BOOKDEPR Jun22data'!$G307=0,"NO",IF(ISNA('BOOKDEPR Jun22data'!$I307),"YES",IF(_xlfn.ISFORMULA('BOOKDEPR Jun22data'!$I307),"NO","YES")))</f>
        <v>NO</v>
      </c>
    </row>
    <row r="308" spans="1:10">
      <c r="A308" s="114" t="str">
        <f t="shared" si="8"/>
        <v>4030000DEPN EXPENSE-ELECT3972000MOBILE RADIO EQUIPMENTSITUS</v>
      </c>
      <c r="B308" s="119" t="s">
        <v>1890</v>
      </c>
      <c r="C308" s="120" t="s">
        <v>1612</v>
      </c>
      <c r="D308" s="119" t="s">
        <v>1804</v>
      </c>
      <c r="E308" s="121" t="s">
        <v>1540</v>
      </c>
      <c r="F308" s="119" t="s">
        <v>370</v>
      </c>
      <c r="G308" s="138">
        <v>168.63887</v>
      </c>
      <c r="H308" s="113" t="str">
        <f t="shared" si="9"/>
        <v>SITUS</v>
      </c>
      <c r="I308" s="117" t="str">
        <f>INDEX('BOOKDEPR Lookup'!$I:$I,MATCH('BOOKDEPR Jun22data'!$A308,'BOOKDEPR Lookup'!$A:$A,0))</f>
        <v>G-SITUS</v>
      </c>
      <c r="J308" s="117" t="str">
        <f>IF('BOOKDEPR Jun22data'!$G308=0,"NO",IF(ISNA('BOOKDEPR Jun22data'!$I308),"YES",IF(_xlfn.ISFORMULA('BOOKDEPR Jun22data'!$I308),"NO","YES")))</f>
        <v>NO</v>
      </c>
    </row>
    <row r="309" spans="1:10">
      <c r="A309" s="114" t="str">
        <f t="shared" si="8"/>
        <v>4030000DEPN EXPENSE-ELECT3972000MOBILE RADIO EQUIPMENTSITUS</v>
      </c>
      <c r="B309" s="119" t="s">
        <v>1890</v>
      </c>
      <c r="C309" s="120" t="s">
        <v>1612</v>
      </c>
      <c r="D309" s="119" t="s">
        <v>1804</v>
      </c>
      <c r="E309" s="121" t="s">
        <v>1540</v>
      </c>
      <c r="F309" s="119" t="s">
        <v>367</v>
      </c>
      <c r="G309" s="138">
        <v>43.408380000000001</v>
      </c>
      <c r="H309" s="113" t="str">
        <f t="shared" si="9"/>
        <v>SITUS</v>
      </c>
      <c r="I309" s="117" t="str">
        <f>INDEX('BOOKDEPR Lookup'!$I:$I,MATCH('BOOKDEPR Jun22data'!$A309,'BOOKDEPR Lookup'!$A:$A,0))</f>
        <v>G-SITUS</v>
      </c>
      <c r="J309" s="117" t="str">
        <f>IF('BOOKDEPR Jun22data'!$G309=0,"NO",IF(ISNA('BOOKDEPR Jun22data'!$I309),"YES",IF(_xlfn.ISFORMULA('BOOKDEPR Jun22data'!$I309),"NO","YES")))</f>
        <v>NO</v>
      </c>
    </row>
    <row r="310" spans="1:10">
      <c r="A310" s="114" t="str">
        <f t="shared" si="8"/>
        <v>4030000DEPN EXPENSE-ELECT3972000MOBILE RADIO EQUIPMENTSITUS</v>
      </c>
      <c r="B310" s="119" t="s">
        <v>1890</v>
      </c>
      <c r="C310" s="120" t="s">
        <v>1612</v>
      </c>
      <c r="D310" s="119" t="s">
        <v>1804</v>
      </c>
      <c r="E310" s="121" t="s">
        <v>1540</v>
      </c>
      <c r="F310" s="119" t="s">
        <v>386</v>
      </c>
      <c r="G310" s="138">
        <v>52.901029999999999</v>
      </c>
      <c r="H310" s="113" t="str">
        <f t="shared" si="9"/>
        <v>SITUS</v>
      </c>
      <c r="I310" s="117" t="str">
        <f>INDEX('BOOKDEPR Lookup'!$I:$I,MATCH('BOOKDEPR Jun22data'!$A310,'BOOKDEPR Lookup'!$A:$A,0))</f>
        <v>G-SITUS</v>
      </c>
      <c r="J310" s="117" t="str">
        <f>IF('BOOKDEPR Jun22data'!$G310=0,"NO",IF(ISNA('BOOKDEPR Jun22data'!$I310),"YES",IF(_xlfn.ISFORMULA('BOOKDEPR Jun22data'!$I310),"NO","YES")))</f>
        <v>NO</v>
      </c>
    </row>
    <row r="311" spans="1:10">
      <c r="A311" s="114" t="str">
        <f t="shared" si="8"/>
        <v>4030000DEPN EXPENSE-ELECT3972000MOBILE RADIO EQUIPMENTSITUS</v>
      </c>
      <c r="B311" s="119" t="s">
        <v>1890</v>
      </c>
      <c r="C311" s="120" t="s">
        <v>1612</v>
      </c>
      <c r="D311" s="119" t="s">
        <v>1804</v>
      </c>
      <c r="E311" s="121" t="s">
        <v>1540</v>
      </c>
      <c r="F311" s="119" t="s">
        <v>378</v>
      </c>
      <c r="G311" s="138">
        <v>9.2973099999999995</v>
      </c>
      <c r="H311" s="113" t="str">
        <f t="shared" si="9"/>
        <v>SITUS</v>
      </c>
      <c r="I311" s="117" t="str">
        <f>INDEX('BOOKDEPR Lookup'!$I:$I,MATCH('BOOKDEPR Jun22data'!$A311,'BOOKDEPR Lookup'!$A:$A,0))</f>
        <v>G-SITUS</v>
      </c>
      <c r="J311" s="117" t="str">
        <f>IF('BOOKDEPR Jun22data'!$G311=0,"NO",IF(ISNA('BOOKDEPR Jun22data'!$I311),"YES",IF(_xlfn.ISFORMULA('BOOKDEPR Jun22data'!$I311),"NO","YES")))</f>
        <v>NO</v>
      </c>
    </row>
    <row r="312" spans="1:10">
      <c r="A312" s="114" t="str">
        <f t="shared" si="8"/>
        <v>4030000DEPN EXPENSE-ELECT3980000MISCELLANEOUS EQUIPMENTSITUS</v>
      </c>
      <c r="B312" s="119" t="s">
        <v>1890</v>
      </c>
      <c r="C312" s="120" t="s">
        <v>1612</v>
      </c>
      <c r="D312" s="119" t="s">
        <v>1805</v>
      </c>
      <c r="E312" s="121" t="s">
        <v>1541</v>
      </c>
      <c r="F312" s="119" t="s">
        <v>387</v>
      </c>
      <c r="G312" s="138">
        <v>2.6057800000000002</v>
      </c>
      <c r="H312" s="113" t="str">
        <f t="shared" si="9"/>
        <v>SITUS</v>
      </c>
      <c r="I312" s="117" t="str">
        <f>INDEX('BOOKDEPR Lookup'!$I:$I,MATCH('BOOKDEPR Jun22data'!$A312,'BOOKDEPR Lookup'!$A:$A,0))</f>
        <v>G-SITUS</v>
      </c>
      <c r="J312" s="117" t="str">
        <f>IF('BOOKDEPR Jun22data'!$G312=0,"NO",IF(ISNA('BOOKDEPR Jun22data'!$I312),"YES",IF(_xlfn.ISFORMULA('BOOKDEPR Jun22data'!$I312),"NO","YES")))</f>
        <v>NO</v>
      </c>
    </row>
    <row r="313" spans="1:10">
      <c r="A313" s="114" t="str">
        <f t="shared" si="8"/>
        <v>4030000DEPN EXPENSE-ELECT3980000MISCELLANEOUS EQUIPMENTSE</v>
      </c>
      <c r="B313" s="119" t="s">
        <v>1890</v>
      </c>
      <c r="C313" s="120" t="s">
        <v>1612</v>
      </c>
      <c r="D313" s="119" t="s">
        <v>1805</v>
      </c>
      <c r="E313" s="121" t="s">
        <v>1541</v>
      </c>
      <c r="F313" s="119" t="s">
        <v>3110</v>
      </c>
      <c r="G313" s="138">
        <v>0.10896</v>
      </c>
      <c r="H313" s="113" t="str">
        <f t="shared" si="9"/>
        <v>SE</v>
      </c>
      <c r="I313" s="117" t="str">
        <f>INDEX('BOOKDEPR Lookup'!$I:$I,MATCH('BOOKDEPR Jun22data'!$A313,'BOOKDEPR Lookup'!$A:$A,0))</f>
        <v>P</v>
      </c>
      <c r="J313" s="117" t="str">
        <f>IF('BOOKDEPR Jun22data'!$G313=0,"NO",IF(ISNA('BOOKDEPR Jun22data'!$I313),"YES",IF(_xlfn.ISFORMULA('BOOKDEPR Jun22data'!$I313),"NO","YES")))</f>
        <v>NO</v>
      </c>
    </row>
    <row r="314" spans="1:10">
      <c r="A314" s="114" t="str">
        <f t="shared" si="8"/>
        <v>4030000DEPN EXPENSE-ELECT3980000MISCELLANEOUS EQUIPMENTSG</v>
      </c>
      <c r="B314" s="119" t="s">
        <v>1890</v>
      </c>
      <c r="C314" s="120" t="s">
        <v>1612</v>
      </c>
      <c r="D314" s="119" t="s">
        <v>1805</v>
      </c>
      <c r="E314" s="121" t="s">
        <v>1541</v>
      </c>
      <c r="F314" s="119" t="s">
        <v>3106</v>
      </c>
      <c r="G314" s="138">
        <v>91.584059999999994</v>
      </c>
      <c r="H314" s="113" t="str">
        <f t="shared" si="9"/>
        <v>SG</v>
      </c>
      <c r="I314" s="117" t="str">
        <f>INDEX('BOOKDEPR Lookup'!$I:$I,MATCH('BOOKDEPR Jun22data'!$A314,'BOOKDEPR Lookup'!$A:$A,0))</f>
        <v>G-SG</v>
      </c>
      <c r="J314" s="117" t="str">
        <f>IF('BOOKDEPR Jun22data'!$G314=0,"NO",IF(ISNA('BOOKDEPR Jun22data'!$I314),"YES",IF(_xlfn.ISFORMULA('BOOKDEPR Jun22data'!$I314),"NO","YES")))</f>
        <v>NO</v>
      </c>
    </row>
    <row r="315" spans="1:10">
      <c r="A315" s="114" t="str">
        <f t="shared" si="8"/>
        <v>4030000DEPN EXPENSE-ELECT3980000MISCELLANEOUS EQUIPMENTSG</v>
      </c>
      <c r="B315" s="119" t="s">
        <v>1890</v>
      </c>
      <c r="C315" s="120" t="s">
        <v>1612</v>
      </c>
      <c r="D315" s="119" t="s">
        <v>1805</v>
      </c>
      <c r="E315" s="121" t="s">
        <v>1541</v>
      </c>
      <c r="F315" s="119" t="s">
        <v>3108</v>
      </c>
      <c r="G315" s="138">
        <v>1.2034100000000001</v>
      </c>
      <c r="H315" s="113" t="str">
        <f t="shared" si="9"/>
        <v>SG</v>
      </c>
      <c r="I315" s="117" t="str">
        <f>INDEX('BOOKDEPR Lookup'!$I:$I,MATCH('BOOKDEPR Jun22data'!$A315,'BOOKDEPR Lookup'!$A:$A,0))</f>
        <v>G-SG</v>
      </c>
      <c r="J315" s="117" t="str">
        <f>IF('BOOKDEPR Jun22data'!$G315=0,"NO",IF(ISNA('BOOKDEPR Jun22data'!$I315),"YES",IF(_xlfn.ISFORMULA('BOOKDEPR Jun22data'!$I315),"NO","YES")))</f>
        <v>NO</v>
      </c>
    </row>
    <row r="316" spans="1:10">
      <c r="A316" s="114" t="str">
        <f t="shared" si="8"/>
        <v>4030000DEPN EXPENSE-ELECT3980000MISCELLANEOUS EQUIPMENTCN</v>
      </c>
      <c r="B316" s="119" t="s">
        <v>1890</v>
      </c>
      <c r="C316" s="120" t="s">
        <v>1612</v>
      </c>
      <c r="D316" s="119" t="s">
        <v>1805</v>
      </c>
      <c r="E316" s="121" t="s">
        <v>1541</v>
      </c>
      <c r="F316" s="119" t="s">
        <v>84</v>
      </c>
      <c r="G316" s="138">
        <v>3.9332100039332101</v>
      </c>
      <c r="H316" s="113" t="str">
        <f t="shared" si="9"/>
        <v>CN</v>
      </c>
      <c r="I316" s="117" t="str">
        <f>INDEX('BOOKDEPR Lookup'!$I:$I,MATCH('BOOKDEPR Jun22data'!$A316,'BOOKDEPR Lookup'!$A:$A,0))</f>
        <v>CUST</v>
      </c>
      <c r="J316" s="117" t="str">
        <f>IF('BOOKDEPR Jun22data'!$G316=0,"NO",IF(ISNA('BOOKDEPR Jun22data'!$I316),"YES",IF(_xlfn.ISFORMULA('BOOKDEPR Jun22data'!$I316),"NO","YES")))</f>
        <v>NO</v>
      </c>
    </row>
    <row r="317" spans="1:10">
      <c r="A317" s="114" t="str">
        <f t="shared" si="8"/>
        <v>4030000DEPN EXPENSE-ELECT3980000MISCELLANEOUS EQUIPMENTSITUS</v>
      </c>
      <c r="B317" s="119" t="s">
        <v>1890</v>
      </c>
      <c r="C317" s="120" t="s">
        <v>1612</v>
      </c>
      <c r="D317" s="119" t="s">
        <v>1805</v>
      </c>
      <c r="E317" s="121" t="s">
        <v>1541</v>
      </c>
      <c r="F317" s="119" t="s">
        <v>372</v>
      </c>
      <c r="G317" s="138">
        <v>3.7521800000000001</v>
      </c>
      <c r="H317" s="113" t="str">
        <f t="shared" si="9"/>
        <v>SITUS</v>
      </c>
      <c r="I317" s="117" t="str">
        <f>INDEX('BOOKDEPR Lookup'!$I:$I,MATCH('BOOKDEPR Jun22data'!$A317,'BOOKDEPR Lookup'!$A:$A,0))</f>
        <v>G-SITUS</v>
      </c>
      <c r="J317" s="117" t="str">
        <f>IF('BOOKDEPR Jun22data'!$G317=0,"NO",IF(ISNA('BOOKDEPR Jun22data'!$I317),"YES",IF(_xlfn.ISFORMULA('BOOKDEPR Jun22data'!$I317),"NO","YES")))</f>
        <v>NO</v>
      </c>
    </row>
    <row r="318" spans="1:10">
      <c r="A318" s="114" t="str">
        <f t="shared" si="8"/>
        <v>4030000DEPN EXPENSE-ELECT3980000MISCELLANEOUS EQUIPMENTSG</v>
      </c>
      <c r="B318" s="119" t="s">
        <v>1890</v>
      </c>
      <c r="C318" s="120" t="s">
        <v>1612</v>
      </c>
      <c r="D318" s="119" t="s">
        <v>1805</v>
      </c>
      <c r="E318" s="121" t="s">
        <v>1541</v>
      </c>
      <c r="F318" s="119" t="s">
        <v>3107</v>
      </c>
      <c r="G318" s="138">
        <v>13.32048</v>
      </c>
      <c r="H318" s="113" t="str">
        <f t="shared" si="9"/>
        <v>SG</v>
      </c>
      <c r="I318" s="117" t="str">
        <f>INDEX('BOOKDEPR Lookup'!$I:$I,MATCH('BOOKDEPR Jun22data'!$A318,'BOOKDEPR Lookup'!$A:$A,0))</f>
        <v>G-SG</v>
      </c>
      <c r="J318" s="117" t="str">
        <f>IF('BOOKDEPR Jun22data'!$G318=0,"NO",IF(ISNA('BOOKDEPR Jun22data'!$I318),"YES",IF(_xlfn.ISFORMULA('BOOKDEPR Jun22data'!$I318),"NO","YES")))</f>
        <v>NO</v>
      </c>
    </row>
    <row r="319" spans="1:10">
      <c r="A319" s="114" t="str">
        <f t="shared" si="8"/>
        <v>4030000DEPN EXPENSE-ELECT3980000MISCELLANEOUS EQUIPMENTSITUS</v>
      </c>
      <c r="B319" s="119" t="s">
        <v>1890</v>
      </c>
      <c r="C319" s="120" t="s">
        <v>1612</v>
      </c>
      <c r="D319" s="119" t="s">
        <v>1805</v>
      </c>
      <c r="E319" s="121" t="s">
        <v>1541</v>
      </c>
      <c r="F319" s="119" t="s">
        <v>343</v>
      </c>
      <c r="G319" s="138">
        <v>61.005920000000003</v>
      </c>
      <c r="H319" s="113" t="str">
        <f t="shared" si="9"/>
        <v>SITUS</v>
      </c>
      <c r="I319" s="117" t="str">
        <f>INDEX('BOOKDEPR Lookup'!$I:$I,MATCH('BOOKDEPR Jun22data'!$A319,'BOOKDEPR Lookup'!$A:$A,0))</f>
        <v>G-SITUS</v>
      </c>
      <c r="J319" s="117" t="str">
        <f>IF('BOOKDEPR Jun22data'!$G319=0,"NO",IF(ISNA('BOOKDEPR Jun22data'!$I319),"YES",IF(_xlfn.ISFORMULA('BOOKDEPR Jun22data'!$I319),"NO","YES")))</f>
        <v>NO</v>
      </c>
    </row>
    <row r="320" spans="1:10">
      <c r="A320" s="114" t="str">
        <f t="shared" si="8"/>
        <v>4030000DEPN EXPENSE-ELECT3980000MISCELLANEOUS EQUIPMENTSG</v>
      </c>
      <c r="B320" s="119" t="s">
        <v>1890</v>
      </c>
      <c r="C320" s="120" t="s">
        <v>1612</v>
      </c>
      <c r="D320" s="119" t="s">
        <v>1805</v>
      </c>
      <c r="E320" s="121" t="s">
        <v>1541</v>
      </c>
      <c r="F320" s="119" t="s">
        <v>87</v>
      </c>
      <c r="G320" s="138">
        <v>37.981560000000002</v>
      </c>
      <c r="H320" s="113" t="str">
        <f t="shared" si="9"/>
        <v>SG</v>
      </c>
      <c r="I320" s="117" t="str">
        <f>INDEX('BOOKDEPR Lookup'!$I:$I,MATCH('BOOKDEPR Jun22data'!$A320,'BOOKDEPR Lookup'!$A:$A,0))</f>
        <v>G-SG</v>
      </c>
      <c r="J320" s="117" t="str">
        <f>IF('BOOKDEPR Jun22data'!$G320=0,"NO",IF(ISNA('BOOKDEPR Jun22data'!$I320),"YES",IF(_xlfn.ISFORMULA('BOOKDEPR Jun22data'!$I320),"NO","YES")))</f>
        <v>NO</v>
      </c>
    </row>
    <row r="321" spans="1:10">
      <c r="A321" s="114" t="str">
        <f t="shared" si="8"/>
        <v>4030000DEPN EXPENSE-ELECT3980000MISCELLANEOUS EQUIPMENTSO</v>
      </c>
      <c r="B321" s="119" t="s">
        <v>1890</v>
      </c>
      <c r="C321" s="120" t="s">
        <v>1612</v>
      </c>
      <c r="D321" s="119" t="s">
        <v>1805</v>
      </c>
      <c r="E321" s="121" t="s">
        <v>1541</v>
      </c>
      <c r="F321" s="119" t="s">
        <v>89</v>
      </c>
      <c r="G321" s="138">
        <v>107.40518</v>
      </c>
      <c r="H321" s="113" t="str">
        <f t="shared" si="9"/>
        <v>SO</v>
      </c>
      <c r="I321" s="117" t="str">
        <f>INDEX('BOOKDEPR Lookup'!$I:$I,MATCH('BOOKDEPR Jun22data'!$A321,'BOOKDEPR Lookup'!$A:$A,0))</f>
        <v>PTD</v>
      </c>
      <c r="J321" s="117" t="str">
        <f>IF('BOOKDEPR Jun22data'!$G321=0,"NO",IF(ISNA('BOOKDEPR Jun22data'!$I321),"YES",IF(_xlfn.ISFORMULA('BOOKDEPR Jun22data'!$I321),"NO","YES")))</f>
        <v>NO</v>
      </c>
    </row>
    <row r="322" spans="1:10">
      <c r="A322" s="114" t="str">
        <f t="shared" si="8"/>
        <v>4030000DEPN EXPENSE-ELECT3980000MISCELLANEOUS EQUIPMENTSITUS</v>
      </c>
      <c r="B322" s="119" t="s">
        <v>1890</v>
      </c>
      <c r="C322" s="120" t="s">
        <v>1612</v>
      </c>
      <c r="D322" s="119" t="s">
        <v>1805</v>
      </c>
      <c r="E322" s="121" t="s">
        <v>1541</v>
      </c>
      <c r="F322" s="119" t="s">
        <v>370</v>
      </c>
      <c r="G322" s="138">
        <v>69.222989999999996</v>
      </c>
      <c r="H322" s="113" t="str">
        <f t="shared" si="9"/>
        <v>SITUS</v>
      </c>
      <c r="I322" s="117" t="str">
        <f>INDEX('BOOKDEPR Lookup'!$I:$I,MATCH('BOOKDEPR Jun22data'!$A322,'BOOKDEPR Lookup'!$A:$A,0))</f>
        <v>G-SITUS</v>
      </c>
      <c r="J322" s="117" t="str">
        <f>IF('BOOKDEPR Jun22data'!$G322=0,"NO",IF(ISNA('BOOKDEPR Jun22data'!$I322),"YES",IF(_xlfn.ISFORMULA('BOOKDEPR Jun22data'!$I322),"NO","YES")))</f>
        <v>NO</v>
      </c>
    </row>
    <row r="323" spans="1:10">
      <c r="A323" s="114" t="str">
        <f t="shared" ref="A323:A346" si="10">CONCATENATE($B323,$C323,$D323,$E323,$H323)</f>
        <v>4030000DEPN EXPENSE-ELECT3980000MISCELLANEOUS EQUIPMENTSITUS</v>
      </c>
      <c r="B323" s="119" t="s">
        <v>1890</v>
      </c>
      <c r="C323" s="120" t="s">
        <v>1612</v>
      </c>
      <c r="D323" s="119" t="s">
        <v>1805</v>
      </c>
      <c r="E323" s="121" t="s">
        <v>1541</v>
      </c>
      <c r="F323" s="119" t="s">
        <v>367</v>
      </c>
      <c r="G323" s="138">
        <v>9.0009099999999993</v>
      </c>
      <c r="H323" s="113" t="str">
        <f t="shared" ref="H323:H346" si="11">IF(OR(F323="IDU",F323="OR",F323="UT",F323="WYU",F323="WYP",F323="CA",F323="WA"),"SITUS",IF(OR(F323="CAEE",F323="JBE"),"SE",IF(OR(F323="CAGE",F323="CAGW",F323="JBG"),"SG",F323)))</f>
        <v>SITUS</v>
      </c>
      <c r="I323" s="117" t="str">
        <f>INDEX('BOOKDEPR Lookup'!$I:$I,MATCH('BOOKDEPR Jun22data'!$A323,'BOOKDEPR Lookup'!$A:$A,0))</f>
        <v>G-SITUS</v>
      </c>
      <c r="J323" s="117" t="str">
        <f>IF('BOOKDEPR Jun22data'!$G323=0,"NO",IF(ISNA('BOOKDEPR Jun22data'!$I323),"YES",IF(_xlfn.ISFORMULA('BOOKDEPR Jun22data'!$I323),"NO","YES")))</f>
        <v>NO</v>
      </c>
    </row>
    <row r="324" spans="1:10">
      <c r="A324" s="114" t="str">
        <f t="shared" si="10"/>
        <v>4030000DEPN EXPENSE-ELECT3980000MISCELLANEOUS EQUIPMENTSITUS</v>
      </c>
      <c r="B324" s="119" t="s">
        <v>1890</v>
      </c>
      <c r="C324" s="120" t="s">
        <v>1612</v>
      </c>
      <c r="D324" s="119" t="s">
        <v>1805</v>
      </c>
      <c r="E324" s="121" t="s">
        <v>1541</v>
      </c>
      <c r="F324" s="119" t="s">
        <v>386</v>
      </c>
      <c r="G324" s="138">
        <v>11.38205</v>
      </c>
      <c r="H324" s="113" t="str">
        <f t="shared" si="11"/>
        <v>SITUS</v>
      </c>
      <c r="I324" s="117" t="str">
        <f>INDEX('BOOKDEPR Lookup'!$I:$I,MATCH('BOOKDEPR Jun22data'!$A324,'BOOKDEPR Lookup'!$A:$A,0))</f>
        <v>G-SITUS</v>
      </c>
      <c r="J324" s="117" t="str">
        <f>IF('BOOKDEPR Jun22data'!$G324=0,"NO",IF(ISNA('BOOKDEPR Jun22data'!$I324),"YES",IF(_xlfn.ISFORMULA('BOOKDEPR Jun22data'!$I324),"NO","YES")))</f>
        <v>NO</v>
      </c>
    </row>
    <row r="325" spans="1:10">
      <c r="A325" s="114" t="str">
        <f t="shared" si="10"/>
        <v>4030000DEPN EXPENSE-ELECT3980000MISCELLANEOUS EQUIPMENTSITUS</v>
      </c>
      <c r="B325" s="119" t="s">
        <v>1890</v>
      </c>
      <c r="C325" s="120" t="s">
        <v>1612</v>
      </c>
      <c r="D325" s="119" t="s">
        <v>1805</v>
      </c>
      <c r="E325" s="121" t="s">
        <v>1541</v>
      </c>
      <c r="F325" s="119" t="s">
        <v>378</v>
      </c>
      <c r="G325" s="138">
        <v>1.2691300000000001</v>
      </c>
      <c r="H325" s="113" t="str">
        <f t="shared" si="11"/>
        <v>SITUS</v>
      </c>
      <c r="I325" s="117" t="str">
        <f>INDEX('BOOKDEPR Lookup'!$I:$I,MATCH('BOOKDEPR Jun22data'!$A325,'BOOKDEPR Lookup'!$A:$A,0))</f>
        <v>G-SITUS</v>
      </c>
      <c r="J325" s="117" t="str">
        <f>IF('BOOKDEPR Jun22data'!$G325=0,"NO",IF(ISNA('BOOKDEPR Jun22data'!$I325),"YES",IF(_xlfn.ISFORMULA('BOOKDEPR Jun22data'!$I325),"NO","YES")))</f>
        <v>NO</v>
      </c>
    </row>
    <row r="326" spans="1:10">
      <c r="A326" s="114" t="str">
        <f t="shared" si="10"/>
        <v>4032000DEPR - STEAM565131DEPR - PROD STEAM NOT CLASSIFIEDSG</v>
      </c>
      <c r="B326" s="119" t="s">
        <v>1948</v>
      </c>
      <c r="C326" s="120" t="s">
        <v>1656</v>
      </c>
      <c r="D326" s="119" t="s">
        <v>1949</v>
      </c>
      <c r="E326" s="121" t="s">
        <v>1657</v>
      </c>
      <c r="F326" s="119" t="s">
        <v>3106</v>
      </c>
      <c r="G326" s="138">
        <v>2015.4777799999999</v>
      </c>
      <c r="H326" s="113" t="str">
        <f t="shared" si="11"/>
        <v>SG</v>
      </c>
      <c r="I326" s="117" t="str">
        <f>INDEX('BOOKDEPR Lookup'!$I:$I,MATCH('BOOKDEPR Jun22data'!$A326,'BOOKDEPR Lookup'!$A:$A,0))</f>
        <v>P</v>
      </c>
      <c r="J326" s="117" t="str">
        <f>IF('BOOKDEPR Jun22data'!$G326=0,"NO",IF(ISNA('BOOKDEPR Jun22data'!$I326),"YES",IF(_xlfn.ISFORMULA('BOOKDEPR Jun22data'!$I326),"NO","YES")))</f>
        <v>NO</v>
      </c>
    </row>
    <row r="327" spans="1:10">
      <c r="A327" s="114" t="str">
        <f t="shared" si="10"/>
        <v>4032000DEPR - STEAM565131DEPR - PROD STEAM NOT CLASSIFIEDSG</v>
      </c>
      <c r="B327" s="119" t="s">
        <v>1948</v>
      </c>
      <c r="C327" s="120" t="s">
        <v>1656</v>
      </c>
      <c r="D327" s="119" t="s">
        <v>1949</v>
      </c>
      <c r="E327" s="121" t="s">
        <v>1657</v>
      </c>
      <c r="F327" s="119" t="s">
        <v>3108</v>
      </c>
      <c r="G327" s="138">
        <v>379.44452000000001</v>
      </c>
      <c r="H327" s="113" t="str">
        <f t="shared" si="11"/>
        <v>SG</v>
      </c>
      <c r="I327" s="117" t="str">
        <f>INDEX('BOOKDEPR Lookup'!$I:$I,MATCH('BOOKDEPR Jun22data'!$A327,'BOOKDEPR Lookup'!$A:$A,0))</f>
        <v>P</v>
      </c>
      <c r="J327" s="117" t="str">
        <f>IF('BOOKDEPR Jun22data'!$G327=0,"NO",IF(ISNA('BOOKDEPR Jun22data'!$I327),"YES",IF(_xlfn.ISFORMULA('BOOKDEPR Jun22data'!$I327),"NO","YES")))</f>
        <v>NO</v>
      </c>
    </row>
    <row r="328" spans="1:10">
      <c r="A328" s="114" t="str">
        <f t="shared" si="10"/>
        <v>4032000DEPR - STEAM565131DEPR - PROD STEAM NOT CLASSIFIEDSG</v>
      </c>
      <c r="B328" s="119" t="s">
        <v>1948</v>
      </c>
      <c r="C328" s="120" t="s">
        <v>1656</v>
      </c>
      <c r="D328" s="119" t="s">
        <v>1949</v>
      </c>
      <c r="E328" s="121" t="s">
        <v>1657</v>
      </c>
      <c r="F328" s="119" t="s">
        <v>3107</v>
      </c>
      <c r="G328" s="138">
        <v>579.59771999999998</v>
      </c>
      <c r="H328" s="113" t="str">
        <f t="shared" si="11"/>
        <v>SG</v>
      </c>
      <c r="I328" s="117" t="str">
        <f>INDEX('BOOKDEPR Lookup'!$I:$I,MATCH('BOOKDEPR Jun22data'!$A328,'BOOKDEPR Lookup'!$A:$A,0))</f>
        <v>P</v>
      </c>
      <c r="J328" s="117" t="str">
        <f>IF('BOOKDEPR Jun22data'!$G328=0,"NO",IF(ISNA('BOOKDEPR Jun22data'!$I328),"YES",IF(_xlfn.ISFORMULA('BOOKDEPR Jun22data'!$I328),"NO","YES")))</f>
        <v>NO</v>
      </c>
    </row>
    <row r="329" spans="1:10">
      <c r="A329" s="114" t="str">
        <f t="shared" si="10"/>
        <v>4032000DEPR - STEAM565131DEPR - PROD STEAM NOT CLASSIFIEDSG</v>
      </c>
      <c r="B329" s="119" t="s">
        <v>1948</v>
      </c>
      <c r="C329" s="120" t="s">
        <v>1656</v>
      </c>
      <c r="D329" s="119" t="s">
        <v>1949</v>
      </c>
      <c r="E329" s="121" t="s">
        <v>1657</v>
      </c>
      <c r="F329" s="119" t="s">
        <v>87</v>
      </c>
      <c r="G329" s="138">
        <v>39.631700000000002</v>
      </c>
      <c r="H329" s="113" t="str">
        <f t="shared" si="11"/>
        <v>SG</v>
      </c>
      <c r="I329" s="117" t="str">
        <f>INDEX('BOOKDEPR Lookup'!$I:$I,MATCH('BOOKDEPR Jun22data'!$A329,'BOOKDEPR Lookup'!$A:$A,0))</f>
        <v>P</v>
      </c>
      <c r="J329" s="117" t="str">
        <f>IF('BOOKDEPR Jun22data'!$G329=0,"NO",IF(ISNA('BOOKDEPR Jun22data'!$I329),"YES",IF(_xlfn.ISFORMULA('BOOKDEPR Jun22data'!$I329),"NO","YES")))</f>
        <v>NO</v>
      </c>
    </row>
    <row r="330" spans="1:10">
      <c r="A330" s="114" t="str">
        <f t="shared" si="10"/>
        <v>4032000DEPR - STEAM565247Depr - Prod Steam UT STEPOTHER</v>
      </c>
      <c r="B330" s="119" t="s">
        <v>1948</v>
      </c>
      <c r="C330" s="120" t="s">
        <v>1656</v>
      </c>
      <c r="D330" s="119" t="s">
        <v>1950</v>
      </c>
      <c r="E330" s="121" t="s">
        <v>1806</v>
      </c>
      <c r="F330" s="119" t="s">
        <v>306</v>
      </c>
      <c r="G330" s="138">
        <v>-6748.9353600000004</v>
      </c>
      <c r="H330" s="113" t="str">
        <f t="shared" si="11"/>
        <v>OTHER</v>
      </c>
      <c r="I330" s="117" t="str">
        <f>INDEX('BOOKDEPR Lookup'!$I:$I,MATCH('BOOKDEPR Jun22data'!$A330,'BOOKDEPR Lookup'!$A:$A,0))</f>
        <v>P</v>
      </c>
      <c r="J330" s="117" t="str">
        <f>IF('BOOKDEPR Jun22data'!$G330=0,"NO",IF(ISNA('BOOKDEPR Jun22data'!$I330),"YES",IF(_xlfn.ISFORMULA('BOOKDEPR Jun22data'!$I330),"NO","YES")))</f>
        <v>NO</v>
      </c>
    </row>
    <row r="331" spans="1:10">
      <c r="A331" s="114" t="str">
        <f t="shared" si="10"/>
        <v>4033000DEPR - HYDRO565133DEPR - PROD HYDRO NOT CLASSIFIEDSG-P</v>
      </c>
      <c r="B331" s="119" t="s">
        <v>1951</v>
      </c>
      <c r="C331" s="120" t="s">
        <v>1658</v>
      </c>
      <c r="D331" s="119" t="s">
        <v>1952</v>
      </c>
      <c r="E331" s="121" t="s">
        <v>1659</v>
      </c>
      <c r="F331" s="119" t="s">
        <v>280</v>
      </c>
      <c r="G331" s="138">
        <v>-478.20292999999998</v>
      </c>
      <c r="H331" s="113" t="str">
        <f t="shared" si="11"/>
        <v>SG-P</v>
      </c>
      <c r="I331" s="117" t="str">
        <f>INDEX('BOOKDEPR Lookup'!$I:$I,MATCH('BOOKDEPR Jun22data'!$A331,'BOOKDEPR Lookup'!$A:$A,0))</f>
        <v>P</v>
      </c>
      <c r="J331" s="117" t="str">
        <f>IF('BOOKDEPR Jun22data'!$G331=0,"NO",IF(ISNA('BOOKDEPR Jun22data'!$I331),"YES",IF(_xlfn.ISFORMULA('BOOKDEPR Jun22data'!$I331),"NO","YES")))</f>
        <v>NO</v>
      </c>
    </row>
    <row r="332" spans="1:10">
      <c r="A332" s="114" t="str">
        <f t="shared" si="10"/>
        <v>4033000DEPR - HYDRO565133DEPR - PROD HYDRO NOT CLASSIFIEDSG-U</v>
      </c>
      <c r="B332" s="119" t="s">
        <v>1951</v>
      </c>
      <c r="C332" s="120" t="s">
        <v>1658</v>
      </c>
      <c r="D332" s="119" t="s">
        <v>1952</v>
      </c>
      <c r="E332" s="121" t="s">
        <v>1659</v>
      </c>
      <c r="F332" s="119" t="s">
        <v>1455</v>
      </c>
      <c r="G332" s="138">
        <v>417.89873</v>
      </c>
      <c r="H332" s="113" t="str">
        <f t="shared" si="11"/>
        <v>SG-U</v>
      </c>
      <c r="I332" s="117" t="str">
        <f>INDEX('BOOKDEPR Lookup'!$I:$I,MATCH('BOOKDEPR Jun22data'!$A332,'BOOKDEPR Lookup'!$A:$A,0))</f>
        <v>P</v>
      </c>
      <c r="J332" s="117" t="str">
        <f>IF('BOOKDEPR Jun22data'!$G332=0,"NO",IF(ISNA('BOOKDEPR Jun22data'!$I332),"YES",IF(_xlfn.ISFORMULA('BOOKDEPR Jun22data'!$I332),"NO","YES")))</f>
        <v>NO</v>
      </c>
    </row>
    <row r="333" spans="1:10">
      <c r="A333" s="114" t="str">
        <f t="shared" si="10"/>
        <v>4034000DEPR - OTHER565134DEPR - PROD OTHER NOT CLASSIFIEDSG</v>
      </c>
      <c r="B333" s="119" t="s">
        <v>1953</v>
      </c>
      <c r="C333" s="120" t="s">
        <v>1660</v>
      </c>
      <c r="D333" s="119" t="s">
        <v>1954</v>
      </c>
      <c r="E333" s="121" t="s">
        <v>1661</v>
      </c>
      <c r="F333" s="119" t="s">
        <v>3106</v>
      </c>
      <c r="G333" s="138">
        <v>176.75998999999999</v>
      </c>
      <c r="H333" s="113" t="str">
        <f t="shared" si="11"/>
        <v>SG</v>
      </c>
      <c r="I333" s="117" t="str">
        <f>INDEX('BOOKDEPR Lookup'!$I:$I,MATCH('BOOKDEPR Jun22data'!$A333,'BOOKDEPR Lookup'!$A:$A,0))</f>
        <v>P</v>
      </c>
      <c r="J333" s="117" t="str">
        <f>IF('BOOKDEPR Jun22data'!$G333=0,"NO",IF(ISNA('BOOKDEPR Jun22data'!$I333),"YES",IF(_xlfn.ISFORMULA('BOOKDEPR Jun22data'!$I333),"NO","YES")))</f>
        <v>NO</v>
      </c>
    </row>
    <row r="334" spans="1:10">
      <c r="A334" s="114" t="str">
        <f t="shared" si="10"/>
        <v>4034000DEPR - OTHER565134DEPR - PROD OTHER NOT CLASSIFIEDSG</v>
      </c>
      <c r="B334" s="119" t="s">
        <v>1953</v>
      </c>
      <c r="C334" s="120" t="s">
        <v>1660</v>
      </c>
      <c r="D334" s="119" t="s">
        <v>1954</v>
      </c>
      <c r="E334" s="121" t="s">
        <v>1661</v>
      </c>
      <c r="F334" s="119" t="s">
        <v>3108</v>
      </c>
      <c r="G334" s="138">
        <v>60.940950000000001</v>
      </c>
      <c r="H334" s="113" t="str">
        <f t="shared" si="11"/>
        <v>SG</v>
      </c>
      <c r="I334" s="117" t="str">
        <f>INDEX('BOOKDEPR Lookup'!$I:$I,MATCH('BOOKDEPR Jun22data'!$A334,'BOOKDEPR Lookup'!$A:$A,0))</f>
        <v>P</v>
      </c>
      <c r="J334" s="117" t="str">
        <f>IF('BOOKDEPR Jun22data'!$G334=0,"NO",IF(ISNA('BOOKDEPR Jun22data'!$I334),"YES",IF(_xlfn.ISFORMULA('BOOKDEPR Jun22data'!$I334),"NO","YES")))</f>
        <v>NO</v>
      </c>
    </row>
    <row r="335" spans="1:10">
      <c r="A335" s="114" t="str">
        <f t="shared" si="10"/>
        <v>4034000DEPR - OTHER565134DEPR - PROD OTHER NOT CLASSIFIEDSG</v>
      </c>
      <c r="B335" s="119" t="s">
        <v>1953</v>
      </c>
      <c r="C335" s="120" t="s">
        <v>1660</v>
      </c>
      <c r="D335" s="119" t="s">
        <v>1954</v>
      </c>
      <c r="E335" s="121" t="s">
        <v>1661</v>
      </c>
      <c r="F335" s="119" t="s">
        <v>87</v>
      </c>
      <c r="G335" s="138">
        <v>82.812259999999995</v>
      </c>
      <c r="H335" s="113" t="str">
        <f t="shared" si="11"/>
        <v>SG</v>
      </c>
      <c r="I335" s="117" t="str">
        <f>INDEX('BOOKDEPR Lookup'!$I:$I,MATCH('BOOKDEPR Jun22data'!$A335,'BOOKDEPR Lookup'!$A:$A,0))</f>
        <v>P</v>
      </c>
      <c r="J335" s="117" t="str">
        <f>IF('BOOKDEPR Jun22data'!$G335=0,"NO",IF(ISNA('BOOKDEPR Jun22data'!$I335),"YES",IF(_xlfn.ISFORMULA('BOOKDEPR Jun22data'!$I335),"NO","YES")))</f>
        <v>NO</v>
      </c>
    </row>
    <row r="336" spans="1:10">
      <c r="A336" s="114" t="str">
        <f t="shared" si="10"/>
        <v>4034000DEPR - OTHER565134DEPR - PROD OTHER NOT CLASSIFIEDSG-W</v>
      </c>
      <c r="B336" s="119" t="s">
        <v>1953</v>
      </c>
      <c r="C336" s="120" t="s">
        <v>1660</v>
      </c>
      <c r="D336" s="119" t="s">
        <v>1954</v>
      </c>
      <c r="E336" s="121" t="s">
        <v>1661</v>
      </c>
      <c r="F336" s="119" t="s">
        <v>3109</v>
      </c>
      <c r="G336" s="138">
        <v>4.6348799999999999</v>
      </c>
      <c r="H336" s="113" t="str">
        <f t="shared" si="11"/>
        <v>SG-W</v>
      </c>
      <c r="I336" s="117" t="str">
        <f>INDEX('BOOKDEPR Lookup'!$I:$I,MATCH('BOOKDEPR Jun22data'!$A336,'BOOKDEPR Lookup'!$A:$A,0))</f>
        <v>P</v>
      </c>
      <c r="J336" s="117" t="str">
        <f>IF('BOOKDEPR Jun22data'!$G336=0,"NO",IF(ISNA('BOOKDEPR Jun22data'!$I336),"YES",IF(_xlfn.ISFORMULA('BOOKDEPR Jun22data'!$I336),"NO","YES")))</f>
        <v>NO</v>
      </c>
    </row>
    <row r="337" spans="1:10">
      <c r="A337" s="114" t="str">
        <f t="shared" si="10"/>
        <v>4035000DEPR-TRANSMISSION565141DEPR - TRANS ASSETS NOT CLASSIFIEDSG</v>
      </c>
      <c r="B337" s="119" t="s">
        <v>1955</v>
      </c>
      <c r="C337" s="120" t="s">
        <v>1662</v>
      </c>
      <c r="D337" s="119" t="s">
        <v>1956</v>
      </c>
      <c r="E337" s="121" t="s">
        <v>1663</v>
      </c>
      <c r="F337" s="119" t="s">
        <v>87</v>
      </c>
      <c r="G337" s="138">
        <v>10550.814270000001</v>
      </c>
      <c r="H337" s="113" t="str">
        <f t="shared" si="11"/>
        <v>SG</v>
      </c>
      <c r="I337" s="117" t="str">
        <f>INDEX('BOOKDEPR Lookup'!$I:$I,MATCH('BOOKDEPR Jun22data'!$A337,'BOOKDEPR Lookup'!$A:$A,0))</f>
        <v>T</v>
      </c>
      <c r="J337" s="117" t="str">
        <f>IF('BOOKDEPR Jun22data'!$G337=0,"NO",IF(ISNA('BOOKDEPR Jun22data'!$I337),"YES",IF(_xlfn.ISFORMULA('BOOKDEPR Jun22data'!$I337),"NO","YES")))</f>
        <v>NO</v>
      </c>
    </row>
    <row r="338" spans="1:10">
      <c r="A338" s="114" t="str">
        <f t="shared" si="10"/>
        <v>4036000DEPR-DISTRIBUTION565161DEPR - DIST ASSETS NOT CLASSIFIEDSITUS</v>
      </c>
      <c r="B338" s="119" t="s">
        <v>1957</v>
      </c>
      <c r="C338" s="120" t="s">
        <v>1664</v>
      </c>
      <c r="D338" s="119" t="s">
        <v>1958</v>
      </c>
      <c r="E338" s="121" t="s">
        <v>1665</v>
      </c>
      <c r="F338" s="119" t="s">
        <v>387</v>
      </c>
      <c r="G338" s="138">
        <v>133.39448999999999</v>
      </c>
      <c r="H338" s="113" t="str">
        <f t="shared" si="11"/>
        <v>SITUS</v>
      </c>
      <c r="I338" s="117" t="str">
        <f>INDEX('BOOKDEPR Lookup'!$I:$I,MATCH('BOOKDEPR Jun22data'!$A338,'BOOKDEPR Lookup'!$A:$A,0))</f>
        <v>DPW</v>
      </c>
      <c r="J338" s="117" t="str">
        <f>IF('BOOKDEPR Jun22data'!$G338=0,"NO",IF(ISNA('BOOKDEPR Jun22data'!$I338),"YES",IF(_xlfn.ISFORMULA('BOOKDEPR Jun22data'!$I338),"NO","YES")))</f>
        <v>NO</v>
      </c>
    </row>
    <row r="339" spans="1:10">
      <c r="A339" s="114" t="str">
        <f t="shared" si="10"/>
        <v>4036000DEPR-DISTRIBUTION565161DEPR - DIST ASSETS NOT CLASSIFIEDSITUS</v>
      </c>
      <c r="B339" s="119" t="s">
        <v>1957</v>
      </c>
      <c r="C339" s="120" t="s">
        <v>1664</v>
      </c>
      <c r="D339" s="119" t="s">
        <v>1958</v>
      </c>
      <c r="E339" s="121" t="s">
        <v>1665</v>
      </c>
      <c r="F339" s="119" t="s">
        <v>372</v>
      </c>
      <c r="G339" s="138">
        <v>219.75031000000001</v>
      </c>
      <c r="H339" s="113" t="str">
        <f t="shared" si="11"/>
        <v>SITUS</v>
      </c>
      <c r="I339" s="117" t="str">
        <f>INDEX('BOOKDEPR Lookup'!$I:$I,MATCH('BOOKDEPR Jun22data'!$A339,'BOOKDEPR Lookup'!$A:$A,0))</f>
        <v>DPW</v>
      </c>
      <c r="J339" s="117" t="str">
        <f>IF('BOOKDEPR Jun22data'!$G339=0,"NO",IF(ISNA('BOOKDEPR Jun22data'!$I339),"YES",IF(_xlfn.ISFORMULA('BOOKDEPR Jun22data'!$I339),"NO","YES")))</f>
        <v>NO</v>
      </c>
    </row>
    <row r="340" spans="1:10">
      <c r="A340" s="114" t="str">
        <f t="shared" si="10"/>
        <v>4036000DEPR-DISTRIBUTION565161DEPR - DIST ASSETS NOT CLASSIFIEDSITUS</v>
      </c>
      <c r="B340" s="119" t="s">
        <v>1957</v>
      </c>
      <c r="C340" s="120" t="s">
        <v>1664</v>
      </c>
      <c r="D340" s="119" t="s">
        <v>1958</v>
      </c>
      <c r="E340" s="121" t="s">
        <v>1665</v>
      </c>
      <c r="F340" s="119" t="s">
        <v>343</v>
      </c>
      <c r="G340" s="138">
        <v>898.49089000000004</v>
      </c>
      <c r="H340" s="113" t="str">
        <f t="shared" si="11"/>
        <v>SITUS</v>
      </c>
      <c r="I340" s="117" t="str">
        <f>INDEX('BOOKDEPR Lookup'!$I:$I,MATCH('BOOKDEPR Jun22data'!$A340,'BOOKDEPR Lookup'!$A:$A,0))</f>
        <v>DPW</v>
      </c>
      <c r="J340" s="117" t="str">
        <f>IF('BOOKDEPR Jun22data'!$G340=0,"NO",IF(ISNA('BOOKDEPR Jun22data'!$I340),"YES",IF(_xlfn.ISFORMULA('BOOKDEPR Jun22data'!$I340),"NO","YES")))</f>
        <v>NO</v>
      </c>
    </row>
    <row r="341" spans="1:10">
      <c r="A341" s="114" t="str">
        <f t="shared" si="10"/>
        <v>4036000DEPR-DISTRIBUTION565161DEPR - DIST ASSETS NOT CLASSIFIEDSITUS</v>
      </c>
      <c r="B341" s="119" t="s">
        <v>1957</v>
      </c>
      <c r="C341" s="120" t="s">
        <v>1664</v>
      </c>
      <c r="D341" s="119" t="s">
        <v>1958</v>
      </c>
      <c r="E341" s="121" t="s">
        <v>1665</v>
      </c>
      <c r="F341" s="119" t="s">
        <v>370</v>
      </c>
      <c r="G341" s="138">
        <v>1850.43127</v>
      </c>
      <c r="H341" s="113" t="str">
        <f t="shared" si="11"/>
        <v>SITUS</v>
      </c>
      <c r="I341" s="117" t="str">
        <f>INDEX('BOOKDEPR Lookup'!$I:$I,MATCH('BOOKDEPR Jun22data'!$A341,'BOOKDEPR Lookup'!$A:$A,0))</f>
        <v>DPW</v>
      </c>
      <c r="J341" s="117" t="str">
        <f>IF('BOOKDEPR Jun22data'!$G341=0,"NO",IF(ISNA('BOOKDEPR Jun22data'!$I341),"YES",IF(_xlfn.ISFORMULA('BOOKDEPR Jun22data'!$I341),"NO","YES")))</f>
        <v>NO</v>
      </c>
    </row>
    <row r="342" spans="1:10">
      <c r="A342" s="114" t="str">
        <f t="shared" si="10"/>
        <v>4036000DEPR-DISTRIBUTION565161DEPR - DIST ASSETS NOT CLASSIFIEDSITUS</v>
      </c>
      <c r="B342" s="119" t="s">
        <v>1957</v>
      </c>
      <c r="C342" s="120" t="s">
        <v>1664</v>
      </c>
      <c r="D342" s="119" t="s">
        <v>1958</v>
      </c>
      <c r="E342" s="121" t="s">
        <v>1665</v>
      </c>
      <c r="F342" s="119" t="s">
        <v>367</v>
      </c>
      <c r="G342" s="138">
        <v>192.82377</v>
      </c>
      <c r="H342" s="113" t="str">
        <f t="shared" si="11"/>
        <v>SITUS</v>
      </c>
      <c r="I342" s="117" t="str">
        <f>INDEX('BOOKDEPR Lookup'!$I:$I,MATCH('BOOKDEPR Jun22data'!$A342,'BOOKDEPR Lookup'!$A:$A,0))</f>
        <v>DPW</v>
      </c>
      <c r="J342" s="117" t="str">
        <f>IF('BOOKDEPR Jun22data'!$G342=0,"NO",IF(ISNA('BOOKDEPR Jun22data'!$I342),"YES",IF(_xlfn.ISFORMULA('BOOKDEPR Jun22data'!$I342),"NO","YES")))</f>
        <v>NO</v>
      </c>
    </row>
    <row r="343" spans="1:10">
      <c r="A343" s="114" t="str">
        <f t="shared" si="10"/>
        <v>4036000DEPR-DISTRIBUTION565161DEPR - DIST ASSETS NOT CLASSIFIEDSITUS</v>
      </c>
      <c r="B343" s="119" t="s">
        <v>1957</v>
      </c>
      <c r="C343" s="120" t="s">
        <v>1664</v>
      </c>
      <c r="D343" s="119" t="s">
        <v>1958</v>
      </c>
      <c r="E343" s="121" t="s">
        <v>1665</v>
      </c>
      <c r="F343" s="119" t="s">
        <v>386</v>
      </c>
      <c r="G343" s="138">
        <v>446.46578</v>
      </c>
      <c r="H343" s="113" t="str">
        <f t="shared" si="11"/>
        <v>SITUS</v>
      </c>
      <c r="I343" s="117" t="str">
        <f>INDEX('BOOKDEPR Lookup'!$I:$I,MATCH('BOOKDEPR Jun22data'!$A343,'BOOKDEPR Lookup'!$A:$A,0))</f>
        <v>DPW</v>
      </c>
      <c r="J343" s="117" t="str">
        <f>IF('BOOKDEPR Jun22data'!$G343=0,"NO",IF(ISNA('BOOKDEPR Jun22data'!$I343),"YES",IF(_xlfn.ISFORMULA('BOOKDEPR Jun22data'!$I343),"NO","YES")))</f>
        <v>NO</v>
      </c>
    </row>
    <row r="344" spans="1:10">
      <c r="A344" s="114" t="str">
        <f t="shared" si="10"/>
        <v>4037000DEPR - GENERAL565201DEPR - GEN ASSETS NOT CLASSIFIEDSG</v>
      </c>
      <c r="B344" s="119" t="s">
        <v>1959</v>
      </c>
      <c r="C344" s="120" t="s">
        <v>1666</v>
      </c>
      <c r="D344" s="119" t="s">
        <v>1960</v>
      </c>
      <c r="E344" s="121" t="s">
        <v>1667</v>
      </c>
      <c r="F344" s="119" t="s">
        <v>3106</v>
      </c>
      <c r="G344" s="138">
        <v>1927.2364700000001</v>
      </c>
      <c r="H344" s="113" t="str">
        <f t="shared" si="11"/>
        <v>SG</v>
      </c>
      <c r="I344" s="117" t="str">
        <f>INDEX('BOOKDEPR Lookup'!$I:$I,MATCH('BOOKDEPR Jun22data'!$A344,'BOOKDEPR Lookup'!$A:$A,0))</f>
        <v>P</v>
      </c>
      <c r="J344" s="117" t="str">
        <f>IF('BOOKDEPR Jun22data'!$G344=0,"NO",IF(ISNA('BOOKDEPR Jun22data'!$I344),"YES",IF(_xlfn.ISFORMULA('BOOKDEPR Jun22data'!$I344),"NO","YES")))</f>
        <v>NO</v>
      </c>
    </row>
    <row r="345" spans="1:10">
      <c r="A345" s="114" t="str">
        <f t="shared" si="10"/>
        <v>4037000DEPR - GENERAL565201DEPR - GEN ASSETS NOT CLASSIFIEDSG</v>
      </c>
      <c r="B345" s="119" t="s">
        <v>1959</v>
      </c>
      <c r="C345" s="120" t="s">
        <v>1666</v>
      </c>
      <c r="D345" s="119" t="s">
        <v>1960</v>
      </c>
      <c r="E345" s="121" t="s">
        <v>1667</v>
      </c>
      <c r="F345" s="119" t="s">
        <v>3108</v>
      </c>
      <c r="G345" s="138">
        <v>1091.22506</v>
      </c>
      <c r="H345" s="113" t="str">
        <f t="shared" si="11"/>
        <v>SG</v>
      </c>
      <c r="I345" s="117" t="str">
        <f>INDEX('BOOKDEPR Lookup'!$I:$I,MATCH('BOOKDEPR Jun22data'!$A345,'BOOKDEPR Lookup'!$A:$A,0))</f>
        <v>P</v>
      </c>
      <c r="J345" s="117" t="str">
        <f>IF('BOOKDEPR Jun22data'!$G345=0,"NO",IF(ISNA('BOOKDEPR Jun22data'!$I345),"YES",IF(_xlfn.ISFORMULA('BOOKDEPR Jun22data'!$I345),"NO","YES")))</f>
        <v>NO</v>
      </c>
    </row>
    <row r="346" spans="1:10">
      <c r="A346" s="114" t="str">
        <f t="shared" si="10"/>
        <v>4039999DEPR EXP-ELEC, OTH565970DEPRECIATION-JOINT OWNER BILLED-CREDITSG</v>
      </c>
      <c r="B346" s="119" t="s">
        <v>1961</v>
      </c>
      <c r="C346" s="120" t="s">
        <v>1668</v>
      </c>
      <c r="D346" s="119" t="s">
        <v>1962</v>
      </c>
      <c r="E346" s="121" t="s">
        <v>1669</v>
      </c>
      <c r="F346" s="119" t="s">
        <v>3106</v>
      </c>
      <c r="G346" s="138">
        <v>-236.02909</v>
      </c>
      <c r="H346" s="113" t="str">
        <f t="shared" si="11"/>
        <v>SG</v>
      </c>
      <c r="I346" s="117" t="str">
        <f>INDEX('BOOKDEPR Lookup'!$I:$I,MATCH('BOOKDEPR Jun22data'!$A346,'BOOKDEPR Lookup'!$A:$A,0))</f>
        <v>P</v>
      </c>
      <c r="J346" s="117" t="str">
        <f>IF('BOOKDEPR Jun22data'!$G346=0,"NO",IF(ISNA('BOOKDEPR Jun22data'!$I346),"YES",IF(_xlfn.ISFORMULA('BOOKDEPR Jun22data'!$I346),"NO","YES")))</f>
        <v>NO</v>
      </c>
    </row>
  </sheetData>
  <autoFilter ref="A1:J346" xr:uid="{00000000-0009-0000-0000-00000C000000}"/>
  <conditionalFormatting sqref="J1:J279">
    <cfRule type="cellIs" dxfId="17" priority="4" operator="equal">
      <formula>"YES"</formula>
    </cfRule>
  </conditionalFormatting>
  <conditionalFormatting sqref="J280:J346">
    <cfRule type="cellIs" dxfId="16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16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74.5703125" style="114" customWidth="1"/>
    <col min="2" max="2" width="18.7109375" style="119" customWidth="1"/>
    <col min="3" max="3" width="18.7109375" style="120" customWidth="1"/>
    <col min="4" max="4" width="18.7109375" style="119" customWidth="1"/>
    <col min="5" max="5" width="38.85546875" style="121" customWidth="1"/>
    <col min="6" max="6" width="18.7109375" style="119" customWidth="1"/>
    <col min="7" max="7" width="18.7109375" style="123" customWidth="1"/>
    <col min="8" max="9" width="18.7109375" style="115" customWidth="1"/>
    <col min="10" max="12" width="18.7109375" customWidth="1"/>
  </cols>
  <sheetData>
    <row r="1" spans="1:9">
      <c r="A1" s="114" t="s">
        <v>1672</v>
      </c>
      <c r="B1" s="119" t="s">
        <v>345</v>
      </c>
      <c r="C1" s="119" t="s">
        <v>346</v>
      </c>
      <c r="D1" s="119" t="s">
        <v>347</v>
      </c>
      <c r="E1" s="121" t="s">
        <v>348</v>
      </c>
      <c r="F1" s="119" t="s">
        <v>349</v>
      </c>
      <c r="G1" s="119" t="s">
        <v>1676</v>
      </c>
      <c r="H1" s="113" t="s">
        <v>1603</v>
      </c>
      <c r="I1" s="113" t="s">
        <v>352</v>
      </c>
    </row>
    <row r="2" spans="1:9">
      <c r="A2" s="114" t="str">
        <f>CONCATENATE($B2,$C2,$D2,$E2,$H2)</f>
        <v>4030000DEPN EXPENSE-ELECT3102000LAND RIGHTSCAGE</v>
      </c>
      <c r="B2" s="126" t="s">
        <v>1890</v>
      </c>
      <c r="C2" s="127" t="s">
        <v>1612</v>
      </c>
      <c r="D2" s="126" t="s">
        <v>1891</v>
      </c>
      <c r="E2" s="128" t="s">
        <v>1514</v>
      </c>
      <c r="F2" s="127" t="s">
        <v>3106</v>
      </c>
      <c r="G2" s="119"/>
      <c r="H2" s="117" t="str">
        <f>IF(OR(F2="IDU",F2="OR",F2="UT",F2="WYU",F2="WYP",F2="CA",F2="WA"),"SITUS",F2)</f>
        <v>CAGE</v>
      </c>
      <c r="I2" s="117" t="s">
        <v>68</v>
      </c>
    </row>
    <row r="3" spans="1:9">
      <c r="A3" s="114" t="str">
        <f t="shared" ref="A3:A66" si="0">CONCATENATE($B3,$C3,$D3,$E3,$H3)</f>
        <v>4030000DEPN EXPENSE-ELECT3102000LAND RIGHTSJBG</v>
      </c>
      <c r="B3" s="126" t="s">
        <v>1890</v>
      </c>
      <c r="C3" s="127" t="s">
        <v>1612</v>
      </c>
      <c r="D3" s="126" t="s">
        <v>1891</v>
      </c>
      <c r="E3" s="128" t="s">
        <v>1514</v>
      </c>
      <c r="F3" s="127" t="s">
        <v>3107</v>
      </c>
      <c r="G3" s="119"/>
      <c r="H3" s="117" t="str">
        <f t="shared" ref="H3:H95" si="1">IF(OR(F3="IDU",F3="OR",F3="UT",F3="WYU",F3="WYP",F3="CA",F3="WA"),"SITUS",F3)</f>
        <v>JBG</v>
      </c>
      <c r="I3" s="117" t="s">
        <v>68</v>
      </c>
    </row>
    <row r="4" spans="1:9">
      <c r="A4" s="114" t="str">
        <f t="shared" si="0"/>
        <v>4030000DEPN EXPENSE-ELECT3110000STRUCTURES AND IMPROVEMENTSCAGE</v>
      </c>
      <c r="B4" s="126" t="s">
        <v>1890</v>
      </c>
      <c r="C4" s="127" t="s">
        <v>1612</v>
      </c>
      <c r="D4" s="126" t="s">
        <v>1892</v>
      </c>
      <c r="E4" s="128" t="s">
        <v>1515</v>
      </c>
      <c r="F4" s="127" t="s">
        <v>3106</v>
      </c>
      <c r="G4" s="136"/>
      <c r="H4" s="117" t="str">
        <f t="shared" si="1"/>
        <v>CAGE</v>
      </c>
      <c r="I4" s="117" t="s">
        <v>68</v>
      </c>
    </row>
    <row r="5" spans="1:9">
      <c r="A5" s="114" t="str">
        <f t="shared" si="0"/>
        <v>4030000DEPN EXPENSE-ELECT3110000STRUCTURES AND IMPROVEMENTSCAGE</v>
      </c>
      <c r="B5" s="126" t="s">
        <v>1890</v>
      </c>
      <c r="C5" s="127" t="s">
        <v>1612</v>
      </c>
      <c r="D5" s="126" t="s">
        <v>1892</v>
      </c>
      <c r="E5" s="128" t="s">
        <v>1515</v>
      </c>
      <c r="F5" s="127" t="s">
        <v>3106</v>
      </c>
      <c r="G5" s="136"/>
      <c r="H5" s="117" t="str">
        <f t="shared" si="1"/>
        <v>CAGE</v>
      </c>
      <c r="I5" s="117" t="s">
        <v>68</v>
      </c>
    </row>
    <row r="6" spans="1:9">
      <c r="A6" s="114" t="str">
        <f t="shared" si="0"/>
        <v>4030000DEPN EXPENSE-ELECT3110000STRUCTURES AND IMPROVEMENTSCAGW</v>
      </c>
      <c r="B6" s="126" t="s">
        <v>1890</v>
      </c>
      <c r="C6" s="127" t="s">
        <v>1612</v>
      </c>
      <c r="D6" s="126" t="s">
        <v>1892</v>
      </c>
      <c r="E6" s="128" t="s">
        <v>1515</v>
      </c>
      <c r="F6" s="127" t="s">
        <v>3108</v>
      </c>
      <c r="G6" s="136"/>
      <c r="H6" s="117" t="str">
        <f t="shared" si="1"/>
        <v>CAGW</v>
      </c>
      <c r="I6" s="117" t="s">
        <v>68</v>
      </c>
    </row>
    <row r="7" spans="1:9">
      <c r="A7" s="114" t="str">
        <f t="shared" si="0"/>
        <v>4030000DEPN EXPENSE-ELECT3110000STRUCTURES AND IMPROVEMENTSJBG</v>
      </c>
      <c r="B7" s="126" t="s">
        <v>1890</v>
      </c>
      <c r="C7" s="127" t="s">
        <v>1612</v>
      </c>
      <c r="D7" s="126" t="s">
        <v>1892</v>
      </c>
      <c r="E7" s="128" t="s">
        <v>1515</v>
      </c>
      <c r="F7" s="127" t="s">
        <v>3107</v>
      </c>
      <c r="G7" s="136"/>
      <c r="H7" s="117" t="str">
        <f t="shared" si="1"/>
        <v>JBG</v>
      </c>
      <c r="I7" s="117" t="s">
        <v>68</v>
      </c>
    </row>
    <row r="8" spans="1:9">
      <c r="A8" s="114" t="str">
        <f t="shared" si="0"/>
        <v>4030000DEPN EXPENSE-ELECT3120000BOILER PLANT EQUIPMENTCAGE</v>
      </c>
      <c r="B8" s="126" t="s">
        <v>1890</v>
      </c>
      <c r="C8" s="127" t="s">
        <v>1612</v>
      </c>
      <c r="D8" s="126" t="s">
        <v>1893</v>
      </c>
      <c r="E8" s="128" t="s">
        <v>1613</v>
      </c>
      <c r="F8" s="127" t="s">
        <v>3106</v>
      </c>
      <c r="G8" s="136"/>
      <c r="H8" s="117" t="str">
        <f t="shared" si="1"/>
        <v>CAGE</v>
      </c>
      <c r="I8" s="117" t="s">
        <v>68</v>
      </c>
    </row>
    <row r="9" spans="1:9">
      <c r="A9" s="114" t="str">
        <f t="shared" si="0"/>
        <v>4030000DEPN EXPENSE-ELECT3120000BOILER PLANT EQUIPMENTCAGW</v>
      </c>
      <c r="B9" s="126" t="s">
        <v>1890</v>
      </c>
      <c r="C9" s="127" t="s">
        <v>1612</v>
      </c>
      <c r="D9" s="126" t="s">
        <v>1893</v>
      </c>
      <c r="E9" s="128" t="s">
        <v>1613</v>
      </c>
      <c r="F9" s="127" t="s">
        <v>3108</v>
      </c>
      <c r="G9" s="136"/>
      <c r="H9" s="117" t="str">
        <f t="shared" si="1"/>
        <v>CAGW</v>
      </c>
      <c r="I9" s="117" t="s">
        <v>68</v>
      </c>
    </row>
    <row r="10" spans="1:9">
      <c r="A10" s="114" t="str">
        <f t="shared" si="0"/>
        <v>4030000DEPN EXPENSE-ELECT3120000BOILER PLANT EQUIPMENTJBG</v>
      </c>
      <c r="B10" s="126" t="s">
        <v>1890</v>
      </c>
      <c r="C10" s="127" t="s">
        <v>1612</v>
      </c>
      <c r="D10" s="126" t="s">
        <v>1893</v>
      </c>
      <c r="E10" s="128" t="s">
        <v>1613</v>
      </c>
      <c r="F10" s="127" t="s">
        <v>3107</v>
      </c>
      <c r="G10" s="136"/>
      <c r="H10" s="117" t="str">
        <f t="shared" si="1"/>
        <v>JBG</v>
      </c>
      <c r="I10" s="117" t="s">
        <v>68</v>
      </c>
    </row>
    <row r="11" spans="1:9">
      <c r="A11" s="114" t="str">
        <f t="shared" si="0"/>
        <v>4030000DEPN EXPENSE-ELECT3140000TURBOGENERATOR UNITSCAGE</v>
      </c>
      <c r="B11" s="126" t="s">
        <v>1890</v>
      </c>
      <c r="C11" s="127" t="s">
        <v>1612</v>
      </c>
      <c r="D11" s="126" t="s">
        <v>1894</v>
      </c>
      <c r="E11" s="128" t="s">
        <v>1614</v>
      </c>
      <c r="F11" s="127" t="s">
        <v>3106</v>
      </c>
      <c r="G11" s="136"/>
      <c r="H11" s="117" t="str">
        <f t="shared" ref="H11:H13" si="2">IF(OR(F11="IDU",F11="OR",F11="UT",F11="WYU",F11="WYP",F11="CA",F11="WA"),"SITUS",F11)</f>
        <v>CAGE</v>
      </c>
      <c r="I11" s="117" t="s">
        <v>68</v>
      </c>
    </row>
    <row r="12" spans="1:9">
      <c r="A12" s="114" t="str">
        <f t="shared" si="0"/>
        <v>4030000DEPN EXPENSE-ELECT3140000TURBOGENERATOR UNITSCAGW</v>
      </c>
      <c r="B12" s="126" t="s">
        <v>1890</v>
      </c>
      <c r="C12" s="127" t="s">
        <v>1612</v>
      </c>
      <c r="D12" s="126" t="s">
        <v>1894</v>
      </c>
      <c r="E12" s="128" t="s">
        <v>1614</v>
      </c>
      <c r="F12" s="127" t="s">
        <v>3108</v>
      </c>
      <c r="G12" s="136"/>
      <c r="H12" s="117" t="str">
        <f t="shared" si="2"/>
        <v>CAGW</v>
      </c>
      <c r="I12" s="117" t="s">
        <v>68</v>
      </c>
    </row>
    <row r="13" spans="1:9">
      <c r="A13" s="114" t="str">
        <f t="shared" si="0"/>
        <v>4030000DEPN EXPENSE-ELECT3140000TURBOGENERATOR UNITSJBG</v>
      </c>
      <c r="B13" s="126" t="s">
        <v>1890</v>
      </c>
      <c r="C13" s="127" t="s">
        <v>1612</v>
      </c>
      <c r="D13" s="126" t="s">
        <v>1894</v>
      </c>
      <c r="E13" s="128" t="s">
        <v>1614</v>
      </c>
      <c r="F13" s="127" t="s">
        <v>3107</v>
      </c>
      <c r="G13" s="136"/>
      <c r="H13" s="117" t="str">
        <f t="shared" si="2"/>
        <v>JBG</v>
      </c>
      <c r="I13" s="117" t="s">
        <v>68</v>
      </c>
    </row>
    <row r="14" spans="1:9">
      <c r="A14" s="114" t="str">
        <f t="shared" si="0"/>
        <v>4030000DEPN EXPENSE-ELECT3150000ACCESSORY ELECTRIC EQUIPMENTCAGE</v>
      </c>
      <c r="B14" s="126" t="s">
        <v>1890</v>
      </c>
      <c r="C14" s="127" t="s">
        <v>1612</v>
      </c>
      <c r="D14" s="126" t="s">
        <v>1895</v>
      </c>
      <c r="E14" s="128" t="s">
        <v>1615</v>
      </c>
      <c r="F14" s="127" t="s">
        <v>3106</v>
      </c>
      <c r="G14" s="136"/>
      <c r="H14" s="117" t="str">
        <f t="shared" ref="H14:H16" si="3">IF(OR(F14="IDU",F14="OR",F14="UT",F14="WYU",F14="WYP",F14="CA",F14="WA"),"SITUS",F14)</f>
        <v>CAGE</v>
      </c>
      <c r="I14" s="117" t="s">
        <v>68</v>
      </c>
    </row>
    <row r="15" spans="1:9">
      <c r="A15" s="114" t="str">
        <f t="shared" si="0"/>
        <v>4030000DEPN EXPENSE-ELECT3150000ACCESSORY ELECTRIC EQUIPMENTCAGW</v>
      </c>
      <c r="B15" s="126" t="s">
        <v>1890</v>
      </c>
      <c r="C15" s="127" t="s">
        <v>1612</v>
      </c>
      <c r="D15" s="126" t="s">
        <v>1895</v>
      </c>
      <c r="E15" s="128" t="s">
        <v>1615</v>
      </c>
      <c r="F15" s="127" t="s">
        <v>3108</v>
      </c>
      <c r="G15" s="136"/>
      <c r="H15" s="117" t="str">
        <f t="shared" si="3"/>
        <v>CAGW</v>
      </c>
      <c r="I15" s="117" t="s">
        <v>68</v>
      </c>
    </row>
    <row r="16" spans="1:9">
      <c r="A16" s="114" t="str">
        <f t="shared" si="0"/>
        <v>4030000DEPN EXPENSE-ELECT3150000ACCESSORY ELECTRIC EQUIPMENTJBG</v>
      </c>
      <c r="B16" s="126" t="s">
        <v>1890</v>
      </c>
      <c r="C16" s="127" t="s">
        <v>1612</v>
      </c>
      <c r="D16" s="126" t="s">
        <v>1895</v>
      </c>
      <c r="E16" s="128" t="s">
        <v>1615</v>
      </c>
      <c r="F16" s="127" t="s">
        <v>3107</v>
      </c>
      <c r="G16" s="136"/>
      <c r="H16" s="117" t="str">
        <f t="shared" si="3"/>
        <v>JBG</v>
      </c>
      <c r="I16" s="117" t="s">
        <v>68</v>
      </c>
    </row>
    <row r="17" spans="1:9">
      <c r="A17" s="114" t="str">
        <f t="shared" si="0"/>
        <v>4030000DEPN EXPENSE-ELECT3157000ACCESSORY ELECTRIC EQUIP-SUPV &amp; ALARMJBG</v>
      </c>
      <c r="B17" s="126" t="s">
        <v>1890</v>
      </c>
      <c r="C17" s="127" t="s">
        <v>1612</v>
      </c>
      <c r="D17" s="126" t="s">
        <v>1896</v>
      </c>
      <c r="E17" s="128" t="s">
        <v>1616</v>
      </c>
      <c r="F17" s="127" t="s">
        <v>3107</v>
      </c>
      <c r="G17" s="136"/>
      <c r="H17" s="117" t="str">
        <f t="shared" ref="H17:H20" si="4">IF(OR(F17="IDU",F17="OR",F17="UT",F17="WYU",F17="WYP",F17="CA",F17="WA"),"SITUS",F17)</f>
        <v>JBG</v>
      </c>
      <c r="I17" s="117" t="s">
        <v>68</v>
      </c>
    </row>
    <row r="18" spans="1:9">
      <c r="A18" s="114" t="str">
        <f t="shared" si="0"/>
        <v>4030000DEPN EXPENSE-ELECT3160000MISCELLANEOUS POWER PLANT EQUIPMENTCAGE</v>
      </c>
      <c r="B18" s="126" t="s">
        <v>1890</v>
      </c>
      <c r="C18" s="127" t="s">
        <v>1612</v>
      </c>
      <c r="D18" s="126" t="s">
        <v>1897</v>
      </c>
      <c r="E18" s="128" t="s">
        <v>1617</v>
      </c>
      <c r="F18" s="127" t="s">
        <v>3106</v>
      </c>
      <c r="G18" s="136"/>
      <c r="H18" s="117" t="str">
        <f t="shared" si="4"/>
        <v>CAGE</v>
      </c>
      <c r="I18" s="117" t="s">
        <v>68</v>
      </c>
    </row>
    <row r="19" spans="1:9">
      <c r="A19" s="114" t="str">
        <f t="shared" si="0"/>
        <v>4030000DEPN EXPENSE-ELECT3160000MISCELLANEOUS POWER PLANT EQUIPMENTCAGW</v>
      </c>
      <c r="B19" s="126" t="s">
        <v>1890</v>
      </c>
      <c r="C19" s="127" t="s">
        <v>1612</v>
      </c>
      <c r="D19" s="126" t="s">
        <v>1897</v>
      </c>
      <c r="E19" s="128" t="s">
        <v>1617</v>
      </c>
      <c r="F19" s="127" t="s">
        <v>3108</v>
      </c>
      <c r="G19" s="136"/>
      <c r="H19" s="117" t="str">
        <f t="shared" si="4"/>
        <v>CAGW</v>
      </c>
      <c r="I19" s="117" t="s">
        <v>68</v>
      </c>
    </row>
    <row r="20" spans="1:9">
      <c r="A20" s="114" t="str">
        <f t="shared" si="0"/>
        <v>4030000DEPN EXPENSE-ELECT3160000MISCELLANEOUS POWER PLANT EQUIPMENTJBG</v>
      </c>
      <c r="B20" s="126" t="s">
        <v>1890</v>
      </c>
      <c r="C20" s="127" t="s">
        <v>1612</v>
      </c>
      <c r="D20" s="126" t="s">
        <v>1897</v>
      </c>
      <c r="E20" s="128" t="s">
        <v>1617</v>
      </c>
      <c r="F20" s="127" t="s">
        <v>3107</v>
      </c>
      <c r="G20" s="136"/>
      <c r="H20" s="117" t="str">
        <f t="shared" si="4"/>
        <v>JBG</v>
      </c>
      <c r="I20" s="117" t="s">
        <v>68</v>
      </c>
    </row>
    <row r="21" spans="1:9">
      <c r="A21" s="114" t="str">
        <f t="shared" si="0"/>
        <v>4030000DEPN EXPENSE-ELECT3420000"FUEL HOLDERS,PRODUCERS, ACCES"SG</v>
      </c>
      <c r="B21" s="126">
        <v>4030000</v>
      </c>
      <c r="C21" s="127" t="s">
        <v>1612</v>
      </c>
      <c r="D21" s="126">
        <v>3420000</v>
      </c>
      <c r="E21" s="128" t="s">
        <v>1636</v>
      </c>
      <c r="F21" s="127" t="s">
        <v>87</v>
      </c>
      <c r="G21" s="129"/>
      <c r="H21" s="117" t="str">
        <f t="shared" si="1"/>
        <v>SG</v>
      </c>
      <c r="I21" s="117" t="s">
        <v>68</v>
      </c>
    </row>
    <row r="22" spans="1:9">
      <c r="A22" s="114" t="str">
        <f t="shared" si="0"/>
        <v>4030000DEPN EXPENSE-ELECT3640000"POLES, TOWERS AND FIXTURES"SITUS</v>
      </c>
      <c r="B22" s="126">
        <v>4030000</v>
      </c>
      <c r="C22" s="127" t="s">
        <v>1612</v>
      </c>
      <c r="D22" s="126">
        <v>3640000</v>
      </c>
      <c r="E22" s="128" t="s">
        <v>1649</v>
      </c>
      <c r="F22" s="127" t="s">
        <v>12</v>
      </c>
      <c r="G22" s="129"/>
      <c r="H22" s="117" t="str">
        <f t="shared" si="1"/>
        <v>SITUS</v>
      </c>
      <c r="I22" s="117" t="s">
        <v>70</v>
      </c>
    </row>
    <row r="23" spans="1:9">
      <c r="A23" s="114" t="str">
        <f t="shared" si="0"/>
        <v>4030000DEPN EXPENSE-ELECT3320000"RESERVOIRS, DAMS &amp; WATERWAYS"SG-P</v>
      </c>
      <c r="B23" s="126">
        <v>4030000</v>
      </c>
      <c r="C23" s="127" t="s">
        <v>1612</v>
      </c>
      <c r="D23" s="126">
        <v>3320000</v>
      </c>
      <c r="E23" s="128" t="s">
        <v>1625</v>
      </c>
      <c r="F23" s="127" t="s">
        <v>280</v>
      </c>
      <c r="G23" s="129"/>
      <c r="H23" s="117" t="str">
        <f t="shared" si="1"/>
        <v>SG-P</v>
      </c>
      <c r="I23" s="117" t="s">
        <v>68</v>
      </c>
    </row>
    <row r="24" spans="1:9">
      <c r="A24" s="114" t="str">
        <f t="shared" si="0"/>
        <v>4030000DEPN EXPENSE-ELECT3320000"RESERVOIRS, DAMS &amp; WATERWAYS"SG-U</v>
      </c>
      <c r="B24" s="126">
        <v>4030000</v>
      </c>
      <c r="C24" s="127" t="s">
        <v>1612</v>
      </c>
      <c r="D24" s="126">
        <v>3320000</v>
      </c>
      <c r="E24" s="128" t="s">
        <v>1625</v>
      </c>
      <c r="F24" s="127" t="s">
        <v>1455</v>
      </c>
      <c r="G24" s="129"/>
      <c r="H24" s="117" t="str">
        <f t="shared" si="1"/>
        <v>SG-U</v>
      </c>
      <c r="I24" s="117" t="s">
        <v>68</v>
      </c>
    </row>
    <row r="25" spans="1:9">
      <c r="A25" s="114" t="str">
        <f t="shared" si="0"/>
        <v>4030000DEPN EXPENSE-ELECT3322000"RESERVOIRS, DAMS, &amp; WTRWYS-FISH/WILDLIFSG-P</v>
      </c>
      <c r="B25" s="126">
        <v>4030000</v>
      </c>
      <c r="C25" s="127" t="s">
        <v>1612</v>
      </c>
      <c r="D25" s="126">
        <v>3322000</v>
      </c>
      <c r="E25" s="128" t="s">
        <v>1627</v>
      </c>
      <c r="F25" s="127" t="s">
        <v>280</v>
      </c>
      <c r="G25" s="129"/>
      <c r="H25" s="117" t="str">
        <f t="shared" si="1"/>
        <v>SG-P</v>
      </c>
      <c r="I25" s="117" t="s">
        <v>68</v>
      </c>
    </row>
    <row r="26" spans="1:9">
      <c r="A26" s="114" t="str">
        <f t="shared" si="0"/>
        <v>4030000DEPN EXPENSE-ELECT3322000"RESERVOIRS, DAMS, &amp; WTRWYS-FISH/WILDLIFSG-U</v>
      </c>
      <c r="B26" s="126">
        <v>4030000</v>
      </c>
      <c r="C26" s="127" t="s">
        <v>1612</v>
      </c>
      <c r="D26" s="126">
        <v>3322000</v>
      </c>
      <c r="E26" s="128" t="s">
        <v>1627</v>
      </c>
      <c r="F26" s="127" t="s">
        <v>1455</v>
      </c>
      <c r="G26" s="129"/>
      <c r="H26" s="117" t="str">
        <f t="shared" si="1"/>
        <v>SG-U</v>
      </c>
      <c r="I26" s="117" t="s">
        <v>68</v>
      </c>
    </row>
    <row r="27" spans="1:9">
      <c r="A27" s="114" t="str">
        <f t="shared" si="0"/>
        <v>4030000DEPN EXPENSE-ELECT3321000"RESERVOIRS, DAMS, &amp; WTRWYS-PRODUCTION"SG-P</v>
      </c>
      <c r="B27" s="126">
        <v>4030000</v>
      </c>
      <c r="C27" s="127" t="s">
        <v>1612</v>
      </c>
      <c r="D27" s="126">
        <v>3321000</v>
      </c>
      <c r="E27" s="128" t="s">
        <v>1626</v>
      </c>
      <c r="F27" s="127" t="s">
        <v>280</v>
      </c>
      <c r="G27" s="129"/>
      <c r="H27" s="117" t="str">
        <f t="shared" si="1"/>
        <v>SG-P</v>
      </c>
      <c r="I27" s="117" t="s">
        <v>68</v>
      </c>
    </row>
    <row r="28" spans="1:9">
      <c r="A28" s="114" t="str">
        <f t="shared" si="0"/>
        <v>4030000DEPN EXPENSE-ELECT3321000"RESERVOIRS, DAMS, &amp; WTRWYS-PRODUCTION"SG-U</v>
      </c>
      <c r="B28" s="126">
        <v>4030000</v>
      </c>
      <c r="C28" s="127" t="s">
        <v>1612</v>
      </c>
      <c r="D28" s="126">
        <v>3321000</v>
      </c>
      <c r="E28" s="128" t="s">
        <v>1626</v>
      </c>
      <c r="F28" s="127" t="s">
        <v>1455</v>
      </c>
      <c r="G28" s="129"/>
      <c r="H28" s="117" t="str">
        <f t="shared" si="1"/>
        <v>SG-U</v>
      </c>
      <c r="I28" s="117" t="s">
        <v>68</v>
      </c>
    </row>
    <row r="29" spans="1:9">
      <c r="A29" s="114" t="str">
        <f t="shared" si="0"/>
        <v>4030000DEPN EXPENSE-ELECT3323000"RESERVOIRS, DAMS, &amp; WTRWYS-RECREATION"SG-P</v>
      </c>
      <c r="B29" s="126">
        <v>4030000</v>
      </c>
      <c r="C29" s="127" t="s">
        <v>1612</v>
      </c>
      <c r="D29" s="126">
        <v>3323000</v>
      </c>
      <c r="E29" s="128" t="s">
        <v>1628</v>
      </c>
      <c r="F29" s="127" t="s">
        <v>280</v>
      </c>
      <c r="G29" s="129"/>
      <c r="H29" s="117" t="str">
        <f t="shared" si="1"/>
        <v>SG-P</v>
      </c>
      <c r="I29" s="117" t="s">
        <v>68</v>
      </c>
    </row>
    <row r="30" spans="1:9">
      <c r="A30" s="114" t="str">
        <f t="shared" si="0"/>
        <v>4030000DEPN EXPENSE-ELECT3323000"RESERVOIRS, DAMS, &amp; WTRWYS-RECREATION"SG-U</v>
      </c>
      <c r="B30" s="126">
        <v>4030000</v>
      </c>
      <c r="C30" s="127" t="s">
        <v>1612</v>
      </c>
      <c r="D30" s="126">
        <v>3323000</v>
      </c>
      <c r="E30" s="128" t="s">
        <v>1628</v>
      </c>
      <c r="F30" s="127" t="s">
        <v>1455</v>
      </c>
      <c r="G30" s="129"/>
      <c r="H30" s="117" t="str">
        <f t="shared" si="1"/>
        <v>SG-U</v>
      </c>
      <c r="I30" s="117" t="s">
        <v>68</v>
      </c>
    </row>
    <row r="31" spans="1:9">
      <c r="A31" s="114" t="str">
        <f t="shared" si="0"/>
        <v>4030000DEPN EXPENSE-ELECT3360000"ROADS, RAILROADS &amp; BRIDGES"SG-P</v>
      </c>
      <c r="B31" s="126">
        <v>4030000</v>
      </c>
      <c r="C31" s="127" t="s">
        <v>1612</v>
      </c>
      <c r="D31" s="126">
        <v>3360000</v>
      </c>
      <c r="E31" s="128" t="s">
        <v>1634</v>
      </c>
      <c r="F31" s="127" t="s">
        <v>280</v>
      </c>
      <c r="G31" s="129"/>
      <c r="H31" s="117" t="str">
        <f t="shared" si="1"/>
        <v>SG-P</v>
      </c>
      <c r="I31" s="117" t="s">
        <v>68</v>
      </c>
    </row>
    <row r="32" spans="1:9">
      <c r="A32" s="114" t="str">
        <f t="shared" si="0"/>
        <v>4030000DEPN EXPENSE-ELECT3360000"ROADS, RAILROADS &amp; BRIDGES"SG-U</v>
      </c>
      <c r="B32" s="126">
        <v>4030000</v>
      </c>
      <c r="C32" s="127" t="s">
        <v>1612</v>
      </c>
      <c r="D32" s="126">
        <v>3360000</v>
      </c>
      <c r="E32" s="128" t="s">
        <v>1634</v>
      </c>
      <c r="F32" s="127" t="s">
        <v>1455</v>
      </c>
      <c r="G32" s="129"/>
      <c r="H32" s="117" t="str">
        <f t="shared" si="1"/>
        <v>SG-U</v>
      </c>
      <c r="I32" s="117" t="s">
        <v>68</v>
      </c>
    </row>
    <row r="33" spans="1:9">
      <c r="A33" s="114" t="str">
        <f t="shared" si="0"/>
        <v>4030000DEPN EXPENSE-ELECT3402000LAND RIGHTSSG-W</v>
      </c>
      <c r="B33" s="126" t="s">
        <v>1890</v>
      </c>
      <c r="C33" s="127" t="s">
        <v>1612</v>
      </c>
      <c r="D33" s="126" t="s">
        <v>1916</v>
      </c>
      <c r="E33" s="128" t="s">
        <v>1514</v>
      </c>
      <c r="F33" s="127" t="s">
        <v>3109</v>
      </c>
      <c r="G33" s="129"/>
      <c r="H33" s="117" t="str">
        <f t="shared" ref="H33:H35" si="5">IF(OR(F33="IDU",F33="OR",F33="UT",F33="WYU",F33="WYP",F33="CA",F33="WA"),"SITUS",F33)</f>
        <v>SG-W</v>
      </c>
      <c r="I33" s="117" t="s">
        <v>68</v>
      </c>
    </row>
    <row r="34" spans="1:9">
      <c r="A34" s="114" t="str">
        <f t="shared" si="0"/>
        <v>4030000DEPN EXPENSE-ELECT3410000STRUCTURES &amp; IMPROVEMENTSCAGE</v>
      </c>
      <c r="B34" s="126" t="s">
        <v>1890</v>
      </c>
      <c r="C34" s="127" t="s">
        <v>1612</v>
      </c>
      <c r="D34" s="126" t="s">
        <v>1917</v>
      </c>
      <c r="E34" s="128" t="s">
        <v>1635</v>
      </c>
      <c r="F34" s="127" t="s">
        <v>3106</v>
      </c>
      <c r="G34" s="129"/>
      <c r="H34" s="117" t="str">
        <f t="shared" si="5"/>
        <v>CAGE</v>
      </c>
      <c r="I34" s="117" t="s">
        <v>68</v>
      </c>
    </row>
    <row r="35" spans="1:9">
      <c r="A35" s="114" t="str">
        <f t="shared" si="0"/>
        <v>4030000DEPN EXPENSE-ELECT3410000STRUCTURES &amp; IMPROVEMENTSCAGW</v>
      </c>
      <c r="B35" s="126" t="s">
        <v>1890</v>
      </c>
      <c r="C35" s="127" t="s">
        <v>1612</v>
      </c>
      <c r="D35" s="126" t="s">
        <v>1917</v>
      </c>
      <c r="E35" s="128" t="s">
        <v>1635</v>
      </c>
      <c r="F35" s="127" t="s">
        <v>3108</v>
      </c>
      <c r="G35" s="129"/>
      <c r="H35" s="117" t="str">
        <f t="shared" si="5"/>
        <v>CAGW</v>
      </c>
      <c r="I35" s="117" t="s">
        <v>68</v>
      </c>
    </row>
    <row r="36" spans="1:9">
      <c r="A36" s="114" t="str">
        <f t="shared" si="0"/>
        <v>4030000DEPN EXPENSE-ELECT3410000STRUCTURES &amp; IMPROVEMENTSSG-W</v>
      </c>
      <c r="B36" s="126" t="s">
        <v>1890</v>
      </c>
      <c r="C36" s="127" t="s">
        <v>1612</v>
      </c>
      <c r="D36" s="126" t="s">
        <v>1917</v>
      </c>
      <c r="E36" s="128" t="s">
        <v>1635</v>
      </c>
      <c r="F36" s="127" t="s">
        <v>3109</v>
      </c>
      <c r="G36" s="129"/>
      <c r="H36" s="117" t="str">
        <f t="shared" ref="H36" si="6">IF(OR(F36="IDU",F36="OR",F36="UT",F36="WYU",F36="WYP",F36="CA",F36="WA"),"SITUS",F36)</f>
        <v>SG-W</v>
      </c>
      <c r="I36" s="117" t="s">
        <v>68</v>
      </c>
    </row>
    <row r="37" spans="1:9">
      <c r="A37" s="114" t="str">
        <f t="shared" si="0"/>
        <v>4030000DEPN EXPENSE-ELECT3420000"FUEL HOLDERS,PRODUCERS, ACCES"CAGE</v>
      </c>
      <c r="B37" s="126" t="s">
        <v>1890</v>
      </c>
      <c r="C37" s="127" t="s">
        <v>1612</v>
      </c>
      <c r="D37" s="126" t="s">
        <v>1918</v>
      </c>
      <c r="E37" s="128" t="s">
        <v>1636</v>
      </c>
      <c r="F37" s="127" t="s">
        <v>3106</v>
      </c>
      <c r="G37" s="129"/>
      <c r="H37" s="117" t="str">
        <f t="shared" ref="H37:H44" si="7">IF(OR(F37="IDU",F37="OR",F37="UT",F37="WYU",F37="WYP",F37="CA",F37="WA"),"SITUS",F37)</f>
        <v>CAGE</v>
      </c>
      <c r="I37" s="117" t="s">
        <v>68</v>
      </c>
    </row>
    <row r="38" spans="1:9">
      <c r="A38" s="114" t="str">
        <f t="shared" si="0"/>
        <v>4030000DEPN EXPENSE-ELECT3420000"FUEL HOLDERS,PRODUCERS, ACCES"CAGW</v>
      </c>
      <c r="B38" s="126" t="s">
        <v>1890</v>
      </c>
      <c r="C38" s="127" t="s">
        <v>1612</v>
      </c>
      <c r="D38" s="126" t="s">
        <v>1918</v>
      </c>
      <c r="E38" s="128" t="s">
        <v>1636</v>
      </c>
      <c r="F38" s="127" t="s">
        <v>3108</v>
      </c>
      <c r="G38" s="129"/>
      <c r="H38" s="117" t="str">
        <f t="shared" si="7"/>
        <v>CAGW</v>
      </c>
      <c r="I38" s="117" t="s">
        <v>68</v>
      </c>
    </row>
    <row r="39" spans="1:9">
      <c r="A39" s="114" t="str">
        <f t="shared" si="0"/>
        <v>4030000DEPN EXPENSE-ELECT3430000PRIME MOVERSCAGE</v>
      </c>
      <c r="B39" s="126" t="s">
        <v>1890</v>
      </c>
      <c r="C39" s="127" t="s">
        <v>1612</v>
      </c>
      <c r="D39" s="126" t="s">
        <v>1919</v>
      </c>
      <c r="E39" s="128" t="s">
        <v>1637</v>
      </c>
      <c r="F39" s="127" t="s">
        <v>3106</v>
      </c>
      <c r="G39" s="129"/>
      <c r="H39" s="117" t="str">
        <f t="shared" si="7"/>
        <v>CAGE</v>
      </c>
      <c r="I39" s="117" t="s">
        <v>68</v>
      </c>
    </row>
    <row r="40" spans="1:9">
      <c r="A40" s="114" t="str">
        <f t="shared" si="0"/>
        <v>4030000DEPN EXPENSE-ELECT3430000PRIME MOVERSCAGW</v>
      </c>
      <c r="B40" s="126" t="s">
        <v>1890</v>
      </c>
      <c r="C40" s="127" t="s">
        <v>1612</v>
      </c>
      <c r="D40" s="126" t="s">
        <v>1919</v>
      </c>
      <c r="E40" s="128" t="s">
        <v>1637</v>
      </c>
      <c r="F40" s="127" t="s">
        <v>3108</v>
      </c>
      <c r="G40" s="129"/>
      <c r="H40" s="117" t="str">
        <f t="shared" si="7"/>
        <v>CAGW</v>
      </c>
      <c r="I40" s="117" t="s">
        <v>68</v>
      </c>
    </row>
    <row r="41" spans="1:9">
      <c r="A41" s="114" t="str">
        <f t="shared" si="0"/>
        <v>4030000DEPN EXPENSE-ELECT3430000PRIME MOVERSSG-W</v>
      </c>
      <c r="B41" s="126" t="s">
        <v>1890</v>
      </c>
      <c r="C41" s="127" t="s">
        <v>1612</v>
      </c>
      <c r="D41" s="126" t="s">
        <v>1919</v>
      </c>
      <c r="E41" s="128" t="s">
        <v>1637</v>
      </c>
      <c r="F41" s="127" t="s">
        <v>3109</v>
      </c>
      <c r="G41" s="129"/>
      <c r="H41" s="117" t="str">
        <f t="shared" si="7"/>
        <v>SG-W</v>
      </c>
      <c r="I41" s="117" t="s">
        <v>68</v>
      </c>
    </row>
    <row r="42" spans="1:9">
      <c r="A42" s="114" t="str">
        <f t="shared" si="0"/>
        <v>4030000DEPN EXPENSE-ELECT3440000GENERATORSCAGE</v>
      </c>
      <c r="B42" s="126" t="s">
        <v>1890</v>
      </c>
      <c r="C42" s="127" t="s">
        <v>1612</v>
      </c>
      <c r="D42" s="126" t="s">
        <v>1920</v>
      </c>
      <c r="E42" s="128" t="s">
        <v>1638</v>
      </c>
      <c r="F42" s="127" t="s">
        <v>3106</v>
      </c>
      <c r="G42" s="129"/>
      <c r="H42" s="117" t="str">
        <f t="shared" si="7"/>
        <v>CAGE</v>
      </c>
      <c r="I42" s="117" t="s">
        <v>68</v>
      </c>
    </row>
    <row r="43" spans="1:9">
      <c r="A43" s="114" t="str">
        <f t="shared" si="0"/>
        <v>4030000DEPN EXPENSE-ELECT3440000GENERATORSSG-W</v>
      </c>
      <c r="B43" s="126" t="s">
        <v>1890</v>
      </c>
      <c r="C43" s="127" t="s">
        <v>1612</v>
      </c>
      <c r="D43" s="126" t="s">
        <v>1920</v>
      </c>
      <c r="E43" s="128" t="s">
        <v>1638</v>
      </c>
      <c r="F43" s="127" t="s">
        <v>3109</v>
      </c>
      <c r="G43" s="129"/>
      <c r="H43" s="117" t="str">
        <f t="shared" ref="H43" si="8">IF(OR(F43="IDU",F43="OR",F43="UT",F43="WYU",F43="WYP",F43="CA",F43="WA"),"SITUS",F43)</f>
        <v>SG-W</v>
      </c>
      <c r="I43" s="117" t="s">
        <v>68</v>
      </c>
    </row>
    <row r="44" spans="1:9">
      <c r="A44" s="114" t="str">
        <f t="shared" si="0"/>
        <v>4030000DEPN EXPENSE-ELECT3440000GENERATORSCAGW</v>
      </c>
      <c r="B44" s="126" t="s">
        <v>1890</v>
      </c>
      <c r="C44" s="127" t="s">
        <v>1612</v>
      </c>
      <c r="D44" s="126" t="s">
        <v>1920</v>
      </c>
      <c r="E44" s="128" t="s">
        <v>1638</v>
      </c>
      <c r="F44" s="127" t="s">
        <v>3108</v>
      </c>
      <c r="G44" s="129"/>
      <c r="H44" s="117" t="str">
        <f t="shared" si="7"/>
        <v>CAGW</v>
      </c>
      <c r="I44" s="117" t="s">
        <v>68</v>
      </c>
    </row>
    <row r="45" spans="1:9">
      <c r="A45" s="114" t="str">
        <f t="shared" si="0"/>
        <v>4030000DEPN EXPENSE-ELECT3940000"TLS, SHOP, GAR EQUIPMENT"SG</v>
      </c>
      <c r="B45" s="126">
        <v>4030000</v>
      </c>
      <c r="C45" s="127" t="s">
        <v>1612</v>
      </c>
      <c r="D45" s="126">
        <v>3940000</v>
      </c>
      <c r="E45" s="128" t="s">
        <v>1530</v>
      </c>
      <c r="F45" s="127" t="s">
        <v>87</v>
      </c>
      <c r="G45" s="129"/>
      <c r="H45" s="117" t="str">
        <f t="shared" si="1"/>
        <v>SG</v>
      </c>
      <c r="I45" s="117" t="s">
        <v>196</v>
      </c>
    </row>
    <row r="46" spans="1:9">
      <c r="A46" s="114" t="str">
        <f t="shared" si="0"/>
        <v>4030000DEPN EXPENSE-ELECT3940000"TLS, SHOP, GAR EQUIPMENT"SITUS</v>
      </c>
      <c r="B46" s="126">
        <v>4030000</v>
      </c>
      <c r="C46" s="127" t="s">
        <v>1612</v>
      </c>
      <c r="D46" s="126">
        <v>3940000</v>
      </c>
      <c r="E46" s="128" t="s">
        <v>1530</v>
      </c>
      <c r="F46" s="127" t="s">
        <v>12</v>
      </c>
      <c r="G46" s="129"/>
      <c r="H46" s="117" t="str">
        <f t="shared" si="1"/>
        <v>SITUS</v>
      </c>
      <c r="I46" s="117" t="s">
        <v>14</v>
      </c>
    </row>
    <row r="47" spans="1:9">
      <c r="A47" s="114" t="str">
        <f t="shared" si="0"/>
        <v>4030000DEPN EXPENSE-ELECT3940000"TLS, SHOP, GAR EQUIPMENT"SE</v>
      </c>
      <c r="B47" s="126">
        <v>4030000</v>
      </c>
      <c r="C47" s="127" t="s">
        <v>1612</v>
      </c>
      <c r="D47" s="126">
        <v>3940000</v>
      </c>
      <c r="E47" s="128" t="s">
        <v>1530</v>
      </c>
      <c r="F47" s="127" t="s">
        <v>85</v>
      </c>
      <c r="G47" s="129"/>
      <c r="H47" s="117" t="str">
        <f t="shared" si="1"/>
        <v>SE</v>
      </c>
      <c r="I47" s="117" t="s">
        <v>68</v>
      </c>
    </row>
    <row r="48" spans="1:9">
      <c r="A48" s="114" t="str">
        <f t="shared" si="0"/>
        <v>4030000DEPN EXPENSE-ELECT3940000"TLS, SHOP, GAR EQUIPMENT"SO</v>
      </c>
      <c r="B48" s="126">
        <v>4030000</v>
      </c>
      <c r="C48" s="127" t="s">
        <v>1612</v>
      </c>
      <c r="D48" s="126">
        <v>3940000</v>
      </c>
      <c r="E48" s="128" t="s">
        <v>1530</v>
      </c>
      <c r="F48" s="127" t="s">
        <v>89</v>
      </c>
      <c r="G48" s="129"/>
      <c r="H48" s="117" t="str">
        <f t="shared" si="1"/>
        <v>SO</v>
      </c>
      <c r="I48" s="117" t="s">
        <v>92</v>
      </c>
    </row>
    <row r="49" spans="1:9">
      <c r="A49" s="114" t="str">
        <f t="shared" si="0"/>
        <v>4030000DEPN EXPENSE-ELECT3330000"WATER WHEELS, TURB &amp; GENERATORS"SG-P</v>
      </c>
      <c r="B49" s="126">
        <v>4030000</v>
      </c>
      <c r="C49" s="127" t="s">
        <v>1612</v>
      </c>
      <c r="D49" s="126">
        <v>3330000</v>
      </c>
      <c r="E49" s="128" t="s">
        <v>1629</v>
      </c>
      <c r="F49" s="127" t="s">
        <v>280</v>
      </c>
      <c r="G49" s="129"/>
      <c r="H49" s="117" t="str">
        <f t="shared" si="1"/>
        <v>SG-P</v>
      </c>
      <c r="I49" s="117" t="s">
        <v>68</v>
      </c>
    </row>
    <row r="50" spans="1:9">
      <c r="A50" s="114" t="str">
        <f t="shared" si="0"/>
        <v>4030000DEPN EXPENSE-ELECT3330000"WATER WHEELS, TURB &amp; GENERATORS"SG-U</v>
      </c>
      <c r="B50" s="126">
        <v>4030000</v>
      </c>
      <c r="C50" s="127" t="s">
        <v>1612</v>
      </c>
      <c r="D50" s="126">
        <v>3330000</v>
      </c>
      <c r="E50" s="128" t="s">
        <v>1629</v>
      </c>
      <c r="F50" s="127" t="s">
        <v>1455</v>
      </c>
      <c r="G50" s="129"/>
      <c r="H50" s="117" t="str">
        <f t="shared" si="1"/>
        <v>SG-U</v>
      </c>
      <c r="I50" s="117" t="s">
        <v>68</v>
      </c>
    </row>
    <row r="51" spans="1:9">
      <c r="A51" s="114" t="str">
        <f t="shared" si="0"/>
        <v>4030000DEPN EXPENSE-ELECT3347000ACCESSORY ELECT EQUIP - SUPV &amp; ALARMSG-P</v>
      </c>
      <c r="B51" s="126">
        <v>4030000</v>
      </c>
      <c r="C51" s="127" t="s">
        <v>1612</v>
      </c>
      <c r="D51" s="126">
        <v>3347000</v>
      </c>
      <c r="E51" s="128" t="s">
        <v>1630</v>
      </c>
      <c r="F51" s="127" t="s">
        <v>280</v>
      </c>
      <c r="G51" s="129"/>
      <c r="H51" s="117" t="str">
        <f t="shared" si="1"/>
        <v>SG-P</v>
      </c>
      <c r="I51" s="117" t="s">
        <v>68</v>
      </c>
    </row>
    <row r="52" spans="1:9">
      <c r="A52" s="114" t="str">
        <f t="shared" si="0"/>
        <v>4030000DEPN EXPENSE-ELECT3347000ACCESSORY ELECT EQUIP - SUPV &amp; ALARMSG-U</v>
      </c>
      <c r="B52" s="126">
        <v>4030000</v>
      </c>
      <c r="C52" s="127" t="s">
        <v>1612</v>
      </c>
      <c r="D52" s="126">
        <v>3347000</v>
      </c>
      <c r="E52" s="128" t="s">
        <v>1630</v>
      </c>
      <c r="F52" s="127" t="s">
        <v>1455</v>
      </c>
      <c r="G52" s="129"/>
      <c r="H52" s="117" t="str">
        <f t="shared" si="1"/>
        <v>SG-U</v>
      </c>
      <c r="I52" s="117" t="s">
        <v>68</v>
      </c>
    </row>
    <row r="53" spans="1:9">
      <c r="A53" s="114" t="str">
        <f t="shared" si="0"/>
        <v>4030000DEPN EXPENSE-ELECT3450000ACCESSORY ELECTRIC EQUIPMENTCAGE</v>
      </c>
      <c r="B53" s="126" t="s">
        <v>1890</v>
      </c>
      <c r="C53" s="127" t="s">
        <v>1612</v>
      </c>
      <c r="D53" s="126" t="s">
        <v>1921</v>
      </c>
      <c r="E53" s="128" t="s">
        <v>1615</v>
      </c>
      <c r="F53" s="127" t="s">
        <v>3106</v>
      </c>
      <c r="G53" s="129"/>
      <c r="H53" s="117" t="str">
        <f t="shared" ref="H53:H55" si="9">IF(OR(F53="IDU",F53="OR",F53="UT",F53="WYU",F53="WYP",F53="CA",F53="WA"),"SITUS",F53)</f>
        <v>CAGE</v>
      </c>
      <c r="I53" s="117" t="s">
        <v>68</v>
      </c>
    </row>
    <row r="54" spans="1:9">
      <c r="A54" s="114" t="str">
        <f t="shared" si="0"/>
        <v>4030000DEPN EXPENSE-ELECT3450000ACCESSORY ELECTRIC EQUIPMENTCAGW</v>
      </c>
      <c r="B54" s="126" t="s">
        <v>1890</v>
      </c>
      <c r="C54" s="127" t="s">
        <v>1612</v>
      </c>
      <c r="D54" s="126" t="s">
        <v>1921</v>
      </c>
      <c r="E54" s="128" t="s">
        <v>1615</v>
      </c>
      <c r="F54" s="127" t="s">
        <v>3108</v>
      </c>
      <c r="G54" s="129"/>
      <c r="H54" s="117" t="str">
        <f t="shared" si="9"/>
        <v>CAGW</v>
      </c>
      <c r="I54" s="117" t="s">
        <v>68</v>
      </c>
    </row>
    <row r="55" spans="1:9">
      <c r="A55" s="114" t="str">
        <f t="shared" si="0"/>
        <v>4030000DEPN EXPENSE-ELECT3450000ACCESSORY ELECTRIC EQUIPMENTSG-W</v>
      </c>
      <c r="B55" s="126" t="s">
        <v>1890</v>
      </c>
      <c r="C55" s="127" t="s">
        <v>1612</v>
      </c>
      <c r="D55" s="126" t="s">
        <v>1921</v>
      </c>
      <c r="E55" s="128" t="s">
        <v>1615</v>
      </c>
      <c r="F55" s="127" t="s">
        <v>3109</v>
      </c>
      <c r="G55" s="129"/>
      <c r="H55" s="117" t="str">
        <f t="shared" si="9"/>
        <v>SG-W</v>
      </c>
      <c r="I55" s="117" t="s">
        <v>68</v>
      </c>
    </row>
    <row r="56" spans="1:9">
      <c r="A56" s="114" t="str">
        <f t="shared" si="0"/>
        <v>4030000DEPN EXPENSE-ELECT3150000ACCESSORY ELECTRIC EQUIPMENTSG</v>
      </c>
      <c r="B56" s="126">
        <v>4030000</v>
      </c>
      <c r="C56" s="127" t="s">
        <v>1612</v>
      </c>
      <c r="D56" s="126">
        <v>3150000</v>
      </c>
      <c r="E56" s="128" t="s">
        <v>1615</v>
      </c>
      <c r="F56" s="127" t="s">
        <v>87</v>
      </c>
      <c r="G56" s="129"/>
      <c r="H56" s="117" t="str">
        <f t="shared" si="1"/>
        <v>SG</v>
      </c>
      <c r="I56" s="117" t="s">
        <v>68</v>
      </c>
    </row>
    <row r="57" spans="1:9">
      <c r="A57" s="114" t="str">
        <f t="shared" si="0"/>
        <v>4030000DEPN EXPENSE-ELECT3340000ACCESSORY ELECTRIC EQUIPMENTSG-P</v>
      </c>
      <c r="B57" s="126">
        <v>4030000</v>
      </c>
      <c r="C57" s="127" t="s">
        <v>1612</v>
      </c>
      <c r="D57" s="126">
        <v>3340000</v>
      </c>
      <c r="E57" s="128" t="s">
        <v>1615</v>
      </c>
      <c r="F57" s="127" t="s">
        <v>280</v>
      </c>
      <c r="G57" s="129"/>
      <c r="H57" s="117" t="str">
        <f t="shared" si="1"/>
        <v>SG-P</v>
      </c>
      <c r="I57" s="117" t="s">
        <v>68</v>
      </c>
    </row>
    <row r="58" spans="1:9">
      <c r="A58" s="114" t="str">
        <f t="shared" si="0"/>
        <v>4030000DEPN EXPENSE-ELECT3340000ACCESSORY ELECTRIC EQUIPMENTSG-U</v>
      </c>
      <c r="B58" s="126">
        <v>4030000</v>
      </c>
      <c r="C58" s="127" t="s">
        <v>1612</v>
      </c>
      <c r="D58" s="126">
        <v>3340000</v>
      </c>
      <c r="E58" s="128" t="s">
        <v>1615</v>
      </c>
      <c r="F58" s="127" t="s">
        <v>1455</v>
      </c>
      <c r="G58" s="129"/>
      <c r="H58" s="117" t="str">
        <f t="shared" si="1"/>
        <v>SG-U</v>
      </c>
      <c r="I58" s="117" t="s">
        <v>68</v>
      </c>
    </row>
    <row r="59" spans="1:9">
      <c r="A59" s="114" t="str">
        <f t="shared" si="0"/>
        <v>4030000DEPN EXPENSE-ELECT3450000ACCESSORY ELECTRIC EQUIPMENTSG</v>
      </c>
      <c r="B59" s="126">
        <v>4030000</v>
      </c>
      <c r="C59" s="127" t="s">
        <v>1612</v>
      </c>
      <c r="D59" s="126">
        <v>3450000</v>
      </c>
      <c r="E59" s="128" t="s">
        <v>1615</v>
      </c>
      <c r="F59" s="127" t="s">
        <v>87</v>
      </c>
      <c r="G59" s="129"/>
      <c r="H59" s="117" t="str">
        <f t="shared" si="1"/>
        <v>SG</v>
      </c>
      <c r="I59" s="117" t="s">
        <v>68</v>
      </c>
    </row>
    <row r="60" spans="1:9">
      <c r="A60" s="114" t="str">
        <f t="shared" si="0"/>
        <v>4030000DEPN EXPENSE-ELECT3157000ACCESSORY ELECTRIC EQUIP-SUPV &amp; ALARMSG</v>
      </c>
      <c r="B60" s="126">
        <v>4030000</v>
      </c>
      <c r="C60" s="127" t="s">
        <v>1612</v>
      </c>
      <c r="D60" s="126">
        <v>3157000</v>
      </c>
      <c r="E60" s="128" t="s">
        <v>1616</v>
      </c>
      <c r="F60" s="127" t="s">
        <v>87</v>
      </c>
      <c r="G60" s="129"/>
      <c r="H60" s="117" t="str">
        <f t="shared" si="1"/>
        <v>SG</v>
      </c>
      <c r="I60" s="117" t="s">
        <v>68</v>
      </c>
    </row>
    <row r="61" spans="1:9">
      <c r="A61" s="114" t="str">
        <f t="shared" si="0"/>
        <v>4030000DEPN EXPENSE-ELECT3460000MISCELLANEOUS PWR PLANT EQUIPCAGE</v>
      </c>
      <c r="B61" s="126" t="s">
        <v>1890</v>
      </c>
      <c r="C61" s="127" t="s">
        <v>1612</v>
      </c>
      <c r="D61" s="126" t="s">
        <v>1922</v>
      </c>
      <c r="E61" s="128" t="s">
        <v>1639</v>
      </c>
      <c r="F61" s="127" t="s">
        <v>3106</v>
      </c>
      <c r="G61" s="129"/>
      <c r="H61" s="117" t="str">
        <f t="shared" ref="H61:H63" si="10">IF(OR(F61="IDU",F61="OR",F61="UT",F61="WYU",F61="WYP",F61="CA",F61="WA"),"SITUS",F61)</f>
        <v>CAGE</v>
      </c>
      <c r="I61" s="117" t="s">
        <v>68</v>
      </c>
    </row>
    <row r="62" spans="1:9">
      <c r="A62" s="114" t="str">
        <f t="shared" si="0"/>
        <v>4030000DEPN EXPENSE-ELECT3460000MISCELLANEOUS PWR PLANT EQUIPCAGW</v>
      </c>
      <c r="B62" s="126" t="s">
        <v>1890</v>
      </c>
      <c r="C62" s="127" t="s">
        <v>1612</v>
      </c>
      <c r="D62" s="126" t="s">
        <v>1922</v>
      </c>
      <c r="E62" s="128" t="s">
        <v>1639</v>
      </c>
      <c r="F62" s="127" t="s">
        <v>3108</v>
      </c>
      <c r="G62" s="129"/>
      <c r="H62" s="117" t="str">
        <f t="shared" si="10"/>
        <v>CAGW</v>
      </c>
      <c r="I62" s="117" t="s">
        <v>68</v>
      </c>
    </row>
    <row r="63" spans="1:9">
      <c r="A63" s="114" t="str">
        <f t="shared" si="0"/>
        <v>4030000DEPN EXPENSE-ELECT3460000MISCELLANEOUS PWR PLANT EQUIPSG-W</v>
      </c>
      <c r="B63" s="126" t="s">
        <v>1890</v>
      </c>
      <c r="C63" s="127" t="s">
        <v>1612</v>
      </c>
      <c r="D63" s="126" t="s">
        <v>1922</v>
      </c>
      <c r="E63" s="128" t="s">
        <v>1639</v>
      </c>
      <c r="F63" s="127" t="s">
        <v>3109</v>
      </c>
      <c r="G63" s="129"/>
      <c r="H63" s="117" t="str">
        <f t="shared" si="10"/>
        <v>SG-W</v>
      </c>
      <c r="I63" s="117" t="s">
        <v>68</v>
      </c>
    </row>
    <row r="64" spans="1:9">
      <c r="A64" s="114" t="str">
        <f t="shared" si="0"/>
        <v>4030000DEPN EXPENSE-ELECT3120000BOILER PLANT EQUIPMENTSG</v>
      </c>
      <c r="B64" s="126">
        <v>4030000</v>
      </c>
      <c r="C64" s="127" t="s">
        <v>1612</v>
      </c>
      <c r="D64" s="126">
        <v>3120000</v>
      </c>
      <c r="E64" s="128" t="s">
        <v>1613</v>
      </c>
      <c r="F64" s="127" t="s">
        <v>87</v>
      </c>
      <c r="G64" s="129"/>
      <c r="H64" s="117" t="str">
        <f t="shared" si="1"/>
        <v>SG</v>
      </c>
      <c r="I64" s="117" t="s">
        <v>68</v>
      </c>
    </row>
    <row r="65" spans="1:9">
      <c r="A65" s="114" t="str">
        <f t="shared" si="0"/>
        <v>4030000DEPN EXPENSE-ELECT3534000STATION EQUIPMENT, STEP-UP TRANSFORMERSCAGW</v>
      </c>
      <c r="B65" s="126" t="s">
        <v>1890</v>
      </c>
      <c r="C65" s="127" t="s">
        <v>1612</v>
      </c>
      <c r="D65" s="126" t="s">
        <v>1926</v>
      </c>
      <c r="E65" s="128" t="s">
        <v>1641</v>
      </c>
      <c r="F65" s="127" t="s">
        <v>3108</v>
      </c>
      <c r="G65" s="129"/>
      <c r="H65" s="117" t="str">
        <f t="shared" ref="H65" si="11">IF(OR(F65="IDU",F65="OR",F65="UT",F65="WYU",F65="WYP",F65="CA",F65="WA"),"SITUS",F65)</f>
        <v>CAGW</v>
      </c>
      <c r="I65" s="117" t="s">
        <v>68</v>
      </c>
    </row>
    <row r="66" spans="1:9">
      <c r="A66" s="114" t="str">
        <f t="shared" si="0"/>
        <v>4030000DEPN EXPENSE-ELECT3970000COMMUNICATION EQUIPMENTSE</v>
      </c>
      <c r="B66" s="126">
        <v>4030000</v>
      </c>
      <c r="C66" s="127" t="s">
        <v>1612</v>
      </c>
      <c r="D66" s="126">
        <v>3970000</v>
      </c>
      <c r="E66" s="128" t="s">
        <v>1539</v>
      </c>
      <c r="F66" s="127" t="s">
        <v>85</v>
      </c>
      <c r="G66" s="129"/>
      <c r="H66" s="117" t="str">
        <f t="shared" si="1"/>
        <v>SE</v>
      </c>
      <c r="I66" s="117" t="s">
        <v>68</v>
      </c>
    </row>
    <row r="67" spans="1:9">
      <c r="A67" s="114" t="str">
        <f t="shared" ref="A67:A130" si="12">CONCATENATE($B67,$C67,$D67,$E67,$H67)</f>
        <v>4030000DEPN EXPENSE-ELECT3970000COMMUNICATION EQUIPMENTCN</v>
      </c>
      <c r="B67" s="126">
        <v>4030000</v>
      </c>
      <c r="C67" s="127" t="s">
        <v>1612</v>
      </c>
      <c r="D67" s="126">
        <v>3970000</v>
      </c>
      <c r="E67" s="128" t="s">
        <v>1539</v>
      </c>
      <c r="F67" s="127" t="s">
        <v>84</v>
      </c>
      <c r="G67" s="129"/>
      <c r="H67" s="117" t="str">
        <f t="shared" si="1"/>
        <v>CN</v>
      </c>
      <c r="I67" s="117" t="s">
        <v>73</v>
      </c>
    </row>
    <row r="68" spans="1:9">
      <c r="A68" s="114" t="str">
        <f t="shared" si="12"/>
        <v>4030000DEPN EXPENSE-ELECT3970000COMMUNICATION EQUIPMENTSITUS</v>
      </c>
      <c r="B68" s="126">
        <v>4030000</v>
      </c>
      <c r="C68" s="127" t="s">
        <v>1612</v>
      </c>
      <c r="D68" s="126">
        <v>3970000</v>
      </c>
      <c r="E68" s="128" t="s">
        <v>1539</v>
      </c>
      <c r="F68" s="127" t="s">
        <v>12</v>
      </c>
      <c r="G68" s="129"/>
      <c r="H68" s="117" t="str">
        <f t="shared" si="1"/>
        <v>SITUS</v>
      </c>
      <c r="I68" s="117" t="s">
        <v>14</v>
      </c>
    </row>
    <row r="69" spans="1:9">
      <c r="A69" s="114" t="str">
        <f t="shared" si="12"/>
        <v>4030000DEPN EXPENSE-ELECT3970000COMMUNICATION EQUIPMENTSO</v>
      </c>
      <c r="B69" s="126">
        <v>4030000</v>
      </c>
      <c r="C69" s="127" t="s">
        <v>1612</v>
      </c>
      <c r="D69" s="126">
        <v>3970000</v>
      </c>
      <c r="E69" s="128" t="s">
        <v>1539</v>
      </c>
      <c r="F69" s="127" t="s">
        <v>89</v>
      </c>
      <c r="G69" s="129"/>
      <c r="H69" s="117" t="str">
        <f t="shared" si="1"/>
        <v>SO</v>
      </c>
      <c r="I69" s="117" t="s">
        <v>92</v>
      </c>
    </row>
    <row r="70" spans="1:9">
      <c r="A70" s="114" t="str">
        <f t="shared" si="12"/>
        <v>4030000DEPN EXPENSE-ELECT3970000COMMUNICATION EQUIPMENTSG</v>
      </c>
      <c r="B70" s="126">
        <v>4030000</v>
      </c>
      <c r="C70" s="127" t="s">
        <v>1612</v>
      </c>
      <c r="D70" s="126">
        <v>3970000</v>
      </c>
      <c r="E70" s="128" t="s">
        <v>1539</v>
      </c>
      <c r="F70" s="127" t="s">
        <v>87</v>
      </c>
      <c r="G70" s="129"/>
      <c r="H70" s="117" t="str">
        <f t="shared" si="1"/>
        <v>SG</v>
      </c>
      <c r="I70" s="117" t="s">
        <v>196</v>
      </c>
    </row>
    <row r="71" spans="1:9">
      <c r="A71" s="114" t="str">
        <f t="shared" si="12"/>
        <v>4030000DEPN EXPENSE-ELECT3912000COMPUTER EQUIPMENT - PERSONAL COMPUTERSCN</v>
      </c>
      <c r="B71" s="126">
        <v>4030000</v>
      </c>
      <c r="C71" s="127" t="s">
        <v>1612</v>
      </c>
      <c r="D71" s="126">
        <v>3912000</v>
      </c>
      <c r="E71" s="128" t="s">
        <v>1518</v>
      </c>
      <c r="F71" s="127" t="s">
        <v>84</v>
      </c>
      <c r="G71" s="129"/>
      <c r="H71" s="117" t="str">
        <f t="shared" si="1"/>
        <v>CN</v>
      </c>
      <c r="I71" s="117" t="s">
        <v>73</v>
      </c>
    </row>
    <row r="72" spans="1:9">
      <c r="A72" s="114" t="str">
        <f t="shared" si="12"/>
        <v>4030000DEPN EXPENSE-ELECT3912000COMPUTER EQUIPMENT - PERSONAL COMPUTERSSG</v>
      </c>
      <c r="B72" s="126">
        <v>4030000</v>
      </c>
      <c r="C72" s="127" t="s">
        <v>1612</v>
      </c>
      <c r="D72" s="126">
        <v>3912000</v>
      </c>
      <c r="E72" s="128" t="s">
        <v>1518</v>
      </c>
      <c r="F72" s="127" t="s">
        <v>87</v>
      </c>
      <c r="G72" s="129"/>
      <c r="H72" s="117" t="str">
        <f t="shared" si="1"/>
        <v>SG</v>
      </c>
      <c r="I72" s="117" t="s">
        <v>193</v>
      </c>
    </row>
    <row r="73" spans="1:9">
      <c r="A73" s="114" t="str">
        <f t="shared" si="12"/>
        <v>4030000DEPN EXPENSE-ELECT3912000COMPUTER EQUIPMENT - PERSONAL COMPUTERSSITUS</v>
      </c>
      <c r="B73" s="126">
        <v>4030000</v>
      </c>
      <c r="C73" s="127" t="s">
        <v>1612</v>
      </c>
      <c r="D73" s="126">
        <v>3912000</v>
      </c>
      <c r="E73" s="128" t="s">
        <v>1518</v>
      </c>
      <c r="F73" s="127" t="s">
        <v>12</v>
      </c>
      <c r="G73" s="129"/>
      <c r="H73" s="117" t="str">
        <f t="shared" si="1"/>
        <v>SITUS</v>
      </c>
      <c r="I73" s="117" t="s">
        <v>14</v>
      </c>
    </row>
    <row r="74" spans="1:9">
      <c r="A74" s="114" t="str">
        <f t="shared" si="12"/>
        <v>4030000DEPN EXPENSE-ELECT3912000COMPUTER EQUIPMENT - PERSONAL COMPUTERSSE</v>
      </c>
      <c r="B74" s="126">
        <v>4030000</v>
      </c>
      <c r="C74" s="127" t="s">
        <v>1612</v>
      </c>
      <c r="D74" s="126">
        <v>3912000</v>
      </c>
      <c r="E74" s="128" t="s">
        <v>1518</v>
      </c>
      <c r="F74" s="127" t="s">
        <v>85</v>
      </c>
      <c r="G74" s="129"/>
      <c r="H74" s="117" t="str">
        <f t="shared" si="1"/>
        <v>SE</v>
      </c>
      <c r="I74" s="117" t="s">
        <v>68</v>
      </c>
    </row>
    <row r="75" spans="1:9">
      <c r="A75" s="114" t="str">
        <f t="shared" si="12"/>
        <v>4030000DEPN EXPENSE-ELECT3912000COMPUTER EQUIPMENT - PERSONAL COMPUTERSSO</v>
      </c>
      <c r="B75" s="126">
        <v>4030000</v>
      </c>
      <c r="C75" s="127" t="s">
        <v>1612</v>
      </c>
      <c r="D75" s="126">
        <v>3912000</v>
      </c>
      <c r="E75" s="128" t="s">
        <v>1518</v>
      </c>
      <c r="F75" s="127" t="s">
        <v>89</v>
      </c>
      <c r="G75" s="129"/>
      <c r="H75" s="117" t="str">
        <f t="shared" si="1"/>
        <v>SO</v>
      </c>
      <c r="I75" s="117" t="s">
        <v>92</v>
      </c>
    </row>
    <row r="76" spans="1:9">
      <c r="A76" s="114" t="str">
        <f t="shared" si="12"/>
        <v>4036000DEPR-DISTRIBUTION565161DEPR - DIST ASSETS NOT CLASSIFIEDSITUS</v>
      </c>
      <c r="B76" s="126">
        <v>4036000</v>
      </c>
      <c r="C76" s="127" t="s">
        <v>1664</v>
      </c>
      <c r="D76" s="126">
        <v>565161</v>
      </c>
      <c r="E76" s="128" t="s">
        <v>1665</v>
      </c>
      <c r="F76" s="127" t="s">
        <v>12</v>
      </c>
      <c r="G76" s="129"/>
      <c r="H76" s="117" t="str">
        <f t="shared" si="1"/>
        <v>SITUS</v>
      </c>
      <c r="I76" s="117" t="s">
        <v>70</v>
      </c>
    </row>
    <row r="77" spans="1:9">
      <c r="A77" s="114" t="str">
        <f t="shared" si="12"/>
        <v>4037000DEPR - GENERAL565201DEPR - GEN ASSETS NOT CLASSIFIEDSG</v>
      </c>
      <c r="B77" s="126">
        <v>4037000</v>
      </c>
      <c r="C77" s="127" t="s">
        <v>1666</v>
      </c>
      <c r="D77" s="126">
        <v>565201</v>
      </c>
      <c r="E77" s="128" t="s">
        <v>1667</v>
      </c>
      <c r="F77" s="127" t="s">
        <v>87</v>
      </c>
      <c r="G77" s="129"/>
      <c r="H77" s="117" t="str">
        <f t="shared" si="1"/>
        <v>SG</v>
      </c>
      <c r="I77" s="117" t="s">
        <v>68</v>
      </c>
    </row>
    <row r="78" spans="1:9">
      <c r="A78" s="114" t="str">
        <f t="shared" si="12"/>
        <v>4033000DEPR - HYDRO565133DEPR - PROD HYDRO NOT CLASSIFIEDSG-P</v>
      </c>
      <c r="B78" s="126">
        <v>4033000</v>
      </c>
      <c r="C78" s="127" t="s">
        <v>1658</v>
      </c>
      <c r="D78" s="126">
        <v>565133</v>
      </c>
      <c r="E78" s="128" t="s">
        <v>1659</v>
      </c>
      <c r="F78" s="127" t="s">
        <v>280</v>
      </c>
      <c r="G78" s="129"/>
      <c r="H78" s="117" t="str">
        <f t="shared" si="1"/>
        <v>SG-P</v>
      </c>
      <c r="I78" s="117" t="s">
        <v>68</v>
      </c>
    </row>
    <row r="79" spans="1:9">
      <c r="A79" s="114" t="str">
        <f t="shared" si="12"/>
        <v>4033000DEPR - HYDRO565133DEPR - PROD HYDRO NOT CLASSIFIEDSG-U</v>
      </c>
      <c r="B79" s="126">
        <v>4033000</v>
      </c>
      <c r="C79" s="127" t="s">
        <v>1658</v>
      </c>
      <c r="D79" s="126">
        <v>565133</v>
      </c>
      <c r="E79" s="128" t="s">
        <v>1659</v>
      </c>
      <c r="F79" s="127" t="s">
        <v>1455</v>
      </c>
      <c r="G79" s="129"/>
      <c r="H79" s="117" t="str">
        <f t="shared" si="1"/>
        <v>SG-U</v>
      </c>
      <c r="I79" s="117" t="s">
        <v>68</v>
      </c>
    </row>
    <row r="80" spans="1:9">
      <c r="A80" s="114" t="str">
        <f t="shared" si="12"/>
        <v>4034000DEPR - OTHER565134DEPR - PROD OTHER NOT CLASSIFIEDSG</v>
      </c>
      <c r="B80" s="126">
        <v>4034000</v>
      </c>
      <c r="C80" s="127" t="s">
        <v>1660</v>
      </c>
      <c r="D80" s="126">
        <v>565134</v>
      </c>
      <c r="E80" s="128" t="s">
        <v>1661</v>
      </c>
      <c r="F80" s="127" t="s">
        <v>87</v>
      </c>
      <c r="G80" s="129"/>
      <c r="H80" s="117" t="str">
        <f t="shared" si="1"/>
        <v>SG</v>
      </c>
      <c r="I80" s="117" t="s">
        <v>68</v>
      </c>
    </row>
    <row r="81" spans="1:9">
      <c r="A81" s="114" t="str">
        <f t="shared" si="12"/>
        <v>4032000DEPR - STEAM565131DEPR - PROD STEAM NOT CLASSIFIEDSG</v>
      </c>
      <c r="B81" s="126">
        <v>4032000</v>
      </c>
      <c r="C81" s="127" t="s">
        <v>1656</v>
      </c>
      <c r="D81" s="126">
        <v>565131</v>
      </c>
      <c r="E81" s="128" t="s">
        <v>1657</v>
      </c>
      <c r="F81" s="127" t="s">
        <v>87</v>
      </c>
      <c r="G81" s="129"/>
      <c r="H81" s="117" t="str">
        <f t="shared" si="1"/>
        <v>SG</v>
      </c>
      <c r="I81" s="117" t="s">
        <v>68</v>
      </c>
    </row>
    <row r="82" spans="1:9">
      <c r="A82" s="114" t="str">
        <f t="shared" si="12"/>
        <v>4035000DEPR-TRANSMISSION565141DEPR - TRANS ASSETS NOT CLASSIFIEDSG</v>
      </c>
      <c r="B82" s="126">
        <v>4035000</v>
      </c>
      <c r="C82" s="127" t="s">
        <v>1662</v>
      </c>
      <c r="D82" s="126">
        <v>565141</v>
      </c>
      <c r="E82" s="128" t="s">
        <v>1663</v>
      </c>
      <c r="F82" s="127" t="s">
        <v>87</v>
      </c>
      <c r="G82" s="129"/>
      <c r="H82" s="117" t="str">
        <f t="shared" si="1"/>
        <v>SG</v>
      </c>
      <c r="I82" s="117" t="s">
        <v>69</v>
      </c>
    </row>
    <row r="83" spans="1:9">
      <c r="A83" s="114" t="str">
        <f t="shared" si="12"/>
        <v>4039999DEPR EXP-ELEC, OTH565970DEPRECIATION-JOINT OWNER BILLED-CREDITSG</v>
      </c>
      <c r="B83" s="126">
        <v>4039999</v>
      </c>
      <c r="C83" s="127" t="s">
        <v>1668</v>
      </c>
      <c r="D83" s="126">
        <v>565970</v>
      </c>
      <c r="E83" s="128" t="s">
        <v>1669</v>
      </c>
      <c r="F83" s="127" t="s">
        <v>87</v>
      </c>
      <c r="G83" s="129"/>
      <c r="H83" s="117" t="str">
        <f t="shared" si="1"/>
        <v>SG</v>
      </c>
      <c r="I83" s="117" t="s">
        <v>68</v>
      </c>
    </row>
    <row r="84" spans="1:9">
      <c r="A84" s="114" t="str">
        <f t="shared" si="12"/>
        <v>4030000DEPN EXPENSE-ELECT3304000FLOOD RIGHTSSG-P</v>
      </c>
      <c r="B84" s="126">
        <v>4030000</v>
      </c>
      <c r="C84" s="127" t="s">
        <v>1612</v>
      </c>
      <c r="D84" s="126">
        <v>3304000</v>
      </c>
      <c r="E84" s="128" t="s">
        <v>1619</v>
      </c>
      <c r="F84" s="127" t="s">
        <v>280</v>
      </c>
      <c r="G84" s="129"/>
      <c r="H84" s="117" t="str">
        <f t="shared" si="1"/>
        <v>SG-P</v>
      </c>
      <c r="I84" s="117" t="s">
        <v>68</v>
      </c>
    </row>
    <row r="85" spans="1:9">
      <c r="A85" s="114" t="str">
        <f t="shared" si="12"/>
        <v>4030000DEPN EXPENSE-ELECT3304000FLOOD RIGHTSSG-U</v>
      </c>
      <c r="B85" s="126">
        <v>4030000</v>
      </c>
      <c r="C85" s="127" t="s">
        <v>1612</v>
      </c>
      <c r="D85" s="126">
        <v>3304000</v>
      </c>
      <c r="E85" s="128" t="s">
        <v>1619</v>
      </c>
      <c r="F85" s="127" t="s">
        <v>1455</v>
      </c>
      <c r="G85" s="129"/>
      <c r="H85" s="117" t="str">
        <f t="shared" si="1"/>
        <v>SG-U</v>
      </c>
      <c r="I85" s="117" t="s">
        <v>68</v>
      </c>
    </row>
    <row r="86" spans="1:9">
      <c r="A86" s="114" t="str">
        <f t="shared" si="12"/>
        <v>4030000DEPN EXPENSE-ELECT3440000GENERATORSSG</v>
      </c>
      <c r="B86" s="126">
        <v>4030000</v>
      </c>
      <c r="C86" s="127" t="s">
        <v>1612</v>
      </c>
      <c r="D86" s="126">
        <v>3440000</v>
      </c>
      <c r="E86" s="128" t="s">
        <v>1638</v>
      </c>
      <c r="F86" s="127" t="s">
        <v>87</v>
      </c>
      <c r="G86" s="129"/>
      <c r="H86" s="117" t="str">
        <f t="shared" si="1"/>
        <v>SG</v>
      </c>
      <c r="I86" s="117" t="s">
        <v>68</v>
      </c>
    </row>
    <row r="87" spans="1:9">
      <c r="A87" s="114" t="str">
        <f t="shared" si="12"/>
        <v>4030000DEPN EXPENSE-ELECT3710000INSTALL ON CUSTOMERS PREMISESSITUS</v>
      </c>
      <c r="B87" s="126">
        <v>4030000</v>
      </c>
      <c r="C87" s="127" t="s">
        <v>1612</v>
      </c>
      <c r="D87" s="126">
        <v>3710000</v>
      </c>
      <c r="E87" s="128" t="s">
        <v>1654</v>
      </c>
      <c r="F87" s="127" t="s">
        <v>12</v>
      </c>
      <c r="G87" s="129"/>
      <c r="H87" s="117" t="str">
        <f t="shared" si="1"/>
        <v>SITUS</v>
      </c>
      <c r="I87" s="117" t="s">
        <v>70</v>
      </c>
    </row>
    <row r="88" spans="1:9">
      <c r="A88" s="114" t="str">
        <f t="shared" si="12"/>
        <v>4030000DEPN EXPENSE-ELECT3950000LABORATORY EQUIPMENTSG</v>
      </c>
      <c r="B88" s="126">
        <v>4030000</v>
      </c>
      <c r="C88" s="127" t="s">
        <v>1612</v>
      </c>
      <c r="D88" s="126">
        <v>3950000</v>
      </c>
      <c r="E88" s="128" t="s">
        <v>1531</v>
      </c>
      <c r="F88" s="127" t="s">
        <v>87</v>
      </c>
      <c r="G88" s="129"/>
      <c r="H88" s="117" t="str">
        <f t="shared" si="1"/>
        <v>SG</v>
      </c>
      <c r="I88" s="117" t="s">
        <v>196</v>
      </c>
    </row>
    <row r="89" spans="1:9">
      <c r="A89" s="114" t="str">
        <f t="shared" si="12"/>
        <v>4030000DEPN EXPENSE-ELECT3950000LABORATORY EQUIPMENTSITUS</v>
      </c>
      <c r="B89" s="126">
        <v>4030000</v>
      </c>
      <c r="C89" s="127" t="s">
        <v>1612</v>
      </c>
      <c r="D89" s="126">
        <v>3950000</v>
      </c>
      <c r="E89" s="128" t="s">
        <v>1531</v>
      </c>
      <c r="F89" s="127" t="s">
        <v>12</v>
      </c>
      <c r="G89" s="129"/>
      <c r="H89" s="117" t="str">
        <f t="shared" si="1"/>
        <v>SITUS</v>
      </c>
      <c r="I89" s="117" t="s">
        <v>14</v>
      </c>
    </row>
    <row r="90" spans="1:9">
      <c r="A90" s="114" t="str">
        <f t="shared" si="12"/>
        <v>4030000DEPN EXPENSE-ELECT3950000LABORATORY EQUIPMENTSE</v>
      </c>
      <c r="B90" s="126">
        <v>4030000</v>
      </c>
      <c r="C90" s="127" t="s">
        <v>1612</v>
      </c>
      <c r="D90" s="126">
        <v>3950000</v>
      </c>
      <c r="E90" s="128" t="s">
        <v>1531</v>
      </c>
      <c r="F90" s="127" t="s">
        <v>85</v>
      </c>
      <c r="G90" s="129"/>
      <c r="H90" s="117" t="str">
        <f t="shared" si="1"/>
        <v>SE</v>
      </c>
      <c r="I90" s="117" t="s">
        <v>68</v>
      </c>
    </row>
    <row r="91" spans="1:9">
      <c r="A91" s="114" t="str">
        <f t="shared" si="12"/>
        <v>4030000DEPN EXPENSE-ELECT3950000LABORATORY EQUIPMENTSO</v>
      </c>
      <c r="B91" s="126">
        <v>4030000</v>
      </c>
      <c r="C91" s="127" t="s">
        <v>1612</v>
      </c>
      <c r="D91" s="126">
        <v>3950000</v>
      </c>
      <c r="E91" s="128" t="s">
        <v>1531</v>
      </c>
      <c r="F91" s="127" t="s">
        <v>89</v>
      </c>
      <c r="G91" s="129"/>
      <c r="H91" s="117" t="str">
        <f t="shared" si="1"/>
        <v>SO</v>
      </c>
      <c r="I91" s="117" t="s">
        <v>92</v>
      </c>
    </row>
    <row r="92" spans="1:9">
      <c r="A92" s="114" t="str">
        <f t="shared" si="12"/>
        <v>4030000DEPN EXPENSE-ELECT3602000LAND RIGHTSSITUS</v>
      </c>
      <c r="B92" s="126">
        <v>4030000</v>
      </c>
      <c r="C92" s="127" t="s">
        <v>1612</v>
      </c>
      <c r="D92" s="126">
        <v>3602000</v>
      </c>
      <c r="E92" s="128" t="s">
        <v>1514</v>
      </c>
      <c r="F92" s="127" t="s">
        <v>12</v>
      </c>
      <c r="G92" s="129"/>
      <c r="H92" s="117" t="str">
        <f t="shared" si="1"/>
        <v>SITUS</v>
      </c>
      <c r="I92" s="117" t="s">
        <v>70</v>
      </c>
    </row>
    <row r="93" spans="1:9">
      <c r="A93" s="114" t="str">
        <f t="shared" si="12"/>
        <v>4030000DEPN EXPENSE-ELECT3892000LAND RIGHTSSG</v>
      </c>
      <c r="B93" s="126">
        <v>4030000</v>
      </c>
      <c r="C93" s="127" t="s">
        <v>1612</v>
      </c>
      <c r="D93" s="126">
        <v>3892000</v>
      </c>
      <c r="E93" s="128" t="s">
        <v>1514</v>
      </c>
      <c r="F93" s="127" t="s">
        <v>87</v>
      </c>
      <c r="G93" s="129"/>
      <c r="H93" s="117" t="str">
        <f t="shared" si="1"/>
        <v>SG</v>
      </c>
      <c r="I93" s="117" t="s">
        <v>191</v>
      </c>
    </row>
    <row r="94" spans="1:9">
      <c r="A94" s="114" t="str">
        <f t="shared" si="12"/>
        <v>4030000DEPN EXPENSE-ELECT3892000LAND RIGHTSSITUS</v>
      </c>
      <c r="B94" s="126">
        <v>4030000</v>
      </c>
      <c r="C94" s="127" t="s">
        <v>1612</v>
      </c>
      <c r="D94" s="126">
        <v>3892000</v>
      </c>
      <c r="E94" s="128" t="s">
        <v>1514</v>
      </c>
      <c r="F94" s="127" t="s">
        <v>12</v>
      </c>
      <c r="G94" s="129"/>
      <c r="H94" s="117" t="str">
        <f t="shared" si="1"/>
        <v>SITUS</v>
      </c>
      <c r="I94" s="117" t="s">
        <v>14</v>
      </c>
    </row>
    <row r="95" spans="1:9">
      <c r="A95" s="114" t="str">
        <f t="shared" si="12"/>
        <v>4030000DEPN EXPENSE-ELECT3102000LAND RIGHTSSG</v>
      </c>
      <c r="B95" s="126">
        <v>4030000</v>
      </c>
      <c r="C95" s="127" t="s">
        <v>1612</v>
      </c>
      <c r="D95" s="126">
        <v>3102000</v>
      </c>
      <c r="E95" s="128" t="s">
        <v>1514</v>
      </c>
      <c r="F95" s="127" t="s">
        <v>87</v>
      </c>
      <c r="G95" s="129"/>
      <c r="H95" s="117" t="str">
        <f t="shared" si="1"/>
        <v>SG</v>
      </c>
      <c r="I95" s="117" t="s">
        <v>68</v>
      </c>
    </row>
    <row r="96" spans="1:9">
      <c r="A96" s="114" t="str">
        <f t="shared" si="12"/>
        <v>4030000DEPN EXPENSE-ELECT3302000LAND RIGHTSSG-P</v>
      </c>
      <c r="B96" s="126">
        <v>4030000</v>
      </c>
      <c r="C96" s="127" t="s">
        <v>1612</v>
      </c>
      <c r="D96" s="126">
        <v>3302000</v>
      </c>
      <c r="E96" s="128" t="s">
        <v>1514</v>
      </c>
      <c r="F96" s="127" t="s">
        <v>280</v>
      </c>
      <c r="G96" s="129"/>
      <c r="H96" s="117" t="str">
        <f t="shared" ref="H96:H159" si="13">IF(OR(F96="IDU",F96="OR",F96="UT",F96="WYU",F96="WYP",F96="CA",F96="WA"),"SITUS",F96)</f>
        <v>SG-P</v>
      </c>
      <c r="I96" s="117" t="s">
        <v>68</v>
      </c>
    </row>
    <row r="97" spans="1:9">
      <c r="A97" s="114" t="str">
        <f t="shared" si="12"/>
        <v>4030000DEPN EXPENSE-ELECT3302000LAND RIGHTSSG-U</v>
      </c>
      <c r="B97" s="126">
        <v>4030000</v>
      </c>
      <c r="C97" s="127" t="s">
        <v>1612</v>
      </c>
      <c r="D97" s="126">
        <v>3302000</v>
      </c>
      <c r="E97" s="128" t="s">
        <v>1514</v>
      </c>
      <c r="F97" s="127" t="s">
        <v>1455</v>
      </c>
      <c r="G97" s="129"/>
      <c r="H97" s="117" t="str">
        <f t="shared" si="13"/>
        <v>SG-U</v>
      </c>
      <c r="I97" s="117" t="s">
        <v>68</v>
      </c>
    </row>
    <row r="98" spans="1:9">
      <c r="A98" s="114" t="str">
        <f t="shared" si="12"/>
        <v>4030000DEPN EXPENSE-ELECT3502000LAND RIGHTSSG</v>
      </c>
      <c r="B98" s="126">
        <v>4030000</v>
      </c>
      <c r="C98" s="127" t="s">
        <v>1612</v>
      </c>
      <c r="D98" s="126">
        <v>3502000</v>
      </c>
      <c r="E98" s="128" t="s">
        <v>1514</v>
      </c>
      <c r="F98" s="127" t="s">
        <v>87</v>
      </c>
      <c r="G98" s="129"/>
      <c r="H98" s="117" t="str">
        <f t="shared" si="13"/>
        <v>SG</v>
      </c>
      <c r="I98" s="117" t="s">
        <v>69</v>
      </c>
    </row>
    <row r="99" spans="1:9">
      <c r="A99" s="114" t="str">
        <f t="shared" si="12"/>
        <v>4030000DEPN EXPENSE-ELECT3305000LAND RIGHTS - FISH/WILDLIFESG-P</v>
      </c>
      <c r="B99" s="126">
        <v>4030000</v>
      </c>
      <c r="C99" s="127" t="s">
        <v>1612</v>
      </c>
      <c r="D99" s="126">
        <v>3305000</v>
      </c>
      <c r="E99" s="128" t="s">
        <v>1620</v>
      </c>
      <c r="F99" s="127" t="s">
        <v>280</v>
      </c>
      <c r="G99" s="129"/>
      <c r="H99" s="117" t="str">
        <f t="shared" si="13"/>
        <v>SG-P</v>
      </c>
      <c r="I99" s="117" t="s">
        <v>68</v>
      </c>
    </row>
    <row r="100" spans="1:9">
      <c r="A100" s="114" t="str">
        <f t="shared" si="12"/>
        <v>4030000DEPN EXPENSE-ELECT3680000LINE TRANSFORMERSSITUS</v>
      </c>
      <c r="B100" s="126">
        <v>4030000</v>
      </c>
      <c r="C100" s="127" t="s">
        <v>1612</v>
      </c>
      <c r="D100" s="126">
        <v>3680000</v>
      </c>
      <c r="E100" s="128" t="s">
        <v>1650</v>
      </c>
      <c r="F100" s="127" t="s">
        <v>12</v>
      </c>
      <c r="G100" s="129"/>
      <c r="H100" s="117" t="str">
        <f t="shared" si="13"/>
        <v>SITUS</v>
      </c>
      <c r="I100" s="117" t="s">
        <v>70</v>
      </c>
    </row>
    <row r="101" spans="1:9">
      <c r="A101" s="114" t="str">
        <f t="shared" si="12"/>
        <v>4030000DEPN EXPENSE-ELECT3700000METERSSITUS</v>
      </c>
      <c r="B101" s="126">
        <v>4030000</v>
      </c>
      <c r="C101" s="127" t="s">
        <v>1612</v>
      </c>
      <c r="D101" s="126">
        <v>3700000</v>
      </c>
      <c r="E101" s="128" t="s">
        <v>1653</v>
      </c>
      <c r="F101" s="127" t="s">
        <v>12</v>
      </c>
      <c r="G101" s="129"/>
      <c r="H101" s="117" t="str">
        <f t="shared" si="13"/>
        <v>SITUS</v>
      </c>
      <c r="I101" s="117" t="s">
        <v>70</v>
      </c>
    </row>
    <row r="102" spans="1:9">
      <c r="A102" s="114" t="str">
        <f t="shared" si="12"/>
        <v>4030000DEPN EXPENSE-ELECT3350000MISC POWER PLANT EQUIPSG-U</v>
      </c>
      <c r="B102" s="126">
        <v>4030000</v>
      </c>
      <c r="C102" s="127" t="s">
        <v>1612</v>
      </c>
      <c r="D102" s="126">
        <v>3350000</v>
      </c>
      <c r="E102" s="128" t="s">
        <v>1631</v>
      </c>
      <c r="F102" s="127" t="s">
        <v>1455</v>
      </c>
      <c r="G102" s="129"/>
      <c r="H102" s="117" t="str">
        <f t="shared" si="13"/>
        <v>SG-U</v>
      </c>
      <c r="I102" s="117" t="s">
        <v>68</v>
      </c>
    </row>
    <row r="103" spans="1:9">
      <c r="A103" s="114" t="str">
        <f t="shared" si="12"/>
        <v>4030000DEPN EXPENSE-ELECT3351000MISC POWER PLANT EQUIP - PRODUCTIONSG-P</v>
      </c>
      <c r="B103" s="126">
        <v>4030000</v>
      </c>
      <c r="C103" s="127" t="s">
        <v>1612</v>
      </c>
      <c r="D103" s="126">
        <v>3351000</v>
      </c>
      <c r="E103" s="128" t="s">
        <v>1632</v>
      </c>
      <c r="F103" s="127" t="s">
        <v>280</v>
      </c>
      <c r="G103" s="129"/>
      <c r="H103" s="117" t="str">
        <f t="shared" si="13"/>
        <v>SG-P</v>
      </c>
      <c r="I103" s="117" t="s">
        <v>68</v>
      </c>
    </row>
    <row r="104" spans="1:9">
      <c r="A104" s="114" t="str">
        <f t="shared" si="12"/>
        <v>4030000DEPN EXPENSE-ELECT3353000MISC POWER PLANT EQUIP - RECREATIONSG-P</v>
      </c>
      <c r="B104" s="126">
        <v>4030000</v>
      </c>
      <c r="C104" s="127" t="s">
        <v>1612</v>
      </c>
      <c r="D104" s="126">
        <v>3353000</v>
      </c>
      <c r="E104" s="128" t="s">
        <v>1633</v>
      </c>
      <c r="F104" s="127" t="s">
        <v>280</v>
      </c>
      <c r="G104" s="129"/>
      <c r="H104" s="117" t="str">
        <f t="shared" si="13"/>
        <v>SG-P</v>
      </c>
      <c r="I104" s="117" t="s">
        <v>68</v>
      </c>
    </row>
    <row r="105" spans="1:9">
      <c r="A105" s="114" t="str">
        <f t="shared" si="12"/>
        <v>4030000DEPN EXPENSE-ELECT3980000MISCELLANEOUS EQUIPMENTCN</v>
      </c>
      <c r="B105" s="126">
        <v>4030000</v>
      </c>
      <c r="C105" s="127" t="s">
        <v>1612</v>
      </c>
      <c r="D105" s="126">
        <v>3980000</v>
      </c>
      <c r="E105" s="128" t="s">
        <v>1541</v>
      </c>
      <c r="F105" s="127" t="s">
        <v>84</v>
      </c>
      <c r="G105" s="129"/>
      <c r="H105" s="117" t="str">
        <f t="shared" si="13"/>
        <v>CN</v>
      </c>
      <c r="I105" s="117" t="s">
        <v>73</v>
      </c>
    </row>
    <row r="106" spans="1:9">
      <c r="A106" s="114" t="str">
        <f t="shared" si="12"/>
        <v>4030000DEPN EXPENSE-ELECT3980000MISCELLANEOUS EQUIPMENTSG</v>
      </c>
      <c r="B106" s="126">
        <v>4030000</v>
      </c>
      <c r="C106" s="127" t="s">
        <v>1612</v>
      </c>
      <c r="D106" s="126">
        <v>3980000</v>
      </c>
      <c r="E106" s="128" t="s">
        <v>1541</v>
      </c>
      <c r="F106" s="127" t="s">
        <v>87</v>
      </c>
      <c r="G106" s="129"/>
      <c r="H106" s="117" t="str">
        <f t="shared" si="13"/>
        <v>SG</v>
      </c>
      <c r="I106" s="117" t="s">
        <v>196</v>
      </c>
    </row>
    <row r="107" spans="1:9">
      <c r="A107" s="114" t="str">
        <f t="shared" si="12"/>
        <v>4030000DEPN EXPENSE-ELECT3980000MISCELLANEOUS EQUIPMENTSITUS</v>
      </c>
      <c r="B107" s="126">
        <v>4030000</v>
      </c>
      <c r="C107" s="127" t="s">
        <v>1612</v>
      </c>
      <c r="D107" s="126">
        <v>3980000</v>
      </c>
      <c r="E107" s="128" t="s">
        <v>1541</v>
      </c>
      <c r="F107" s="127" t="s">
        <v>12</v>
      </c>
      <c r="G107" s="129"/>
      <c r="H107" s="117" t="str">
        <f t="shared" si="13"/>
        <v>SITUS</v>
      </c>
      <c r="I107" s="117" t="s">
        <v>14</v>
      </c>
    </row>
    <row r="108" spans="1:9">
      <c r="A108" s="114" t="str">
        <f t="shared" si="12"/>
        <v>4030000DEPN EXPENSE-ELECT3980000MISCELLANEOUS EQUIPMENTSE</v>
      </c>
      <c r="B108" s="126">
        <v>4030000</v>
      </c>
      <c r="C108" s="127" t="s">
        <v>1612</v>
      </c>
      <c r="D108" s="126">
        <v>3980000</v>
      </c>
      <c r="E108" s="128" t="s">
        <v>1541</v>
      </c>
      <c r="F108" s="127" t="s">
        <v>85</v>
      </c>
      <c r="G108" s="129"/>
      <c r="H108" s="117" t="str">
        <f t="shared" si="13"/>
        <v>SE</v>
      </c>
      <c r="I108" s="117" t="s">
        <v>68</v>
      </c>
    </row>
    <row r="109" spans="1:9">
      <c r="A109" s="114" t="str">
        <f t="shared" si="12"/>
        <v>4030000DEPN EXPENSE-ELECT3980000MISCELLANEOUS EQUIPMENTSO</v>
      </c>
      <c r="B109" s="126">
        <v>4030000</v>
      </c>
      <c r="C109" s="127" t="s">
        <v>1612</v>
      </c>
      <c r="D109" s="126">
        <v>3980000</v>
      </c>
      <c r="E109" s="128" t="s">
        <v>1541</v>
      </c>
      <c r="F109" s="127" t="s">
        <v>89</v>
      </c>
      <c r="G109" s="129"/>
      <c r="H109" s="117" t="str">
        <f t="shared" si="13"/>
        <v>SO</v>
      </c>
      <c r="I109" s="117" t="s">
        <v>92</v>
      </c>
    </row>
    <row r="110" spans="1:9">
      <c r="A110" s="114" t="str">
        <f t="shared" si="12"/>
        <v>4030000DEPN EXPENSE-ELECT3160000MISCELLANEOUS POWER PLANT EQUIPMENTSG</v>
      </c>
      <c r="B110" s="126">
        <v>4030000</v>
      </c>
      <c r="C110" s="127" t="s">
        <v>1612</v>
      </c>
      <c r="D110" s="126">
        <v>3160000</v>
      </c>
      <c r="E110" s="128" t="s">
        <v>1617</v>
      </c>
      <c r="F110" s="127" t="s">
        <v>87</v>
      </c>
      <c r="G110" s="129"/>
      <c r="H110" s="117" t="str">
        <f t="shared" si="13"/>
        <v>SG</v>
      </c>
      <c r="I110" s="117" t="s">
        <v>68</v>
      </c>
    </row>
    <row r="111" spans="1:9">
      <c r="A111" s="114" t="str">
        <f t="shared" si="12"/>
        <v>4030000DEPN EXPENSE-ELECT3460000MISCELLANEOUS PWR PLANT EQUIPSG</v>
      </c>
      <c r="B111" s="126">
        <v>4030000</v>
      </c>
      <c r="C111" s="127" t="s">
        <v>1612</v>
      </c>
      <c r="D111" s="126">
        <v>3460000</v>
      </c>
      <c r="E111" s="128" t="s">
        <v>1639</v>
      </c>
      <c r="F111" s="127" t="s">
        <v>87</v>
      </c>
      <c r="G111" s="129"/>
      <c r="H111" s="117" t="str">
        <f t="shared" si="13"/>
        <v>SG</v>
      </c>
      <c r="I111" s="117" t="s">
        <v>68</v>
      </c>
    </row>
    <row r="112" spans="1:9">
      <c r="A112" s="114" t="str">
        <f t="shared" si="12"/>
        <v>4030000DEPN EXPENSE-ELECT3972000MOBILE RADIO EQUIPMENTSG</v>
      </c>
      <c r="B112" s="126">
        <v>4030000</v>
      </c>
      <c r="C112" s="127" t="s">
        <v>1612</v>
      </c>
      <c r="D112" s="126">
        <v>3972000</v>
      </c>
      <c r="E112" s="128" t="s">
        <v>1540</v>
      </c>
      <c r="F112" s="127" t="s">
        <v>87</v>
      </c>
      <c r="G112" s="129"/>
      <c r="H112" s="117" t="str">
        <f t="shared" si="13"/>
        <v>SG</v>
      </c>
      <c r="I112" s="117" t="s">
        <v>196</v>
      </c>
    </row>
    <row r="113" spans="1:9">
      <c r="A113" s="114" t="str">
        <f t="shared" si="12"/>
        <v>4030000DEPN EXPENSE-ELECT3972000MOBILE RADIO EQUIPMENTSITUS</v>
      </c>
      <c r="B113" s="126">
        <v>4030000</v>
      </c>
      <c r="C113" s="127" t="s">
        <v>1612</v>
      </c>
      <c r="D113" s="126">
        <v>3972000</v>
      </c>
      <c r="E113" s="128" t="s">
        <v>1540</v>
      </c>
      <c r="F113" s="127" t="s">
        <v>12</v>
      </c>
      <c r="G113" s="129"/>
      <c r="H113" s="117" t="str">
        <f t="shared" si="13"/>
        <v>SITUS</v>
      </c>
      <c r="I113" s="117" t="s">
        <v>14</v>
      </c>
    </row>
    <row r="114" spans="1:9">
      <c r="A114" s="114" t="str">
        <f t="shared" si="12"/>
        <v>4030000DEPN EXPENSE-ELECT3972000MOBILE RADIO EQUIPMENTSE</v>
      </c>
      <c r="B114" s="126">
        <v>4030000</v>
      </c>
      <c r="C114" s="127" t="s">
        <v>1612</v>
      </c>
      <c r="D114" s="126">
        <v>3972000</v>
      </c>
      <c r="E114" s="128" t="s">
        <v>1540</v>
      </c>
      <c r="F114" s="127" t="s">
        <v>85</v>
      </c>
      <c r="G114" s="129"/>
      <c r="H114" s="117" t="str">
        <f t="shared" si="13"/>
        <v>SE</v>
      </c>
      <c r="I114" s="117" t="s">
        <v>68</v>
      </c>
    </row>
    <row r="115" spans="1:9">
      <c r="A115" s="114" t="str">
        <f t="shared" si="12"/>
        <v>4030000DEPN EXPENSE-ELECT3972000MOBILE RADIO EQUIPMENTSO</v>
      </c>
      <c r="B115" s="126">
        <v>4030000</v>
      </c>
      <c r="C115" s="127" t="s">
        <v>1612</v>
      </c>
      <c r="D115" s="126">
        <v>3972000</v>
      </c>
      <c r="E115" s="128" t="s">
        <v>1540</v>
      </c>
      <c r="F115" s="127" t="s">
        <v>89</v>
      </c>
      <c r="G115" s="129"/>
      <c r="H115" s="117" t="str">
        <f t="shared" si="13"/>
        <v>SO</v>
      </c>
      <c r="I115" s="117" t="s">
        <v>92</v>
      </c>
    </row>
    <row r="116" spans="1:9">
      <c r="A116" s="114" t="str">
        <f t="shared" si="12"/>
        <v>4030000DEPN EXPENSE-ELECT3913000OFFICE EQUIPMENTCN</v>
      </c>
      <c r="B116" s="126">
        <v>4030000</v>
      </c>
      <c r="C116" s="127" t="s">
        <v>1612</v>
      </c>
      <c r="D116" s="126">
        <v>3913000</v>
      </c>
      <c r="E116" s="128" t="s">
        <v>1519</v>
      </c>
      <c r="F116" s="127" t="s">
        <v>84</v>
      </c>
      <c r="G116" s="129"/>
      <c r="H116" s="117" t="str">
        <f t="shared" si="13"/>
        <v>CN</v>
      </c>
      <c r="I116" s="117" t="s">
        <v>73</v>
      </c>
    </row>
    <row r="117" spans="1:9">
      <c r="A117" s="114" t="str">
        <f t="shared" si="12"/>
        <v>4030000DEPN EXPENSE-ELECT3913000OFFICE EQUIPMENTSG</v>
      </c>
      <c r="B117" s="126">
        <v>4030000</v>
      </c>
      <c r="C117" s="127" t="s">
        <v>1612</v>
      </c>
      <c r="D117" s="126">
        <v>3913000</v>
      </c>
      <c r="E117" s="128" t="s">
        <v>1519</v>
      </c>
      <c r="F117" s="127" t="s">
        <v>87</v>
      </c>
      <c r="G117" s="129"/>
      <c r="H117" s="117" t="str">
        <f t="shared" si="13"/>
        <v>SG</v>
      </c>
      <c r="I117" s="117" t="s">
        <v>196</v>
      </c>
    </row>
    <row r="118" spans="1:9">
      <c r="A118" s="114" t="str">
        <f t="shared" si="12"/>
        <v>4030000DEPN EXPENSE-ELECT3913000OFFICE EQUIPMENTSITUS</v>
      </c>
      <c r="B118" s="126">
        <v>4030000</v>
      </c>
      <c r="C118" s="127" t="s">
        <v>1612</v>
      </c>
      <c r="D118" s="126">
        <v>3913000</v>
      </c>
      <c r="E118" s="128" t="s">
        <v>1519</v>
      </c>
      <c r="F118" s="127" t="s">
        <v>12</v>
      </c>
      <c r="G118" s="129"/>
      <c r="H118" s="117" t="str">
        <f t="shared" si="13"/>
        <v>SITUS</v>
      </c>
      <c r="I118" s="117" t="s">
        <v>14</v>
      </c>
    </row>
    <row r="119" spans="1:9">
      <c r="A119" s="114" t="str">
        <f t="shared" si="12"/>
        <v>4030000DEPN EXPENSE-ELECT3913000OFFICE EQUIPMENTSO</v>
      </c>
      <c r="B119" s="126">
        <v>4030000</v>
      </c>
      <c r="C119" s="127" t="s">
        <v>1612</v>
      </c>
      <c r="D119" s="126">
        <v>3913000</v>
      </c>
      <c r="E119" s="128" t="s">
        <v>1519</v>
      </c>
      <c r="F119" s="127" t="s">
        <v>89</v>
      </c>
      <c r="G119" s="129"/>
      <c r="H119" s="117" t="str">
        <f t="shared" si="13"/>
        <v>SO</v>
      </c>
      <c r="I119" s="117" t="s">
        <v>92</v>
      </c>
    </row>
    <row r="120" spans="1:9">
      <c r="A120" s="114" t="str">
        <f t="shared" si="12"/>
        <v>4030000DEPN EXPENSE-ELECT3910000OFFICE FURNITURECN</v>
      </c>
      <c r="B120" s="126">
        <v>4030000</v>
      </c>
      <c r="C120" s="127" t="s">
        <v>1612</v>
      </c>
      <c r="D120" s="126">
        <v>3910000</v>
      </c>
      <c r="E120" s="128" t="s">
        <v>1517</v>
      </c>
      <c r="F120" s="127" t="s">
        <v>84</v>
      </c>
      <c r="G120" s="129"/>
      <c r="H120" s="117" t="str">
        <f t="shared" si="13"/>
        <v>CN</v>
      </c>
      <c r="I120" s="117" t="s">
        <v>73</v>
      </c>
    </row>
    <row r="121" spans="1:9">
      <c r="A121" s="114" t="str">
        <f t="shared" si="12"/>
        <v>4030000DEPN EXPENSE-ELECT3910000OFFICE FURNITURESG</v>
      </c>
      <c r="B121" s="126">
        <v>4030000</v>
      </c>
      <c r="C121" s="127" t="s">
        <v>1612</v>
      </c>
      <c r="D121" s="126">
        <v>3910000</v>
      </c>
      <c r="E121" s="128" t="s">
        <v>1517</v>
      </c>
      <c r="F121" s="127" t="s">
        <v>87</v>
      </c>
      <c r="G121" s="129"/>
      <c r="H121" s="117" t="str">
        <f t="shared" si="13"/>
        <v>SG</v>
      </c>
      <c r="I121" s="117" t="s">
        <v>196</v>
      </c>
    </row>
    <row r="122" spans="1:9">
      <c r="A122" s="114" t="str">
        <f t="shared" si="12"/>
        <v>4030000DEPN EXPENSE-ELECT3910000OFFICE FURNITURESITUS</v>
      </c>
      <c r="B122" s="126">
        <v>4030000</v>
      </c>
      <c r="C122" s="127" t="s">
        <v>1612</v>
      </c>
      <c r="D122" s="126">
        <v>3910000</v>
      </c>
      <c r="E122" s="128" t="s">
        <v>1517</v>
      </c>
      <c r="F122" s="127" t="s">
        <v>12</v>
      </c>
      <c r="G122" s="129"/>
      <c r="H122" s="117" t="str">
        <f t="shared" si="13"/>
        <v>SITUS</v>
      </c>
      <c r="I122" s="117" t="s">
        <v>14</v>
      </c>
    </row>
    <row r="123" spans="1:9">
      <c r="A123" s="114" t="str">
        <f t="shared" si="12"/>
        <v>4030000DEPN EXPENSE-ELECT3910000OFFICE FURNITURESE</v>
      </c>
      <c r="B123" s="126">
        <v>4030000</v>
      </c>
      <c r="C123" s="127" t="s">
        <v>1612</v>
      </c>
      <c r="D123" s="126">
        <v>3910000</v>
      </c>
      <c r="E123" s="128" t="s">
        <v>1517</v>
      </c>
      <c r="F123" s="127" t="s">
        <v>85</v>
      </c>
      <c r="G123" s="129"/>
      <c r="H123" s="117" t="str">
        <f t="shared" si="13"/>
        <v>SE</v>
      </c>
      <c r="I123" s="117" t="s">
        <v>68</v>
      </c>
    </row>
    <row r="124" spans="1:9">
      <c r="A124" s="114" t="str">
        <f t="shared" si="12"/>
        <v>4030000DEPN EXPENSE-ELECT3910000OFFICE FURNITURESO</v>
      </c>
      <c r="B124" s="126">
        <v>4030000</v>
      </c>
      <c r="C124" s="127" t="s">
        <v>1612</v>
      </c>
      <c r="D124" s="126">
        <v>3910000</v>
      </c>
      <c r="E124" s="128" t="s">
        <v>1517</v>
      </c>
      <c r="F124" s="127" t="s">
        <v>89</v>
      </c>
      <c r="G124" s="129"/>
      <c r="H124" s="117" t="str">
        <f t="shared" si="13"/>
        <v>SO</v>
      </c>
      <c r="I124" s="117" t="s">
        <v>92</v>
      </c>
    </row>
    <row r="125" spans="1:9">
      <c r="A125" s="114" t="str">
        <f t="shared" si="12"/>
        <v>4030000DEPN EXPENSE-ELECT3650000OVERHEAD CONDUCTORS &amp; DEVICESSITUS</v>
      </c>
      <c r="B125" s="126">
        <v>4030000</v>
      </c>
      <c r="C125" s="127" t="s">
        <v>1612</v>
      </c>
      <c r="D125" s="126">
        <v>3650000</v>
      </c>
      <c r="E125" s="128" t="s">
        <v>1645</v>
      </c>
      <c r="F125" s="127" t="s">
        <v>12</v>
      </c>
      <c r="G125" s="129"/>
      <c r="H125" s="117" t="str">
        <f t="shared" si="13"/>
        <v>SITUS</v>
      </c>
      <c r="I125" s="117" t="s">
        <v>70</v>
      </c>
    </row>
    <row r="126" spans="1:9">
      <c r="A126" s="114" t="str">
        <f t="shared" si="12"/>
        <v>4030000DEPN EXPENSE-ELECT3560000OVERHEAD CONDUCTORS &amp; DEVICESSG</v>
      </c>
      <c r="B126" s="126">
        <v>4030000</v>
      </c>
      <c r="C126" s="127" t="s">
        <v>1612</v>
      </c>
      <c r="D126" s="126">
        <v>3560000</v>
      </c>
      <c r="E126" s="128" t="s">
        <v>1645</v>
      </c>
      <c r="F126" s="127" t="s">
        <v>87</v>
      </c>
      <c r="G126" s="129"/>
      <c r="H126" s="117" t="str">
        <f t="shared" si="13"/>
        <v>SG</v>
      </c>
      <c r="I126" s="117" t="s">
        <v>69</v>
      </c>
    </row>
    <row r="127" spans="1:9">
      <c r="A127" s="114" t="str">
        <f t="shared" si="12"/>
        <v>4030000DEPN EXPENSE-ELECT3550000POLES AND FIXTURESSG</v>
      </c>
      <c r="B127" s="126">
        <v>4030000</v>
      </c>
      <c r="C127" s="127" t="s">
        <v>1612</v>
      </c>
      <c r="D127" s="126">
        <v>3550000</v>
      </c>
      <c r="E127" s="128" t="s">
        <v>1644</v>
      </c>
      <c r="F127" s="127" t="s">
        <v>87</v>
      </c>
      <c r="G127" s="129"/>
      <c r="H127" s="117" t="str">
        <f t="shared" si="13"/>
        <v>SG</v>
      </c>
      <c r="I127" s="117" t="s">
        <v>69</v>
      </c>
    </row>
    <row r="128" spans="1:9">
      <c r="A128" s="114" t="str">
        <f t="shared" si="12"/>
        <v>4030000DEPN EXPENSE-ELECT3430000PRIME MOVERSSG</v>
      </c>
      <c r="B128" s="126">
        <v>4030000</v>
      </c>
      <c r="C128" s="127" t="s">
        <v>1612</v>
      </c>
      <c r="D128" s="126">
        <v>3430000</v>
      </c>
      <c r="E128" s="128" t="s">
        <v>1637</v>
      </c>
      <c r="F128" s="127" t="s">
        <v>87</v>
      </c>
      <c r="G128" s="129"/>
      <c r="H128" s="117" t="str">
        <f t="shared" si="13"/>
        <v>SG</v>
      </c>
      <c r="I128" s="117" t="s">
        <v>68</v>
      </c>
    </row>
    <row r="129" spans="1:9">
      <c r="A129" s="114" t="str">
        <f t="shared" si="12"/>
        <v>4030000DEPN EXPENSE-ELECT3590000ROADS AND TRAILSSG</v>
      </c>
      <c r="B129" s="126">
        <v>4030000</v>
      </c>
      <c r="C129" s="127" t="s">
        <v>1612</v>
      </c>
      <c r="D129" s="126">
        <v>3590000</v>
      </c>
      <c r="E129" s="128" t="s">
        <v>1648</v>
      </c>
      <c r="F129" s="127" t="s">
        <v>87</v>
      </c>
      <c r="G129" s="129"/>
      <c r="H129" s="117" t="str">
        <f t="shared" si="13"/>
        <v>SG</v>
      </c>
      <c r="I129" s="117" t="s">
        <v>69</v>
      </c>
    </row>
    <row r="130" spans="1:9">
      <c r="A130" s="114" t="str">
        <f t="shared" si="12"/>
        <v>4030000DEPN EXPENSE-ELECT3691000SERVICES - OVERHEADSITUS</v>
      </c>
      <c r="B130" s="126">
        <v>4030000</v>
      </c>
      <c r="C130" s="127" t="s">
        <v>1612</v>
      </c>
      <c r="D130" s="126">
        <v>3691000</v>
      </c>
      <c r="E130" s="128" t="s">
        <v>1651</v>
      </c>
      <c r="F130" s="127" t="s">
        <v>12</v>
      </c>
      <c r="G130" s="129"/>
      <c r="H130" s="117" t="str">
        <f t="shared" si="13"/>
        <v>SITUS</v>
      </c>
      <c r="I130" s="117" t="s">
        <v>70</v>
      </c>
    </row>
    <row r="131" spans="1:9">
      <c r="A131" s="114" t="str">
        <f t="shared" ref="A131:A194" si="14">CONCATENATE($B131,$C131,$D131,$E131,$H131)</f>
        <v>4030000DEPN EXPENSE-ELECT3692000SERVICES - UNDERGROUNDSITUS</v>
      </c>
      <c r="B131" s="126">
        <v>4030000</v>
      </c>
      <c r="C131" s="127" t="s">
        <v>1612</v>
      </c>
      <c r="D131" s="126">
        <v>3692000</v>
      </c>
      <c r="E131" s="128" t="s">
        <v>1652</v>
      </c>
      <c r="F131" s="127" t="s">
        <v>12</v>
      </c>
      <c r="G131" s="129"/>
      <c r="H131" s="117" t="str">
        <f t="shared" si="13"/>
        <v>SITUS</v>
      </c>
      <c r="I131" s="117" t="s">
        <v>70</v>
      </c>
    </row>
    <row r="132" spans="1:9">
      <c r="A132" s="114" t="str">
        <f t="shared" si="14"/>
        <v>4030000DEPN EXPENSE-ELECT3620000STATION EQUIPMENTSITUS</v>
      </c>
      <c r="B132" s="126">
        <v>4030000</v>
      </c>
      <c r="C132" s="127" t="s">
        <v>1612</v>
      </c>
      <c r="D132" s="126">
        <v>3620000</v>
      </c>
      <c r="E132" s="128" t="s">
        <v>1640</v>
      </c>
      <c r="F132" s="127" t="s">
        <v>12</v>
      </c>
      <c r="G132" s="129"/>
      <c r="H132" s="117" t="str">
        <f t="shared" si="13"/>
        <v>SITUS</v>
      </c>
      <c r="I132" s="117" t="s">
        <v>70</v>
      </c>
    </row>
    <row r="133" spans="1:9">
      <c r="A133" s="114" t="str">
        <f t="shared" si="14"/>
        <v>4030000DEPN EXPENSE-ELECT3530000STATION EQUIPMENTSG</v>
      </c>
      <c r="B133" s="126">
        <v>4030000</v>
      </c>
      <c r="C133" s="127" t="s">
        <v>1612</v>
      </c>
      <c r="D133" s="126">
        <v>3530000</v>
      </c>
      <c r="E133" s="128" t="s">
        <v>1640</v>
      </c>
      <c r="F133" s="127" t="s">
        <v>87</v>
      </c>
      <c r="G133" s="129"/>
      <c r="H133" s="117" t="str">
        <f t="shared" si="13"/>
        <v>SG</v>
      </c>
      <c r="I133" s="117" t="s">
        <v>69</v>
      </c>
    </row>
    <row r="134" spans="1:9">
      <c r="A134" s="114" t="str">
        <f t="shared" si="14"/>
        <v>4030000DEPN EXPENSE-ELECT3534000STATION EQUIPMENT, STEP-UP TRANSFORMERSSG</v>
      </c>
      <c r="B134" s="126">
        <v>4030000</v>
      </c>
      <c r="C134" s="127" t="s">
        <v>1612</v>
      </c>
      <c r="D134" s="126">
        <v>3534000</v>
      </c>
      <c r="E134" s="128" t="s">
        <v>1641</v>
      </c>
      <c r="F134" s="127" t="s">
        <v>87</v>
      </c>
      <c r="G134" s="129"/>
      <c r="H134" s="117" t="str">
        <f t="shared" si="13"/>
        <v>SG</v>
      </c>
      <c r="I134" s="117" t="s">
        <v>69</v>
      </c>
    </row>
    <row r="135" spans="1:9">
      <c r="A135" s="114" t="str">
        <f t="shared" si="14"/>
        <v>4030000DEPN EXPENSE-ELECT3627000STATION EQUIPMENT-SUPERVISORY &amp; ALARMSITUS</v>
      </c>
      <c r="B135" s="126">
        <v>4030000</v>
      </c>
      <c r="C135" s="127" t="s">
        <v>1612</v>
      </c>
      <c r="D135" s="126">
        <v>3627000</v>
      </c>
      <c r="E135" s="128" t="s">
        <v>1642</v>
      </c>
      <c r="F135" s="127" t="s">
        <v>12</v>
      </c>
      <c r="G135" s="129"/>
      <c r="H135" s="117" t="str">
        <f t="shared" si="13"/>
        <v>SITUS</v>
      </c>
      <c r="I135" s="117" t="s">
        <v>70</v>
      </c>
    </row>
    <row r="136" spans="1:9">
      <c r="A136" s="114" t="str">
        <f t="shared" si="14"/>
        <v>4030000DEPN EXPENSE-ELECT3537000STATION EQUIPMENT-SUPERVISORY &amp; ALARMSG</v>
      </c>
      <c r="B136" s="126">
        <v>4030000</v>
      </c>
      <c r="C136" s="127" t="s">
        <v>1612</v>
      </c>
      <c r="D136" s="126">
        <v>3537000</v>
      </c>
      <c r="E136" s="128" t="s">
        <v>1642</v>
      </c>
      <c r="F136" s="127" t="s">
        <v>87</v>
      </c>
      <c r="G136" s="129"/>
      <c r="H136" s="117" t="str">
        <f t="shared" si="13"/>
        <v>SG</v>
      </c>
      <c r="I136" s="117" t="s">
        <v>69</v>
      </c>
    </row>
    <row r="137" spans="1:9">
      <c r="A137" s="114" t="str">
        <f t="shared" si="14"/>
        <v>4030000DEPN EXPENSE-ELECT3930000STORES EQUIPMENTSG</v>
      </c>
      <c r="B137" s="126">
        <v>4030000</v>
      </c>
      <c r="C137" s="127" t="s">
        <v>1612</v>
      </c>
      <c r="D137" s="126">
        <v>3930000</v>
      </c>
      <c r="E137" s="128" t="s">
        <v>1529</v>
      </c>
      <c r="F137" s="127" t="s">
        <v>87</v>
      </c>
      <c r="G137" s="129"/>
      <c r="H137" s="117" t="str">
        <f t="shared" si="13"/>
        <v>SG</v>
      </c>
      <c r="I137" s="117" t="s">
        <v>193</v>
      </c>
    </row>
    <row r="138" spans="1:9">
      <c r="A138" s="114" t="str">
        <f t="shared" si="14"/>
        <v>4030000DEPN EXPENSE-ELECT3930000STORES EQUIPMENTSITUS</v>
      </c>
      <c r="B138" s="126">
        <v>4030000</v>
      </c>
      <c r="C138" s="127" t="s">
        <v>1612</v>
      </c>
      <c r="D138" s="126">
        <v>3930000</v>
      </c>
      <c r="E138" s="128" t="s">
        <v>1529</v>
      </c>
      <c r="F138" s="127" t="s">
        <v>12</v>
      </c>
      <c r="G138" s="129"/>
      <c r="H138" s="117" t="str">
        <f t="shared" si="13"/>
        <v>SITUS</v>
      </c>
      <c r="I138" s="117" t="s">
        <v>14</v>
      </c>
    </row>
    <row r="139" spans="1:9">
      <c r="A139" s="114" t="str">
        <f t="shared" si="14"/>
        <v>4030000DEPN EXPENSE-ELECT3930000STORES EQUIPMENTSO</v>
      </c>
      <c r="B139" s="126">
        <v>4030000</v>
      </c>
      <c r="C139" s="127" t="s">
        <v>1612</v>
      </c>
      <c r="D139" s="126">
        <v>3930000</v>
      </c>
      <c r="E139" s="128" t="s">
        <v>1529</v>
      </c>
      <c r="F139" s="127" t="s">
        <v>89</v>
      </c>
      <c r="G139" s="129"/>
      <c r="H139" s="117" t="str">
        <f t="shared" si="13"/>
        <v>SO</v>
      </c>
      <c r="I139" s="117" t="s">
        <v>92</v>
      </c>
    </row>
    <row r="140" spans="1:9">
      <c r="A140" s="114" t="str">
        <f t="shared" si="14"/>
        <v>4030000DEPN EXPENSE-ELECT3730000STREET LIGHTING &amp; SIGNAL SYSTEMSSITUS</v>
      </c>
      <c r="B140" s="126">
        <v>4030000</v>
      </c>
      <c r="C140" s="127" t="s">
        <v>1612</v>
      </c>
      <c r="D140" s="126">
        <v>3730000</v>
      </c>
      <c r="E140" s="128" t="s">
        <v>1655</v>
      </c>
      <c r="F140" s="127" t="s">
        <v>12</v>
      </c>
      <c r="G140" s="129"/>
      <c r="H140" s="117" t="str">
        <f t="shared" si="13"/>
        <v>SITUS</v>
      </c>
      <c r="I140" s="117" t="s">
        <v>70</v>
      </c>
    </row>
    <row r="141" spans="1:9">
      <c r="A141" s="114" t="str">
        <f t="shared" si="14"/>
        <v>4030000DEPN EXPENSE-ELECT3610000STRUCTURES &amp; IMPROVEMENTSSITUS</v>
      </c>
      <c r="B141" s="126">
        <v>4030000</v>
      </c>
      <c r="C141" s="127" t="s">
        <v>1612</v>
      </c>
      <c r="D141" s="126">
        <v>3610000</v>
      </c>
      <c r="E141" s="128" t="s">
        <v>1635</v>
      </c>
      <c r="F141" s="127" t="s">
        <v>12</v>
      </c>
      <c r="G141" s="129"/>
      <c r="H141" s="117" t="str">
        <f t="shared" si="13"/>
        <v>SITUS</v>
      </c>
      <c r="I141" s="117" t="s">
        <v>70</v>
      </c>
    </row>
    <row r="142" spans="1:9">
      <c r="A142" s="114" t="str">
        <f t="shared" si="14"/>
        <v>4030000DEPN EXPENSE-ELECT3410000STRUCTURES &amp; IMPROVEMENTSSG</v>
      </c>
      <c r="B142" s="126">
        <v>4030000</v>
      </c>
      <c r="C142" s="127" t="s">
        <v>1612</v>
      </c>
      <c r="D142" s="126">
        <v>3410000</v>
      </c>
      <c r="E142" s="128" t="s">
        <v>1635</v>
      </c>
      <c r="F142" s="127" t="s">
        <v>87</v>
      </c>
      <c r="G142" s="129"/>
      <c r="H142" s="117" t="str">
        <f t="shared" si="13"/>
        <v>SG</v>
      </c>
      <c r="I142" s="117" t="s">
        <v>68</v>
      </c>
    </row>
    <row r="143" spans="1:9">
      <c r="A143" s="114" t="str">
        <f t="shared" si="14"/>
        <v>4030000DEPN EXPENSE-ELECT3520000STRUCTURES &amp; IMPROVEMENTSSG</v>
      </c>
      <c r="B143" s="126">
        <v>4030000</v>
      </c>
      <c r="C143" s="127" t="s">
        <v>1612</v>
      </c>
      <c r="D143" s="126">
        <v>3520000</v>
      </c>
      <c r="E143" s="128" t="s">
        <v>1635</v>
      </c>
      <c r="F143" s="127" t="s">
        <v>87</v>
      </c>
      <c r="G143" s="129"/>
      <c r="H143" s="117" t="str">
        <f t="shared" si="13"/>
        <v>SG</v>
      </c>
      <c r="I143" s="117" t="s">
        <v>69</v>
      </c>
    </row>
    <row r="144" spans="1:9">
      <c r="A144" s="114" t="str">
        <f t="shared" si="14"/>
        <v>4030000DEPN EXPENSE-ELECT3310000STRUCTURES AND IMPROVESG-P</v>
      </c>
      <c r="B144" s="126">
        <v>4030000</v>
      </c>
      <c r="C144" s="127" t="s">
        <v>1612</v>
      </c>
      <c r="D144" s="126">
        <v>3310000</v>
      </c>
      <c r="E144" s="128" t="s">
        <v>1621</v>
      </c>
      <c r="F144" s="127" t="s">
        <v>280</v>
      </c>
      <c r="G144" s="129"/>
      <c r="H144" s="117" t="str">
        <f t="shared" si="13"/>
        <v>SG-P</v>
      </c>
      <c r="I144" s="117" t="s">
        <v>68</v>
      </c>
    </row>
    <row r="145" spans="1:9">
      <c r="A145" s="114" t="str">
        <f t="shared" si="14"/>
        <v>4030000DEPN EXPENSE-ELECT3310000STRUCTURES AND IMPROVESG-U</v>
      </c>
      <c r="B145" s="126">
        <v>4030000</v>
      </c>
      <c r="C145" s="127" t="s">
        <v>1612</v>
      </c>
      <c r="D145" s="126">
        <v>3310000</v>
      </c>
      <c r="E145" s="128" t="s">
        <v>1621</v>
      </c>
      <c r="F145" s="127" t="s">
        <v>1455</v>
      </c>
      <c r="G145" s="129"/>
      <c r="H145" s="117" t="str">
        <f t="shared" si="13"/>
        <v>SG-U</v>
      </c>
      <c r="I145" s="117" t="s">
        <v>68</v>
      </c>
    </row>
    <row r="146" spans="1:9">
      <c r="A146" s="114" t="str">
        <f t="shared" si="14"/>
        <v>4030000DEPN EXPENSE-ELECT3312000STRUCTURES AND IMPROVE-FISH/WILDLIFESG-P</v>
      </c>
      <c r="B146" s="126">
        <v>4030000</v>
      </c>
      <c r="C146" s="127" t="s">
        <v>1612</v>
      </c>
      <c r="D146" s="126">
        <v>3312000</v>
      </c>
      <c r="E146" s="128" t="s">
        <v>1623</v>
      </c>
      <c r="F146" s="127" t="s">
        <v>280</v>
      </c>
      <c r="G146" s="129"/>
      <c r="H146" s="117" t="str">
        <f t="shared" si="13"/>
        <v>SG-P</v>
      </c>
      <c r="I146" s="117" t="s">
        <v>68</v>
      </c>
    </row>
    <row r="147" spans="1:9">
      <c r="A147" s="114" t="str">
        <f t="shared" si="14"/>
        <v>4030000DEPN EXPENSE-ELECT3312000STRUCTURES AND IMPROVE-FISH/WILDLIFESG-U</v>
      </c>
      <c r="B147" s="126">
        <v>4030000</v>
      </c>
      <c r="C147" s="127" t="s">
        <v>1612</v>
      </c>
      <c r="D147" s="126">
        <v>3312000</v>
      </c>
      <c r="E147" s="128" t="s">
        <v>1623</v>
      </c>
      <c r="F147" s="127" t="s">
        <v>1455</v>
      </c>
      <c r="G147" s="129"/>
      <c r="H147" s="117" t="str">
        <f t="shared" si="13"/>
        <v>SG-U</v>
      </c>
      <c r="I147" s="117" t="s">
        <v>68</v>
      </c>
    </row>
    <row r="148" spans="1:9">
      <c r="A148" s="114" t="str">
        <f t="shared" si="14"/>
        <v>4030000DEPN EXPENSE-ELECT3900000STRUCTURES AND IMPROVEMENTSCN</v>
      </c>
      <c r="B148" s="126">
        <v>4030000</v>
      </c>
      <c r="C148" s="127" t="s">
        <v>1612</v>
      </c>
      <c r="D148" s="126">
        <v>3900000</v>
      </c>
      <c r="E148" s="128" t="s">
        <v>1515</v>
      </c>
      <c r="F148" s="127" t="s">
        <v>84</v>
      </c>
      <c r="G148" s="129"/>
      <c r="H148" s="117" t="str">
        <f t="shared" si="13"/>
        <v>CN</v>
      </c>
      <c r="I148" s="117" t="s">
        <v>73</v>
      </c>
    </row>
    <row r="149" spans="1:9">
      <c r="A149" s="114" t="str">
        <f t="shared" si="14"/>
        <v>4030000DEPN EXPENSE-ELECT3900000STRUCTURES AND IMPROVEMENTSSG</v>
      </c>
      <c r="B149" s="126">
        <v>4030000</v>
      </c>
      <c r="C149" s="127" t="s">
        <v>1612</v>
      </c>
      <c r="D149" s="126">
        <v>3900000</v>
      </c>
      <c r="E149" s="128" t="s">
        <v>1515</v>
      </c>
      <c r="F149" s="127" t="s">
        <v>87</v>
      </c>
      <c r="G149" s="129"/>
      <c r="H149" s="117" t="str">
        <f t="shared" si="13"/>
        <v>SG</v>
      </c>
      <c r="I149" s="117" t="s">
        <v>193</v>
      </c>
    </row>
    <row r="150" spans="1:9">
      <c r="A150" s="114" t="str">
        <f t="shared" si="14"/>
        <v>4030000DEPN EXPENSE-ELECT3900000STRUCTURES AND IMPROVEMENTSSITUS</v>
      </c>
      <c r="B150" s="126">
        <v>4030000</v>
      </c>
      <c r="C150" s="127" t="s">
        <v>1612</v>
      </c>
      <c r="D150" s="126">
        <v>3900000</v>
      </c>
      <c r="E150" s="128" t="s">
        <v>1515</v>
      </c>
      <c r="F150" s="127" t="s">
        <v>12</v>
      </c>
      <c r="G150" s="129"/>
      <c r="H150" s="117" t="str">
        <f t="shared" si="13"/>
        <v>SITUS</v>
      </c>
      <c r="I150" s="117" t="s">
        <v>14</v>
      </c>
    </row>
    <row r="151" spans="1:9">
      <c r="A151" s="114" t="str">
        <f t="shared" si="14"/>
        <v>4030000DEPN EXPENSE-ELECT3110000STRUCTURES AND IMPROVEMENTSSG</v>
      </c>
      <c r="B151" s="126">
        <v>4030000</v>
      </c>
      <c r="C151" s="127" t="s">
        <v>1612</v>
      </c>
      <c r="D151" s="126">
        <v>3110000</v>
      </c>
      <c r="E151" s="128" t="s">
        <v>1515</v>
      </c>
      <c r="F151" s="127" t="s">
        <v>87</v>
      </c>
      <c r="G151" s="129"/>
      <c r="H151" s="117" t="str">
        <f t="shared" si="13"/>
        <v>SG</v>
      </c>
      <c r="I151" s="117" t="s">
        <v>68</v>
      </c>
    </row>
    <row r="152" spans="1:9">
      <c r="A152" s="114" t="str">
        <f t="shared" si="14"/>
        <v>4030000DEPN EXPENSE-ELECT3900000STRUCTURES AND IMPROVEMENTSSE</v>
      </c>
      <c r="B152" s="126">
        <v>4030000</v>
      </c>
      <c r="C152" s="127" t="s">
        <v>1612</v>
      </c>
      <c r="D152" s="126">
        <v>3900000</v>
      </c>
      <c r="E152" s="128" t="s">
        <v>1515</v>
      </c>
      <c r="F152" s="127" t="s">
        <v>85</v>
      </c>
      <c r="G152" s="129"/>
      <c r="H152" s="117" t="str">
        <f t="shared" si="13"/>
        <v>SE</v>
      </c>
      <c r="I152" s="117" t="s">
        <v>68</v>
      </c>
    </row>
    <row r="153" spans="1:9">
      <c r="A153" s="114" t="str">
        <f t="shared" si="14"/>
        <v>4030000DEPN EXPENSE-ELECT3900000STRUCTURES AND IMPROVEMENTSSO</v>
      </c>
      <c r="B153" s="126">
        <v>4030000</v>
      </c>
      <c r="C153" s="127" t="s">
        <v>1612</v>
      </c>
      <c r="D153" s="126">
        <v>3900000</v>
      </c>
      <c r="E153" s="128" t="s">
        <v>1515</v>
      </c>
      <c r="F153" s="127" t="s">
        <v>89</v>
      </c>
      <c r="G153" s="129"/>
      <c r="H153" s="117" t="str">
        <f t="shared" si="13"/>
        <v>SO</v>
      </c>
      <c r="I153" s="117" t="s">
        <v>92</v>
      </c>
    </row>
    <row r="154" spans="1:9">
      <c r="A154" s="114" t="str">
        <f t="shared" si="14"/>
        <v>4030000DEPN EXPENSE-ELECT3311000STRUCTURES AND IMPROVE-PRODUCTIONSG-P</v>
      </c>
      <c r="B154" s="126">
        <v>4030000</v>
      </c>
      <c r="C154" s="127" t="s">
        <v>1612</v>
      </c>
      <c r="D154" s="126">
        <v>3311000</v>
      </c>
      <c r="E154" s="128" t="s">
        <v>1622</v>
      </c>
      <c r="F154" s="127" t="s">
        <v>280</v>
      </c>
      <c r="G154" s="129"/>
      <c r="H154" s="117" t="str">
        <f t="shared" si="13"/>
        <v>SG-P</v>
      </c>
      <c r="I154" s="117" t="s">
        <v>68</v>
      </c>
    </row>
    <row r="155" spans="1:9">
      <c r="A155" s="114" t="str">
        <f t="shared" si="14"/>
        <v>4030000DEPN EXPENSE-ELECT3311000STRUCTURES AND IMPROVE-PRODUCTIONSG-U</v>
      </c>
      <c r="B155" s="126">
        <v>4030000</v>
      </c>
      <c r="C155" s="127" t="s">
        <v>1612</v>
      </c>
      <c r="D155" s="126">
        <v>3311000</v>
      </c>
      <c r="E155" s="128" t="s">
        <v>1622</v>
      </c>
      <c r="F155" s="127" t="s">
        <v>1455</v>
      </c>
      <c r="G155" s="129"/>
      <c r="H155" s="117" t="str">
        <f t="shared" si="13"/>
        <v>SG-U</v>
      </c>
      <c r="I155" s="117" t="s">
        <v>68</v>
      </c>
    </row>
    <row r="156" spans="1:9">
      <c r="A156" s="114" t="str">
        <f t="shared" si="14"/>
        <v>4030000DEPN EXPENSE-ELECT3313000STRUCTURES AND IMPROVE-RECREATIONSG-P</v>
      </c>
      <c r="B156" s="126">
        <v>4030000</v>
      </c>
      <c r="C156" s="127" t="s">
        <v>1612</v>
      </c>
      <c r="D156" s="126">
        <v>3313000</v>
      </c>
      <c r="E156" s="128" t="s">
        <v>1624</v>
      </c>
      <c r="F156" s="127" t="s">
        <v>280</v>
      </c>
      <c r="G156" s="129"/>
      <c r="H156" s="117" t="str">
        <f t="shared" si="13"/>
        <v>SG-P</v>
      </c>
      <c r="I156" s="117" t="s">
        <v>68</v>
      </c>
    </row>
    <row r="157" spans="1:9">
      <c r="A157" s="114" t="str">
        <f t="shared" si="14"/>
        <v>4030000DEPN EXPENSE-ELECT3313000STRUCTURES AND IMPROVE-RECREATIONSG-U</v>
      </c>
      <c r="B157" s="126">
        <v>4030000</v>
      </c>
      <c r="C157" s="127" t="s">
        <v>1612</v>
      </c>
      <c r="D157" s="126">
        <v>3313000</v>
      </c>
      <c r="E157" s="128" t="s">
        <v>1624</v>
      </c>
      <c r="F157" s="127" t="s">
        <v>1455</v>
      </c>
      <c r="G157" s="129"/>
      <c r="H157" s="117" t="str">
        <f t="shared" si="13"/>
        <v>SG-U</v>
      </c>
      <c r="I157" s="117" t="s">
        <v>68</v>
      </c>
    </row>
    <row r="158" spans="1:9">
      <c r="A158" s="114" t="str">
        <f t="shared" si="14"/>
        <v>4030000DEPN EXPENSE-ELECT3540000TOWERS AND FIXTURESSG</v>
      </c>
      <c r="B158" s="126">
        <v>4030000</v>
      </c>
      <c r="C158" s="127" t="s">
        <v>1612</v>
      </c>
      <c r="D158" s="126">
        <v>3540000</v>
      </c>
      <c r="E158" s="128" t="s">
        <v>1643</v>
      </c>
      <c r="F158" s="127" t="s">
        <v>87</v>
      </c>
      <c r="G158" s="129"/>
      <c r="H158" s="117" t="str">
        <f t="shared" si="13"/>
        <v>SG</v>
      </c>
      <c r="I158" s="117" t="s">
        <v>69</v>
      </c>
    </row>
    <row r="159" spans="1:9">
      <c r="A159" s="114" t="str">
        <f t="shared" si="14"/>
        <v>4030000DEPN EXPENSE-ELECT3140000TURBOGENERATOR UNITSSG</v>
      </c>
      <c r="B159" s="126">
        <v>4030000</v>
      </c>
      <c r="C159" s="127" t="s">
        <v>1612</v>
      </c>
      <c r="D159" s="126">
        <v>3140000</v>
      </c>
      <c r="E159" s="128" t="s">
        <v>1614</v>
      </c>
      <c r="F159" s="127" t="s">
        <v>87</v>
      </c>
      <c r="G159" s="129"/>
      <c r="H159" s="117" t="str">
        <f t="shared" si="13"/>
        <v>SG</v>
      </c>
      <c r="I159" s="117" t="s">
        <v>68</v>
      </c>
    </row>
    <row r="160" spans="1:9">
      <c r="A160" s="114" t="str">
        <f t="shared" si="14"/>
        <v>4030000DEPN EXPENSE-ELECT3670000UNDERGROUND CONDUCTORS &amp; DEVICESSITUS</v>
      </c>
      <c r="B160" s="126">
        <v>4030000</v>
      </c>
      <c r="C160" s="127" t="s">
        <v>1612</v>
      </c>
      <c r="D160" s="126">
        <v>3670000</v>
      </c>
      <c r="E160" s="128" t="s">
        <v>1647</v>
      </c>
      <c r="F160" s="127" t="s">
        <v>12</v>
      </c>
      <c r="G160" s="129"/>
      <c r="H160" s="117" t="str">
        <f t="shared" ref="H160:H171" si="15">IF(OR(F160="IDU",F160="OR",F160="UT",F160="WYU",F160="WYP",F160="CA",F160="WA"),"SITUS",F160)</f>
        <v>SITUS</v>
      </c>
      <c r="I160" s="117" t="s">
        <v>70</v>
      </c>
    </row>
    <row r="161" spans="1:9">
      <c r="A161" s="114" t="str">
        <f t="shared" si="14"/>
        <v>4030000DEPN EXPENSE-ELECT3580000UNDERGROUND CONDUCTORS &amp; DEVICESSG</v>
      </c>
      <c r="B161" s="126">
        <v>4030000</v>
      </c>
      <c r="C161" s="127" t="s">
        <v>1612</v>
      </c>
      <c r="D161" s="126">
        <v>3580000</v>
      </c>
      <c r="E161" s="128" t="s">
        <v>1647</v>
      </c>
      <c r="F161" s="127" t="s">
        <v>87</v>
      </c>
      <c r="G161" s="129"/>
      <c r="H161" s="117" t="str">
        <f t="shared" si="15"/>
        <v>SG</v>
      </c>
      <c r="I161" s="117" t="s">
        <v>69</v>
      </c>
    </row>
    <row r="162" spans="1:9">
      <c r="A162" s="114" t="str">
        <f t="shared" si="14"/>
        <v>4030000DEPN EXPENSE-ELECT3660000UNDERGROUND CONDUITSITUS</v>
      </c>
      <c r="B162" s="126">
        <v>4030000</v>
      </c>
      <c r="C162" s="127" t="s">
        <v>1612</v>
      </c>
      <c r="D162" s="126">
        <v>3660000</v>
      </c>
      <c r="E162" s="128" t="s">
        <v>1646</v>
      </c>
      <c r="F162" s="127" t="s">
        <v>12</v>
      </c>
      <c r="G162" s="129"/>
      <c r="H162" s="117" t="str">
        <f t="shared" si="15"/>
        <v>SITUS</v>
      </c>
      <c r="I162" s="117" t="s">
        <v>70</v>
      </c>
    </row>
    <row r="163" spans="1:9">
      <c r="A163" s="114" t="str">
        <f t="shared" si="14"/>
        <v>4030000DEPN EXPENSE-ELECT3570000UNDERGROUND CONDUITSG</v>
      </c>
      <c r="B163" s="126">
        <v>4030000</v>
      </c>
      <c r="C163" s="127" t="s">
        <v>1612</v>
      </c>
      <c r="D163" s="126">
        <v>3570000</v>
      </c>
      <c r="E163" s="128" t="s">
        <v>1646</v>
      </c>
      <c r="F163" s="127" t="s">
        <v>87</v>
      </c>
      <c r="G163" s="129"/>
      <c r="H163" s="117" t="str">
        <f t="shared" si="15"/>
        <v>SG</v>
      </c>
      <c r="I163" s="117" t="s">
        <v>69</v>
      </c>
    </row>
    <row r="164" spans="1:9">
      <c r="A164" s="114" t="str">
        <f t="shared" si="14"/>
        <v>4030000DEPN EXPENSE-ELECT3303000WATER RIGHTSSG-P</v>
      </c>
      <c r="B164" s="126">
        <v>4030000</v>
      </c>
      <c r="C164" s="127" t="s">
        <v>1612</v>
      </c>
      <c r="D164" s="126">
        <v>3303000</v>
      </c>
      <c r="E164" s="128" t="s">
        <v>1618</v>
      </c>
      <c r="F164" s="127" t="s">
        <v>280</v>
      </c>
      <c r="G164" s="129"/>
      <c r="H164" s="117" t="str">
        <f t="shared" si="15"/>
        <v>SG-P</v>
      </c>
      <c r="I164" s="117" t="s">
        <v>68</v>
      </c>
    </row>
    <row r="165" spans="1:9">
      <c r="A165" s="114" t="str">
        <f t="shared" si="14"/>
        <v>4030000DEPN EXPENSE-ELECT3303000WATER RIGHTSSG-U</v>
      </c>
      <c r="B165" s="126">
        <v>4030000</v>
      </c>
      <c r="C165" s="127" t="s">
        <v>1612</v>
      </c>
      <c r="D165" s="126">
        <v>3303000</v>
      </c>
      <c r="E165" s="128" t="s">
        <v>1618</v>
      </c>
      <c r="F165" s="127" t="s">
        <v>1455</v>
      </c>
      <c r="G165" s="129"/>
      <c r="H165" s="117" t="str">
        <f t="shared" si="15"/>
        <v>SG-U</v>
      </c>
      <c r="I165" s="117" t="s">
        <v>68</v>
      </c>
    </row>
    <row r="166" spans="1:9">
      <c r="A166" s="114" t="str">
        <f t="shared" si="14"/>
        <v>4030000DEPN EXPENSE-ELECT3402000LAND RIGHTSSG</v>
      </c>
      <c r="B166" s="126">
        <v>4030000</v>
      </c>
      <c r="C166" s="127" t="s">
        <v>1612</v>
      </c>
      <c r="D166" s="126">
        <v>3402000</v>
      </c>
      <c r="E166" s="128" t="s">
        <v>1514</v>
      </c>
      <c r="F166" s="127" t="s">
        <v>87</v>
      </c>
      <c r="G166" s="130"/>
      <c r="H166" s="117" t="str">
        <f t="shared" si="15"/>
        <v>SG</v>
      </c>
      <c r="I166" s="117" t="s">
        <v>69</v>
      </c>
    </row>
    <row r="167" spans="1:9">
      <c r="A167" s="114" t="str">
        <f t="shared" si="14"/>
        <v>4030000DEPN EXPENSE-ELECT3892000LAND RIGHTSSO</v>
      </c>
      <c r="B167" s="126">
        <v>4030000</v>
      </c>
      <c r="C167" s="127" t="s">
        <v>1612</v>
      </c>
      <c r="D167" s="126">
        <v>3892000</v>
      </c>
      <c r="E167" s="128" t="s">
        <v>1514</v>
      </c>
      <c r="F167" s="127" t="s">
        <v>89</v>
      </c>
      <c r="G167" s="122"/>
      <c r="H167" s="117" t="str">
        <f t="shared" si="15"/>
        <v>SO</v>
      </c>
      <c r="I167" s="117" t="s">
        <v>68</v>
      </c>
    </row>
    <row r="168" spans="1:9">
      <c r="A168" s="114" t="str">
        <f t="shared" si="14"/>
        <v>4032000DEPR - STEAM565247Depr - Prod Steam UT STEPOTHER</v>
      </c>
      <c r="B168" s="126">
        <v>4032000</v>
      </c>
      <c r="C168" s="127" t="s">
        <v>1656</v>
      </c>
      <c r="D168" s="126">
        <v>565247</v>
      </c>
      <c r="E168" s="128" t="s">
        <v>1806</v>
      </c>
      <c r="F168" s="127" t="s">
        <v>306</v>
      </c>
      <c r="G168" s="122"/>
      <c r="H168" s="117" t="str">
        <f t="shared" si="15"/>
        <v>OTHER</v>
      </c>
      <c r="I168" s="117" t="s">
        <v>68</v>
      </c>
    </row>
    <row r="169" spans="1:9">
      <c r="A169" s="114" t="str">
        <f t="shared" si="14"/>
        <v>4030000DEPN EXPENSE-ELECT3410000STRUCTURES &amp; IMPROVEMENTSSITUS</v>
      </c>
      <c r="B169" s="125">
        <v>4030000</v>
      </c>
      <c r="C169" s="120" t="s">
        <v>1612</v>
      </c>
      <c r="D169" s="125">
        <v>3410000</v>
      </c>
      <c r="E169" s="121" t="s">
        <v>1635</v>
      </c>
      <c r="F169" s="127" t="s">
        <v>12</v>
      </c>
      <c r="H169" s="117" t="str">
        <f t="shared" si="15"/>
        <v>SITUS</v>
      </c>
      <c r="I169" s="117" t="s">
        <v>68</v>
      </c>
    </row>
    <row r="170" spans="1:9">
      <c r="A170" s="114" t="str">
        <f t="shared" si="14"/>
        <v>4030000DEPN EXPENSE-ELECT3440000GENERATORSSITUS</v>
      </c>
      <c r="B170" s="125">
        <v>4030000</v>
      </c>
      <c r="C170" s="120" t="s">
        <v>1612</v>
      </c>
      <c r="D170" s="125">
        <v>3440000</v>
      </c>
      <c r="E170" s="121" t="s">
        <v>1638</v>
      </c>
      <c r="F170" s="127" t="s">
        <v>12</v>
      </c>
      <c r="H170" s="117" t="str">
        <f t="shared" si="15"/>
        <v>SITUS</v>
      </c>
      <c r="I170" s="117" t="s">
        <v>68</v>
      </c>
    </row>
    <row r="171" spans="1:9">
      <c r="A171" s="114" t="str">
        <f t="shared" si="14"/>
        <v>4030000DEPN EXPENSE-ELECT3450000ACCESSORY ELECTRIC EQUIPMENTSITUS</v>
      </c>
      <c r="B171" s="125">
        <v>4030000</v>
      </c>
      <c r="C171" s="120" t="s">
        <v>1612</v>
      </c>
      <c r="D171" s="125">
        <v>3450000</v>
      </c>
      <c r="E171" s="121" t="s">
        <v>1615</v>
      </c>
      <c r="F171" s="127" t="s">
        <v>12</v>
      </c>
      <c r="H171" s="117" t="str">
        <f t="shared" si="15"/>
        <v>SITUS</v>
      </c>
      <c r="I171" s="117" t="s">
        <v>68</v>
      </c>
    </row>
    <row r="172" spans="1:9">
      <c r="A172" s="114" t="str">
        <f t="shared" si="14"/>
        <v>4030000DEPN EXPENSE-ELECT3900000STRUCTURES AND IMPROVEMENTSCAEE</v>
      </c>
      <c r="B172" s="126">
        <v>4030000</v>
      </c>
      <c r="C172" s="127" t="s">
        <v>1612</v>
      </c>
      <c r="D172" s="126">
        <v>3900000</v>
      </c>
      <c r="E172" s="128" t="s">
        <v>1515</v>
      </c>
      <c r="F172" s="127" t="s">
        <v>3110</v>
      </c>
      <c r="H172" s="117" t="str">
        <f t="shared" ref="H172:H174" si="16">IF(OR(F172="IDU",F172="OR",F172="UT",F172="WYU",F172="WYP",F172="CA",F172="WA"),"SITUS",F172)</f>
        <v>CAEE</v>
      </c>
      <c r="I172" s="117" t="s">
        <v>68</v>
      </c>
    </row>
    <row r="173" spans="1:9">
      <c r="A173" s="114" t="str">
        <f t="shared" si="14"/>
        <v>4030000DEPN EXPENSE-ELECT3900000STRUCTURES AND IMPROVEMENTSCAGE</v>
      </c>
      <c r="B173" s="126">
        <v>4030000</v>
      </c>
      <c r="C173" s="127" t="s">
        <v>1612</v>
      </c>
      <c r="D173" s="126">
        <v>3900000</v>
      </c>
      <c r="E173" s="128" t="s">
        <v>1515</v>
      </c>
      <c r="F173" s="127" t="s">
        <v>3106</v>
      </c>
      <c r="H173" s="117" t="str">
        <f t="shared" si="16"/>
        <v>CAGE</v>
      </c>
      <c r="I173" s="117" t="s">
        <v>68</v>
      </c>
    </row>
    <row r="174" spans="1:9">
      <c r="A174" s="114" t="str">
        <f t="shared" si="14"/>
        <v>4030000DEPN EXPENSE-ELECT3900000STRUCTURES AND IMPROVEMENTSCAGW</v>
      </c>
      <c r="B174" s="126">
        <v>4030000</v>
      </c>
      <c r="C174" s="127" t="s">
        <v>1612</v>
      </c>
      <c r="D174" s="126">
        <v>3900000</v>
      </c>
      <c r="E174" s="128" t="s">
        <v>1515</v>
      </c>
      <c r="F174" s="127" t="s">
        <v>3108</v>
      </c>
      <c r="H174" s="117" t="str">
        <f t="shared" si="16"/>
        <v>CAGW</v>
      </c>
      <c r="I174" s="117" t="s">
        <v>68</v>
      </c>
    </row>
    <row r="175" spans="1:9">
      <c r="A175" s="114" t="str">
        <f t="shared" si="14"/>
        <v>4030000DEPN EXPENSE-ELECT3910000OFFICE FURNITURECAEE</v>
      </c>
      <c r="B175" s="126">
        <v>4030000</v>
      </c>
      <c r="C175" s="127" t="s">
        <v>1612</v>
      </c>
      <c r="D175" s="126">
        <v>3910000</v>
      </c>
      <c r="E175" s="128" t="s">
        <v>1517</v>
      </c>
      <c r="F175" s="127" t="s">
        <v>3110</v>
      </c>
      <c r="H175" s="117" t="str">
        <f t="shared" ref="H175:H177" si="17">IF(OR(F175="IDU",F175="OR",F175="UT",F175="WYU",F175="WYP",F175="CA",F175="WA"),"SITUS",F175)</f>
        <v>CAEE</v>
      </c>
      <c r="I175" s="117" t="s">
        <v>68</v>
      </c>
    </row>
    <row r="176" spans="1:9">
      <c r="A176" s="114" t="str">
        <f t="shared" si="14"/>
        <v>4030000DEPN EXPENSE-ELECT3910000OFFICE FURNITURECAGE</v>
      </c>
      <c r="B176" s="126">
        <v>4030000</v>
      </c>
      <c r="C176" s="127" t="s">
        <v>1612</v>
      </c>
      <c r="D176" s="126">
        <v>3910000</v>
      </c>
      <c r="E176" s="128" t="s">
        <v>1517</v>
      </c>
      <c r="F176" s="127" t="s">
        <v>3106</v>
      </c>
      <c r="H176" s="117" t="str">
        <f t="shared" si="17"/>
        <v>CAGE</v>
      </c>
      <c r="I176" s="117" t="s">
        <v>68</v>
      </c>
    </row>
    <row r="177" spans="1:9">
      <c r="A177" s="114" t="str">
        <f t="shared" si="14"/>
        <v>4030000DEPN EXPENSE-ELECT3910000OFFICE FURNITURECAGW</v>
      </c>
      <c r="B177" s="126">
        <v>4030000</v>
      </c>
      <c r="C177" s="127" t="s">
        <v>1612</v>
      </c>
      <c r="D177" s="126">
        <v>3910000</v>
      </c>
      <c r="E177" s="128" t="s">
        <v>1517</v>
      </c>
      <c r="F177" s="127" t="s">
        <v>3108</v>
      </c>
      <c r="H177" s="117" t="str">
        <f t="shared" si="17"/>
        <v>CAGW</v>
      </c>
      <c r="I177" s="117" t="s">
        <v>68</v>
      </c>
    </row>
    <row r="178" spans="1:9">
      <c r="A178" s="114" t="str">
        <f t="shared" si="14"/>
        <v>4030000DEPN EXPENSE-ELECT3910000OFFICE FURNITUREJBG</v>
      </c>
      <c r="B178" s="126">
        <v>4030000</v>
      </c>
      <c r="C178" s="127" t="s">
        <v>1612</v>
      </c>
      <c r="D178" s="126">
        <v>3910000</v>
      </c>
      <c r="E178" s="128" t="s">
        <v>1517</v>
      </c>
      <c r="F178" s="127" t="s">
        <v>3107</v>
      </c>
      <c r="G178" s="136"/>
      <c r="H178" s="117" t="str">
        <f t="shared" ref="H178" si="18">IF(OR(F178="IDU",F178="OR",F178="UT",F178="WYU",F178="WYP",F178="CA",F178="WA"),"SITUS",F178)</f>
        <v>JBG</v>
      </c>
      <c r="I178" s="117" t="s">
        <v>68</v>
      </c>
    </row>
    <row r="179" spans="1:9">
      <c r="A179" s="114" t="str">
        <f t="shared" si="14"/>
        <v>4030000DEPN EXPENSE-ELECT3912000COMPUTER EQUIPMENT - PERSONAL COMPUTERSCAEE</v>
      </c>
      <c r="B179" s="126">
        <v>4030000</v>
      </c>
      <c r="C179" s="127" t="s">
        <v>1612</v>
      </c>
      <c r="D179" s="126">
        <v>3912000</v>
      </c>
      <c r="E179" s="128" t="s">
        <v>1518</v>
      </c>
      <c r="F179" s="127" t="s">
        <v>3110</v>
      </c>
      <c r="H179" s="117" t="str">
        <f t="shared" ref="H179:H181" si="19">IF(OR(F179="IDU",F179="OR",F179="UT",F179="WYU",F179="WYP",F179="CA",F179="WA"),"SITUS",F179)</f>
        <v>CAEE</v>
      </c>
      <c r="I179" s="117" t="s">
        <v>68</v>
      </c>
    </row>
    <row r="180" spans="1:9">
      <c r="A180" s="114" t="str">
        <f t="shared" si="14"/>
        <v>4030000DEPN EXPENSE-ELECT3912000COMPUTER EQUIPMENT - PERSONAL COMPUTERSCAGE</v>
      </c>
      <c r="B180" s="126">
        <v>4030000</v>
      </c>
      <c r="C180" s="127" t="s">
        <v>1612</v>
      </c>
      <c r="D180" s="126">
        <v>3912000</v>
      </c>
      <c r="E180" s="128" t="s">
        <v>1518</v>
      </c>
      <c r="F180" s="127" t="s">
        <v>3106</v>
      </c>
      <c r="H180" s="117" t="str">
        <f t="shared" si="19"/>
        <v>CAGE</v>
      </c>
      <c r="I180" s="117" t="s">
        <v>68</v>
      </c>
    </row>
    <row r="181" spans="1:9">
      <c r="A181" s="114" t="str">
        <f t="shared" si="14"/>
        <v>4030000DEPN EXPENSE-ELECT3912000COMPUTER EQUIPMENT - PERSONAL COMPUTERSCAGW</v>
      </c>
      <c r="B181" s="126">
        <v>4030000</v>
      </c>
      <c r="C181" s="127" t="s">
        <v>1612</v>
      </c>
      <c r="D181" s="126">
        <v>3912000</v>
      </c>
      <c r="E181" s="128" t="s">
        <v>1518</v>
      </c>
      <c r="F181" s="127" t="s">
        <v>3108</v>
      </c>
      <c r="H181" s="117" t="str">
        <f t="shared" si="19"/>
        <v>CAGW</v>
      </c>
      <c r="I181" s="117" t="s">
        <v>68</v>
      </c>
    </row>
    <row r="182" spans="1:9">
      <c r="A182" s="114" t="str">
        <f t="shared" si="14"/>
        <v>4030000DEPN EXPENSE-ELECT3912000COMPUTER EQUIPMENT - PERSONAL COMPUTERSJBG</v>
      </c>
      <c r="B182" s="126">
        <v>4030000</v>
      </c>
      <c r="C182" s="127" t="s">
        <v>1612</v>
      </c>
      <c r="D182" s="126">
        <v>3912000</v>
      </c>
      <c r="E182" s="128" t="s">
        <v>1518</v>
      </c>
      <c r="F182" s="127" t="s">
        <v>3107</v>
      </c>
      <c r="H182" s="117" t="str">
        <f t="shared" ref="H182" si="20">IF(OR(F182="IDU",F182="OR",F182="UT",F182="WYU",F182="WYP",F182="CA",F182="WA"),"SITUS",F182)</f>
        <v>JBG</v>
      </c>
      <c r="I182" s="117" t="s">
        <v>68</v>
      </c>
    </row>
    <row r="183" spans="1:9">
      <c r="A183" s="114" t="str">
        <f t="shared" si="14"/>
        <v>4030000DEPN EXPENSE-ELECT3913000OFFICE EQUIPMENTCAGE</v>
      </c>
      <c r="B183" s="126">
        <v>4030000</v>
      </c>
      <c r="C183" s="127" t="s">
        <v>1612</v>
      </c>
      <c r="D183" s="126">
        <v>3913000</v>
      </c>
      <c r="E183" s="128" t="s">
        <v>1519</v>
      </c>
      <c r="F183" s="127" t="s">
        <v>3106</v>
      </c>
      <c r="H183" s="117" t="str">
        <f t="shared" ref="H183:H184" si="21">IF(OR(F183="IDU",F183="OR",F183="UT",F183="WYU",F183="WYP",F183="CA",F183="WA"),"SITUS",F183)</f>
        <v>CAGE</v>
      </c>
      <c r="I183" s="117" t="s">
        <v>68</v>
      </c>
    </row>
    <row r="184" spans="1:9">
      <c r="A184" s="114" t="str">
        <f t="shared" si="14"/>
        <v>4030000DEPN EXPENSE-ELECT3913000OFFICE EQUIPMENTCAGW</v>
      </c>
      <c r="B184" s="126">
        <v>4030000</v>
      </c>
      <c r="C184" s="127" t="s">
        <v>1612</v>
      </c>
      <c r="D184" s="126">
        <v>3913000</v>
      </c>
      <c r="E184" s="128" t="s">
        <v>1519</v>
      </c>
      <c r="F184" s="127" t="s">
        <v>3108</v>
      </c>
      <c r="H184" s="117" t="str">
        <f t="shared" si="21"/>
        <v>CAGW</v>
      </c>
      <c r="I184" s="117" t="s">
        <v>68</v>
      </c>
    </row>
    <row r="185" spans="1:9">
      <c r="A185" s="114" t="str">
        <f t="shared" si="14"/>
        <v>4030000DEPN EXPENSE-ELECT3930000STORES EQUIPMENTCAGE</v>
      </c>
      <c r="B185" s="126">
        <v>4030000</v>
      </c>
      <c r="C185" s="127" t="s">
        <v>1612</v>
      </c>
      <c r="D185" s="126">
        <v>3930000</v>
      </c>
      <c r="E185" s="128" t="s">
        <v>1529</v>
      </c>
      <c r="F185" s="127" t="s">
        <v>3106</v>
      </c>
      <c r="H185" s="117" t="str">
        <f t="shared" ref="H185:H216" si="22">IF(OR(F185="IDU",F185="OR",F185="UT",F185="WYU",F185="WYP",F185="CA",F185="WA"),"SITUS",F185)</f>
        <v>CAGE</v>
      </c>
      <c r="I185" s="117" t="s">
        <v>68</v>
      </c>
    </row>
    <row r="186" spans="1:9">
      <c r="A186" s="114" t="str">
        <f t="shared" si="14"/>
        <v>4030000DEPN EXPENSE-ELECT3930000STORES EQUIPMENTCAGW</v>
      </c>
      <c r="B186" s="126">
        <v>4030000</v>
      </c>
      <c r="C186" s="127" t="s">
        <v>1612</v>
      </c>
      <c r="D186" s="126">
        <v>3930000</v>
      </c>
      <c r="E186" s="128" t="s">
        <v>1529</v>
      </c>
      <c r="F186" s="127" t="s">
        <v>3108</v>
      </c>
      <c r="H186" s="117" t="str">
        <f t="shared" si="22"/>
        <v>CAGW</v>
      </c>
      <c r="I186" s="117" t="s">
        <v>68</v>
      </c>
    </row>
    <row r="187" spans="1:9">
      <c r="A187" s="114" t="str">
        <f t="shared" si="14"/>
        <v>4030000DEPN EXPENSE-ELECT3930000STORES EQUIPMENTJBG</v>
      </c>
      <c r="B187" s="126">
        <v>4030000</v>
      </c>
      <c r="C187" s="127" t="s">
        <v>1612</v>
      </c>
      <c r="D187" s="126">
        <v>3930000</v>
      </c>
      <c r="E187" s="128" t="s">
        <v>1529</v>
      </c>
      <c r="F187" s="127" t="s">
        <v>3107</v>
      </c>
      <c r="H187" s="117" t="str">
        <f t="shared" si="22"/>
        <v>JBG</v>
      </c>
      <c r="I187" s="117" t="s">
        <v>68</v>
      </c>
    </row>
    <row r="188" spans="1:9">
      <c r="A188" s="114" t="str">
        <f t="shared" si="14"/>
        <v>4030000DEPN EXPENSE-ELECT3940000"TLS, SHOP, GAR EQUIPMENT"CAEE</v>
      </c>
      <c r="B188" s="126">
        <v>4030000</v>
      </c>
      <c r="C188" s="127" t="s">
        <v>1612</v>
      </c>
      <c r="D188" s="126">
        <v>3940000</v>
      </c>
      <c r="E188" s="128" t="s">
        <v>1530</v>
      </c>
      <c r="F188" s="127" t="s">
        <v>3110</v>
      </c>
      <c r="H188" s="117" t="str">
        <f t="shared" si="22"/>
        <v>CAEE</v>
      </c>
      <c r="I188" s="117" t="s">
        <v>68</v>
      </c>
    </row>
    <row r="189" spans="1:9">
      <c r="A189" s="114" t="str">
        <f t="shared" si="14"/>
        <v>4030000DEPN EXPENSE-ELECT3940000"TLS, SHOP, GAR EQUIPMENT"CAGE</v>
      </c>
      <c r="B189" s="126">
        <v>4030000</v>
      </c>
      <c r="C189" s="127" t="s">
        <v>1612</v>
      </c>
      <c r="D189" s="126">
        <v>3940000</v>
      </c>
      <c r="E189" s="128" t="s">
        <v>1530</v>
      </c>
      <c r="F189" s="127" t="s">
        <v>3106</v>
      </c>
      <c r="H189" s="117" t="str">
        <f t="shared" si="22"/>
        <v>CAGE</v>
      </c>
      <c r="I189" s="117" t="s">
        <v>68</v>
      </c>
    </row>
    <row r="190" spans="1:9">
      <c r="A190" s="114" t="str">
        <f t="shared" si="14"/>
        <v>4030000DEPN EXPENSE-ELECT3940000"TLS, SHOP, GAR EQUIPMENT"CAGW</v>
      </c>
      <c r="B190" s="126">
        <v>4030000</v>
      </c>
      <c r="C190" s="127" t="s">
        <v>1612</v>
      </c>
      <c r="D190" s="126">
        <v>3940000</v>
      </c>
      <c r="E190" s="128" t="s">
        <v>1530</v>
      </c>
      <c r="F190" s="127" t="s">
        <v>3108</v>
      </c>
      <c r="H190" s="117" t="str">
        <f t="shared" si="22"/>
        <v>CAGW</v>
      </c>
      <c r="I190" s="117" t="s">
        <v>68</v>
      </c>
    </row>
    <row r="191" spans="1:9">
      <c r="A191" s="114" t="str">
        <f t="shared" si="14"/>
        <v>4030000DEPN EXPENSE-ELECT3940000"TLS, SHOP, GAR EQUIPMENT"JBG</v>
      </c>
      <c r="B191" s="126">
        <v>4030000</v>
      </c>
      <c r="C191" s="127" t="s">
        <v>1612</v>
      </c>
      <c r="D191" s="126">
        <v>3940000</v>
      </c>
      <c r="E191" s="128" t="s">
        <v>1530</v>
      </c>
      <c r="F191" s="127" t="s">
        <v>3107</v>
      </c>
      <c r="H191" s="117" t="str">
        <f t="shared" si="22"/>
        <v>JBG</v>
      </c>
      <c r="I191" s="117" t="s">
        <v>68</v>
      </c>
    </row>
    <row r="192" spans="1:9">
      <c r="A192" s="114" t="str">
        <f t="shared" si="14"/>
        <v>4030000DEPN EXPENSE-ELECT3950000LABORATORY EQUIPMENTCAEE</v>
      </c>
      <c r="B192" s="126">
        <v>4030000</v>
      </c>
      <c r="C192" s="127" t="s">
        <v>1612</v>
      </c>
      <c r="D192" s="126">
        <v>3950000</v>
      </c>
      <c r="E192" s="128" t="s">
        <v>1531</v>
      </c>
      <c r="F192" s="127" t="s">
        <v>3110</v>
      </c>
      <c r="H192" s="117" t="str">
        <f t="shared" si="22"/>
        <v>CAEE</v>
      </c>
      <c r="I192" s="117" t="s">
        <v>68</v>
      </c>
    </row>
    <row r="193" spans="1:9">
      <c r="A193" s="114" t="str">
        <f t="shared" si="14"/>
        <v>4030000DEPN EXPENSE-ELECT3950000LABORATORY EQUIPMENTCAGE</v>
      </c>
      <c r="B193" s="126">
        <v>4030000</v>
      </c>
      <c r="C193" s="127" t="s">
        <v>1612</v>
      </c>
      <c r="D193" s="126">
        <v>3950000</v>
      </c>
      <c r="E193" s="128" t="s">
        <v>1531</v>
      </c>
      <c r="F193" s="127" t="s">
        <v>3106</v>
      </c>
      <c r="H193" s="117" t="str">
        <f t="shared" si="22"/>
        <v>CAGE</v>
      </c>
      <c r="I193" s="117" t="s">
        <v>68</v>
      </c>
    </row>
    <row r="194" spans="1:9">
      <c r="A194" s="114" t="str">
        <f t="shared" si="14"/>
        <v>4030000DEPN EXPENSE-ELECT3950000LABORATORY EQUIPMENTCAGW</v>
      </c>
      <c r="B194" s="126">
        <v>4030000</v>
      </c>
      <c r="C194" s="127" t="s">
        <v>1612</v>
      </c>
      <c r="D194" s="126">
        <v>3950000</v>
      </c>
      <c r="E194" s="128" t="s">
        <v>1531</v>
      </c>
      <c r="F194" s="127" t="s">
        <v>3108</v>
      </c>
      <c r="H194" s="117" t="str">
        <f t="shared" si="22"/>
        <v>CAGW</v>
      </c>
      <c r="I194" s="117" t="s">
        <v>68</v>
      </c>
    </row>
    <row r="195" spans="1:9">
      <c r="A195" s="114" t="str">
        <f t="shared" ref="A195:A216" si="23">CONCATENATE($B195,$C195,$D195,$E195,$H195)</f>
        <v>4030000DEPN EXPENSE-ELECT3950000LABORATORY EQUIPMENTJBG</v>
      </c>
      <c r="B195" s="126">
        <v>4030000</v>
      </c>
      <c r="C195" s="127" t="s">
        <v>1612</v>
      </c>
      <c r="D195" s="126">
        <v>3950000</v>
      </c>
      <c r="E195" s="128" t="s">
        <v>1531</v>
      </c>
      <c r="F195" s="127" t="s">
        <v>3107</v>
      </c>
      <c r="H195" s="117" t="str">
        <f t="shared" si="22"/>
        <v>JBG</v>
      </c>
      <c r="I195" s="117" t="s">
        <v>68</v>
      </c>
    </row>
    <row r="196" spans="1:9">
      <c r="A196" s="114" t="str">
        <f t="shared" si="23"/>
        <v>4030000DEPN EXPENSE-ELECT3970000COMMUNICATION EQUIPMENTCAEE</v>
      </c>
      <c r="B196" s="125">
        <v>4030000</v>
      </c>
      <c r="C196" s="120" t="s">
        <v>1612</v>
      </c>
      <c r="D196" s="125">
        <v>3970000</v>
      </c>
      <c r="E196" s="121" t="s">
        <v>1539</v>
      </c>
      <c r="F196" s="119" t="s">
        <v>3110</v>
      </c>
      <c r="H196" s="117" t="str">
        <f t="shared" si="22"/>
        <v>CAEE</v>
      </c>
      <c r="I196" s="117" t="s">
        <v>68</v>
      </c>
    </row>
    <row r="197" spans="1:9">
      <c r="A197" s="114" t="str">
        <f t="shared" si="23"/>
        <v>4030000DEPN EXPENSE-ELECT3970000COMMUNICATION EQUIPMENTCAGE</v>
      </c>
      <c r="B197" s="125">
        <v>4030000</v>
      </c>
      <c r="C197" s="120" t="s">
        <v>1612</v>
      </c>
      <c r="D197" s="125">
        <v>3970000</v>
      </c>
      <c r="E197" s="121" t="s">
        <v>1539</v>
      </c>
      <c r="F197" s="119" t="s">
        <v>3106</v>
      </c>
      <c r="H197" s="117" t="str">
        <f t="shared" si="22"/>
        <v>CAGE</v>
      </c>
      <c r="I197" s="117" t="s">
        <v>68</v>
      </c>
    </row>
    <row r="198" spans="1:9">
      <c r="A198" s="114" t="str">
        <f t="shared" si="23"/>
        <v>4030000DEPN EXPENSE-ELECT3970000COMMUNICATION EQUIPMENTCAGW</v>
      </c>
      <c r="B198" s="125">
        <v>4030000</v>
      </c>
      <c r="C198" s="120" t="s">
        <v>1612</v>
      </c>
      <c r="D198" s="125">
        <v>3970000</v>
      </c>
      <c r="E198" s="121" t="s">
        <v>1539</v>
      </c>
      <c r="F198" s="119" t="s">
        <v>3108</v>
      </c>
      <c r="H198" s="117" t="str">
        <f t="shared" si="22"/>
        <v>CAGW</v>
      </c>
      <c r="I198" s="117" t="s">
        <v>68</v>
      </c>
    </row>
    <row r="199" spans="1:9">
      <c r="A199" s="114" t="str">
        <f t="shared" si="23"/>
        <v>4030000DEPN EXPENSE-ELECT3970000COMMUNICATION EQUIPMENTJBG</v>
      </c>
      <c r="B199" s="125">
        <v>4030000</v>
      </c>
      <c r="C199" s="120" t="s">
        <v>1612</v>
      </c>
      <c r="D199" s="125">
        <v>3970000</v>
      </c>
      <c r="E199" s="121" t="s">
        <v>1539</v>
      </c>
      <c r="F199" s="119" t="s">
        <v>3107</v>
      </c>
      <c r="H199" s="117" t="str">
        <f t="shared" si="22"/>
        <v>JBG</v>
      </c>
      <c r="I199" s="117" t="s">
        <v>68</v>
      </c>
    </row>
    <row r="200" spans="1:9">
      <c r="A200" s="114" t="str">
        <f t="shared" si="23"/>
        <v>4030000DEPN EXPENSE-ELECT3972000MOBILE RADIO EQUIPMENTCAEE</v>
      </c>
      <c r="B200" s="125">
        <v>4030000</v>
      </c>
      <c r="C200" s="120" t="s">
        <v>1612</v>
      </c>
      <c r="D200" s="125">
        <v>3972000</v>
      </c>
      <c r="E200" s="121" t="s">
        <v>1540</v>
      </c>
      <c r="F200" s="119" t="s">
        <v>3110</v>
      </c>
      <c r="H200" s="117" t="str">
        <f t="shared" si="22"/>
        <v>CAEE</v>
      </c>
      <c r="I200" s="117" t="s">
        <v>68</v>
      </c>
    </row>
    <row r="201" spans="1:9">
      <c r="A201" s="114" t="str">
        <f t="shared" si="23"/>
        <v>4030000DEPN EXPENSE-ELECT3972000MOBILE RADIO EQUIPMENTCAGE</v>
      </c>
      <c r="B201" s="125">
        <v>4030000</v>
      </c>
      <c r="C201" s="120" t="s">
        <v>1612</v>
      </c>
      <c r="D201" s="125">
        <v>3972000</v>
      </c>
      <c r="E201" s="121" t="s">
        <v>1540</v>
      </c>
      <c r="F201" s="119" t="s">
        <v>3106</v>
      </c>
      <c r="H201" s="117" t="str">
        <f t="shared" si="22"/>
        <v>CAGE</v>
      </c>
      <c r="I201" s="117" t="s">
        <v>68</v>
      </c>
    </row>
    <row r="202" spans="1:9">
      <c r="A202" s="114" t="str">
        <f t="shared" si="23"/>
        <v>4030000DEPN EXPENSE-ELECT3972000MOBILE RADIO EQUIPMENTCAGW</v>
      </c>
      <c r="B202" s="125">
        <v>4030000</v>
      </c>
      <c r="C202" s="120" t="s">
        <v>1612</v>
      </c>
      <c r="D202" s="125">
        <v>3972000</v>
      </c>
      <c r="E202" s="121" t="s">
        <v>1540</v>
      </c>
      <c r="F202" s="119" t="s">
        <v>3108</v>
      </c>
      <c r="H202" s="117" t="str">
        <f t="shared" si="22"/>
        <v>CAGW</v>
      </c>
      <c r="I202" s="117" t="s">
        <v>68</v>
      </c>
    </row>
    <row r="203" spans="1:9">
      <c r="A203" s="114" t="str">
        <f t="shared" si="23"/>
        <v>4030000DEPN EXPENSE-ELECT3972000MOBILE RADIO EQUIPMENTJBG</v>
      </c>
      <c r="B203" s="125">
        <v>4030000</v>
      </c>
      <c r="C203" s="120" t="s">
        <v>1612</v>
      </c>
      <c r="D203" s="125">
        <v>3972000</v>
      </c>
      <c r="E203" s="121" t="s">
        <v>1540</v>
      </c>
      <c r="F203" s="119" t="s">
        <v>3107</v>
      </c>
      <c r="H203" s="117" t="str">
        <f t="shared" si="22"/>
        <v>JBG</v>
      </c>
      <c r="I203" s="117" t="s">
        <v>68</v>
      </c>
    </row>
    <row r="204" spans="1:9">
      <c r="A204" s="114" t="str">
        <f t="shared" si="23"/>
        <v>4030000DEPN EXPENSE-ELECT3980000MISCELLANEOUS EQUIPMENTCAEE</v>
      </c>
      <c r="B204" s="125">
        <v>4030000</v>
      </c>
      <c r="C204" s="120" t="s">
        <v>1612</v>
      </c>
      <c r="D204" s="125">
        <v>3980000</v>
      </c>
      <c r="E204" s="121" t="s">
        <v>1541</v>
      </c>
      <c r="F204" s="119" t="s">
        <v>3110</v>
      </c>
      <c r="H204" s="117" t="str">
        <f t="shared" si="22"/>
        <v>CAEE</v>
      </c>
      <c r="I204" s="117" t="s">
        <v>68</v>
      </c>
    </row>
    <row r="205" spans="1:9">
      <c r="A205" s="114" t="str">
        <f t="shared" si="23"/>
        <v>4030000DEPN EXPENSE-ELECT3980000MISCELLANEOUS EQUIPMENTCAGE</v>
      </c>
      <c r="B205" s="125">
        <v>4030000</v>
      </c>
      <c r="C205" s="120" t="s">
        <v>1612</v>
      </c>
      <c r="D205" s="125">
        <v>3980000</v>
      </c>
      <c r="E205" s="121" t="s">
        <v>1541</v>
      </c>
      <c r="F205" s="119" t="s">
        <v>3106</v>
      </c>
      <c r="H205" s="117" t="str">
        <f t="shared" si="22"/>
        <v>CAGE</v>
      </c>
      <c r="I205" s="117" t="s">
        <v>68</v>
      </c>
    </row>
    <row r="206" spans="1:9">
      <c r="A206" s="114" t="str">
        <f t="shared" si="23"/>
        <v>4030000DEPN EXPENSE-ELECT3980000MISCELLANEOUS EQUIPMENTCAGW</v>
      </c>
      <c r="B206" s="125">
        <v>4030000</v>
      </c>
      <c r="C206" s="120" t="s">
        <v>1612</v>
      </c>
      <c r="D206" s="125">
        <v>3980000</v>
      </c>
      <c r="E206" s="121" t="s">
        <v>1541</v>
      </c>
      <c r="F206" s="119" t="s">
        <v>3108</v>
      </c>
      <c r="H206" s="117" t="str">
        <f t="shared" si="22"/>
        <v>CAGW</v>
      </c>
      <c r="I206" s="117" t="s">
        <v>68</v>
      </c>
    </row>
    <row r="207" spans="1:9">
      <c r="A207" s="114" t="str">
        <f t="shared" si="23"/>
        <v>4030000DEPN EXPENSE-ELECT3980000MISCELLANEOUS EQUIPMENTJBG</v>
      </c>
      <c r="B207" s="125">
        <v>4030000</v>
      </c>
      <c r="C207" s="120" t="s">
        <v>1612</v>
      </c>
      <c r="D207" s="125">
        <v>3980000</v>
      </c>
      <c r="E207" s="121" t="s">
        <v>1541</v>
      </c>
      <c r="F207" s="119" t="s">
        <v>3107</v>
      </c>
      <c r="H207" s="117" t="str">
        <f t="shared" si="22"/>
        <v>JBG</v>
      </c>
      <c r="I207" s="117" t="s">
        <v>68</v>
      </c>
    </row>
    <row r="208" spans="1:9">
      <c r="A208" s="114" t="str">
        <f t="shared" si="23"/>
        <v>4032000DEPR - STEAM565131DEPR - PROD STEAM NOT CLASSIFIEDCAGE</v>
      </c>
      <c r="B208" s="125">
        <v>4032000</v>
      </c>
      <c r="C208" s="120" t="s">
        <v>1656</v>
      </c>
      <c r="D208" s="125">
        <v>565131</v>
      </c>
      <c r="E208" s="121" t="s">
        <v>1657</v>
      </c>
      <c r="F208" s="119" t="s">
        <v>3106</v>
      </c>
      <c r="H208" s="117" t="str">
        <f t="shared" si="22"/>
        <v>CAGE</v>
      </c>
      <c r="I208" s="117" t="s">
        <v>68</v>
      </c>
    </row>
    <row r="209" spans="1:9">
      <c r="A209" s="114" t="str">
        <f t="shared" si="23"/>
        <v>4032000DEPR - STEAM565131DEPR - PROD STEAM NOT CLASSIFIEDCAGW</v>
      </c>
      <c r="B209" s="125">
        <v>4032000</v>
      </c>
      <c r="C209" s="120" t="s">
        <v>1656</v>
      </c>
      <c r="D209" s="125">
        <v>565131</v>
      </c>
      <c r="E209" s="121" t="s">
        <v>1657</v>
      </c>
      <c r="F209" s="119" t="s">
        <v>3108</v>
      </c>
      <c r="H209" s="117" t="str">
        <f t="shared" si="22"/>
        <v>CAGW</v>
      </c>
      <c r="I209" s="117" t="s">
        <v>68</v>
      </c>
    </row>
    <row r="210" spans="1:9">
      <c r="A210" s="114" t="str">
        <f t="shared" si="23"/>
        <v>4032000DEPR - STEAM565131DEPR - PROD STEAM NOT CLASSIFIEDJBG</v>
      </c>
      <c r="B210" s="125">
        <v>4032000</v>
      </c>
      <c r="C210" s="120" t="s">
        <v>1656</v>
      </c>
      <c r="D210" s="125">
        <v>565131</v>
      </c>
      <c r="E210" s="121" t="s">
        <v>1657</v>
      </c>
      <c r="F210" s="119" t="s">
        <v>3107</v>
      </c>
      <c r="H210" s="117" t="str">
        <f t="shared" si="22"/>
        <v>JBG</v>
      </c>
      <c r="I210" s="117" t="s">
        <v>68</v>
      </c>
    </row>
    <row r="211" spans="1:9">
      <c r="A211" s="114" t="str">
        <f t="shared" si="23"/>
        <v>4034000DEPR - OTHER565134DEPR - PROD OTHER NOT CLASSIFIEDCAGE</v>
      </c>
      <c r="B211" s="125">
        <v>4034000</v>
      </c>
      <c r="C211" s="120" t="s">
        <v>1660</v>
      </c>
      <c r="D211" s="125">
        <v>565134</v>
      </c>
      <c r="E211" s="121" t="s">
        <v>1661</v>
      </c>
      <c r="F211" s="119" t="s">
        <v>3106</v>
      </c>
      <c r="H211" s="117" t="str">
        <f t="shared" si="22"/>
        <v>CAGE</v>
      </c>
      <c r="I211" s="117" t="s">
        <v>68</v>
      </c>
    </row>
    <row r="212" spans="1:9">
      <c r="A212" s="114" t="str">
        <f t="shared" si="23"/>
        <v>4034000DEPR - OTHER565134DEPR - PROD OTHER NOT CLASSIFIEDCAGW</v>
      </c>
      <c r="B212" s="125">
        <v>4034000</v>
      </c>
      <c r="C212" s="120" t="s">
        <v>1660</v>
      </c>
      <c r="D212" s="125">
        <v>565134</v>
      </c>
      <c r="E212" s="121" t="s">
        <v>1661</v>
      </c>
      <c r="F212" s="119" t="s">
        <v>3108</v>
      </c>
      <c r="H212" s="117" t="str">
        <f t="shared" si="22"/>
        <v>CAGW</v>
      </c>
      <c r="I212" s="117" t="s">
        <v>68</v>
      </c>
    </row>
    <row r="213" spans="1:9">
      <c r="A213" s="114" t="str">
        <f t="shared" si="23"/>
        <v>4034000DEPR - OTHER565134DEPR - PROD OTHER NOT CLASSIFIEDSG-W</v>
      </c>
      <c r="B213" s="125">
        <v>4034000</v>
      </c>
      <c r="C213" s="120" t="s">
        <v>1660</v>
      </c>
      <c r="D213" s="125">
        <v>565134</v>
      </c>
      <c r="E213" s="121" t="s">
        <v>1661</v>
      </c>
      <c r="F213" s="119" t="s">
        <v>3109</v>
      </c>
      <c r="H213" s="117" t="str">
        <f t="shared" si="22"/>
        <v>SG-W</v>
      </c>
      <c r="I213" s="117" t="s">
        <v>68</v>
      </c>
    </row>
    <row r="214" spans="1:9">
      <c r="A214" s="114" t="str">
        <f t="shared" si="23"/>
        <v>4037000DEPR - GENERAL565201DEPR - GEN ASSETS NOT CLASSIFIEDCAGE</v>
      </c>
      <c r="B214" s="125">
        <v>4037000</v>
      </c>
      <c r="C214" s="120" t="s">
        <v>1666</v>
      </c>
      <c r="D214" s="125">
        <v>565201</v>
      </c>
      <c r="E214" s="121" t="s">
        <v>1667</v>
      </c>
      <c r="F214" s="119" t="s">
        <v>3106</v>
      </c>
      <c r="H214" s="117" t="str">
        <f t="shared" si="22"/>
        <v>CAGE</v>
      </c>
      <c r="I214" s="117" t="s">
        <v>68</v>
      </c>
    </row>
    <row r="215" spans="1:9">
      <c r="A215" s="114" t="str">
        <f t="shared" si="23"/>
        <v>4037000DEPR - GENERAL565201DEPR - GEN ASSETS NOT CLASSIFIEDCAGW</v>
      </c>
      <c r="B215" s="125">
        <v>4037000</v>
      </c>
      <c r="C215" s="120" t="s">
        <v>1666</v>
      </c>
      <c r="D215" s="125">
        <v>565201</v>
      </c>
      <c r="E215" s="121" t="s">
        <v>1667</v>
      </c>
      <c r="F215" s="119" t="s">
        <v>3108</v>
      </c>
      <c r="H215" s="117" t="str">
        <f t="shared" si="22"/>
        <v>CAGW</v>
      </c>
      <c r="I215" s="117" t="s">
        <v>68</v>
      </c>
    </row>
    <row r="216" spans="1:9">
      <c r="A216" s="114" t="str">
        <f t="shared" si="23"/>
        <v>4039999DEPR EXP-ELEC, OTH565970DEPRECIATION-JOINT OWNER BILLED-CREDITCAGE</v>
      </c>
      <c r="B216" s="125">
        <v>4039999</v>
      </c>
      <c r="C216" s="120" t="s">
        <v>1668</v>
      </c>
      <c r="D216" s="125">
        <v>565970</v>
      </c>
      <c r="E216" s="121" t="s">
        <v>1669</v>
      </c>
      <c r="F216" s="119" t="s">
        <v>3106</v>
      </c>
      <c r="H216" s="117" t="str">
        <f t="shared" si="22"/>
        <v>CAGE</v>
      </c>
      <c r="I216" s="117" t="s">
        <v>68</v>
      </c>
    </row>
  </sheetData>
  <autoFilter ref="A1:I168" xr:uid="{00000000-0009-0000-0000-00000D000000}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FFFF"/>
  </sheetPr>
  <dimension ref="A1:K306"/>
  <sheetViews>
    <sheetView zoomScale="85" zoomScaleNormal="85" workbookViewId="0"/>
  </sheetViews>
  <sheetFormatPr defaultRowHeight="12.75"/>
  <cols>
    <col min="1" max="1" width="18.7109375" style="114" customWidth="1"/>
    <col min="2" max="2" width="18.7109375" style="119" customWidth="1"/>
    <col min="3" max="3" width="18.7109375" style="120" customWidth="1"/>
    <col min="4" max="4" width="18.7109375" style="119" customWidth="1"/>
    <col min="5" max="5" width="38.85546875" style="121" customWidth="1"/>
    <col min="6" max="6" width="18.7109375" style="120" customWidth="1"/>
    <col min="7" max="7" width="18.7109375" style="123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19" t="s">
        <v>345</v>
      </c>
      <c r="C1" s="119" t="s">
        <v>346</v>
      </c>
      <c r="D1" s="119" t="s">
        <v>347</v>
      </c>
      <c r="E1" s="121" t="s">
        <v>348</v>
      </c>
      <c r="F1" s="119" t="s">
        <v>349</v>
      </c>
      <c r="G1" s="119" t="s">
        <v>350</v>
      </c>
      <c r="H1" s="113" t="s">
        <v>351</v>
      </c>
      <c r="I1" s="113" t="s">
        <v>352</v>
      </c>
      <c r="J1" s="113" t="s">
        <v>353</v>
      </c>
      <c r="K1"/>
    </row>
    <row r="2" spans="1:11">
      <c r="A2" s="114" t="str">
        <f t="shared" ref="A2:A65" si="0">CONCATENATE($B2,$C2,$D2,$E2,$H2)</f>
        <v>1010000ELEC PLANT IN SERV3890000LAND AND LAND RIGHTSSITUS</v>
      </c>
      <c r="B2" s="125" t="s">
        <v>1809</v>
      </c>
      <c r="C2" s="119" t="s">
        <v>1453</v>
      </c>
      <c r="D2" s="125" t="s">
        <v>1810</v>
      </c>
      <c r="E2" s="121" t="s">
        <v>1512</v>
      </c>
      <c r="F2" s="119" t="s">
        <v>372</v>
      </c>
      <c r="G2" s="122">
        <v>88.883499999999998</v>
      </c>
      <c r="H2" s="113" t="str">
        <f>IF(OR(F2="IDU",F2="OR",F2="UT",F2="WYU",F2="WYP",F2="CA",F2="WA"),"SITUS",IF(OR(F2="CAEE",F2="JBE"),"SE",IF(OR(F2="CAGE",F2="CAGW",F2="JBG"),"SG",F2)))</f>
        <v>SITUS</v>
      </c>
      <c r="I2" s="113" t="str">
        <f>INDEX('GP Lookup'!$I:$I,MATCH(A2,'GP Lookup'!$A:$A,0))</f>
        <v>TD</v>
      </c>
      <c r="J2" s="113" t="str">
        <f>IF('GP Jun22data'!$G2=0,"NO",IF(ISNA('GP Jun22data'!$I2),"YES",IF(_xlfn.ISFORMULA('GP Jun22data'!$I2),"NO","YES")))</f>
        <v>NO</v>
      </c>
      <c r="K2"/>
    </row>
    <row r="3" spans="1:11">
      <c r="A3" s="114" t="str">
        <f t="shared" si="0"/>
        <v>1010000ELEC PLANT IN SERV3890000LAND AND LAND RIGHTSSITUS</v>
      </c>
      <c r="B3" s="125" t="s">
        <v>1809</v>
      </c>
      <c r="C3" s="119" t="s">
        <v>1453</v>
      </c>
      <c r="D3" s="125" t="s">
        <v>1810</v>
      </c>
      <c r="E3" s="121" t="s">
        <v>1512</v>
      </c>
      <c r="F3" s="119" t="s">
        <v>343</v>
      </c>
      <c r="G3" s="122">
        <v>228</v>
      </c>
      <c r="H3" s="113" t="str">
        <f t="shared" ref="H3:H66" si="1">IF(OR(F3="IDU",F3="OR",F3="UT",F3="WYU",F3="WYP",F3="CA",F3="WA"),"SITUS",IF(OR(F3="CAEE",F3="JBE"),"SE",IF(OR(F3="CAGE",F3="CAGW",F3="JBG"),"SG",F3)))</f>
        <v>SITUS</v>
      </c>
      <c r="I3" s="113" t="str">
        <f>INDEX('GP Lookup'!$I:$I,MATCH(A3,'GP Lookup'!$A:$A,0))</f>
        <v>TD</v>
      </c>
      <c r="J3" s="113" t="str">
        <f>IF('GP Jun22data'!$G3=0,"NO",IF(ISNA('GP Jun22data'!$I3),"YES",IF(_xlfn.ISFORMULA('GP Jun22data'!$I3),"NO","YES")))</f>
        <v>NO</v>
      </c>
      <c r="K3"/>
    </row>
    <row r="4" spans="1:11">
      <c r="A4" s="114" t="str">
        <f t="shared" si="0"/>
        <v>1010000ELEC PLANT IN SERV3890000LAND AND LAND RIGHTSSITUS</v>
      </c>
      <c r="B4" s="125" t="s">
        <v>1809</v>
      </c>
      <c r="C4" s="119" t="s">
        <v>1453</v>
      </c>
      <c r="D4" s="125" t="s">
        <v>1810</v>
      </c>
      <c r="E4" s="121" t="s">
        <v>1512</v>
      </c>
      <c r="F4" s="119" t="s">
        <v>370</v>
      </c>
      <c r="G4" s="122">
        <v>1327.3750199999999</v>
      </c>
      <c r="H4" s="113" t="str">
        <f t="shared" si="1"/>
        <v>SITUS</v>
      </c>
      <c r="I4" s="113" t="str">
        <f>INDEX('GP Lookup'!$I:$I,MATCH(A4,'GP Lookup'!$A:$A,0))</f>
        <v>TD</v>
      </c>
      <c r="J4" s="113" t="str">
        <f>IF('GP Jun22data'!$G4=0,"NO",IF(ISNA('GP Jun22data'!$I4),"YES",IF(_xlfn.ISFORMULA('GP Jun22data'!$I4),"NO","YES")))</f>
        <v>NO</v>
      </c>
      <c r="K4"/>
    </row>
    <row r="5" spans="1:11">
      <c r="A5" s="114" t="str">
        <f t="shared" si="0"/>
        <v>1010000ELEC PLANT IN SERV3890000LAND AND LAND RIGHTSSITUS</v>
      </c>
      <c r="B5" s="125" t="s">
        <v>1809</v>
      </c>
      <c r="C5" s="119" t="s">
        <v>1453</v>
      </c>
      <c r="D5" s="125" t="s">
        <v>1810</v>
      </c>
      <c r="E5" s="121" t="s">
        <v>1512</v>
      </c>
      <c r="F5" s="119" t="s">
        <v>378</v>
      </c>
      <c r="G5" s="122">
        <v>434.01495</v>
      </c>
      <c r="H5" s="113" t="str">
        <f t="shared" si="1"/>
        <v>SITUS</v>
      </c>
      <c r="I5" s="113" t="str">
        <f>INDEX('GP Lookup'!$I:$I,MATCH(A5,'GP Lookup'!$A:$A,0))</f>
        <v>TD</v>
      </c>
      <c r="J5" s="113" t="str">
        <f>IF('GP Jun22data'!$G5=0,"NO",IF(ISNA('GP Jun22data'!$I5),"YES",IF(_xlfn.ISFORMULA('GP Jun22data'!$I5),"NO","YES")))</f>
        <v>NO</v>
      </c>
      <c r="K5"/>
    </row>
    <row r="6" spans="1:11">
      <c r="A6" s="114" t="str">
        <f t="shared" si="0"/>
        <v>1010000ELEC PLANT IN SERV3891000LAND OWNED IN FEESITUS</v>
      </c>
      <c r="B6" s="125" t="s">
        <v>1809</v>
      </c>
      <c r="C6" s="119" t="s">
        <v>1453</v>
      </c>
      <c r="D6" s="125" t="s">
        <v>1811</v>
      </c>
      <c r="E6" s="121" t="s">
        <v>1513</v>
      </c>
      <c r="F6" s="119" t="s">
        <v>387</v>
      </c>
      <c r="G6" s="122">
        <v>996.65907000000004</v>
      </c>
      <c r="H6" s="113" t="str">
        <f t="shared" si="1"/>
        <v>SITUS</v>
      </c>
      <c r="I6" s="113" t="str">
        <f>INDEX('GP Lookup'!$I:$I,MATCH(A6,'GP Lookup'!$A:$A,0))</f>
        <v>TD</v>
      </c>
      <c r="J6" s="113" t="str">
        <f>IF('GP Jun22data'!$G6=0,"NO",IF(ISNA('GP Jun22data'!$I6),"YES",IF(_xlfn.ISFORMULA('GP Jun22data'!$I6),"NO","YES")))</f>
        <v>NO</v>
      </c>
      <c r="K6"/>
    </row>
    <row r="7" spans="1:11">
      <c r="A7" s="114" t="str">
        <f t="shared" si="0"/>
        <v>1010000ELEC PLANT IN SERV3891000LAND OWNED IN FEESG</v>
      </c>
      <c r="B7" s="125" t="s">
        <v>1809</v>
      </c>
      <c r="C7" s="119" t="s">
        <v>1453</v>
      </c>
      <c r="D7" s="125" t="s">
        <v>1811</v>
      </c>
      <c r="E7" s="121" t="s">
        <v>1513</v>
      </c>
      <c r="F7" s="119" t="s">
        <v>3106</v>
      </c>
      <c r="G7" s="122">
        <v>0.33232</v>
      </c>
      <c r="H7" s="113" t="str">
        <f t="shared" si="1"/>
        <v>SG</v>
      </c>
      <c r="I7" s="113" t="str">
        <f>INDEX('GP Lookup'!$I:$I,MATCH(A7,'GP Lookup'!$A:$A,0))</f>
        <v>P</v>
      </c>
      <c r="J7" s="113" t="str">
        <f>IF('GP Jun22data'!$G7=0,"NO",IF(ISNA('GP Jun22data'!$I7),"YES",IF(_xlfn.ISFORMULA('GP Jun22data'!$I7),"NO","YES")))</f>
        <v>NO</v>
      </c>
      <c r="K7"/>
    </row>
    <row r="8" spans="1:11">
      <c r="A8" s="114" t="str">
        <f t="shared" si="0"/>
        <v>1010000ELEC PLANT IN SERV3891000LAND OWNED IN FEECN</v>
      </c>
      <c r="B8" s="125" t="s">
        <v>1809</v>
      </c>
      <c r="C8" s="119" t="s">
        <v>1453</v>
      </c>
      <c r="D8" s="125" t="s">
        <v>1811</v>
      </c>
      <c r="E8" s="121" t="s">
        <v>1513</v>
      </c>
      <c r="F8" s="119" t="s">
        <v>84</v>
      </c>
      <c r="G8" s="122">
        <v>1128.5057911285101</v>
      </c>
      <c r="H8" s="113" t="str">
        <f t="shared" si="1"/>
        <v>CN</v>
      </c>
      <c r="I8" s="113" t="str">
        <f>INDEX('GP Lookup'!$I:$I,MATCH(A8,'GP Lookup'!$A:$A,0))</f>
        <v>CUST</v>
      </c>
      <c r="J8" s="113" t="str">
        <f>IF('GP Jun22data'!$G8=0,"NO",IF(ISNA('GP Jun22data'!$I8),"YES",IF(_xlfn.ISFORMULA('GP Jun22data'!$I8),"NO","YES")))</f>
        <v>NO</v>
      </c>
      <c r="K8"/>
    </row>
    <row r="9" spans="1:11">
      <c r="A9" s="114" t="str">
        <f t="shared" si="0"/>
        <v>1010000ELEC PLANT IN SERV3891000LAND OWNED IN FEESITUS</v>
      </c>
      <c r="B9" s="125" t="s">
        <v>1809</v>
      </c>
      <c r="C9" s="119" t="s">
        <v>1453</v>
      </c>
      <c r="D9" s="125" t="s">
        <v>1811</v>
      </c>
      <c r="E9" s="121" t="s">
        <v>1513</v>
      </c>
      <c r="F9" s="119" t="s">
        <v>372</v>
      </c>
      <c r="G9" s="122">
        <v>100.14944</v>
      </c>
      <c r="H9" s="113" t="str">
        <f t="shared" si="1"/>
        <v>SITUS</v>
      </c>
      <c r="I9" s="113" t="str">
        <f>INDEX('GP Lookup'!$I:$I,MATCH(A9,'GP Lookup'!$A:$A,0))</f>
        <v>TD</v>
      </c>
      <c r="J9" s="113" t="str">
        <f>IF('GP Jun22data'!$G9=0,"NO",IF(ISNA('GP Jun22data'!$I9),"YES",IF(_xlfn.ISFORMULA('GP Jun22data'!$I9),"NO","YES")))</f>
        <v>NO</v>
      </c>
      <c r="K9"/>
    </row>
    <row r="10" spans="1:11">
      <c r="A10" s="114" t="str">
        <f t="shared" si="0"/>
        <v>1010000ELEC PLANT IN SERV3891000LAND OWNED IN FEESITUS</v>
      </c>
      <c r="B10" s="125" t="s">
        <v>1809</v>
      </c>
      <c r="C10" s="119" t="s">
        <v>1453</v>
      </c>
      <c r="D10" s="125" t="s">
        <v>1811</v>
      </c>
      <c r="E10" s="121" t="s">
        <v>1513</v>
      </c>
      <c r="F10" s="119" t="s">
        <v>343</v>
      </c>
      <c r="G10" s="122">
        <v>5887.3561499999996</v>
      </c>
      <c r="H10" s="113" t="str">
        <f t="shared" si="1"/>
        <v>SITUS</v>
      </c>
      <c r="I10" s="113" t="str">
        <f>INDEX('GP Lookup'!$I:$I,MATCH(A10,'GP Lookup'!$A:$A,0))</f>
        <v>TD</v>
      </c>
      <c r="J10" s="113" t="str">
        <f>IF('GP Jun22data'!$G10=0,"NO",IF(ISNA('GP Jun22data'!$I10),"YES",IF(_xlfn.ISFORMULA('GP Jun22data'!$I10),"NO","YES")))</f>
        <v>NO</v>
      </c>
      <c r="K10"/>
    </row>
    <row r="11" spans="1:11">
      <c r="A11" s="114" t="str">
        <f t="shared" si="0"/>
        <v>1010000ELEC PLANT IN SERV3891000LAND OWNED IN FEESO</v>
      </c>
      <c r="B11" s="125" t="s">
        <v>1809</v>
      </c>
      <c r="C11" s="119" t="s">
        <v>1453</v>
      </c>
      <c r="D11" s="125" t="s">
        <v>1811</v>
      </c>
      <c r="E11" s="121" t="s">
        <v>1513</v>
      </c>
      <c r="F11" s="119" t="s">
        <v>89</v>
      </c>
      <c r="G11" s="122">
        <v>7516.3022000000001</v>
      </c>
      <c r="H11" s="113" t="str">
        <f t="shared" si="1"/>
        <v>SO</v>
      </c>
      <c r="I11" s="113" t="str">
        <f>INDEX('GP Lookup'!$I:$I,MATCH(A11,'GP Lookup'!$A:$A,0))</f>
        <v>PTD</v>
      </c>
      <c r="J11" s="113" t="str">
        <f>IF('GP Jun22data'!$G11=0,"NO",IF(ISNA('GP Jun22data'!$I11),"YES",IF(_xlfn.ISFORMULA('GP Jun22data'!$I11),"NO","YES")))</f>
        <v>NO</v>
      </c>
      <c r="K11"/>
    </row>
    <row r="12" spans="1:11">
      <c r="A12" s="114" t="str">
        <f t="shared" si="0"/>
        <v>1010000ELEC PLANT IN SERV3891000LAND OWNED IN FEESITUS</v>
      </c>
      <c r="B12" s="125" t="s">
        <v>1809</v>
      </c>
      <c r="C12" s="119" t="s">
        <v>1453</v>
      </c>
      <c r="D12" s="125" t="s">
        <v>1811</v>
      </c>
      <c r="E12" s="121" t="s">
        <v>1513</v>
      </c>
      <c r="F12" s="119" t="s">
        <v>370</v>
      </c>
      <c r="G12" s="122">
        <v>2669.1687999999999</v>
      </c>
      <c r="H12" s="113" t="str">
        <f t="shared" si="1"/>
        <v>SITUS</v>
      </c>
      <c r="I12" s="113" t="str">
        <f>INDEX('GP Lookup'!$I:$I,MATCH(A12,'GP Lookup'!$A:$A,0))</f>
        <v>TD</v>
      </c>
      <c r="J12" s="113" t="str">
        <f>IF('GP Jun22data'!$G12=0,"NO",IF(ISNA('GP Jun22data'!$I12),"YES",IF(_xlfn.ISFORMULA('GP Jun22data'!$I12),"NO","YES")))</f>
        <v>NO</v>
      </c>
      <c r="K12"/>
    </row>
    <row r="13" spans="1:11">
      <c r="A13" s="114" t="str">
        <f t="shared" si="0"/>
        <v>1010000ELEC PLANT IN SERV3891000LAND OWNED IN FEESITUS</v>
      </c>
      <c r="B13" s="125" t="s">
        <v>1809</v>
      </c>
      <c r="C13" s="119" t="s">
        <v>1453</v>
      </c>
      <c r="D13" s="125" t="s">
        <v>1811</v>
      </c>
      <c r="E13" s="121" t="s">
        <v>1513</v>
      </c>
      <c r="F13" s="119" t="s">
        <v>367</v>
      </c>
      <c r="G13" s="122">
        <v>1098.82635</v>
      </c>
      <c r="H13" s="113" t="str">
        <f t="shared" si="1"/>
        <v>SITUS</v>
      </c>
      <c r="I13" s="113" t="str">
        <f>INDEX('GP Lookup'!$I:$I,MATCH(A13,'GP Lookup'!$A:$A,0))</f>
        <v>TD</v>
      </c>
      <c r="J13" s="113" t="str">
        <f>IF('GP Jun22data'!$G13=0,"NO",IF(ISNA('GP Jun22data'!$I13),"YES",IF(_xlfn.ISFORMULA('GP Jun22data'!$I13),"NO","YES")))</f>
        <v>NO</v>
      </c>
      <c r="K13"/>
    </row>
    <row r="14" spans="1:11">
      <c r="A14" s="114" t="str">
        <f t="shared" si="0"/>
        <v>1010000ELEC PLANT IN SERV3891000LAND OWNED IN FEESITUS</v>
      </c>
      <c r="B14" s="125" t="s">
        <v>1809</v>
      </c>
      <c r="C14" s="119" t="s">
        <v>1453</v>
      </c>
      <c r="D14" s="125" t="s">
        <v>1811</v>
      </c>
      <c r="E14" s="121" t="s">
        <v>1513</v>
      </c>
      <c r="F14" s="119" t="s">
        <v>386</v>
      </c>
      <c r="G14" s="122">
        <v>1863.41221</v>
      </c>
      <c r="H14" s="113" t="str">
        <f t="shared" si="1"/>
        <v>SITUS</v>
      </c>
      <c r="I14" s="113" t="str">
        <f>INDEX('GP Lookup'!$I:$I,MATCH(A14,'GP Lookup'!$A:$A,0))</f>
        <v>TD</v>
      </c>
      <c r="J14" s="113" t="str">
        <f>IF('GP Jun22data'!$G14=0,"NO",IF(ISNA('GP Jun22data'!$I14),"YES",IF(_xlfn.ISFORMULA('GP Jun22data'!$I14),"NO","YES")))</f>
        <v>NO</v>
      </c>
      <c r="K14"/>
    </row>
    <row r="15" spans="1:11">
      <c r="A15" s="114" t="str">
        <f t="shared" si="0"/>
        <v>1010000ELEC PLANT IN SERV3891000LAND OWNED IN FEESITUS</v>
      </c>
      <c r="B15" s="125" t="s">
        <v>1809</v>
      </c>
      <c r="C15" s="119" t="s">
        <v>1453</v>
      </c>
      <c r="D15" s="125" t="s">
        <v>1811</v>
      </c>
      <c r="E15" s="121" t="s">
        <v>1513</v>
      </c>
      <c r="F15" s="119" t="s">
        <v>378</v>
      </c>
      <c r="G15" s="122">
        <v>221.27450999999999</v>
      </c>
      <c r="H15" s="113" t="str">
        <f t="shared" si="1"/>
        <v>SITUS</v>
      </c>
      <c r="I15" s="113" t="str">
        <f>INDEX('GP Lookup'!$I:$I,MATCH(A15,'GP Lookup'!$A:$A,0))</f>
        <v>TD</v>
      </c>
      <c r="J15" s="113" t="str">
        <f>IF('GP Jun22data'!$G15=0,"NO",IF(ISNA('GP Jun22data'!$I15),"YES",IF(_xlfn.ISFORMULA('GP Jun22data'!$I15),"NO","YES")))</f>
        <v>NO</v>
      </c>
      <c r="K15"/>
    </row>
    <row r="16" spans="1:11">
      <c r="A16" s="114" t="str">
        <f t="shared" si="0"/>
        <v>1010000ELEC PLANT IN SERV3892000LAND RIGHTSSITUS</v>
      </c>
      <c r="B16" s="125" t="s">
        <v>1809</v>
      </c>
      <c r="C16" s="119" t="s">
        <v>1453</v>
      </c>
      <c r="D16" s="125" t="s">
        <v>1795</v>
      </c>
      <c r="E16" s="121" t="s">
        <v>1514</v>
      </c>
      <c r="F16" s="119" t="s">
        <v>372</v>
      </c>
      <c r="G16" s="122">
        <v>4.8676399999999997</v>
      </c>
      <c r="H16" s="113" t="str">
        <f t="shared" si="1"/>
        <v>SITUS</v>
      </c>
      <c r="I16" s="113" t="str">
        <f>INDEX('GP Lookup'!$I:$I,MATCH(A16,'GP Lookup'!$A:$A,0))</f>
        <v>TD</v>
      </c>
      <c r="J16" s="113" t="str">
        <f>IF('GP Jun22data'!$G16=0,"NO",IF(ISNA('GP Jun22data'!$I16),"YES",IF(_xlfn.ISFORMULA('GP Jun22data'!$I16),"NO","YES")))</f>
        <v>NO</v>
      </c>
      <c r="K16"/>
    </row>
    <row r="17" spans="1:11">
      <c r="A17" s="114" t="str">
        <f t="shared" si="0"/>
        <v>1010000ELEC PLANT IN SERV3892000LAND RIGHTSSITUS</v>
      </c>
      <c r="B17" s="125" t="s">
        <v>1809</v>
      </c>
      <c r="C17" s="119" t="s">
        <v>1453</v>
      </c>
      <c r="D17" s="125" t="s">
        <v>1795</v>
      </c>
      <c r="E17" s="121" t="s">
        <v>1514</v>
      </c>
      <c r="F17" s="119" t="s">
        <v>343</v>
      </c>
      <c r="G17" s="122">
        <v>1.2</v>
      </c>
      <c r="H17" s="113" t="str">
        <f t="shared" si="1"/>
        <v>SITUS</v>
      </c>
      <c r="I17" s="113" t="str">
        <f>INDEX('GP Lookup'!$I:$I,MATCH(A17,'GP Lookup'!$A:$A,0))</f>
        <v>TD</v>
      </c>
      <c r="J17" s="113" t="str">
        <f>IF('GP Jun22data'!$G17=0,"NO",IF(ISNA('GP Jun22data'!$I17),"YES",IF(_xlfn.ISFORMULA('GP Jun22data'!$I17),"NO","YES")))</f>
        <v>NO</v>
      </c>
      <c r="K17"/>
    </row>
    <row r="18" spans="1:11">
      <c r="A18" s="114" t="str">
        <f t="shared" si="0"/>
        <v>1010000ELEC PLANT IN SERV3892000LAND RIGHTSSG</v>
      </c>
      <c r="B18" s="125" t="s">
        <v>1809</v>
      </c>
      <c r="C18" s="119" t="s">
        <v>1453</v>
      </c>
      <c r="D18" s="125" t="s">
        <v>1795</v>
      </c>
      <c r="E18" s="121" t="s">
        <v>1514</v>
      </c>
      <c r="F18" s="119" t="s">
        <v>87</v>
      </c>
      <c r="G18" s="122">
        <v>1.2275499999999999</v>
      </c>
      <c r="H18" s="113" t="str">
        <f t="shared" si="1"/>
        <v>SG</v>
      </c>
      <c r="I18" s="113" t="str">
        <f>INDEX('GP Lookup'!$I:$I,MATCH(A18,'GP Lookup'!$A:$A,0))</f>
        <v>P</v>
      </c>
      <c r="J18" s="113" t="str">
        <f>IF('GP Jun22data'!$G18=0,"NO",IF(ISNA('GP Jun22data'!$I18),"YES",IF(_xlfn.ISFORMULA('GP Jun22data'!$I18),"NO","YES")))</f>
        <v>NO</v>
      </c>
      <c r="K18"/>
    </row>
    <row r="19" spans="1:11">
      <c r="A19" s="114" t="str">
        <f t="shared" si="0"/>
        <v>1010000ELEC PLANT IN SERV3892000LAND RIGHTSSO</v>
      </c>
      <c r="B19" s="125" t="s">
        <v>1809</v>
      </c>
      <c r="C19" s="119" t="s">
        <v>1453</v>
      </c>
      <c r="D19" s="125" t="s">
        <v>1795</v>
      </c>
      <c r="E19" s="121" t="s">
        <v>1514</v>
      </c>
      <c r="F19" s="119" t="s">
        <v>89</v>
      </c>
      <c r="G19" s="122">
        <v>95.314980000000006</v>
      </c>
      <c r="H19" s="113" t="str">
        <f t="shared" si="1"/>
        <v>SO</v>
      </c>
      <c r="I19" s="113" t="str">
        <f>INDEX('GP Lookup'!$I:$I,MATCH(A19,'GP Lookup'!$A:$A,0))</f>
        <v>PTD</v>
      </c>
      <c r="J19" s="113" t="str">
        <f>IF('GP Jun22data'!$G19=0,"NO",IF(ISNA('GP Jun22data'!$I19),"YES",IF(_xlfn.ISFORMULA('GP Jun22data'!$I19),"NO","YES")))</f>
        <v>NO</v>
      </c>
      <c r="K19"/>
    </row>
    <row r="20" spans="1:11">
      <c r="A20" s="114" t="str">
        <f t="shared" si="0"/>
        <v>1010000ELEC PLANT IN SERV3892000LAND RIGHTSSITUS</v>
      </c>
      <c r="B20" s="125" t="s">
        <v>1809</v>
      </c>
      <c r="C20" s="119" t="s">
        <v>1453</v>
      </c>
      <c r="D20" s="125" t="s">
        <v>1795</v>
      </c>
      <c r="E20" s="121" t="s">
        <v>1514</v>
      </c>
      <c r="F20" s="119" t="s">
        <v>370</v>
      </c>
      <c r="G20" s="122">
        <v>84.055809999999994</v>
      </c>
      <c r="H20" s="113" t="str">
        <f t="shared" si="1"/>
        <v>SITUS</v>
      </c>
      <c r="I20" s="113" t="str">
        <f>INDEX('GP Lookup'!$I:$I,MATCH(A20,'GP Lookup'!$A:$A,0))</f>
        <v>TD</v>
      </c>
      <c r="J20" s="113" t="str">
        <f>IF('GP Jun22data'!$G20=0,"NO",IF(ISNA('GP Jun22data'!$I20),"YES",IF(_xlfn.ISFORMULA('GP Jun22data'!$I20),"NO","YES")))</f>
        <v>NO</v>
      </c>
      <c r="K20"/>
    </row>
    <row r="21" spans="1:11">
      <c r="A21" s="114" t="str">
        <f t="shared" si="0"/>
        <v>1010000ELEC PLANT IN SERV3892000LAND RIGHTSSITUS</v>
      </c>
      <c r="B21" s="125" t="s">
        <v>1809</v>
      </c>
      <c r="C21" s="119" t="s">
        <v>1453</v>
      </c>
      <c r="D21" s="125" t="s">
        <v>1795</v>
      </c>
      <c r="E21" s="121" t="s">
        <v>1514</v>
      </c>
      <c r="F21" s="119" t="s">
        <v>386</v>
      </c>
      <c r="G21" s="122">
        <v>52.406599999999997</v>
      </c>
      <c r="H21" s="113" t="str">
        <f t="shared" si="1"/>
        <v>SITUS</v>
      </c>
      <c r="I21" s="113" t="str">
        <f>INDEX('GP Lookup'!$I:$I,MATCH(A21,'GP Lookup'!$A:$A,0))</f>
        <v>TD</v>
      </c>
      <c r="J21" s="113" t="str">
        <f>IF('GP Jun22data'!$G21=0,"NO",IF(ISNA('GP Jun22data'!$I21),"YES",IF(_xlfn.ISFORMULA('GP Jun22data'!$I21),"NO","YES")))</f>
        <v>NO</v>
      </c>
      <c r="K21"/>
    </row>
    <row r="22" spans="1:11">
      <c r="A22" s="114" t="str">
        <f t="shared" si="0"/>
        <v>1010000ELEC PLANT IN SERV3892000LAND RIGHTSSITUS</v>
      </c>
      <c r="B22" s="125" t="s">
        <v>1809</v>
      </c>
      <c r="C22" s="119" t="s">
        <v>1453</v>
      </c>
      <c r="D22" s="125" t="s">
        <v>1795</v>
      </c>
      <c r="E22" s="121" t="s">
        <v>1514</v>
      </c>
      <c r="F22" s="119" t="s">
        <v>378</v>
      </c>
      <c r="G22" s="122">
        <v>21.908149999999999</v>
      </c>
      <c r="H22" s="113" t="str">
        <f t="shared" si="1"/>
        <v>SITUS</v>
      </c>
      <c r="I22" s="113" t="str">
        <f>INDEX('GP Lookup'!$I:$I,MATCH(A22,'GP Lookup'!$A:$A,0))</f>
        <v>TD</v>
      </c>
      <c r="J22" s="113" t="str">
        <f>IF('GP Jun22data'!$G22=0,"NO",IF(ISNA('GP Jun22data'!$I22),"YES",IF(_xlfn.ISFORMULA('GP Jun22data'!$I22),"NO","YES")))</f>
        <v>NO</v>
      </c>
      <c r="K22"/>
    </row>
    <row r="23" spans="1:11">
      <c r="A23" s="114" t="str">
        <f t="shared" si="0"/>
        <v>1010000ELEC PLANT IN SERV3900000STRUCTURES AND IMPROVEMENTSSITUS</v>
      </c>
      <c r="B23" s="125" t="s">
        <v>1809</v>
      </c>
      <c r="C23" s="119" t="s">
        <v>1453</v>
      </c>
      <c r="D23" s="125" t="s">
        <v>1796</v>
      </c>
      <c r="E23" s="121" t="s">
        <v>1515</v>
      </c>
      <c r="F23" s="119" t="s">
        <v>387</v>
      </c>
      <c r="G23" s="122">
        <v>3820.1803991666702</v>
      </c>
      <c r="H23" s="113" t="str">
        <f t="shared" si="1"/>
        <v>SITUS</v>
      </c>
      <c r="I23" s="113" t="str">
        <f>INDEX('GP Lookup'!$I:$I,MATCH(A23,'GP Lookup'!$A:$A,0))</f>
        <v>TD</v>
      </c>
      <c r="J23" s="113" t="str">
        <f>IF('GP Jun22data'!$G23=0,"NO",IF(ISNA('GP Jun22data'!$I23),"YES",IF(_xlfn.ISFORMULA('GP Jun22data'!$I23),"NO","YES")))</f>
        <v>NO</v>
      </c>
      <c r="K23"/>
    </row>
    <row r="24" spans="1:11">
      <c r="A24" s="114" t="str">
        <f t="shared" si="0"/>
        <v>1010000ELEC PLANT IN SERV3900000STRUCTURES AND IMPROVEMENTSSE</v>
      </c>
      <c r="B24" s="125" t="s">
        <v>1809</v>
      </c>
      <c r="C24" s="119" t="s">
        <v>1453</v>
      </c>
      <c r="D24" s="125" t="s">
        <v>1796</v>
      </c>
      <c r="E24" s="121" t="s">
        <v>1515</v>
      </c>
      <c r="F24" s="119" t="s">
        <v>3110</v>
      </c>
      <c r="G24" s="122">
        <v>893.64843291666602</v>
      </c>
      <c r="H24" s="113" t="str">
        <f t="shared" si="1"/>
        <v>SE</v>
      </c>
      <c r="I24" s="113" t="str">
        <f>INDEX('GP Lookup'!$I:$I,MATCH(A24,'GP Lookup'!$A:$A,0))</f>
        <v>P</v>
      </c>
      <c r="J24" s="113" t="str">
        <f>IF('GP Jun22data'!$G24=0,"NO",IF(ISNA('GP Jun22data'!$I24),"YES",IF(_xlfn.ISFORMULA('GP Jun22data'!$I24),"NO","YES")))</f>
        <v>NO</v>
      </c>
      <c r="K24"/>
    </row>
    <row r="25" spans="1:11">
      <c r="A25" s="114" t="str">
        <f t="shared" si="0"/>
        <v>1010000ELEC PLANT IN SERV3900000STRUCTURES AND IMPROVEMENTSSG</v>
      </c>
      <c r="B25" s="125" t="s">
        <v>1809</v>
      </c>
      <c r="C25" s="119" t="s">
        <v>1453</v>
      </c>
      <c r="D25" s="125" t="s">
        <v>1796</v>
      </c>
      <c r="E25" s="121" t="s">
        <v>1515</v>
      </c>
      <c r="F25" s="119" t="s">
        <v>3106</v>
      </c>
      <c r="G25" s="122">
        <v>497.78575999999998</v>
      </c>
      <c r="H25" s="113" t="str">
        <f t="shared" si="1"/>
        <v>SG</v>
      </c>
      <c r="I25" s="113" t="str">
        <f>INDEX('GP Lookup'!$I:$I,MATCH(A25,'GP Lookup'!$A:$A,0))</f>
        <v>P</v>
      </c>
      <c r="J25" s="113" t="str">
        <f>IF('GP Jun22data'!$G25=0,"NO",IF(ISNA('GP Jun22data'!$I25),"YES",IF(_xlfn.ISFORMULA('GP Jun22data'!$I25),"NO","YES")))</f>
        <v>NO</v>
      </c>
      <c r="K25"/>
    </row>
    <row r="26" spans="1:11">
      <c r="A26" s="114" t="str">
        <f t="shared" si="0"/>
        <v>1010000ELEC PLANT IN SERV3900000STRUCTURES AND IMPROVEMENTSSG</v>
      </c>
      <c r="B26" s="125" t="s">
        <v>1809</v>
      </c>
      <c r="C26" s="119" t="s">
        <v>1453</v>
      </c>
      <c r="D26" s="125" t="s">
        <v>1796</v>
      </c>
      <c r="E26" s="121" t="s">
        <v>1515</v>
      </c>
      <c r="F26" s="119" t="s">
        <v>3108</v>
      </c>
      <c r="G26" s="122">
        <v>10.64409</v>
      </c>
      <c r="H26" s="113" t="str">
        <f t="shared" si="1"/>
        <v>SG</v>
      </c>
      <c r="I26" s="113" t="str">
        <f>INDEX('GP Lookup'!$I:$I,MATCH(A26,'GP Lookup'!$A:$A,0))</f>
        <v>P</v>
      </c>
      <c r="J26" s="113" t="str">
        <f>IF('GP Jun22data'!$G26=0,"NO",IF(ISNA('GP Jun22data'!$I26),"YES",IF(_xlfn.ISFORMULA('GP Jun22data'!$I26),"NO","YES")))</f>
        <v>NO</v>
      </c>
      <c r="K26"/>
    </row>
    <row r="27" spans="1:11">
      <c r="A27" s="114" t="str">
        <f t="shared" si="0"/>
        <v>1010000ELEC PLANT IN SERV3900000STRUCTURES AND IMPROVEMENTSCN</v>
      </c>
      <c r="B27" s="125" t="s">
        <v>1809</v>
      </c>
      <c r="C27" s="119" t="s">
        <v>1453</v>
      </c>
      <c r="D27" s="125" t="s">
        <v>1796</v>
      </c>
      <c r="E27" s="121" t="s">
        <v>1515</v>
      </c>
      <c r="F27" s="119" t="s">
        <v>84</v>
      </c>
      <c r="G27" s="122">
        <v>8207.7149482077093</v>
      </c>
      <c r="H27" s="113" t="str">
        <f t="shared" si="1"/>
        <v>CN</v>
      </c>
      <c r="I27" s="113" t="str">
        <f>INDEX('GP Lookup'!$I:$I,MATCH(A27,'GP Lookup'!$A:$A,0))</f>
        <v>CUST</v>
      </c>
      <c r="J27" s="113" t="str">
        <f>IF('GP Jun22data'!$G27=0,"NO",IF(ISNA('GP Jun22data'!$I27),"YES",IF(_xlfn.ISFORMULA('GP Jun22data'!$I27),"NO","YES")))</f>
        <v>NO</v>
      </c>
      <c r="K27"/>
    </row>
    <row r="28" spans="1:11">
      <c r="A28" s="114" t="str">
        <f t="shared" si="0"/>
        <v>1010000ELEC PLANT IN SERV3900000STRUCTURES AND IMPROVEMENTSSITUS</v>
      </c>
      <c r="B28" s="125" t="s">
        <v>1809</v>
      </c>
      <c r="C28" s="119" t="s">
        <v>1453</v>
      </c>
      <c r="D28" s="125" t="s">
        <v>1796</v>
      </c>
      <c r="E28" s="121" t="s">
        <v>1515</v>
      </c>
      <c r="F28" s="119" t="s">
        <v>372</v>
      </c>
      <c r="G28" s="122">
        <v>11899.1377908333</v>
      </c>
      <c r="H28" s="113" t="str">
        <f t="shared" si="1"/>
        <v>SITUS</v>
      </c>
      <c r="I28" s="113" t="str">
        <f>INDEX('GP Lookup'!$I:$I,MATCH(A28,'GP Lookup'!$A:$A,0))</f>
        <v>TD</v>
      </c>
      <c r="J28" s="113" t="str">
        <f>IF('GP Jun22data'!$G28=0,"NO",IF(ISNA('GP Jun22data'!$I28),"YES",IF(_xlfn.ISFORMULA('GP Jun22data'!$I28),"NO","YES")))</f>
        <v>NO</v>
      </c>
      <c r="K28"/>
    </row>
    <row r="29" spans="1:11">
      <c r="A29" s="114" t="str">
        <f t="shared" si="0"/>
        <v>1010000ELEC PLANT IN SERV3900000STRUCTURES AND IMPROVEMENTSSITUS</v>
      </c>
      <c r="B29" s="125" t="s">
        <v>1809</v>
      </c>
      <c r="C29" s="119" t="s">
        <v>1453</v>
      </c>
      <c r="D29" s="125" t="s">
        <v>1796</v>
      </c>
      <c r="E29" s="121" t="s">
        <v>1515</v>
      </c>
      <c r="F29" s="119" t="s">
        <v>343</v>
      </c>
      <c r="G29" s="122">
        <v>37239.294476249997</v>
      </c>
      <c r="H29" s="113" t="str">
        <f t="shared" si="1"/>
        <v>SITUS</v>
      </c>
      <c r="I29" s="113" t="str">
        <f>INDEX('GP Lookup'!$I:$I,MATCH(A29,'GP Lookup'!$A:$A,0))</f>
        <v>TD</v>
      </c>
      <c r="J29" s="113" t="str">
        <f>IF('GP Jun22data'!$G29=0,"NO",IF(ISNA('GP Jun22data'!$I29),"YES",IF(_xlfn.ISFORMULA('GP Jun22data'!$I29),"NO","YES")))</f>
        <v>NO</v>
      </c>
      <c r="K29"/>
    </row>
    <row r="30" spans="1:11">
      <c r="A30" s="114" t="str">
        <f t="shared" si="0"/>
        <v>1010000ELEC PLANT IN SERV3900000STRUCTURES AND IMPROVEMENTSSG</v>
      </c>
      <c r="B30" s="125" t="s">
        <v>1809</v>
      </c>
      <c r="C30" s="119" t="s">
        <v>1453</v>
      </c>
      <c r="D30" s="125" t="s">
        <v>1796</v>
      </c>
      <c r="E30" s="121" t="s">
        <v>1515</v>
      </c>
      <c r="F30" s="119" t="s">
        <v>87</v>
      </c>
      <c r="G30" s="122">
        <v>11452.00865625</v>
      </c>
      <c r="H30" s="113" t="str">
        <f t="shared" si="1"/>
        <v>SG</v>
      </c>
      <c r="I30" s="113" t="str">
        <f>INDEX('GP Lookup'!$I:$I,MATCH(A30,'GP Lookup'!$A:$A,0))</f>
        <v>P</v>
      </c>
      <c r="J30" s="113" t="str">
        <f>IF('GP Jun22data'!$G30=0,"NO",IF(ISNA('GP Jun22data'!$I30),"YES",IF(_xlfn.ISFORMULA('GP Jun22data'!$I30),"NO","YES")))</f>
        <v>NO</v>
      </c>
      <c r="K30"/>
    </row>
    <row r="31" spans="1:11">
      <c r="A31" s="114" t="str">
        <f t="shared" si="0"/>
        <v>1010000ELEC PLANT IN SERV3900000STRUCTURES AND IMPROVEMENTSSO</v>
      </c>
      <c r="B31" s="125" t="s">
        <v>1809</v>
      </c>
      <c r="C31" s="119" t="s">
        <v>1453</v>
      </c>
      <c r="D31" s="125" t="s">
        <v>1796</v>
      </c>
      <c r="E31" s="121" t="s">
        <v>1515</v>
      </c>
      <c r="F31" s="119" t="s">
        <v>89</v>
      </c>
      <c r="G31" s="122">
        <v>102273.50326541701</v>
      </c>
      <c r="H31" s="113" t="str">
        <f t="shared" si="1"/>
        <v>SO</v>
      </c>
      <c r="I31" s="113" t="str">
        <f>INDEX('GP Lookup'!$I:$I,MATCH(A31,'GP Lookup'!$A:$A,0))</f>
        <v>PTD</v>
      </c>
      <c r="J31" s="113" t="str">
        <f>IF('GP Jun22data'!$G31=0,"NO",IF(ISNA('GP Jun22data'!$I31),"YES",IF(_xlfn.ISFORMULA('GP Jun22data'!$I31),"NO","YES")))</f>
        <v>NO</v>
      </c>
      <c r="K31"/>
    </row>
    <row r="32" spans="1:11">
      <c r="A32" s="114" t="str">
        <f t="shared" si="0"/>
        <v>1010000ELEC PLANT IN SERV3900000STRUCTURES AND IMPROVEMENTSSITUS</v>
      </c>
      <c r="B32" s="125" t="s">
        <v>1809</v>
      </c>
      <c r="C32" s="119" t="s">
        <v>1453</v>
      </c>
      <c r="D32" s="125" t="s">
        <v>1796</v>
      </c>
      <c r="E32" s="121" t="s">
        <v>1515</v>
      </c>
      <c r="F32" s="119" t="s">
        <v>370</v>
      </c>
      <c r="G32" s="122">
        <v>46299.471213333301</v>
      </c>
      <c r="H32" s="113" t="str">
        <f t="shared" si="1"/>
        <v>SITUS</v>
      </c>
      <c r="I32" s="113" t="str">
        <f>INDEX('GP Lookup'!$I:$I,MATCH(A32,'GP Lookup'!$A:$A,0))</f>
        <v>TD</v>
      </c>
      <c r="J32" s="113" t="str">
        <f>IF('GP Jun22data'!$G32=0,"NO",IF(ISNA('GP Jun22data'!$I32),"YES",IF(_xlfn.ISFORMULA('GP Jun22data'!$I32),"NO","YES")))</f>
        <v>NO</v>
      </c>
      <c r="K32"/>
    </row>
    <row r="33" spans="1:11">
      <c r="A33" s="114" t="str">
        <f t="shared" si="0"/>
        <v>1010000ELEC PLANT IN SERV3900000STRUCTURES AND IMPROVEMENTSSITUS</v>
      </c>
      <c r="B33" s="125" t="s">
        <v>1809</v>
      </c>
      <c r="C33" s="119" t="s">
        <v>1453</v>
      </c>
      <c r="D33" s="125" t="s">
        <v>1796</v>
      </c>
      <c r="E33" s="121" t="s">
        <v>1515</v>
      </c>
      <c r="F33" s="119" t="s">
        <v>367</v>
      </c>
      <c r="G33" s="122">
        <v>11663.2913204167</v>
      </c>
      <c r="H33" s="113" t="str">
        <f t="shared" si="1"/>
        <v>SITUS</v>
      </c>
      <c r="I33" s="113" t="str">
        <f>INDEX('GP Lookup'!$I:$I,MATCH(A33,'GP Lookup'!$A:$A,0))</f>
        <v>TD</v>
      </c>
      <c r="J33" s="113" t="str">
        <f>IF('GP Jun22data'!$G33=0,"NO",IF(ISNA('GP Jun22data'!$I33),"YES",IF(_xlfn.ISFORMULA('GP Jun22data'!$I33),"NO","YES")))</f>
        <v>NO</v>
      </c>
      <c r="K33"/>
    </row>
    <row r="34" spans="1:11">
      <c r="A34" s="114" t="str">
        <f t="shared" si="0"/>
        <v>1010000ELEC PLANT IN SERV3900000STRUCTURES AND IMPROVEMENTSSITUS</v>
      </c>
      <c r="B34" s="125" t="s">
        <v>1809</v>
      </c>
      <c r="C34" s="119" t="s">
        <v>1453</v>
      </c>
      <c r="D34" s="125" t="s">
        <v>1796</v>
      </c>
      <c r="E34" s="121" t="s">
        <v>1515</v>
      </c>
      <c r="F34" s="119" t="s">
        <v>386</v>
      </c>
      <c r="G34" s="122">
        <v>11836.444512083301</v>
      </c>
      <c r="H34" s="113" t="str">
        <f t="shared" si="1"/>
        <v>SITUS</v>
      </c>
      <c r="I34" s="113" t="str">
        <f>INDEX('GP Lookup'!$I:$I,MATCH(A34,'GP Lookup'!$A:$A,0))</f>
        <v>TD</v>
      </c>
      <c r="J34" s="113" t="str">
        <f>IF('GP Jun22data'!$G34=0,"NO",IF(ISNA('GP Jun22data'!$I34),"YES",IF(_xlfn.ISFORMULA('GP Jun22data'!$I34),"NO","YES")))</f>
        <v>NO</v>
      </c>
      <c r="K34"/>
    </row>
    <row r="35" spans="1:11">
      <c r="A35" s="114" t="str">
        <f t="shared" si="0"/>
        <v>1010000ELEC PLANT IN SERV3900000STRUCTURES AND IMPROVEMENTSSITUS</v>
      </c>
      <c r="B35" s="125" t="s">
        <v>1809</v>
      </c>
      <c r="C35" s="119" t="s">
        <v>1453</v>
      </c>
      <c r="D35" s="125" t="s">
        <v>1796</v>
      </c>
      <c r="E35" s="121" t="s">
        <v>1515</v>
      </c>
      <c r="F35" s="119" t="s">
        <v>378</v>
      </c>
      <c r="G35" s="122">
        <v>4045.0617020833301</v>
      </c>
      <c r="H35" s="113" t="str">
        <f t="shared" si="1"/>
        <v>SITUS</v>
      </c>
      <c r="I35" s="113" t="str">
        <f>INDEX('GP Lookup'!$I:$I,MATCH(A35,'GP Lookup'!$A:$A,0))</f>
        <v>TD</v>
      </c>
      <c r="J35" s="113" t="str">
        <f>IF('GP Jun22data'!$G35=0,"NO",IF(ISNA('GP Jun22data'!$I35),"YES",IF(_xlfn.ISFORMULA('GP Jun22data'!$I35),"NO","YES")))</f>
        <v>NO</v>
      </c>
      <c r="K35"/>
    </row>
    <row r="36" spans="1:11">
      <c r="A36" s="114" t="str">
        <f t="shared" si="0"/>
        <v>1010000ELEC PLANT IN SERV3901000LEASEHOLD IMPROVEMENTS-OFFICE STRSITUS</v>
      </c>
      <c r="B36" s="125" t="s">
        <v>1809</v>
      </c>
      <c r="C36" s="119" t="s">
        <v>1453</v>
      </c>
      <c r="D36" s="125" t="s">
        <v>1812</v>
      </c>
      <c r="E36" s="121" t="s">
        <v>1516</v>
      </c>
      <c r="F36" s="119" t="s">
        <v>387</v>
      </c>
      <c r="G36" s="122">
        <v>505.85957000000002</v>
      </c>
      <c r="H36" s="113" t="str">
        <f t="shared" si="1"/>
        <v>SITUS</v>
      </c>
      <c r="I36" s="113" t="str">
        <f>INDEX('GP Lookup'!$I:$I,MATCH(A36,'GP Lookup'!$A:$A,0))</f>
        <v>TD</v>
      </c>
      <c r="J36" s="113" t="str">
        <f>IF('GP Jun22data'!$G36=0,"NO",IF(ISNA('GP Jun22data'!$I36),"YES",IF(_xlfn.ISFORMULA('GP Jun22data'!$I36),"NO","YES")))</f>
        <v>NO</v>
      </c>
      <c r="K36"/>
    </row>
    <row r="37" spans="1:11">
      <c r="A37" s="114" t="str">
        <f t="shared" si="0"/>
        <v>1010000ELEC PLANT IN SERV3901000LEASEHOLD IMPROVEMENTS-OFFICE STRSITUS</v>
      </c>
      <c r="B37" s="125" t="s">
        <v>1809</v>
      </c>
      <c r="C37" s="119" t="s">
        <v>1453</v>
      </c>
      <c r="D37" s="125" t="s">
        <v>1812</v>
      </c>
      <c r="E37" s="121" t="s">
        <v>1516</v>
      </c>
      <c r="F37" s="119" t="s">
        <v>372</v>
      </c>
      <c r="G37" s="122">
        <v>333.77069999999998</v>
      </c>
      <c r="H37" s="113" t="str">
        <f t="shared" si="1"/>
        <v>SITUS</v>
      </c>
      <c r="I37" s="113" t="str">
        <f>INDEX('GP Lookup'!$I:$I,MATCH(A37,'GP Lookup'!$A:$A,0))</f>
        <v>TD</v>
      </c>
      <c r="J37" s="113" t="str">
        <f>IF('GP Jun22data'!$G37=0,"NO",IF(ISNA('GP Jun22data'!$I37),"YES",IF(_xlfn.ISFORMULA('GP Jun22data'!$I37),"NO","YES")))</f>
        <v>NO</v>
      </c>
      <c r="K37"/>
    </row>
    <row r="38" spans="1:11">
      <c r="A38" s="114" t="str">
        <f t="shared" si="0"/>
        <v>1010000ELEC PLANT IN SERV3901000LEASEHOLD IMPROVEMENTS-OFFICE STRSITUS</v>
      </c>
      <c r="B38" s="125" t="s">
        <v>1809</v>
      </c>
      <c r="C38" s="119" t="s">
        <v>1453</v>
      </c>
      <c r="D38" s="125" t="s">
        <v>1812</v>
      </c>
      <c r="E38" s="121" t="s">
        <v>1516</v>
      </c>
      <c r="F38" s="119" t="s">
        <v>343</v>
      </c>
      <c r="G38" s="122">
        <v>5648.7616216666702</v>
      </c>
      <c r="H38" s="113" t="str">
        <f t="shared" si="1"/>
        <v>SITUS</v>
      </c>
      <c r="I38" s="113" t="str">
        <f>INDEX('GP Lookup'!$I:$I,MATCH(A38,'GP Lookup'!$A:$A,0))</f>
        <v>TD</v>
      </c>
      <c r="J38" s="113" t="str">
        <f>IF('GP Jun22data'!$G38=0,"NO",IF(ISNA('GP Jun22data'!$I38),"YES",IF(_xlfn.ISFORMULA('GP Jun22data'!$I38),"NO","YES")))</f>
        <v>NO</v>
      </c>
      <c r="K38"/>
    </row>
    <row r="39" spans="1:11">
      <c r="A39" s="114" t="str">
        <f t="shared" si="0"/>
        <v>1010000ELEC PLANT IN SERV3901000LEASEHOLD IMPROVEMENTS-OFFICE STRSO</v>
      </c>
      <c r="B39" s="125" t="s">
        <v>1809</v>
      </c>
      <c r="C39" s="119" t="s">
        <v>1453</v>
      </c>
      <c r="D39" s="125" t="s">
        <v>1812</v>
      </c>
      <c r="E39" s="121" t="s">
        <v>1516</v>
      </c>
      <c r="F39" s="119" t="s">
        <v>89</v>
      </c>
      <c r="G39" s="122">
        <v>1815.33907</v>
      </c>
      <c r="H39" s="113" t="str">
        <f t="shared" si="1"/>
        <v>SO</v>
      </c>
      <c r="I39" s="113" t="str">
        <f>INDEX('GP Lookup'!$I:$I,MATCH(A39,'GP Lookup'!$A:$A,0))</f>
        <v>PTD</v>
      </c>
      <c r="J39" s="113" t="str">
        <f>IF('GP Jun22data'!$G39=0,"NO",IF(ISNA('GP Jun22data'!$I39),"YES",IF(_xlfn.ISFORMULA('GP Jun22data'!$I39),"NO","YES")))</f>
        <v>NO</v>
      </c>
      <c r="K39"/>
    </row>
    <row r="40" spans="1:11">
      <c r="A40" s="114" t="str">
        <f t="shared" si="0"/>
        <v>1010000ELEC PLANT IN SERV3901000LEASEHOLD IMPROVEMENTS-OFFICE STRSITUS</v>
      </c>
      <c r="B40" s="125" t="s">
        <v>1809</v>
      </c>
      <c r="C40" s="119" t="s">
        <v>1453</v>
      </c>
      <c r="D40" s="125" t="s">
        <v>1812</v>
      </c>
      <c r="E40" s="121" t="s">
        <v>1516</v>
      </c>
      <c r="F40" s="119" t="s">
        <v>370</v>
      </c>
      <c r="G40" s="122">
        <v>33.126809999999999</v>
      </c>
      <c r="H40" s="113" t="str">
        <f t="shared" si="1"/>
        <v>SITUS</v>
      </c>
      <c r="I40" s="113" t="str">
        <f>INDEX('GP Lookup'!$I:$I,MATCH(A40,'GP Lookup'!$A:$A,0))</f>
        <v>TD</v>
      </c>
      <c r="J40" s="113" t="str">
        <f>IF('GP Jun22data'!$G40=0,"NO",IF(ISNA('GP Jun22data'!$I40),"YES",IF(_xlfn.ISFORMULA('GP Jun22data'!$I40),"NO","YES")))</f>
        <v>NO</v>
      </c>
      <c r="K40"/>
    </row>
    <row r="41" spans="1:11">
      <c r="A41" s="114" t="str">
        <f t="shared" si="0"/>
        <v>1010000ELEC PLANT IN SERV3901000LEASEHOLD IMPROVEMENTS-OFFICE STRSITUS</v>
      </c>
      <c r="B41" s="125" t="s">
        <v>1809</v>
      </c>
      <c r="C41" s="119" t="s">
        <v>1453</v>
      </c>
      <c r="D41" s="125" t="s">
        <v>1812</v>
      </c>
      <c r="E41" s="121" t="s">
        <v>1516</v>
      </c>
      <c r="F41" s="119" t="s">
        <v>367</v>
      </c>
      <c r="G41" s="122">
        <v>2532.81576</v>
      </c>
      <c r="H41" s="113" t="str">
        <f t="shared" si="1"/>
        <v>SITUS</v>
      </c>
      <c r="I41" s="113" t="str">
        <f>INDEX('GP Lookup'!$I:$I,MATCH(A41,'GP Lookup'!$A:$A,0))</f>
        <v>TD</v>
      </c>
      <c r="J41" s="113" t="str">
        <f>IF('GP Jun22data'!$G41=0,"NO",IF(ISNA('GP Jun22data'!$I41),"YES",IF(_xlfn.ISFORMULA('GP Jun22data'!$I41),"NO","YES")))</f>
        <v>NO</v>
      </c>
      <c r="K41"/>
    </row>
    <row r="42" spans="1:11">
      <c r="A42" s="114" t="str">
        <f t="shared" si="0"/>
        <v>1010000ELEC PLANT IN SERV3901000LEASEHOLD IMPROVEMENTS-OFFICE STRSITUS</v>
      </c>
      <c r="B42" s="125" t="s">
        <v>1809</v>
      </c>
      <c r="C42" s="119" t="s">
        <v>1453</v>
      </c>
      <c r="D42" s="125" t="s">
        <v>1812</v>
      </c>
      <c r="E42" s="121" t="s">
        <v>1516</v>
      </c>
      <c r="F42" s="119" t="s">
        <v>386</v>
      </c>
      <c r="G42" s="122">
        <v>4587.6111066666699</v>
      </c>
      <c r="H42" s="113" t="str">
        <f t="shared" si="1"/>
        <v>SITUS</v>
      </c>
      <c r="I42" s="113" t="str">
        <f>INDEX('GP Lookup'!$I:$I,MATCH(A42,'GP Lookup'!$A:$A,0))</f>
        <v>TD</v>
      </c>
      <c r="J42" s="113" t="str">
        <f>IF('GP Jun22data'!$G42=0,"NO",IF(ISNA('GP Jun22data'!$I42),"YES",IF(_xlfn.ISFORMULA('GP Jun22data'!$I42),"NO","YES")))</f>
        <v>NO</v>
      </c>
      <c r="K42"/>
    </row>
    <row r="43" spans="1:11">
      <c r="A43" s="114" t="str">
        <f t="shared" si="0"/>
        <v>1010000ELEC PLANT IN SERV3910000OFFICE FURNITURESITUS</v>
      </c>
      <c r="B43" s="125" t="s">
        <v>1809</v>
      </c>
      <c r="C43" s="119" t="s">
        <v>1453</v>
      </c>
      <c r="D43" s="125" t="s">
        <v>1797</v>
      </c>
      <c r="E43" s="121" t="s">
        <v>1517</v>
      </c>
      <c r="F43" s="119" t="s">
        <v>387</v>
      </c>
      <c r="G43" s="122">
        <v>109.58557</v>
      </c>
      <c r="H43" s="113" t="str">
        <f t="shared" si="1"/>
        <v>SITUS</v>
      </c>
      <c r="I43" s="113" t="str">
        <f>INDEX('GP Lookup'!$I:$I,MATCH(A43,'GP Lookup'!$A:$A,0))</f>
        <v>DPW</v>
      </c>
      <c r="J43" s="113" t="str">
        <f>IF('GP Jun22data'!$G43=0,"NO",IF(ISNA('GP Jun22data'!$I43),"YES",IF(_xlfn.ISFORMULA('GP Jun22data'!$I43),"NO","YES")))</f>
        <v>NO</v>
      </c>
      <c r="K43"/>
    </row>
    <row r="44" spans="1:11">
      <c r="A44" s="114" t="str">
        <f t="shared" si="0"/>
        <v>1010000ELEC PLANT IN SERV3910000OFFICE FURNITURESE</v>
      </c>
      <c r="B44" s="125" t="s">
        <v>1809</v>
      </c>
      <c r="C44" s="119" t="s">
        <v>1453</v>
      </c>
      <c r="D44" s="125" t="s">
        <v>1797</v>
      </c>
      <c r="E44" s="121" t="s">
        <v>1517</v>
      </c>
      <c r="F44" s="119" t="s">
        <v>3110</v>
      </c>
      <c r="G44" s="122">
        <v>3.8216700000000001</v>
      </c>
      <c r="H44" s="113" t="str">
        <f t="shared" si="1"/>
        <v>SE</v>
      </c>
      <c r="I44" s="113" t="str">
        <f>INDEX('GP Lookup'!$I:$I,MATCH(A44,'GP Lookup'!$A:$A,0))</f>
        <v>P</v>
      </c>
      <c r="J44" s="113" t="str">
        <f>IF('GP Jun22data'!$G44=0,"NO",IF(ISNA('GP Jun22data'!$I44),"YES",IF(_xlfn.ISFORMULA('GP Jun22data'!$I44),"NO","YES")))</f>
        <v>NO</v>
      </c>
      <c r="K44"/>
    </row>
    <row r="45" spans="1:11">
      <c r="A45" s="114" t="str">
        <f t="shared" si="0"/>
        <v>1010000ELEC PLANT IN SERV3910000OFFICE FURNITURESG</v>
      </c>
      <c r="B45" s="125" t="s">
        <v>1809</v>
      </c>
      <c r="C45" s="119" t="s">
        <v>1453</v>
      </c>
      <c r="D45" s="125" t="s">
        <v>1797</v>
      </c>
      <c r="E45" s="121" t="s">
        <v>1517</v>
      </c>
      <c r="F45" s="119" t="s">
        <v>3106</v>
      </c>
      <c r="G45" s="122">
        <v>1208.72144833333</v>
      </c>
      <c r="H45" s="113" t="str">
        <f t="shared" si="1"/>
        <v>SG</v>
      </c>
      <c r="I45" s="113" t="str">
        <f>INDEX('GP Lookup'!$I:$I,MATCH(A45,'GP Lookup'!$A:$A,0))</f>
        <v>P</v>
      </c>
      <c r="J45" s="113" t="str">
        <f>IF('GP Jun22data'!$G45=0,"NO",IF(ISNA('GP Jun22data'!$I45),"YES",IF(_xlfn.ISFORMULA('GP Jun22data'!$I45),"NO","YES")))</f>
        <v>NO</v>
      </c>
      <c r="K45"/>
    </row>
    <row r="46" spans="1:11">
      <c r="A46" s="114" t="str">
        <f t="shared" si="0"/>
        <v>1010000ELEC PLANT IN SERV3910000OFFICE FURNITURESG</v>
      </c>
      <c r="B46" s="125" t="s">
        <v>1809</v>
      </c>
      <c r="C46" s="119" t="s">
        <v>1453</v>
      </c>
      <c r="D46" s="125" t="s">
        <v>1797</v>
      </c>
      <c r="E46" s="121" t="s">
        <v>1517</v>
      </c>
      <c r="F46" s="119" t="s">
        <v>3108</v>
      </c>
      <c r="G46" s="122">
        <v>49.452579999999998</v>
      </c>
      <c r="H46" s="113" t="str">
        <f t="shared" si="1"/>
        <v>SG</v>
      </c>
      <c r="I46" s="113" t="str">
        <f>INDEX('GP Lookup'!$I:$I,MATCH(A46,'GP Lookup'!$A:$A,0))</f>
        <v>P</v>
      </c>
      <c r="J46" s="113" t="str">
        <f>IF('GP Jun22data'!$G46=0,"NO",IF(ISNA('GP Jun22data'!$I46),"YES",IF(_xlfn.ISFORMULA('GP Jun22data'!$I46),"NO","YES")))</f>
        <v>NO</v>
      </c>
      <c r="K46"/>
    </row>
    <row r="47" spans="1:11">
      <c r="A47" s="114" t="str">
        <f t="shared" si="0"/>
        <v>1010000ELEC PLANT IN SERV3910000OFFICE FURNITURECN</v>
      </c>
      <c r="B47" s="125" t="s">
        <v>1809</v>
      </c>
      <c r="C47" s="119" t="s">
        <v>1453</v>
      </c>
      <c r="D47" s="125" t="s">
        <v>1797</v>
      </c>
      <c r="E47" s="121" t="s">
        <v>1517</v>
      </c>
      <c r="F47" s="119" t="s">
        <v>84</v>
      </c>
      <c r="G47" s="122">
        <v>1022.15374977215</v>
      </c>
      <c r="H47" s="113" t="str">
        <f t="shared" si="1"/>
        <v>CN</v>
      </c>
      <c r="I47" s="113" t="str">
        <f>INDEX('GP Lookup'!$I:$I,MATCH(A47,'GP Lookup'!$A:$A,0))</f>
        <v>CUST</v>
      </c>
      <c r="J47" s="113" t="str">
        <f>IF('GP Jun22data'!$G47=0,"NO",IF(ISNA('GP Jun22data'!$I47),"YES",IF(_xlfn.ISFORMULA('GP Jun22data'!$I47),"NO","YES")))</f>
        <v>NO</v>
      </c>
      <c r="K47"/>
    </row>
    <row r="48" spans="1:11">
      <c r="A48" s="114" t="str">
        <f t="shared" si="0"/>
        <v>1010000ELEC PLANT IN SERV3910000OFFICE FURNITURESITUS</v>
      </c>
      <c r="B48" s="125" t="s">
        <v>1809</v>
      </c>
      <c r="C48" s="119" t="s">
        <v>1453</v>
      </c>
      <c r="D48" s="125" t="s">
        <v>1797</v>
      </c>
      <c r="E48" s="121" t="s">
        <v>1517</v>
      </c>
      <c r="F48" s="119" t="s">
        <v>372</v>
      </c>
      <c r="G48" s="122">
        <v>81.439809999999994</v>
      </c>
      <c r="H48" s="113" t="str">
        <f t="shared" si="1"/>
        <v>SITUS</v>
      </c>
      <c r="I48" s="113" t="str">
        <f>INDEX('GP Lookup'!$I:$I,MATCH(A48,'GP Lookup'!$A:$A,0))</f>
        <v>DPW</v>
      </c>
      <c r="J48" s="113" t="str">
        <f>IF('GP Jun22data'!$G48=0,"NO",IF(ISNA('GP Jun22data'!$I48),"YES",IF(_xlfn.ISFORMULA('GP Jun22data'!$I48),"NO","YES")))</f>
        <v>NO</v>
      </c>
      <c r="K48"/>
    </row>
    <row r="49" spans="1:11">
      <c r="A49" s="114" t="str">
        <f t="shared" si="0"/>
        <v>1010000ELEC PLANT IN SERV3910000OFFICE FURNITURESG</v>
      </c>
      <c r="B49" s="125" t="s">
        <v>1809</v>
      </c>
      <c r="C49" s="119" t="s">
        <v>1453</v>
      </c>
      <c r="D49" s="125" t="s">
        <v>1797</v>
      </c>
      <c r="E49" s="121" t="s">
        <v>1517</v>
      </c>
      <c r="F49" s="119" t="s">
        <v>3107</v>
      </c>
      <c r="G49" s="122">
        <v>152.41262</v>
      </c>
      <c r="H49" s="113" t="str">
        <f t="shared" si="1"/>
        <v>SG</v>
      </c>
      <c r="I49" s="113" t="str">
        <f>INDEX('GP Lookup'!$I:$I,MATCH(A49,'GP Lookup'!$A:$A,0))</f>
        <v>P</v>
      </c>
      <c r="J49" s="113" t="str">
        <f>IF('GP Jun22data'!$G49=0,"NO",IF(ISNA('GP Jun22data'!$I49),"YES",IF(_xlfn.ISFORMULA('GP Jun22data'!$I49),"NO","YES")))</f>
        <v>NO</v>
      </c>
      <c r="K49"/>
    </row>
    <row r="50" spans="1:11">
      <c r="A50" s="114" t="str">
        <f t="shared" si="0"/>
        <v>1010000ELEC PLANT IN SERV3910000OFFICE FURNITURESITUS</v>
      </c>
      <c r="B50" s="125" t="s">
        <v>1809</v>
      </c>
      <c r="C50" s="119" t="s">
        <v>1453</v>
      </c>
      <c r="D50" s="125" t="s">
        <v>1797</v>
      </c>
      <c r="E50" s="121" t="s">
        <v>1517</v>
      </c>
      <c r="F50" s="119" t="s">
        <v>343</v>
      </c>
      <c r="G50" s="122">
        <v>1400.0345470833299</v>
      </c>
      <c r="H50" s="113" t="str">
        <f t="shared" si="1"/>
        <v>SITUS</v>
      </c>
      <c r="I50" s="113" t="str">
        <f>INDEX('GP Lookup'!$I:$I,MATCH(A50,'GP Lookup'!$A:$A,0))</f>
        <v>DPW</v>
      </c>
      <c r="J50" s="113" t="str">
        <f>IF('GP Jun22data'!$G50=0,"NO",IF(ISNA('GP Jun22data'!$I50),"YES",IF(_xlfn.ISFORMULA('GP Jun22data'!$I50),"NO","YES")))</f>
        <v>NO</v>
      </c>
      <c r="K50"/>
    </row>
    <row r="51" spans="1:11">
      <c r="A51" s="114" t="str">
        <f t="shared" si="0"/>
        <v>1010000ELEC PLANT IN SERV3910000OFFICE FURNITURESG</v>
      </c>
      <c r="B51" s="125" t="s">
        <v>1809</v>
      </c>
      <c r="C51" s="119" t="s">
        <v>1453</v>
      </c>
      <c r="D51" s="125" t="s">
        <v>1797</v>
      </c>
      <c r="E51" s="121" t="s">
        <v>1517</v>
      </c>
      <c r="F51" s="119" t="s">
        <v>87</v>
      </c>
      <c r="G51" s="122">
        <v>257.05238666666702</v>
      </c>
      <c r="H51" s="113" t="str">
        <f t="shared" si="1"/>
        <v>SG</v>
      </c>
      <c r="I51" s="113" t="str">
        <f>INDEX('GP Lookup'!$I:$I,MATCH(A51,'GP Lookup'!$A:$A,0))</f>
        <v>P</v>
      </c>
      <c r="J51" s="113" t="str">
        <f>IF('GP Jun22data'!$G51=0,"NO",IF(ISNA('GP Jun22data'!$I51),"YES",IF(_xlfn.ISFORMULA('GP Jun22data'!$I51),"NO","YES")))</f>
        <v>NO</v>
      </c>
      <c r="K51"/>
    </row>
    <row r="52" spans="1:11">
      <c r="A52" s="114" t="str">
        <f t="shared" si="0"/>
        <v>1010000ELEC PLANT IN SERV3910000OFFICE FURNITURESO</v>
      </c>
      <c r="B52" s="125" t="s">
        <v>1809</v>
      </c>
      <c r="C52" s="119" t="s">
        <v>1453</v>
      </c>
      <c r="D52" s="125" t="s">
        <v>1797</v>
      </c>
      <c r="E52" s="121" t="s">
        <v>1517</v>
      </c>
      <c r="F52" s="119" t="s">
        <v>89</v>
      </c>
      <c r="G52" s="122">
        <v>13898.297727916701</v>
      </c>
      <c r="H52" s="113" t="str">
        <f t="shared" si="1"/>
        <v>SO</v>
      </c>
      <c r="I52" s="113" t="str">
        <f>INDEX('GP Lookup'!$I:$I,MATCH(A52,'GP Lookup'!$A:$A,0))</f>
        <v>PTD</v>
      </c>
      <c r="J52" s="113" t="str">
        <f>IF('GP Jun22data'!$G52=0,"NO",IF(ISNA('GP Jun22data'!$I52),"YES",IF(_xlfn.ISFORMULA('GP Jun22data'!$I52),"NO","YES")))</f>
        <v>NO</v>
      </c>
      <c r="K52"/>
    </row>
    <row r="53" spans="1:11">
      <c r="A53" s="114" t="str">
        <f t="shared" si="0"/>
        <v>1010000ELEC PLANT IN SERV3910000OFFICE FURNITURESITUS</v>
      </c>
      <c r="B53" s="125" t="s">
        <v>1809</v>
      </c>
      <c r="C53" s="119" t="s">
        <v>1453</v>
      </c>
      <c r="D53" s="125" t="s">
        <v>1797</v>
      </c>
      <c r="E53" s="121" t="s">
        <v>1517</v>
      </c>
      <c r="F53" s="119" t="s">
        <v>370</v>
      </c>
      <c r="G53" s="122">
        <v>909.11408916666699</v>
      </c>
      <c r="H53" s="113" t="str">
        <f t="shared" si="1"/>
        <v>SITUS</v>
      </c>
      <c r="I53" s="113" t="str">
        <f>INDEX('GP Lookup'!$I:$I,MATCH(A53,'GP Lookup'!$A:$A,0))</f>
        <v>DPW</v>
      </c>
      <c r="J53" s="113" t="str">
        <f>IF('GP Jun22data'!$G53=0,"NO",IF(ISNA('GP Jun22data'!$I53),"YES",IF(_xlfn.ISFORMULA('GP Jun22data'!$I53),"NO","YES")))</f>
        <v>NO</v>
      </c>
      <c r="K53"/>
    </row>
    <row r="54" spans="1:11">
      <c r="A54" s="114" t="str">
        <f t="shared" si="0"/>
        <v>1010000ELEC PLANT IN SERV3910000OFFICE FURNITURESITUS</v>
      </c>
      <c r="B54" s="125" t="s">
        <v>1809</v>
      </c>
      <c r="C54" s="119" t="s">
        <v>1453</v>
      </c>
      <c r="D54" s="125" t="s">
        <v>1797</v>
      </c>
      <c r="E54" s="121" t="s">
        <v>1517</v>
      </c>
      <c r="F54" s="119" t="s">
        <v>367</v>
      </c>
      <c r="G54" s="122">
        <v>59.330035416666703</v>
      </c>
      <c r="H54" s="113" t="str">
        <f t="shared" si="1"/>
        <v>SITUS</v>
      </c>
      <c r="I54" s="113" t="str">
        <f>INDEX('GP Lookup'!$I:$I,MATCH(A54,'GP Lookup'!$A:$A,0))</f>
        <v>DPW</v>
      </c>
      <c r="J54" s="113" t="str">
        <f>IF('GP Jun22data'!$G54=0,"NO",IF(ISNA('GP Jun22data'!$I54),"YES",IF(_xlfn.ISFORMULA('GP Jun22data'!$I54),"NO","YES")))</f>
        <v>NO</v>
      </c>
      <c r="K54"/>
    </row>
    <row r="55" spans="1:11">
      <c r="A55" s="114" t="str">
        <f t="shared" si="0"/>
        <v>1010000ELEC PLANT IN SERV3910000OFFICE FURNITURESITUS</v>
      </c>
      <c r="B55" s="125" t="s">
        <v>1809</v>
      </c>
      <c r="C55" s="119" t="s">
        <v>1453</v>
      </c>
      <c r="D55" s="125" t="s">
        <v>1797</v>
      </c>
      <c r="E55" s="121" t="s">
        <v>1517</v>
      </c>
      <c r="F55" s="119" t="s">
        <v>386</v>
      </c>
      <c r="G55" s="122">
        <v>510.70287999999999</v>
      </c>
      <c r="H55" s="113" t="str">
        <f t="shared" si="1"/>
        <v>SITUS</v>
      </c>
      <c r="I55" s="113" t="str">
        <f>INDEX('GP Lookup'!$I:$I,MATCH(A55,'GP Lookup'!$A:$A,0))</f>
        <v>DPW</v>
      </c>
      <c r="J55" s="113" t="str">
        <f>IF('GP Jun22data'!$G55=0,"NO",IF(ISNA('GP Jun22data'!$I55),"YES",IF(_xlfn.ISFORMULA('GP Jun22data'!$I55),"NO","YES")))</f>
        <v>NO</v>
      </c>
      <c r="K55"/>
    </row>
    <row r="56" spans="1:11">
      <c r="A56" s="114" t="str">
        <f t="shared" si="0"/>
        <v>1010000ELEC PLANT IN SERV3910000OFFICE FURNITURESITUS</v>
      </c>
      <c r="B56" s="125" t="s">
        <v>1809</v>
      </c>
      <c r="C56" s="119" t="s">
        <v>1453</v>
      </c>
      <c r="D56" s="125" t="s">
        <v>1797</v>
      </c>
      <c r="E56" s="121" t="s">
        <v>1517</v>
      </c>
      <c r="F56" s="119" t="s">
        <v>378</v>
      </c>
      <c r="G56" s="122">
        <v>45.877324999999999</v>
      </c>
      <c r="H56" s="113" t="str">
        <f t="shared" si="1"/>
        <v>SITUS</v>
      </c>
      <c r="I56" s="113" t="str">
        <f>INDEX('GP Lookup'!$I:$I,MATCH(A56,'GP Lookup'!$A:$A,0))</f>
        <v>DPW</v>
      </c>
      <c r="J56" s="113" t="str">
        <f>IF('GP Jun22data'!$G56=0,"NO",IF(ISNA('GP Jun22data'!$I56),"YES",IF(_xlfn.ISFORMULA('GP Jun22data'!$I56),"NO","YES")))</f>
        <v>NO</v>
      </c>
      <c r="K56"/>
    </row>
    <row r="57" spans="1:11">
      <c r="A57" s="114" t="str">
        <f t="shared" si="0"/>
        <v>1010000ELEC PLANT IN SERV3912000COMPUTER EQUIPMENT - PERSONAL COMPUTERSSITUS</v>
      </c>
      <c r="B57" s="125" t="s">
        <v>1809</v>
      </c>
      <c r="C57" s="119" t="s">
        <v>1453</v>
      </c>
      <c r="D57" s="125" t="s">
        <v>1798</v>
      </c>
      <c r="E57" s="121" t="s">
        <v>1518</v>
      </c>
      <c r="F57" s="119" t="s">
        <v>387</v>
      </c>
      <c r="G57" s="122">
        <v>46.258027499999997</v>
      </c>
      <c r="H57" s="113" t="str">
        <f t="shared" si="1"/>
        <v>SITUS</v>
      </c>
      <c r="I57" s="113" t="str">
        <f>INDEX('GP Lookup'!$I:$I,MATCH(A57,'GP Lookup'!$A:$A,0))</f>
        <v>DPW</v>
      </c>
      <c r="J57" s="113" t="str">
        <f>IF('GP Jun22data'!$G57=0,"NO",IF(ISNA('GP Jun22data'!$I57),"YES",IF(_xlfn.ISFORMULA('GP Jun22data'!$I57),"NO","YES")))</f>
        <v>NO</v>
      </c>
      <c r="K57"/>
    </row>
    <row r="58" spans="1:11">
      <c r="A58" s="114" t="str">
        <f t="shared" si="0"/>
        <v>1010000ELEC PLANT IN SERV3912000COMPUTER EQUIPMENT - PERSONAL COMPUTERSSE</v>
      </c>
      <c r="B58" s="125" t="s">
        <v>1809</v>
      </c>
      <c r="C58" s="119" t="s">
        <v>1453</v>
      </c>
      <c r="D58" s="125" t="s">
        <v>1798</v>
      </c>
      <c r="E58" s="121" t="s">
        <v>1518</v>
      </c>
      <c r="F58" s="119" t="s">
        <v>3110</v>
      </c>
      <c r="G58" s="122">
        <v>28.131930000000001</v>
      </c>
      <c r="H58" s="113" t="str">
        <f t="shared" si="1"/>
        <v>SE</v>
      </c>
      <c r="I58" s="113" t="str">
        <f>INDEX('GP Lookup'!$I:$I,MATCH(A58,'GP Lookup'!$A:$A,0))</f>
        <v>P</v>
      </c>
      <c r="J58" s="113" t="str">
        <f>IF('GP Jun22data'!$G58=0,"NO",IF(ISNA('GP Jun22data'!$I58),"YES",IF(_xlfn.ISFORMULA('GP Jun22data'!$I58),"NO","YES")))</f>
        <v>NO</v>
      </c>
      <c r="K58"/>
    </row>
    <row r="59" spans="1:11">
      <c r="A59" s="114" t="str">
        <f t="shared" si="0"/>
        <v>1010000ELEC PLANT IN SERV3912000COMPUTER EQUIPMENT - PERSONAL COMPUTERSSG</v>
      </c>
      <c r="B59" s="125" t="s">
        <v>1809</v>
      </c>
      <c r="C59" s="119" t="s">
        <v>1453</v>
      </c>
      <c r="D59" s="125" t="s">
        <v>1798</v>
      </c>
      <c r="E59" s="121" t="s">
        <v>1518</v>
      </c>
      <c r="F59" s="119" t="s">
        <v>3106</v>
      </c>
      <c r="G59" s="122">
        <v>1464.996905</v>
      </c>
      <c r="H59" s="113" t="str">
        <f t="shared" si="1"/>
        <v>SG</v>
      </c>
      <c r="I59" s="113" t="str">
        <f>INDEX('GP Lookup'!$I:$I,MATCH(A59,'GP Lookup'!$A:$A,0))</f>
        <v>P</v>
      </c>
      <c r="J59" s="113" t="str">
        <f>IF('GP Jun22data'!$G59=0,"NO",IF(ISNA('GP Jun22data'!$I59),"YES",IF(_xlfn.ISFORMULA('GP Jun22data'!$I59),"NO","YES")))</f>
        <v>NO</v>
      </c>
      <c r="K59"/>
    </row>
    <row r="60" spans="1:11">
      <c r="A60" s="114" t="str">
        <f t="shared" si="0"/>
        <v>1010000ELEC PLANT IN SERV3912000COMPUTER EQUIPMENT - PERSONAL COMPUTERSSG</v>
      </c>
      <c r="B60" s="125" t="s">
        <v>1809</v>
      </c>
      <c r="C60" s="119" t="s">
        <v>1453</v>
      </c>
      <c r="D60" s="125" t="s">
        <v>1798</v>
      </c>
      <c r="E60" s="121" t="s">
        <v>1518</v>
      </c>
      <c r="F60" s="119" t="s">
        <v>3108</v>
      </c>
      <c r="G60" s="122">
        <v>183.22958541666699</v>
      </c>
      <c r="H60" s="113" t="str">
        <f t="shared" si="1"/>
        <v>SG</v>
      </c>
      <c r="I60" s="113" t="str">
        <f>INDEX('GP Lookup'!$I:$I,MATCH(A60,'GP Lookup'!$A:$A,0))</f>
        <v>P</v>
      </c>
      <c r="J60" s="113" t="str">
        <f>IF('GP Jun22data'!$G60=0,"NO",IF(ISNA('GP Jun22data'!$I60),"YES",IF(_xlfn.ISFORMULA('GP Jun22data'!$I60),"NO","YES")))</f>
        <v>NO</v>
      </c>
      <c r="K60"/>
    </row>
    <row r="61" spans="1:11">
      <c r="A61" s="114" t="str">
        <f t="shared" si="0"/>
        <v>1010000ELEC PLANT IN SERV3912000COMPUTER EQUIPMENT - PERSONAL COMPUTERSCN</v>
      </c>
      <c r="B61" s="125" t="s">
        <v>1809</v>
      </c>
      <c r="C61" s="119" t="s">
        <v>1453</v>
      </c>
      <c r="D61" s="125" t="s">
        <v>1798</v>
      </c>
      <c r="E61" s="121" t="s">
        <v>1518</v>
      </c>
      <c r="F61" s="119" t="s">
        <v>84</v>
      </c>
      <c r="G61" s="122">
        <v>2570.1669388201699</v>
      </c>
      <c r="H61" s="113" t="str">
        <f t="shared" si="1"/>
        <v>CN</v>
      </c>
      <c r="I61" s="113" t="str">
        <f>INDEX('GP Lookup'!$I:$I,MATCH(A61,'GP Lookup'!$A:$A,0))</f>
        <v>CUST</v>
      </c>
      <c r="J61" s="113" t="str">
        <f>IF('GP Jun22data'!$G61=0,"NO",IF(ISNA('GP Jun22data'!$I61),"YES",IF(_xlfn.ISFORMULA('GP Jun22data'!$I61),"NO","YES")))</f>
        <v>NO</v>
      </c>
      <c r="K61"/>
    </row>
    <row r="62" spans="1:11">
      <c r="A62" s="114" t="str">
        <f t="shared" si="0"/>
        <v>1010000ELEC PLANT IN SERV3912000COMPUTER EQUIPMENT - PERSONAL COMPUTERSSITUS</v>
      </c>
      <c r="B62" s="125" t="s">
        <v>1809</v>
      </c>
      <c r="C62" s="119" t="s">
        <v>1453</v>
      </c>
      <c r="D62" s="125" t="s">
        <v>1798</v>
      </c>
      <c r="E62" s="121" t="s">
        <v>1518</v>
      </c>
      <c r="F62" s="119" t="s">
        <v>372</v>
      </c>
      <c r="G62" s="122">
        <v>380.57829708333298</v>
      </c>
      <c r="H62" s="113" t="str">
        <f t="shared" si="1"/>
        <v>SITUS</v>
      </c>
      <c r="I62" s="113" t="str">
        <f>INDEX('GP Lookup'!$I:$I,MATCH(A62,'GP Lookup'!$A:$A,0))</f>
        <v>DPW</v>
      </c>
      <c r="J62" s="113" t="str">
        <f>IF('GP Jun22data'!$G62=0,"NO",IF(ISNA('GP Jun22data'!$I62),"YES",IF(_xlfn.ISFORMULA('GP Jun22data'!$I62),"NO","YES")))</f>
        <v>NO</v>
      </c>
      <c r="K62"/>
    </row>
    <row r="63" spans="1:11">
      <c r="A63" s="114" t="str">
        <f t="shared" si="0"/>
        <v>1010000ELEC PLANT IN SERV3912000COMPUTER EQUIPMENT - PERSONAL COMPUTERSSG</v>
      </c>
      <c r="B63" s="125" t="s">
        <v>1809</v>
      </c>
      <c r="C63" s="119" t="s">
        <v>1453</v>
      </c>
      <c r="D63" s="125" t="s">
        <v>1798</v>
      </c>
      <c r="E63" s="121" t="s">
        <v>1518</v>
      </c>
      <c r="F63" s="119" t="s">
        <v>3107</v>
      </c>
      <c r="G63" s="122">
        <v>120.83593999999999</v>
      </c>
      <c r="H63" s="113" t="str">
        <f t="shared" si="1"/>
        <v>SG</v>
      </c>
      <c r="I63" s="113" t="str">
        <f>INDEX('GP Lookup'!$I:$I,MATCH(A63,'GP Lookup'!$A:$A,0))</f>
        <v>P</v>
      </c>
      <c r="J63" s="113" t="str">
        <f>IF('GP Jun22data'!$G63=0,"NO",IF(ISNA('GP Jun22data'!$I63),"YES",IF(_xlfn.ISFORMULA('GP Jun22data'!$I63),"NO","YES")))</f>
        <v>NO</v>
      </c>
      <c r="K63"/>
    </row>
    <row r="64" spans="1:11">
      <c r="A64" s="114" t="str">
        <f t="shared" si="0"/>
        <v>1010000ELEC PLANT IN SERV3912000COMPUTER EQUIPMENT - PERSONAL COMPUTERSSITUS</v>
      </c>
      <c r="B64" s="125" t="s">
        <v>1809</v>
      </c>
      <c r="C64" s="119" t="s">
        <v>1453</v>
      </c>
      <c r="D64" s="125" t="s">
        <v>1798</v>
      </c>
      <c r="E64" s="121" t="s">
        <v>1518</v>
      </c>
      <c r="F64" s="119" t="s">
        <v>343</v>
      </c>
      <c r="G64" s="122">
        <v>920.07420083333295</v>
      </c>
      <c r="H64" s="113" t="str">
        <f t="shared" si="1"/>
        <v>SITUS</v>
      </c>
      <c r="I64" s="113" t="str">
        <f>INDEX('GP Lookup'!$I:$I,MATCH(A64,'GP Lookup'!$A:$A,0))</f>
        <v>DPW</v>
      </c>
      <c r="J64" s="113" t="str">
        <f>IF('GP Jun22data'!$G64=0,"NO",IF(ISNA('GP Jun22data'!$I64),"YES",IF(_xlfn.ISFORMULA('GP Jun22data'!$I64),"NO","YES")))</f>
        <v>NO</v>
      </c>
      <c r="K64"/>
    </row>
    <row r="65" spans="1:11">
      <c r="A65" s="114" t="str">
        <f t="shared" si="0"/>
        <v>1010000ELEC PLANT IN SERV3912000COMPUTER EQUIPMENT - PERSONAL COMPUTERSSG</v>
      </c>
      <c r="B65" s="125" t="s">
        <v>1809</v>
      </c>
      <c r="C65" s="119" t="s">
        <v>1453</v>
      </c>
      <c r="D65" s="125" t="s">
        <v>1798</v>
      </c>
      <c r="E65" s="121" t="s">
        <v>1518</v>
      </c>
      <c r="F65" s="119" t="s">
        <v>87</v>
      </c>
      <c r="G65" s="122">
        <v>757.77097166666704</v>
      </c>
      <c r="H65" s="113" t="str">
        <f t="shared" si="1"/>
        <v>SG</v>
      </c>
      <c r="I65" s="113" t="str">
        <f>INDEX('GP Lookup'!$I:$I,MATCH(A65,'GP Lookup'!$A:$A,0))</f>
        <v>P</v>
      </c>
      <c r="J65" s="113" t="str">
        <f>IF('GP Jun22data'!$G65=0,"NO",IF(ISNA('GP Jun22data'!$I65),"YES",IF(_xlfn.ISFORMULA('GP Jun22data'!$I65),"NO","YES")))</f>
        <v>NO</v>
      </c>
      <c r="K65"/>
    </row>
    <row r="66" spans="1:11">
      <c r="A66" s="114" t="str">
        <f t="shared" ref="A66:A129" si="2">CONCATENATE($B66,$C66,$D66,$E66,$H66)</f>
        <v>1010000ELEC PLANT IN SERV3912000COMPUTER EQUIPMENT - PERSONAL COMPUTERSSO</v>
      </c>
      <c r="B66" s="125" t="s">
        <v>1809</v>
      </c>
      <c r="C66" s="119" t="s">
        <v>1453</v>
      </c>
      <c r="D66" s="125" t="s">
        <v>1798</v>
      </c>
      <c r="E66" s="121" t="s">
        <v>1518</v>
      </c>
      <c r="F66" s="119" t="s">
        <v>89</v>
      </c>
      <c r="G66" s="122">
        <v>51692.845262083298</v>
      </c>
      <c r="H66" s="113" t="str">
        <f t="shared" si="1"/>
        <v>SO</v>
      </c>
      <c r="I66" s="113" t="str">
        <f>INDEX('GP Lookup'!$I:$I,MATCH(A66,'GP Lookup'!$A:$A,0))</f>
        <v>PTD</v>
      </c>
      <c r="J66" s="113" t="str">
        <f>IF('GP Jun22data'!$G66=0,"NO",IF(ISNA('GP Jun22data'!$I66),"YES",IF(_xlfn.ISFORMULA('GP Jun22data'!$I66),"NO","YES")))</f>
        <v>NO</v>
      </c>
      <c r="K66"/>
    </row>
    <row r="67" spans="1:11">
      <c r="A67" s="114" t="str">
        <f t="shared" si="2"/>
        <v>1010000ELEC PLANT IN SERV3912000COMPUTER EQUIPMENT - PERSONAL COMPUTERSSITUS</v>
      </c>
      <c r="B67" s="125" t="s">
        <v>1809</v>
      </c>
      <c r="C67" s="119" t="s">
        <v>1453</v>
      </c>
      <c r="D67" s="125" t="s">
        <v>1798</v>
      </c>
      <c r="E67" s="121" t="s">
        <v>1518</v>
      </c>
      <c r="F67" s="119" t="s">
        <v>370</v>
      </c>
      <c r="G67" s="122">
        <v>714.88685999999996</v>
      </c>
      <c r="H67" s="113" t="str">
        <f t="shared" ref="H67:H130" si="3">IF(OR(F67="IDU",F67="OR",F67="UT",F67="WYU",F67="WYP",F67="CA",F67="WA"),"SITUS",IF(OR(F67="CAEE",F67="JBE"),"SE",IF(OR(F67="CAGE",F67="CAGW",F67="JBG"),"SG",F67)))</f>
        <v>SITUS</v>
      </c>
      <c r="I67" s="113" t="str">
        <f>INDEX('GP Lookup'!$I:$I,MATCH(A67,'GP Lookup'!$A:$A,0))</f>
        <v>DPW</v>
      </c>
      <c r="J67" s="113" t="str">
        <f>IF('GP Jun22data'!$G67=0,"NO",IF(ISNA('GP Jun22data'!$I67),"YES",IF(_xlfn.ISFORMULA('GP Jun22data'!$I67),"NO","YES")))</f>
        <v>NO</v>
      </c>
      <c r="K67"/>
    </row>
    <row r="68" spans="1:11">
      <c r="A68" s="114" t="str">
        <f t="shared" si="2"/>
        <v>1010000ELEC PLANT IN SERV3912000COMPUTER EQUIPMENT - PERSONAL COMPUTERSSITUS</v>
      </c>
      <c r="B68" s="125" t="s">
        <v>1809</v>
      </c>
      <c r="C68" s="119" t="s">
        <v>1453</v>
      </c>
      <c r="D68" s="125" t="s">
        <v>1798</v>
      </c>
      <c r="E68" s="121" t="s">
        <v>1518</v>
      </c>
      <c r="F68" s="119" t="s">
        <v>367</v>
      </c>
      <c r="G68" s="122">
        <v>311.49732583333298</v>
      </c>
      <c r="H68" s="113" t="str">
        <f t="shared" si="3"/>
        <v>SITUS</v>
      </c>
      <c r="I68" s="113" t="str">
        <f>INDEX('GP Lookup'!$I:$I,MATCH(A68,'GP Lookup'!$A:$A,0))</f>
        <v>DPW</v>
      </c>
      <c r="J68" s="113" t="str">
        <f>IF('GP Jun22data'!$G68=0,"NO",IF(ISNA('GP Jun22data'!$I68),"YES",IF(_xlfn.ISFORMULA('GP Jun22data'!$I68),"NO","YES")))</f>
        <v>NO</v>
      </c>
      <c r="K68"/>
    </row>
    <row r="69" spans="1:11">
      <c r="A69" s="114" t="str">
        <f t="shared" si="2"/>
        <v>1010000ELEC PLANT IN SERV3912000COMPUTER EQUIPMENT - PERSONAL COMPUTERSSITUS</v>
      </c>
      <c r="B69" s="125" t="s">
        <v>1809</v>
      </c>
      <c r="C69" s="119" t="s">
        <v>1453</v>
      </c>
      <c r="D69" s="125" t="s">
        <v>1798</v>
      </c>
      <c r="E69" s="121" t="s">
        <v>1518</v>
      </c>
      <c r="F69" s="119" t="s">
        <v>386</v>
      </c>
      <c r="G69" s="122">
        <v>1555.9626616666701</v>
      </c>
      <c r="H69" s="113" t="str">
        <f t="shared" si="3"/>
        <v>SITUS</v>
      </c>
      <c r="I69" s="113" t="str">
        <f>INDEX('GP Lookup'!$I:$I,MATCH(A69,'GP Lookup'!$A:$A,0))</f>
        <v>DPW</v>
      </c>
      <c r="J69" s="113" t="str">
        <f>IF('GP Jun22data'!$G69=0,"NO",IF(ISNA('GP Jun22data'!$I69),"YES",IF(_xlfn.ISFORMULA('GP Jun22data'!$I69),"NO","YES")))</f>
        <v>NO</v>
      </c>
      <c r="K69"/>
    </row>
    <row r="70" spans="1:11">
      <c r="A70" s="114" t="str">
        <f t="shared" si="2"/>
        <v>1010000ELEC PLANT IN SERV3912000COMPUTER EQUIPMENT - PERSONAL COMPUTERSSITUS</v>
      </c>
      <c r="B70" s="125" t="s">
        <v>1809</v>
      </c>
      <c r="C70" s="119" t="s">
        <v>1453</v>
      </c>
      <c r="D70" s="125" t="s">
        <v>1798</v>
      </c>
      <c r="E70" s="121" t="s">
        <v>1518</v>
      </c>
      <c r="F70" s="119" t="s">
        <v>378</v>
      </c>
      <c r="G70" s="122">
        <v>76.322460000000007</v>
      </c>
      <c r="H70" s="113" t="str">
        <f t="shared" si="3"/>
        <v>SITUS</v>
      </c>
      <c r="I70" s="113" t="str">
        <f>INDEX('GP Lookup'!$I:$I,MATCH(A70,'GP Lookup'!$A:$A,0))</f>
        <v>DPW</v>
      </c>
      <c r="J70" s="113" t="str">
        <f>IF('GP Jun22data'!$G70=0,"NO",IF(ISNA('GP Jun22data'!$I70),"YES",IF(_xlfn.ISFORMULA('GP Jun22data'!$I70),"NO","YES")))</f>
        <v>NO</v>
      </c>
      <c r="K70"/>
    </row>
    <row r="71" spans="1:11">
      <c r="A71" s="114" t="str">
        <f t="shared" si="2"/>
        <v>1010000ELEC PLANT IN SERV3913000OFFICE EQUIPMENTSG</v>
      </c>
      <c r="B71" s="125" t="s">
        <v>1809</v>
      </c>
      <c r="C71" s="119" t="s">
        <v>1453</v>
      </c>
      <c r="D71" s="125" t="s">
        <v>1799</v>
      </c>
      <c r="E71" s="121" t="s">
        <v>1519</v>
      </c>
      <c r="F71" s="119" t="s">
        <v>3106</v>
      </c>
      <c r="G71" s="122">
        <v>29.851191249999999</v>
      </c>
      <c r="H71" s="113" t="str">
        <f t="shared" si="3"/>
        <v>SG</v>
      </c>
      <c r="I71" s="113" t="str">
        <f>INDEX('GP Lookup'!$I:$I,MATCH(A71,'GP Lookup'!$A:$A,0))</f>
        <v>P</v>
      </c>
      <c r="J71" s="113" t="str">
        <f>IF('GP Jun22data'!$G71=0,"NO",IF(ISNA('GP Jun22data'!$I71),"YES",IF(_xlfn.ISFORMULA('GP Jun22data'!$I71),"NO","YES")))</f>
        <v>NO</v>
      </c>
      <c r="K71"/>
    </row>
    <row r="72" spans="1:11">
      <c r="A72" s="114" t="str">
        <f t="shared" si="2"/>
        <v>1010000ELEC PLANT IN SERV3913000OFFICE EQUIPMENTSG</v>
      </c>
      <c r="B72" s="125" t="s">
        <v>1809</v>
      </c>
      <c r="C72" s="119" t="s">
        <v>1453</v>
      </c>
      <c r="D72" s="125" t="s">
        <v>1799</v>
      </c>
      <c r="E72" s="121" t="s">
        <v>1519</v>
      </c>
      <c r="F72" s="119" t="s">
        <v>3108</v>
      </c>
      <c r="G72" s="122">
        <v>8.8767899999999997</v>
      </c>
      <c r="H72" s="113" t="str">
        <f t="shared" si="3"/>
        <v>SG</v>
      </c>
      <c r="I72" s="113" t="str">
        <f>INDEX('GP Lookup'!$I:$I,MATCH(A72,'GP Lookup'!$A:$A,0))</f>
        <v>P</v>
      </c>
      <c r="J72" s="113" t="str">
        <f>IF('GP Jun22data'!$G72=0,"NO",IF(ISNA('GP Jun22data'!$I72),"YES",IF(_xlfn.ISFORMULA('GP Jun22data'!$I72),"NO","YES")))</f>
        <v>NO</v>
      </c>
      <c r="K72"/>
    </row>
    <row r="73" spans="1:11">
      <c r="A73" s="114" t="str">
        <f t="shared" si="2"/>
        <v>1010000ELEC PLANT IN SERV3913000OFFICE EQUIPMENTCN</v>
      </c>
      <c r="B73" s="125" t="s">
        <v>1809</v>
      </c>
      <c r="C73" s="119" t="s">
        <v>1453</v>
      </c>
      <c r="D73" s="125" t="s">
        <v>1799</v>
      </c>
      <c r="E73" s="121" t="s">
        <v>1519</v>
      </c>
      <c r="F73" s="119" t="s">
        <v>84</v>
      </c>
      <c r="G73" s="122">
        <v>0.42878000042878001</v>
      </c>
      <c r="H73" s="113" t="str">
        <f t="shared" si="3"/>
        <v>CN</v>
      </c>
      <c r="I73" s="113" t="str">
        <f>INDEX('GP Lookup'!$I:$I,MATCH(A73,'GP Lookup'!$A:$A,0))</f>
        <v>CUST</v>
      </c>
      <c r="J73" s="113" t="str">
        <f>IF('GP Jun22data'!$G73=0,"NO",IF(ISNA('GP Jun22data'!$I73),"YES",IF(_xlfn.ISFORMULA('GP Jun22data'!$I73),"NO","YES")))</f>
        <v>NO</v>
      </c>
      <c r="K73"/>
    </row>
    <row r="74" spans="1:11">
      <c r="A74" s="114" t="str">
        <f t="shared" si="2"/>
        <v>1010000ELEC PLANT IN SERV3913000OFFICE EQUIPMENTSITUS</v>
      </c>
      <c r="B74" s="125" t="s">
        <v>1809</v>
      </c>
      <c r="C74" s="119" t="s">
        <v>1453</v>
      </c>
      <c r="D74" s="125" t="s">
        <v>1799</v>
      </c>
      <c r="E74" s="121" t="s">
        <v>1519</v>
      </c>
      <c r="F74" s="119" t="s">
        <v>343</v>
      </c>
      <c r="G74" s="122">
        <v>2.6610999999999998</v>
      </c>
      <c r="H74" s="113" t="str">
        <f t="shared" si="3"/>
        <v>SITUS</v>
      </c>
      <c r="I74" s="113" t="str">
        <f>INDEX('GP Lookup'!$I:$I,MATCH(A74,'GP Lookup'!$A:$A,0))</f>
        <v>DPW</v>
      </c>
      <c r="J74" s="113" t="str">
        <f>IF('GP Jun22data'!$G74=0,"NO",IF(ISNA('GP Jun22data'!$I74),"YES",IF(_xlfn.ISFORMULA('GP Jun22data'!$I74),"NO","YES")))</f>
        <v>NO</v>
      </c>
      <c r="K74"/>
    </row>
    <row r="75" spans="1:11">
      <c r="A75" s="114" t="str">
        <f t="shared" si="2"/>
        <v>1010000ELEC PLANT IN SERV3913000OFFICE EQUIPMENTSO</v>
      </c>
      <c r="B75" s="125" t="s">
        <v>1809</v>
      </c>
      <c r="C75" s="119" t="s">
        <v>1453</v>
      </c>
      <c r="D75" s="125" t="s">
        <v>1799</v>
      </c>
      <c r="E75" s="121" t="s">
        <v>1519</v>
      </c>
      <c r="F75" s="119" t="s">
        <v>89</v>
      </c>
      <c r="G75" s="122">
        <v>254.77948708333301</v>
      </c>
      <c r="H75" s="113" t="str">
        <f t="shared" si="3"/>
        <v>SO</v>
      </c>
      <c r="I75" s="113" t="str">
        <f>INDEX('GP Lookup'!$I:$I,MATCH(A75,'GP Lookup'!$A:$A,0))</f>
        <v>PTD</v>
      </c>
      <c r="J75" s="113" t="str">
        <f>IF('GP Jun22data'!$G75=0,"NO",IF(ISNA('GP Jun22data'!$I75),"YES",IF(_xlfn.ISFORMULA('GP Jun22data'!$I75),"NO","YES")))</f>
        <v>NO</v>
      </c>
      <c r="K75"/>
    </row>
    <row r="76" spans="1:11">
      <c r="A76" s="114" t="str">
        <f t="shared" si="2"/>
        <v>1010000ELEC PLANT IN SERV3913000OFFICE EQUIPMENTSITUS</v>
      </c>
      <c r="B76" s="125" t="s">
        <v>1809</v>
      </c>
      <c r="C76" s="119" t="s">
        <v>1453</v>
      </c>
      <c r="D76" s="125" t="s">
        <v>1799</v>
      </c>
      <c r="E76" s="121" t="s">
        <v>1519</v>
      </c>
      <c r="F76" s="119" t="s">
        <v>370</v>
      </c>
      <c r="G76" s="122">
        <v>9.4319600000000001</v>
      </c>
      <c r="H76" s="113" t="str">
        <f t="shared" si="3"/>
        <v>SITUS</v>
      </c>
      <c r="I76" s="113" t="str">
        <f>INDEX('GP Lookup'!$I:$I,MATCH(A76,'GP Lookup'!$A:$A,0))</f>
        <v>DPW</v>
      </c>
      <c r="J76" s="113" t="str">
        <f>IF('GP Jun22data'!$G76=0,"NO",IF(ISNA('GP Jun22data'!$I76),"YES",IF(_xlfn.ISFORMULA('GP Jun22data'!$I76),"NO","YES")))</f>
        <v>NO</v>
      </c>
      <c r="K76"/>
    </row>
    <row r="77" spans="1:11">
      <c r="A77" s="114" t="str">
        <f t="shared" si="2"/>
        <v>1010000ELEC PLANT IN SERV3913000OFFICE EQUIPMENTSITUS</v>
      </c>
      <c r="B77" s="125" t="s">
        <v>1809</v>
      </c>
      <c r="C77" s="119" t="s">
        <v>1453</v>
      </c>
      <c r="D77" s="125" t="s">
        <v>1799</v>
      </c>
      <c r="E77" s="121" t="s">
        <v>1519</v>
      </c>
      <c r="F77" s="119" t="s">
        <v>378</v>
      </c>
      <c r="G77" s="122">
        <v>8.2157300000000006</v>
      </c>
      <c r="H77" s="113" t="str">
        <f t="shared" si="3"/>
        <v>SITUS</v>
      </c>
      <c r="I77" s="113" t="str">
        <f>INDEX('GP Lookup'!$I:$I,MATCH(A77,'GP Lookup'!$A:$A,0))</f>
        <v>DPW</v>
      </c>
      <c r="J77" s="113" t="str">
        <f>IF('GP Jun22data'!$G77=0,"NO",IF(ISNA('GP Jun22data'!$I77),"YES",IF(_xlfn.ISFORMULA('GP Jun22data'!$I77),"NO","YES")))</f>
        <v>NO</v>
      </c>
      <c r="K77"/>
    </row>
    <row r="78" spans="1:11">
      <c r="A78" s="114" t="str">
        <f t="shared" si="2"/>
        <v>1010000ELEC PLANT IN SERV39201001/4 TON MINI-PICKUPS AND VANSSITUS</v>
      </c>
      <c r="B78" s="125" t="s">
        <v>1809</v>
      </c>
      <c r="C78" s="119" t="s">
        <v>1453</v>
      </c>
      <c r="D78" s="125" t="s">
        <v>1813</v>
      </c>
      <c r="E78" s="121" t="s">
        <v>1520</v>
      </c>
      <c r="F78" s="119" t="s">
        <v>387</v>
      </c>
      <c r="G78" s="122">
        <v>41.207990000000002</v>
      </c>
      <c r="H78" s="113" t="str">
        <f t="shared" si="3"/>
        <v>SITUS</v>
      </c>
      <c r="I78" s="113" t="str">
        <f>INDEX('GP Lookup'!$I:$I,MATCH(A78,'GP Lookup'!$A:$A,0))</f>
        <v>DPW</v>
      </c>
      <c r="J78" s="113" t="str">
        <f>IF('GP Jun22data'!$G78=0,"NO",IF(ISNA('GP Jun22data'!$I78),"YES",IF(_xlfn.ISFORMULA('GP Jun22data'!$I78),"NO","YES")))</f>
        <v>NO</v>
      </c>
      <c r="K78"/>
    </row>
    <row r="79" spans="1:11">
      <c r="A79" s="114" t="str">
        <f t="shared" si="2"/>
        <v>1010000ELEC PLANT IN SERV39201001/4 TON MINI-PICKUPS AND VANSSE</v>
      </c>
      <c r="B79" s="125" t="s">
        <v>1809</v>
      </c>
      <c r="C79" s="119" t="s">
        <v>1453</v>
      </c>
      <c r="D79" s="125" t="s">
        <v>1813</v>
      </c>
      <c r="E79" s="121" t="s">
        <v>1520</v>
      </c>
      <c r="F79" s="119" t="s">
        <v>3110</v>
      </c>
      <c r="G79" s="122">
        <v>25.145810000000001</v>
      </c>
      <c r="H79" s="113" t="str">
        <f t="shared" si="3"/>
        <v>SE</v>
      </c>
      <c r="I79" s="113" t="str">
        <f>INDEX('GP Lookup'!$I:$I,MATCH(A79,'GP Lookup'!$A:$A,0))</f>
        <v>P</v>
      </c>
      <c r="J79" s="113" t="str">
        <f>IF('GP Jun22data'!$G79=0,"NO",IF(ISNA('GP Jun22data'!$I79),"YES",IF(_xlfn.ISFORMULA('GP Jun22data'!$I79),"NO","YES")))</f>
        <v>NO</v>
      </c>
      <c r="K79"/>
    </row>
    <row r="80" spans="1:11">
      <c r="A80" s="114" t="str">
        <f t="shared" si="2"/>
        <v>1010000ELEC PLANT IN SERV39201001/4 TON MINI-PICKUPS AND VANSSG</v>
      </c>
      <c r="B80" s="125" t="s">
        <v>1809</v>
      </c>
      <c r="C80" s="119" t="s">
        <v>1453</v>
      </c>
      <c r="D80" s="125" t="s">
        <v>1813</v>
      </c>
      <c r="E80" s="121" t="s">
        <v>1520</v>
      </c>
      <c r="F80" s="119" t="s">
        <v>3106</v>
      </c>
      <c r="G80" s="122">
        <v>243.67304666666701</v>
      </c>
      <c r="H80" s="113" t="str">
        <f t="shared" si="3"/>
        <v>SG</v>
      </c>
      <c r="I80" s="113" t="str">
        <f>INDEX('GP Lookup'!$I:$I,MATCH(A80,'GP Lookup'!$A:$A,0))</f>
        <v>P</v>
      </c>
      <c r="J80" s="113" t="str">
        <f>IF('GP Jun22data'!$G80=0,"NO",IF(ISNA('GP Jun22data'!$I80),"YES",IF(_xlfn.ISFORMULA('GP Jun22data'!$I80),"NO","YES")))</f>
        <v>NO</v>
      </c>
      <c r="K80"/>
    </row>
    <row r="81" spans="1:11">
      <c r="A81" s="114" t="str">
        <f t="shared" si="2"/>
        <v>1010000ELEC PLANT IN SERV39201001/4 TON MINI-PICKUPS AND VANSSG</v>
      </c>
      <c r="B81" s="125" t="s">
        <v>1809</v>
      </c>
      <c r="C81" s="119" t="s">
        <v>1453</v>
      </c>
      <c r="D81" s="125" t="s">
        <v>1813</v>
      </c>
      <c r="E81" s="121" t="s">
        <v>1520</v>
      </c>
      <c r="F81" s="119" t="s">
        <v>3108</v>
      </c>
      <c r="G81" s="122">
        <v>3.7664300000000002</v>
      </c>
      <c r="H81" s="113" t="str">
        <f t="shared" si="3"/>
        <v>SG</v>
      </c>
      <c r="I81" s="113" t="str">
        <f>INDEX('GP Lookup'!$I:$I,MATCH(A81,'GP Lookup'!$A:$A,0))</f>
        <v>P</v>
      </c>
      <c r="J81" s="113" t="str">
        <f>IF('GP Jun22data'!$G81=0,"NO",IF(ISNA('GP Jun22data'!$I81),"YES",IF(_xlfn.ISFORMULA('GP Jun22data'!$I81),"NO","YES")))</f>
        <v>NO</v>
      </c>
      <c r="K81"/>
    </row>
    <row r="82" spans="1:11">
      <c r="A82" s="114" t="str">
        <f t="shared" si="2"/>
        <v>1010000ELEC PLANT IN SERV39201001/4 TON MINI-PICKUPS AND VANSSITUS</v>
      </c>
      <c r="B82" s="125" t="s">
        <v>1809</v>
      </c>
      <c r="C82" s="119" t="s">
        <v>1453</v>
      </c>
      <c r="D82" s="125" t="s">
        <v>1813</v>
      </c>
      <c r="E82" s="121" t="s">
        <v>1520</v>
      </c>
      <c r="F82" s="119" t="s">
        <v>372</v>
      </c>
      <c r="G82" s="122">
        <v>313.62538208333302</v>
      </c>
      <c r="H82" s="113" t="str">
        <f t="shared" si="3"/>
        <v>SITUS</v>
      </c>
      <c r="I82" s="113" t="str">
        <f>INDEX('GP Lookup'!$I:$I,MATCH(A82,'GP Lookup'!$A:$A,0))</f>
        <v>DPW</v>
      </c>
      <c r="J82" s="113" t="str">
        <f>IF('GP Jun22data'!$G82=0,"NO",IF(ISNA('GP Jun22data'!$I82),"YES",IF(_xlfn.ISFORMULA('GP Jun22data'!$I82),"NO","YES")))</f>
        <v>NO</v>
      </c>
      <c r="K82"/>
    </row>
    <row r="83" spans="1:11">
      <c r="A83" s="114" t="str">
        <f t="shared" si="2"/>
        <v>1010000ELEC PLANT IN SERV39201001/4 TON MINI-PICKUPS AND VANSSG</v>
      </c>
      <c r="B83" s="125" t="s">
        <v>1809</v>
      </c>
      <c r="C83" s="119" t="s">
        <v>1453</v>
      </c>
      <c r="D83" s="125" t="s">
        <v>1813</v>
      </c>
      <c r="E83" s="121" t="s">
        <v>1520</v>
      </c>
      <c r="F83" s="119" t="s">
        <v>3107</v>
      </c>
      <c r="G83" s="122">
        <v>41.166739999999997</v>
      </c>
      <c r="H83" s="113" t="str">
        <f t="shared" si="3"/>
        <v>SG</v>
      </c>
      <c r="I83" s="113" t="str">
        <f>INDEX('GP Lookup'!$I:$I,MATCH(A83,'GP Lookup'!$A:$A,0))</f>
        <v>P</v>
      </c>
      <c r="J83" s="113" t="str">
        <f>IF('GP Jun22data'!$G83=0,"NO",IF(ISNA('GP Jun22data'!$I83),"YES",IF(_xlfn.ISFORMULA('GP Jun22data'!$I83),"NO","YES")))</f>
        <v>NO</v>
      </c>
      <c r="K83"/>
    </row>
    <row r="84" spans="1:11">
      <c r="A84" s="114" t="str">
        <f t="shared" si="2"/>
        <v>1010000ELEC PLANT IN SERV39201001/4 TON MINI-PICKUPS AND VANSSITUS</v>
      </c>
      <c r="B84" s="125" t="s">
        <v>1809</v>
      </c>
      <c r="C84" s="119" t="s">
        <v>1453</v>
      </c>
      <c r="D84" s="125" t="s">
        <v>1813</v>
      </c>
      <c r="E84" s="121" t="s">
        <v>1520</v>
      </c>
      <c r="F84" s="119" t="s">
        <v>343</v>
      </c>
      <c r="G84" s="122">
        <v>1838.6210262500001</v>
      </c>
      <c r="H84" s="113" t="str">
        <f t="shared" si="3"/>
        <v>SITUS</v>
      </c>
      <c r="I84" s="113" t="str">
        <f>INDEX('GP Lookup'!$I:$I,MATCH(A84,'GP Lookup'!$A:$A,0))</f>
        <v>DPW</v>
      </c>
      <c r="J84" s="113" t="str">
        <f>IF('GP Jun22data'!$G84=0,"NO",IF(ISNA('GP Jun22data'!$I84),"YES",IF(_xlfn.ISFORMULA('GP Jun22data'!$I84),"NO","YES")))</f>
        <v>NO</v>
      </c>
      <c r="K84"/>
    </row>
    <row r="85" spans="1:11">
      <c r="A85" s="114" t="str">
        <f t="shared" si="2"/>
        <v>1010000ELEC PLANT IN SERV39201001/4 TON MINI-PICKUPS AND VANSSG</v>
      </c>
      <c r="B85" s="125" t="s">
        <v>1809</v>
      </c>
      <c r="C85" s="119" t="s">
        <v>1453</v>
      </c>
      <c r="D85" s="125" t="s">
        <v>1813</v>
      </c>
      <c r="E85" s="121" t="s">
        <v>1520</v>
      </c>
      <c r="F85" s="119" t="s">
        <v>87</v>
      </c>
      <c r="G85" s="122">
        <v>256.503857083333</v>
      </c>
      <c r="H85" s="113" t="str">
        <f t="shared" si="3"/>
        <v>SG</v>
      </c>
      <c r="I85" s="113" t="str">
        <f>INDEX('GP Lookup'!$I:$I,MATCH(A85,'GP Lookup'!$A:$A,0))</f>
        <v>P</v>
      </c>
      <c r="J85" s="113" t="str">
        <f>IF('GP Jun22data'!$G85=0,"NO",IF(ISNA('GP Jun22data'!$I85),"YES",IF(_xlfn.ISFORMULA('GP Jun22data'!$I85),"NO","YES")))</f>
        <v>NO</v>
      </c>
      <c r="K85"/>
    </row>
    <row r="86" spans="1:11">
      <c r="A86" s="114" t="str">
        <f t="shared" si="2"/>
        <v>1010000ELEC PLANT IN SERV39201001/4 TON MINI-PICKUPS AND VANSSO</v>
      </c>
      <c r="B86" s="125" t="s">
        <v>1809</v>
      </c>
      <c r="C86" s="119" t="s">
        <v>1453</v>
      </c>
      <c r="D86" s="125" t="s">
        <v>1813</v>
      </c>
      <c r="E86" s="121" t="s">
        <v>1520</v>
      </c>
      <c r="F86" s="119" t="s">
        <v>89</v>
      </c>
      <c r="G86" s="122">
        <v>833.88135208333301</v>
      </c>
      <c r="H86" s="113" t="str">
        <f t="shared" si="3"/>
        <v>SO</v>
      </c>
      <c r="I86" s="113" t="str">
        <f>INDEX('GP Lookup'!$I:$I,MATCH(A86,'GP Lookup'!$A:$A,0))</f>
        <v>PTD</v>
      </c>
      <c r="J86" s="113" t="str">
        <f>IF('GP Jun22data'!$G86=0,"NO",IF(ISNA('GP Jun22data'!$I86),"YES",IF(_xlfn.ISFORMULA('GP Jun22data'!$I86),"NO","YES")))</f>
        <v>NO</v>
      </c>
      <c r="K86"/>
    </row>
    <row r="87" spans="1:11">
      <c r="A87" s="114" t="str">
        <f t="shared" si="2"/>
        <v>1010000ELEC PLANT IN SERV39201001/4 TON MINI-PICKUPS AND VANSSITUS</v>
      </c>
      <c r="B87" s="125" t="s">
        <v>1809</v>
      </c>
      <c r="C87" s="119" t="s">
        <v>1453</v>
      </c>
      <c r="D87" s="125" t="s">
        <v>1813</v>
      </c>
      <c r="E87" s="121" t="s">
        <v>1520</v>
      </c>
      <c r="F87" s="119" t="s">
        <v>370</v>
      </c>
      <c r="G87" s="122">
        <v>3009.5184612500002</v>
      </c>
      <c r="H87" s="113" t="str">
        <f t="shared" si="3"/>
        <v>SITUS</v>
      </c>
      <c r="I87" s="113" t="str">
        <f>INDEX('GP Lookup'!$I:$I,MATCH(A87,'GP Lookup'!$A:$A,0))</f>
        <v>DPW</v>
      </c>
      <c r="J87" s="113" t="str">
        <f>IF('GP Jun22data'!$G87=0,"NO",IF(ISNA('GP Jun22data'!$I87),"YES",IF(_xlfn.ISFORMULA('GP Jun22data'!$I87),"NO","YES")))</f>
        <v>NO</v>
      </c>
      <c r="K87"/>
    </row>
    <row r="88" spans="1:11">
      <c r="A88" s="114" t="str">
        <f t="shared" si="2"/>
        <v>1010000ELEC PLANT IN SERV39201001/4 TON MINI-PICKUPS AND VANSSITUS</v>
      </c>
      <c r="B88" s="125" t="s">
        <v>1809</v>
      </c>
      <c r="C88" s="119" t="s">
        <v>1453</v>
      </c>
      <c r="D88" s="125" t="s">
        <v>1813</v>
      </c>
      <c r="E88" s="121" t="s">
        <v>1520</v>
      </c>
      <c r="F88" s="119" t="s">
        <v>367</v>
      </c>
      <c r="G88" s="122">
        <v>260.848318333333</v>
      </c>
      <c r="H88" s="113" t="str">
        <f t="shared" si="3"/>
        <v>SITUS</v>
      </c>
      <c r="I88" s="113" t="str">
        <f>INDEX('GP Lookup'!$I:$I,MATCH(A88,'GP Lookup'!$A:$A,0))</f>
        <v>DPW</v>
      </c>
      <c r="J88" s="113" t="str">
        <f>IF('GP Jun22data'!$G88=0,"NO",IF(ISNA('GP Jun22data'!$I88),"YES",IF(_xlfn.ISFORMULA('GP Jun22data'!$I88),"NO","YES")))</f>
        <v>NO</v>
      </c>
      <c r="K88"/>
    </row>
    <row r="89" spans="1:11">
      <c r="A89" s="114" t="str">
        <f t="shared" si="2"/>
        <v>1010000ELEC PLANT IN SERV39201001/4 TON MINI-PICKUPS AND VANSSITUS</v>
      </c>
      <c r="B89" s="125" t="s">
        <v>1809</v>
      </c>
      <c r="C89" s="119" t="s">
        <v>1453</v>
      </c>
      <c r="D89" s="125" t="s">
        <v>1813</v>
      </c>
      <c r="E89" s="121" t="s">
        <v>1520</v>
      </c>
      <c r="F89" s="119" t="s">
        <v>386</v>
      </c>
      <c r="G89" s="122">
        <v>661.59885916666701</v>
      </c>
      <c r="H89" s="113" t="str">
        <f t="shared" si="3"/>
        <v>SITUS</v>
      </c>
      <c r="I89" s="113" t="str">
        <f>INDEX('GP Lookup'!$I:$I,MATCH(A89,'GP Lookup'!$A:$A,0))</f>
        <v>DPW</v>
      </c>
      <c r="J89" s="113" t="str">
        <f>IF('GP Jun22data'!$G89=0,"NO",IF(ISNA('GP Jun22data'!$I89),"YES",IF(_xlfn.ISFORMULA('GP Jun22data'!$I89),"NO","YES")))</f>
        <v>NO</v>
      </c>
      <c r="K89"/>
    </row>
    <row r="90" spans="1:11">
      <c r="A90" s="114" t="str">
        <f t="shared" si="2"/>
        <v>1010000ELEC PLANT IN SERV3920200MID AND FULL SIZE AUTOMOBILESSITUS</v>
      </c>
      <c r="B90" s="125" t="s">
        <v>1809</v>
      </c>
      <c r="C90" s="119" t="s">
        <v>1453</v>
      </c>
      <c r="D90" s="125" t="s">
        <v>1814</v>
      </c>
      <c r="E90" s="121" t="s">
        <v>1521</v>
      </c>
      <c r="F90" s="119" t="s">
        <v>343</v>
      </c>
      <c r="G90" s="122">
        <v>282.98283458333299</v>
      </c>
      <c r="H90" s="113" t="str">
        <f t="shared" si="3"/>
        <v>SITUS</v>
      </c>
      <c r="I90" s="113" t="str">
        <f>INDEX('GP Lookup'!$I:$I,MATCH(A90,'GP Lookup'!$A:$A,0))</f>
        <v>DPW</v>
      </c>
      <c r="J90" s="113" t="str">
        <f>IF('GP Jun22data'!$G90=0,"NO",IF(ISNA('GP Jun22data'!$I90),"YES",IF(_xlfn.ISFORMULA('GP Jun22data'!$I90),"NO","YES")))</f>
        <v>NO</v>
      </c>
      <c r="K90"/>
    </row>
    <row r="91" spans="1:11">
      <c r="A91" s="114" t="str">
        <f t="shared" si="2"/>
        <v>1010000ELEC PLANT IN SERV3920200MID AND FULL SIZE AUTOMOBILESSO</v>
      </c>
      <c r="B91" s="125" t="s">
        <v>1809</v>
      </c>
      <c r="C91" s="119" t="s">
        <v>1453</v>
      </c>
      <c r="D91" s="125" t="s">
        <v>1814</v>
      </c>
      <c r="E91" s="121" t="s">
        <v>1521</v>
      </c>
      <c r="F91" s="119" t="s">
        <v>89</v>
      </c>
      <c r="G91" s="122">
        <v>324.980795</v>
      </c>
      <c r="H91" s="113" t="str">
        <f t="shared" si="3"/>
        <v>SO</v>
      </c>
      <c r="I91" s="113" t="str">
        <f>INDEX('GP Lookup'!$I:$I,MATCH(A91,'GP Lookup'!$A:$A,0))</f>
        <v>PTD</v>
      </c>
      <c r="J91" s="113" t="str">
        <f>IF('GP Jun22data'!$G91=0,"NO",IF(ISNA('GP Jun22data'!$I91),"YES",IF(_xlfn.ISFORMULA('GP Jun22data'!$I91),"NO","YES")))</f>
        <v>NO</v>
      </c>
      <c r="K91"/>
    </row>
    <row r="92" spans="1:11">
      <c r="A92" s="114" t="str">
        <f t="shared" si="2"/>
        <v>1010000ELEC PLANT IN SERV3920200MID AND FULL SIZE AUTOMOBILESSITUS</v>
      </c>
      <c r="B92" s="125" t="s">
        <v>1809</v>
      </c>
      <c r="C92" s="119" t="s">
        <v>1453</v>
      </c>
      <c r="D92" s="125" t="s">
        <v>1814</v>
      </c>
      <c r="E92" s="121" t="s">
        <v>1521</v>
      </c>
      <c r="F92" s="119" t="s">
        <v>370</v>
      </c>
      <c r="G92" s="122">
        <v>572.12390000000005</v>
      </c>
      <c r="H92" s="113" t="str">
        <f t="shared" si="3"/>
        <v>SITUS</v>
      </c>
      <c r="I92" s="113" t="str">
        <f>INDEX('GP Lookup'!$I:$I,MATCH(A92,'GP Lookup'!$A:$A,0))</f>
        <v>DPW</v>
      </c>
      <c r="J92" s="113" t="str">
        <f>IF('GP Jun22data'!$G92=0,"NO",IF(ISNA('GP Jun22data'!$I92),"YES",IF(_xlfn.ISFORMULA('GP Jun22data'!$I92),"NO","YES")))</f>
        <v>NO</v>
      </c>
      <c r="K92"/>
    </row>
    <row r="93" spans="1:11">
      <c r="A93" s="114" t="str">
        <f t="shared" si="2"/>
        <v>1010000ELEC PLANT IN SERV3920200MID AND FULL SIZE AUTOMOBILESSITUS</v>
      </c>
      <c r="B93" s="125" t="s">
        <v>1809</v>
      </c>
      <c r="C93" s="119" t="s">
        <v>1453</v>
      </c>
      <c r="D93" s="125" t="s">
        <v>1814</v>
      </c>
      <c r="E93" s="121" t="s">
        <v>1521</v>
      </c>
      <c r="F93" s="119" t="s">
        <v>367</v>
      </c>
      <c r="G93" s="122">
        <v>30.7527279166667</v>
      </c>
      <c r="H93" s="113" t="str">
        <f t="shared" si="3"/>
        <v>SITUS</v>
      </c>
      <c r="I93" s="113" t="str">
        <f>INDEX('GP Lookup'!$I:$I,MATCH(A93,'GP Lookup'!$A:$A,0))</f>
        <v>DPW</v>
      </c>
      <c r="J93" s="113" t="str">
        <f>IF('GP Jun22data'!$G93=0,"NO",IF(ISNA('GP Jun22data'!$I93),"YES",IF(_xlfn.ISFORMULA('GP Jun22data'!$I93),"NO","YES")))</f>
        <v>NO</v>
      </c>
      <c r="K93"/>
    </row>
    <row r="94" spans="1:11">
      <c r="A94" s="114" t="str">
        <f t="shared" si="2"/>
        <v>1010000ELEC PLANT IN SERV3920200MID AND FULL SIZE AUTOMOBILESSITUS</v>
      </c>
      <c r="B94" s="125" t="s">
        <v>1809</v>
      </c>
      <c r="C94" s="119" t="s">
        <v>1453</v>
      </c>
      <c r="D94" s="125" t="s">
        <v>1814</v>
      </c>
      <c r="E94" s="121" t="s">
        <v>1521</v>
      </c>
      <c r="F94" s="119" t="s">
        <v>386</v>
      </c>
      <c r="G94" s="122">
        <v>19.118950000000002</v>
      </c>
      <c r="H94" s="113" t="str">
        <f t="shared" si="3"/>
        <v>SITUS</v>
      </c>
      <c r="I94" s="113" t="str">
        <f>INDEX('GP Lookup'!$I:$I,MATCH(A94,'GP Lookup'!$A:$A,0))</f>
        <v>DPW</v>
      </c>
      <c r="J94" s="113" t="str">
        <f>IF('GP Jun22data'!$G94=0,"NO",IF(ISNA('GP Jun22data'!$I94),"YES",IF(_xlfn.ISFORMULA('GP Jun22data'!$I94),"NO","YES")))</f>
        <v>NO</v>
      </c>
      <c r="K94"/>
    </row>
    <row r="95" spans="1:11">
      <c r="A95" s="114" t="str">
        <f t="shared" si="2"/>
        <v>1010000ELEC PLANT IN SERV3920400"1/2 &amp; 3/4 TON PICKUPS, VANS, SERV TRUCKSITUS</v>
      </c>
      <c r="B95" s="125" t="s">
        <v>1809</v>
      </c>
      <c r="C95" s="119" t="s">
        <v>1453</v>
      </c>
      <c r="D95" s="125" t="s">
        <v>1815</v>
      </c>
      <c r="E95" s="121" t="s">
        <v>1522</v>
      </c>
      <c r="F95" s="119" t="s">
        <v>387</v>
      </c>
      <c r="G95" s="122">
        <v>352.06484083333299</v>
      </c>
      <c r="H95" s="113" t="str">
        <f t="shared" si="3"/>
        <v>SITUS</v>
      </c>
      <c r="I95" s="113" t="str">
        <f>INDEX('GP Lookup'!$I:$I,MATCH(A95,'GP Lookup'!$A:$A,0))</f>
        <v>DPW</v>
      </c>
      <c r="J95" s="113" t="str">
        <f>IF('GP Jun22data'!$G95=0,"NO",IF(ISNA('GP Jun22data'!$I95),"YES",IF(_xlfn.ISFORMULA('GP Jun22data'!$I95),"NO","YES")))</f>
        <v>NO</v>
      </c>
      <c r="K95"/>
    </row>
    <row r="96" spans="1:11">
      <c r="A96" s="114" t="str">
        <f t="shared" si="2"/>
        <v>1010000ELEC PLANT IN SERV3920400"1/2 &amp; 3/4 TON PICKUPS, VANS, SERV TRUCKSE</v>
      </c>
      <c r="B96" s="125" t="s">
        <v>1809</v>
      </c>
      <c r="C96" s="119" t="s">
        <v>1453</v>
      </c>
      <c r="D96" s="125" t="s">
        <v>1815</v>
      </c>
      <c r="E96" s="121" t="s">
        <v>1522</v>
      </c>
      <c r="F96" s="119" t="s">
        <v>3110</v>
      </c>
      <c r="G96" s="122">
        <v>70.626509999999996</v>
      </c>
      <c r="H96" s="113" t="str">
        <f t="shared" si="3"/>
        <v>SE</v>
      </c>
      <c r="I96" s="113" t="str">
        <f>INDEX('GP Lookup'!$I:$I,MATCH(A96,'GP Lookup'!$A:$A,0))</f>
        <v>P</v>
      </c>
      <c r="J96" s="113" t="str">
        <f>IF('GP Jun22data'!$G96=0,"NO",IF(ISNA('GP Jun22data'!$I96),"YES",IF(_xlfn.ISFORMULA('GP Jun22data'!$I96),"NO","YES")))</f>
        <v>NO</v>
      </c>
      <c r="K96"/>
    </row>
    <row r="97" spans="1:11">
      <c r="A97" s="114" t="str">
        <f t="shared" si="2"/>
        <v>1010000ELEC PLANT IN SERV3920400"1/2 &amp; 3/4 TON PICKUPS, VANS, SERV TRUCKSG</v>
      </c>
      <c r="B97" s="125" t="s">
        <v>1809</v>
      </c>
      <c r="C97" s="119" t="s">
        <v>1453</v>
      </c>
      <c r="D97" s="125" t="s">
        <v>1815</v>
      </c>
      <c r="E97" s="121" t="s">
        <v>1522</v>
      </c>
      <c r="F97" s="119" t="s">
        <v>3106</v>
      </c>
      <c r="G97" s="122">
        <v>3817.1575508333299</v>
      </c>
      <c r="H97" s="113" t="str">
        <f t="shared" si="3"/>
        <v>SG</v>
      </c>
      <c r="I97" s="113" t="str">
        <f>INDEX('GP Lookup'!$I:$I,MATCH(A97,'GP Lookup'!$A:$A,0))</f>
        <v>P</v>
      </c>
      <c r="J97" s="113" t="str">
        <f>IF('GP Jun22data'!$G97=0,"NO",IF(ISNA('GP Jun22data'!$I97),"YES",IF(_xlfn.ISFORMULA('GP Jun22data'!$I97),"NO","YES")))</f>
        <v>NO</v>
      </c>
      <c r="K97"/>
    </row>
    <row r="98" spans="1:11">
      <c r="A98" s="114" t="str">
        <f t="shared" si="2"/>
        <v>1010000ELEC PLANT IN SERV3920400"1/2 &amp; 3/4 TON PICKUPS, VANS, SERV TRUCKSG</v>
      </c>
      <c r="B98" s="125" t="s">
        <v>1809</v>
      </c>
      <c r="C98" s="119" t="s">
        <v>1453</v>
      </c>
      <c r="D98" s="125" t="s">
        <v>1815</v>
      </c>
      <c r="E98" s="121" t="s">
        <v>1522</v>
      </c>
      <c r="F98" s="119" t="s">
        <v>3108</v>
      </c>
      <c r="G98" s="122">
        <v>155.62804</v>
      </c>
      <c r="H98" s="113" t="str">
        <f t="shared" si="3"/>
        <v>SG</v>
      </c>
      <c r="I98" s="113" t="str">
        <f>INDEX('GP Lookup'!$I:$I,MATCH(A98,'GP Lookup'!$A:$A,0))</f>
        <v>P</v>
      </c>
      <c r="J98" s="113" t="str">
        <f>IF('GP Jun22data'!$G98=0,"NO",IF(ISNA('GP Jun22data'!$I98),"YES",IF(_xlfn.ISFORMULA('GP Jun22data'!$I98),"NO","YES")))</f>
        <v>NO</v>
      </c>
      <c r="K98"/>
    </row>
    <row r="99" spans="1:11">
      <c r="A99" s="114" t="str">
        <f t="shared" si="2"/>
        <v>1010000ELEC PLANT IN SERV3920400"1/2 &amp; 3/4 TON PICKUPS, VANS, SERV TRUCKSITUS</v>
      </c>
      <c r="B99" s="125" t="s">
        <v>1809</v>
      </c>
      <c r="C99" s="119" t="s">
        <v>1453</v>
      </c>
      <c r="D99" s="125" t="s">
        <v>1815</v>
      </c>
      <c r="E99" s="121" t="s">
        <v>1522</v>
      </c>
      <c r="F99" s="119" t="s">
        <v>372</v>
      </c>
      <c r="G99" s="122">
        <v>1839.6473625000001</v>
      </c>
      <c r="H99" s="113" t="str">
        <f t="shared" si="3"/>
        <v>SITUS</v>
      </c>
      <c r="I99" s="113" t="str">
        <f>INDEX('GP Lookup'!$I:$I,MATCH(A99,'GP Lookup'!$A:$A,0))</f>
        <v>DPW</v>
      </c>
      <c r="J99" s="113" t="str">
        <f>IF('GP Jun22data'!$G99=0,"NO",IF(ISNA('GP Jun22data'!$I99),"YES",IF(_xlfn.ISFORMULA('GP Jun22data'!$I99),"NO","YES")))</f>
        <v>NO</v>
      </c>
      <c r="K99"/>
    </row>
    <row r="100" spans="1:11">
      <c r="A100" s="114" t="str">
        <f t="shared" si="2"/>
        <v>1010000ELEC PLANT IN SERV3920400"1/2 &amp; 3/4 TON PICKUPS, VANS, SERV TRUCKSG</v>
      </c>
      <c r="B100" s="125" t="s">
        <v>1809</v>
      </c>
      <c r="C100" s="119" t="s">
        <v>1453</v>
      </c>
      <c r="D100" s="125" t="s">
        <v>1815</v>
      </c>
      <c r="E100" s="121" t="s">
        <v>1522</v>
      </c>
      <c r="F100" s="119" t="s">
        <v>3107</v>
      </c>
      <c r="G100" s="122">
        <v>820.19109875000004</v>
      </c>
      <c r="H100" s="113" t="str">
        <f t="shared" si="3"/>
        <v>SG</v>
      </c>
      <c r="I100" s="113" t="str">
        <f>INDEX('GP Lookup'!$I:$I,MATCH(A100,'GP Lookup'!$A:$A,0))</f>
        <v>P</v>
      </c>
      <c r="J100" s="113" t="str">
        <f>IF('GP Jun22data'!$G100=0,"NO",IF(ISNA('GP Jun22data'!$I100),"YES",IF(_xlfn.ISFORMULA('GP Jun22data'!$I100),"NO","YES")))</f>
        <v>NO</v>
      </c>
      <c r="K100"/>
    </row>
    <row r="101" spans="1:11">
      <c r="A101" s="114" t="str">
        <f t="shared" si="2"/>
        <v>1010000ELEC PLANT IN SERV3920400"1/2 &amp; 3/4 TON PICKUPS, VANS, SERV TRUCKSITUS</v>
      </c>
      <c r="B101" s="125" t="s">
        <v>1809</v>
      </c>
      <c r="C101" s="119" t="s">
        <v>1453</v>
      </c>
      <c r="D101" s="125" t="s">
        <v>1815</v>
      </c>
      <c r="E101" s="121" t="s">
        <v>1522</v>
      </c>
      <c r="F101" s="119" t="s">
        <v>343</v>
      </c>
      <c r="G101" s="122">
        <v>5365.9498270833301</v>
      </c>
      <c r="H101" s="113" t="str">
        <f t="shared" si="3"/>
        <v>SITUS</v>
      </c>
      <c r="I101" s="113" t="str">
        <f>INDEX('GP Lookup'!$I:$I,MATCH(A101,'GP Lookup'!$A:$A,0))</f>
        <v>DPW</v>
      </c>
      <c r="J101" s="113" t="str">
        <f>IF('GP Jun22data'!$G101=0,"NO",IF(ISNA('GP Jun22data'!$I101),"YES",IF(_xlfn.ISFORMULA('GP Jun22data'!$I101),"NO","YES")))</f>
        <v>NO</v>
      </c>
      <c r="K101"/>
    </row>
    <row r="102" spans="1:11">
      <c r="A102" s="114" t="str">
        <f t="shared" si="2"/>
        <v>1010000ELEC PLANT IN SERV3920400"1/2 &amp; 3/4 TON PICKUPS, VANS, SERV TRUCKSG</v>
      </c>
      <c r="B102" s="125" t="s">
        <v>1809</v>
      </c>
      <c r="C102" s="119" t="s">
        <v>1453</v>
      </c>
      <c r="D102" s="125" t="s">
        <v>1815</v>
      </c>
      <c r="E102" s="121" t="s">
        <v>1522</v>
      </c>
      <c r="F102" s="119" t="s">
        <v>87</v>
      </c>
      <c r="G102" s="122">
        <v>3833.0389125000002</v>
      </c>
      <c r="H102" s="113" t="str">
        <f t="shared" si="3"/>
        <v>SG</v>
      </c>
      <c r="I102" s="113" t="str">
        <f>INDEX('GP Lookup'!$I:$I,MATCH(A102,'GP Lookup'!$A:$A,0))</f>
        <v>P</v>
      </c>
      <c r="J102" s="113" t="str">
        <f>IF('GP Jun22data'!$G102=0,"NO",IF(ISNA('GP Jun22data'!$I102),"YES",IF(_xlfn.ISFORMULA('GP Jun22data'!$I102),"NO","YES")))</f>
        <v>NO</v>
      </c>
      <c r="K102"/>
    </row>
    <row r="103" spans="1:11">
      <c r="A103" s="114" t="str">
        <f t="shared" si="2"/>
        <v>1010000ELEC PLANT IN SERV3920400"1/2 &amp; 3/4 TON PICKUPS, VANS, SERV TRUCKSO</v>
      </c>
      <c r="B103" s="125" t="s">
        <v>1809</v>
      </c>
      <c r="C103" s="119" t="s">
        <v>1453</v>
      </c>
      <c r="D103" s="125" t="s">
        <v>1815</v>
      </c>
      <c r="E103" s="121" t="s">
        <v>1522</v>
      </c>
      <c r="F103" s="119" t="s">
        <v>89</v>
      </c>
      <c r="G103" s="122">
        <v>1359.8856245833299</v>
      </c>
      <c r="H103" s="113" t="str">
        <f t="shared" si="3"/>
        <v>SO</v>
      </c>
      <c r="I103" s="113" t="str">
        <f>INDEX('GP Lookup'!$I:$I,MATCH(A103,'GP Lookup'!$A:$A,0))</f>
        <v>PTD</v>
      </c>
      <c r="J103" s="113" t="str">
        <f>IF('GP Jun22data'!$G103=0,"NO",IF(ISNA('GP Jun22data'!$I103),"YES",IF(_xlfn.ISFORMULA('GP Jun22data'!$I103),"NO","YES")))</f>
        <v>NO</v>
      </c>
      <c r="K103"/>
    </row>
    <row r="104" spans="1:11">
      <c r="A104" s="114" t="str">
        <f t="shared" si="2"/>
        <v>1010000ELEC PLANT IN SERV3920400"1/2 &amp; 3/4 TON PICKUPS, VANS, SERV TRUCKSITUS</v>
      </c>
      <c r="B104" s="125" t="s">
        <v>1809</v>
      </c>
      <c r="C104" s="119" t="s">
        <v>1453</v>
      </c>
      <c r="D104" s="125" t="s">
        <v>1815</v>
      </c>
      <c r="E104" s="121" t="s">
        <v>1522</v>
      </c>
      <c r="F104" s="119" t="s">
        <v>370</v>
      </c>
      <c r="G104" s="122">
        <v>8028.7507462499998</v>
      </c>
      <c r="H104" s="113" t="str">
        <f t="shared" si="3"/>
        <v>SITUS</v>
      </c>
      <c r="I104" s="113" t="str">
        <f>INDEX('GP Lookup'!$I:$I,MATCH(A104,'GP Lookup'!$A:$A,0))</f>
        <v>DPW</v>
      </c>
      <c r="J104" s="113" t="str">
        <f>IF('GP Jun22data'!$G104=0,"NO",IF(ISNA('GP Jun22data'!$I104),"YES",IF(_xlfn.ISFORMULA('GP Jun22data'!$I104),"NO","YES")))</f>
        <v>NO</v>
      </c>
      <c r="K104"/>
    </row>
    <row r="105" spans="1:11">
      <c r="A105" s="114" t="str">
        <f t="shared" si="2"/>
        <v>1010000ELEC PLANT IN SERV3920400"1/2 &amp; 3/4 TON PICKUPS, VANS, SERV TRUCKSITUS</v>
      </c>
      <c r="B105" s="125" t="s">
        <v>1809</v>
      </c>
      <c r="C105" s="119" t="s">
        <v>1453</v>
      </c>
      <c r="D105" s="125" t="s">
        <v>1815</v>
      </c>
      <c r="E105" s="121" t="s">
        <v>1522</v>
      </c>
      <c r="F105" s="119" t="s">
        <v>367</v>
      </c>
      <c r="G105" s="122">
        <v>1294.58397583333</v>
      </c>
      <c r="H105" s="113" t="str">
        <f t="shared" si="3"/>
        <v>SITUS</v>
      </c>
      <c r="I105" s="113" t="str">
        <f>INDEX('GP Lookup'!$I:$I,MATCH(A105,'GP Lookup'!$A:$A,0))</f>
        <v>DPW</v>
      </c>
      <c r="J105" s="113" t="str">
        <f>IF('GP Jun22data'!$G105=0,"NO",IF(ISNA('GP Jun22data'!$I105),"YES",IF(_xlfn.ISFORMULA('GP Jun22data'!$I105),"NO","YES")))</f>
        <v>NO</v>
      </c>
      <c r="K105"/>
    </row>
    <row r="106" spans="1:11">
      <c r="A106" s="114" t="str">
        <f t="shared" si="2"/>
        <v>1010000ELEC PLANT IN SERV3920400"1/2 &amp; 3/4 TON PICKUPS, VANS, SERV TRUCKSITUS</v>
      </c>
      <c r="B106" s="125" t="s">
        <v>1809</v>
      </c>
      <c r="C106" s="119" t="s">
        <v>1453</v>
      </c>
      <c r="D106" s="125" t="s">
        <v>1815</v>
      </c>
      <c r="E106" s="121" t="s">
        <v>1522</v>
      </c>
      <c r="F106" s="119" t="s">
        <v>386</v>
      </c>
      <c r="G106" s="122">
        <v>2197.3660579166699</v>
      </c>
      <c r="H106" s="113" t="str">
        <f t="shared" si="3"/>
        <v>SITUS</v>
      </c>
      <c r="I106" s="113" t="str">
        <f>INDEX('GP Lookup'!$I:$I,MATCH(A106,'GP Lookup'!$A:$A,0))</f>
        <v>DPW</v>
      </c>
      <c r="J106" s="113" t="str">
        <f>IF('GP Jun22data'!$G106=0,"NO",IF(ISNA('GP Jun22data'!$I106),"YES",IF(_xlfn.ISFORMULA('GP Jun22data'!$I106),"NO","YES")))</f>
        <v>NO</v>
      </c>
      <c r="K106"/>
    </row>
    <row r="107" spans="1:11">
      <c r="A107" s="114" t="str">
        <f t="shared" si="2"/>
        <v>1010000ELEC PLANT IN SERV3920400"1/2 &amp; 3/4 TON PICKUPS, VANS, SERV TRUCKSITUS</v>
      </c>
      <c r="B107" s="125" t="s">
        <v>1809</v>
      </c>
      <c r="C107" s="119" t="s">
        <v>1453</v>
      </c>
      <c r="D107" s="125" t="s">
        <v>1815</v>
      </c>
      <c r="E107" s="121" t="s">
        <v>1522</v>
      </c>
      <c r="F107" s="119" t="s">
        <v>378</v>
      </c>
      <c r="G107" s="122">
        <v>399.86133875000002</v>
      </c>
      <c r="H107" s="113" t="str">
        <f t="shared" si="3"/>
        <v>SITUS</v>
      </c>
      <c r="I107" s="113" t="str">
        <f>INDEX('GP Lookup'!$I:$I,MATCH(A107,'GP Lookup'!$A:$A,0))</f>
        <v>DPW</v>
      </c>
      <c r="J107" s="113" t="str">
        <f>IF('GP Jun22data'!$G107=0,"NO",IF(ISNA('GP Jun22data'!$I107),"YES",IF(_xlfn.ISFORMULA('GP Jun22data'!$I107),"NO","YES")))</f>
        <v>NO</v>
      </c>
      <c r="K107"/>
    </row>
    <row r="108" spans="1:11">
      <c r="A108" s="114" t="str">
        <f t="shared" si="2"/>
        <v>1010000ELEC PLANT IN SERV3920500"1 TON AND ABOVE, TWO-AXLE TRUCKS"SITUS</v>
      </c>
      <c r="B108" s="125" t="s">
        <v>1809</v>
      </c>
      <c r="C108" s="119" t="s">
        <v>1453</v>
      </c>
      <c r="D108" s="125" t="s">
        <v>1816</v>
      </c>
      <c r="E108" s="121" t="s">
        <v>1523</v>
      </c>
      <c r="F108" s="119" t="s">
        <v>387</v>
      </c>
      <c r="G108" s="122">
        <v>1506.8803958333301</v>
      </c>
      <c r="H108" s="113" t="str">
        <f t="shared" si="3"/>
        <v>SITUS</v>
      </c>
      <c r="I108" s="113" t="str">
        <f>INDEX('GP Lookup'!$I:$I,MATCH(A108,'GP Lookup'!$A:$A,0))</f>
        <v>DPW</v>
      </c>
      <c r="J108" s="113" t="str">
        <f>IF('GP Jun22data'!$G108=0,"NO",IF(ISNA('GP Jun22data'!$I108),"YES",IF(_xlfn.ISFORMULA('GP Jun22data'!$I108),"NO","YES")))</f>
        <v>NO</v>
      </c>
      <c r="K108"/>
    </row>
    <row r="109" spans="1:11">
      <c r="A109" s="114" t="str">
        <f t="shared" si="2"/>
        <v>1010000ELEC PLANT IN SERV3920500"1 TON AND ABOVE, TWO-AXLE TRUCKS"SE</v>
      </c>
      <c r="B109" s="125" t="s">
        <v>1809</v>
      </c>
      <c r="C109" s="119" t="s">
        <v>1453</v>
      </c>
      <c r="D109" s="125" t="s">
        <v>1816</v>
      </c>
      <c r="E109" s="121" t="s">
        <v>1523</v>
      </c>
      <c r="F109" s="119" t="s">
        <v>3110</v>
      </c>
      <c r="G109" s="122">
        <v>180.69512</v>
      </c>
      <c r="H109" s="113" t="str">
        <f t="shared" si="3"/>
        <v>SE</v>
      </c>
      <c r="I109" s="113" t="str">
        <f>INDEX('GP Lookup'!$I:$I,MATCH(A109,'GP Lookup'!$A:$A,0))</f>
        <v>P</v>
      </c>
      <c r="J109" s="113" t="str">
        <f>IF('GP Jun22data'!$G109=0,"NO",IF(ISNA('GP Jun22data'!$I109),"YES",IF(_xlfn.ISFORMULA('GP Jun22data'!$I109),"NO","YES")))</f>
        <v>NO</v>
      </c>
      <c r="K109"/>
    </row>
    <row r="110" spans="1:11">
      <c r="A110" s="114" t="str">
        <f t="shared" si="2"/>
        <v>1010000ELEC PLANT IN SERV3920500"1 TON AND ABOVE, TWO-AXLE TRUCKS"SG</v>
      </c>
      <c r="B110" s="125" t="s">
        <v>1809</v>
      </c>
      <c r="C110" s="119" t="s">
        <v>1453</v>
      </c>
      <c r="D110" s="125" t="s">
        <v>1816</v>
      </c>
      <c r="E110" s="121" t="s">
        <v>1523</v>
      </c>
      <c r="F110" s="119" t="s">
        <v>3106</v>
      </c>
      <c r="G110" s="122">
        <v>1951.30651458333</v>
      </c>
      <c r="H110" s="113" t="str">
        <f t="shared" si="3"/>
        <v>SG</v>
      </c>
      <c r="I110" s="113" t="str">
        <f>INDEX('GP Lookup'!$I:$I,MATCH(A110,'GP Lookup'!$A:$A,0))</f>
        <v>P</v>
      </c>
      <c r="J110" s="113" t="str">
        <f>IF('GP Jun22data'!$G110=0,"NO",IF(ISNA('GP Jun22data'!$I110),"YES",IF(_xlfn.ISFORMULA('GP Jun22data'!$I110),"NO","YES")))</f>
        <v>NO</v>
      </c>
      <c r="K110"/>
    </row>
    <row r="111" spans="1:11">
      <c r="A111" s="114" t="str">
        <f t="shared" si="2"/>
        <v>1010000ELEC PLANT IN SERV3920500"1 TON AND ABOVE, TWO-AXLE TRUCKS"SG</v>
      </c>
      <c r="B111" s="125" t="s">
        <v>1809</v>
      </c>
      <c r="C111" s="119" t="s">
        <v>1453</v>
      </c>
      <c r="D111" s="125" t="s">
        <v>1816</v>
      </c>
      <c r="E111" s="121" t="s">
        <v>1523</v>
      </c>
      <c r="F111" s="119" t="s">
        <v>3108</v>
      </c>
      <c r="G111" s="122">
        <v>11.42098</v>
      </c>
      <c r="H111" s="113" t="str">
        <f t="shared" si="3"/>
        <v>SG</v>
      </c>
      <c r="I111" s="113" t="str">
        <f>INDEX('GP Lookup'!$I:$I,MATCH(A111,'GP Lookup'!$A:$A,0))</f>
        <v>P</v>
      </c>
      <c r="J111" s="113" t="str">
        <f>IF('GP Jun22data'!$G111=0,"NO",IF(ISNA('GP Jun22data'!$I111),"YES",IF(_xlfn.ISFORMULA('GP Jun22data'!$I111),"NO","YES")))</f>
        <v>NO</v>
      </c>
      <c r="K111"/>
    </row>
    <row r="112" spans="1:11">
      <c r="A112" s="114" t="str">
        <f t="shared" si="2"/>
        <v>1010000ELEC PLANT IN SERV3920500"1 TON AND ABOVE, TWO-AXLE TRUCKS"SITUS</v>
      </c>
      <c r="B112" s="125" t="s">
        <v>1809</v>
      </c>
      <c r="C112" s="119" t="s">
        <v>1453</v>
      </c>
      <c r="D112" s="125" t="s">
        <v>1816</v>
      </c>
      <c r="E112" s="121" t="s">
        <v>1523</v>
      </c>
      <c r="F112" s="119" t="s">
        <v>372</v>
      </c>
      <c r="G112" s="122">
        <v>4480.9135954166704</v>
      </c>
      <c r="H112" s="113" t="str">
        <f t="shared" si="3"/>
        <v>SITUS</v>
      </c>
      <c r="I112" s="113" t="str">
        <f>INDEX('GP Lookup'!$I:$I,MATCH(A112,'GP Lookup'!$A:$A,0))</f>
        <v>DPW</v>
      </c>
      <c r="J112" s="113" t="str">
        <f>IF('GP Jun22data'!$G112=0,"NO",IF(ISNA('GP Jun22data'!$I112),"YES",IF(_xlfn.ISFORMULA('GP Jun22data'!$I112),"NO","YES")))</f>
        <v>NO</v>
      </c>
      <c r="K112"/>
    </row>
    <row r="113" spans="1:11">
      <c r="A113" s="114" t="str">
        <f t="shared" si="2"/>
        <v>1010000ELEC PLANT IN SERV3920500"1 TON AND ABOVE, TWO-AXLE TRUCKS"SG</v>
      </c>
      <c r="B113" s="125" t="s">
        <v>1809</v>
      </c>
      <c r="C113" s="119" t="s">
        <v>1453</v>
      </c>
      <c r="D113" s="125" t="s">
        <v>1816</v>
      </c>
      <c r="E113" s="121" t="s">
        <v>1523</v>
      </c>
      <c r="F113" s="119" t="s">
        <v>3107</v>
      </c>
      <c r="G113" s="122">
        <v>648.75492750000001</v>
      </c>
      <c r="H113" s="113" t="str">
        <f t="shared" si="3"/>
        <v>SG</v>
      </c>
      <c r="I113" s="113" t="str">
        <f>INDEX('GP Lookup'!$I:$I,MATCH(A113,'GP Lookup'!$A:$A,0))</f>
        <v>P</v>
      </c>
      <c r="J113" s="113" t="str">
        <f>IF('GP Jun22data'!$G113=0,"NO",IF(ISNA('GP Jun22data'!$I113),"YES",IF(_xlfn.ISFORMULA('GP Jun22data'!$I113),"NO","YES")))</f>
        <v>NO</v>
      </c>
      <c r="K113"/>
    </row>
    <row r="114" spans="1:11">
      <c r="A114" s="114" t="str">
        <f t="shared" si="2"/>
        <v>1010000ELEC PLANT IN SERV3920500"1 TON AND ABOVE, TWO-AXLE TRUCKS"SITUS</v>
      </c>
      <c r="B114" s="125" t="s">
        <v>1809</v>
      </c>
      <c r="C114" s="119" t="s">
        <v>1453</v>
      </c>
      <c r="D114" s="125" t="s">
        <v>1816</v>
      </c>
      <c r="E114" s="121" t="s">
        <v>1523</v>
      </c>
      <c r="F114" s="119" t="s">
        <v>343</v>
      </c>
      <c r="G114" s="122">
        <v>13872.7391441667</v>
      </c>
      <c r="H114" s="113" t="str">
        <f t="shared" si="3"/>
        <v>SITUS</v>
      </c>
      <c r="I114" s="113" t="str">
        <f>INDEX('GP Lookup'!$I:$I,MATCH(A114,'GP Lookup'!$A:$A,0))</f>
        <v>DPW</v>
      </c>
      <c r="J114" s="113" t="str">
        <f>IF('GP Jun22data'!$G114=0,"NO",IF(ISNA('GP Jun22data'!$I114),"YES",IF(_xlfn.ISFORMULA('GP Jun22data'!$I114),"NO","YES")))</f>
        <v>NO</v>
      </c>
      <c r="K114"/>
    </row>
    <row r="115" spans="1:11">
      <c r="A115" s="114" t="str">
        <f t="shared" si="2"/>
        <v>1010000ELEC PLANT IN SERV3920500"1 TON AND ABOVE, TWO-AXLE TRUCKS"SG</v>
      </c>
      <c r="B115" s="125" t="s">
        <v>1809</v>
      </c>
      <c r="C115" s="119" t="s">
        <v>1453</v>
      </c>
      <c r="D115" s="125" t="s">
        <v>1816</v>
      </c>
      <c r="E115" s="121" t="s">
        <v>1523</v>
      </c>
      <c r="F115" s="119" t="s">
        <v>87</v>
      </c>
      <c r="G115" s="122">
        <v>4758.5855291666703</v>
      </c>
      <c r="H115" s="113" t="str">
        <f t="shared" si="3"/>
        <v>SG</v>
      </c>
      <c r="I115" s="113" t="str">
        <f>INDEX('GP Lookup'!$I:$I,MATCH(A115,'GP Lookup'!$A:$A,0))</f>
        <v>P</v>
      </c>
      <c r="J115" s="113" t="str">
        <f>IF('GP Jun22data'!$G115=0,"NO",IF(ISNA('GP Jun22data'!$I115),"YES",IF(_xlfn.ISFORMULA('GP Jun22data'!$I115),"NO","YES")))</f>
        <v>NO</v>
      </c>
      <c r="K115"/>
    </row>
    <row r="116" spans="1:11">
      <c r="A116" s="114" t="str">
        <f t="shared" si="2"/>
        <v>1010000ELEC PLANT IN SERV3920500"1 TON AND ABOVE, TWO-AXLE TRUCKS"SO</v>
      </c>
      <c r="B116" s="125" t="s">
        <v>1809</v>
      </c>
      <c r="C116" s="119" t="s">
        <v>1453</v>
      </c>
      <c r="D116" s="125" t="s">
        <v>1816</v>
      </c>
      <c r="E116" s="121" t="s">
        <v>1523</v>
      </c>
      <c r="F116" s="119" t="s">
        <v>89</v>
      </c>
      <c r="G116" s="122">
        <v>384.38573833333299</v>
      </c>
      <c r="H116" s="113" t="str">
        <f t="shared" si="3"/>
        <v>SO</v>
      </c>
      <c r="I116" s="113" t="str">
        <f>INDEX('GP Lookup'!$I:$I,MATCH(A116,'GP Lookup'!$A:$A,0))</f>
        <v>PTD</v>
      </c>
      <c r="J116" s="113" t="str">
        <f>IF('GP Jun22data'!$G116=0,"NO",IF(ISNA('GP Jun22data'!$I116),"YES",IF(_xlfn.ISFORMULA('GP Jun22data'!$I116),"NO","YES")))</f>
        <v>NO</v>
      </c>
      <c r="K116"/>
    </row>
    <row r="117" spans="1:11">
      <c r="A117" s="114" t="str">
        <f t="shared" si="2"/>
        <v>1010000ELEC PLANT IN SERV3920500"1 TON AND ABOVE, TWO-AXLE TRUCKS"SITUS</v>
      </c>
      <c r="B117" s="125" t="s">
        <v>1809</v>
      </c>
      <c r="C117" s="119" t="s">
        <v>1453</v>
      </c>
      <c r="D117" s="125" t="s">
        <v>1816</v>
      </c>
      <c r="E117" s="121" t="s">
        <v>1523</v>
      </c>
      <c r="F117" s="119" t="s">
        <v>370</v>
      </c>
      <c r="G117" s="122">
        <v>21778.890640416699</v>
      </c>
      <c r="H117" s="113" t="str">
        <f t="shared" si="3"/>
        <v>SITUS</v>
      </c>
      <c r="I117" s="113" t="str">
        <f>INDEX('GP Lookup'!$I:$I,MATCH(A117,'GP Lookup'!$A:$A,0))</f>
        <v>DPW</v>
      </c>
      <c r="J117" s="113" t="str">
        <f>IF('GP Jun22data'!$G117=0,"NO",IF(ISNA('GP Jun22data'!$I117),"YES",IF(_xlfn.ISFORMULA('GP Jun22data'!$I117),"NO","YES")))</f>
        <v>NO</v>
      </c>
      <c r="K117"/>
    </row>
    <row r="118" spans="1:11">
      <c r="A118" s="114" t="str">
        <f t="shared" si="2"/>
        <v>1010000ELEC PLANT IN SERV3920500"1 TON AND ABOVE, TWO-AXLE TRUCKS"SITUS</v>
      </c>
      <c r="B118" s="125" t="s">
        <v>1809</v>
      </c>
      <c r="C118" s="119" t="s">
        <v>1453</v>
      </c>
      <c r="D118" s="125" t="s">
        <v>1816</v>
      </c>
      <c r="E118" s="121" t="s">
        <v>1523</v>
      </c>
      <c r="F118" s="119" t="s">
        <v>367</v>
      </c>
      <c r="G118" s="122">
        <v>3131.5382187499999</v>
      </c>
      <c r="H118" s="113" t="str">
        <f t="shared" si="3"/>
        <v>SITUS</v>
      </c>
      <c r="I118" s="113" t="str">
        <f>INDEX('GP Lookup'!$I:$I,MATCH(A118,'GP Lookup'!$A:$A,0))</f>
        <v>DPW</v>
      </c>
      <c r="J118" s="113" t="str">
        <f>IF('GP Jun22data'!$G118=0,"NO",IF(ISNA('GP Jun22data'!$I118),"YES",IF(_xlfn.ISFORMULA('GP Jun22data'!$I118),"NO","YES")))</f>
        <v>NO</v>
      </c>
      <c r="K118"/>
    </row>
    <row r="119" spans="1:11">
      <c r="A119" s="114" t="str">
        <f t="shared" si="2"/>
        <v>1010000ELEC PLANT IN SERV3920500"1 TON AND ABOVE, TWO-AXLE TRUCKS"SITUS</v>
      </c>
      <c r="B119" s="125" t="s">
        <v>1809</v>
      </c>
      <c r="C119" s="119" t="s">
        <v>1453</v>
      </c>
      <c r="D119" s="125" t="s">
        <v>1816</v>
      </c>
      <c r="E119" s="121" t="s">
        <v>1523</v>
      </c>
      <c r="F119" s="119" t="s">
        <v>386</v>
      </c>
      <c r="G119" s="122">
        <v>5540.5125020833302</v>
      </c>
      <c r="H119" s="113" t="str">
        <f t="shared" si="3"/>
        <v>SITUS</v>
      </c>
      <c r="I119" s="113" t="str">
        <f>INDEX('GP Lookup'!$I:$I,MATCH(A119,'GP Lookup'!$A:$A,0))</f>
        <v>DPW</v>
      </c>
      <c r="J119" s="113" t="str">
        <f>IF('GP Jun22data'!$G119=0,"NO",IF(ISNA('GP Jun22data'!$I119),"YES",IF(_xlfn.ISFORMULA('GP Jun22data'!$I119),"NO","YES")))</f>
        <v>NO</v>
      </c>
      <c r="K119"/>
    </row>
    <row r="120" spans="1:11">
      <c r="A120" s="114" t="str">
        <f t="shared" si="2"/>
        <v>1010000ELEC PLANT IN SERV3920500"1 TON AND ABOVE, TWO-AXLE TRUCKS"SITUS</v>
      </c>
      <c r="B120" s="125" t="s">
        <v>1809</v>
      </c>
      <c r="C120" s="119" t="s">
        <v>1453</v>
      </c>
      <c r="D120" s="125" t="s">
        <v>1816</v>
      </c>
      <c r="E120" s="121" t="s">
        <v>1523</v>
      </c>
      <c r="F120" s="119" t="s">
        <v>378</v>
      </c>
      <c r="G120" s="122">
        <v>1337.3703525000001</v>
      </c>
      <c r="H120" s="113" t="str">
        <f t="shared" si="3"/>
        <v>SITUS</v>
      </c>
      <c r="I120" s="113" t="str">
        <f>INDEX('GP Lookup'!$I:$I,MATCH(A120,'GP Lookup'!$A:$A,0))</f>
        <v>DPW</v>
      </c>
      <c r="J120" s="113" t="str">
        <f>IF('GP Jun22data'!$G120=0,"NO",IF(ISNA('GP Jun22data'!$I120),"YES",IF(_xlfn.ISFORMULA('GP Jun22data'!$I120),"NO","YES")))</f>
        <v>NO</v>
      </c>
      <c r="K120"/>
    </row>
    <row r="121" spans="1:11">
      <c r="A121" s="114" t="str">
        <f t="shared" si="2"/>
        <v>1010000ELEC PLANT IN SERV3920600DUMP TRUCKSSE</v>
      </c>
      <c r="B121" s="125" t="s">
        <v>1809</v>
      </c>
      <c r="C121" s="119" t="s">
        <v>1453</v>
      </c>
      <c r="D121" s="125" t="s">
        <v>1817</v>
      </c>
      <c r="E121" s="121" t="s">
        <v>1524</v>
      </c>
      <c r="F121" s="119" t="s">
        <v>3110</v>
      </c>
      <c r="G121" s="122">
        <v>3.5</v>
      </c>
      <c r="H121" s="113" t="str">
        <f t="shared" si="3"/>
        <v>SE</v>
      </c>
      <c r="I121" s="113" t="str">
        <f>INDEX('GP Lookup'!$I:$I,MATCH(A121,'GP Lookup'!$A:$A,0))</f>
        <v>P</v>
      </c>
      <c r="J121" s="113" t="str">
        <f>IF('GP Jun22data'!$G121=0,"NO",IF(ISNA('GP Jun22data'!$I121),"YES",IF(_xlfn.ISFORMULA('GP Jun22data'!$I121),"NO","YES")))</f>
        <v>NO</v>
      </c>
      <c r="K121"/>
    </row>
    <row r="122" spans="1:11">
      <c r="A122" s="114" t="str">
        <f t="shared" si="2"/>
        <v>1010000ELEC PLANT IN SERV3920600DUMP TRUCKSSG</v>
      </c>
      <c r="B122" s="125" t="s">
        <v>1809</v>
      </c>
      <c r="C122" s="119" t="s">
        <v>1453</v>
      </c>
      <c r="D122" s="125" t="s">
        <v>1817</v>
      </c>
      <c r="E122" s="121" t="s">
        <v>1524</v>
      </c>
      <c r="F122" s="119" t="s">
        <v>3106</v>
      </c>
      <c r="G122" s="122">
        <v>1475.04837833333</v>
      </c>
      <c r="H122" s="113" t="str">
        <f t="shared" si="3"/>
        <v>SG</v>
      </c>
      <c r="I122" s="113" t="str">
        <f>INDEX('GP Lookup'!$I:$I,MATCH(A122,'GP Lookup'!$A:$A,0))</f>
        <v>P</v>
      </c>
      <c r="J122" s="113" t="str">
        <f>IF('GP Jun22data'!$G122=0,"NO",IF(ISNA('GP Jun22data'!$I122),"YES",IF(_xlfn.ISFORMULA('GP Jun22data'!$I122),"NO","YES")))</f>
        <v>NO</v>
      </c>
      <c r="K122"/>
    </row>
    <row r="123" spans="1:11">
      <c r="A123" s="114" t="str">
        <f t="shared" si="2"/>
        <v>1010000ELEC PLANT IN SERV3920600DUMP TRUCKSSG</v>
      </c>
      <c r="B123" s="125" t="s">
        <v>1809</v>
      </c>
      <c r="C123" s="119" t="s">
        <v>1453</v>
      </c>
      <c r="D123" s="125" t="s">
        <v>1817</v>
      </c>
      <c r="E123" s="121" t="s">
        <v>1524</v>
      </c>
      <c r="F123" s="119" t="s">
        <v>3108</v>
      </c>
      <c r="G123" s="122">
        <v>10.164720000000001</v>
      </c>
      <c r="H123" s="113" t="str">
        <f t="shared" si="3"/>
        <v>SG</v>
      </c>
      <c r="I123" s="113" t="str">
        <f>INDEX('GP Lookup'!$I:$I,MATCH(A123,'GP Lookup'!$A:$A,0))</f>
        <v>P</v>
      </c>
      <c r="J123" s="113" t="str">
        <f>IF('GP Jun22data'!$G123=0,"NO",IF(ISNA('GP Jun22data'!$I123),"YES",IF(_xlfn.ISFORMULA('GP Jun22data'!$I123),"NO","YES")))</f>
        <v>NO</v>
      </c>
      <c r="K123"/>
    </row>
    <row r="124" spans="1:11">
      <c r="A124" s="114" t="str">
        <f t="shared" si="2"/>
        <v>1010000ELEC PLANT IN SERV3920600DUMP TRUCKSSG</v>
      </c>
      <c r="B124" s="125" t="s">
        <v>1809</v>
      </c>
      <c r="C124" s="119" t="s">
        <v>1453</v>
      </c>
      <c r="D124" s="125" t="s">
        <v>1817</v>
      </c>
      <c r="E124" s="121" t="s">
        <v>1524</v>
      </c>
      <c r="F124" s="119" t="s">
        <v>3107</v>
      </c>
      <c r="G124" s="122">
        <v>1108.18977</v>
      </c>
      <c r="H124" s="113" t="str">
        <f t="shared" si="3"/>
        <v>SG</v>
      </c>
      <c r="I124" s="113" t="str">
        <f>INDEX('GP Lookup'!$I:$I,MATCH(A124,'GP Lookup'!$A:$A,0))</f>
        <v>P</v>
      </c>
      <c r="J124" s="113" t="str">
        <f>IF('GP Jun22data'!$G124=0,"NO",IF(ISNA('GP Jun22data'!$I124),"YES",IF(_xlfn.ISFORMULA('GP Jun22data'!$I124),"NO","YES")))</f>
        <v>NO</v>
      </c>
      <c r="K124"/>
    </row>
    <row r="125" spans="1:11">
      <c r="A125" s="114" t="str">
        <f t="shared" si="2"/>
        <v>1010000ELEC PLANT IN SERV3920600DUMP TRUCKSSITUS</v>
      </c>
      <c r="B125" s="125" t="s">
        <v>1809</v>
      </c>
      <c r="C125" s="119" t="s">
        <v>1453</v>
      </c>
      <c r="D125" s="125" t="s">
        <v>1817</v>
      </c>
      <c r="E125" s="121" t="s">
        <v>1524</v>
      </c>
      <c r="F125" s="119" t="s">
        <v>343</v>
      </c>
      <c r="G125" s="122">
        <v>299.86647875</v>
      </c>
      <c r="H125" s="113" t="str">
        <f t="shared" si="3"/>
        <v>SITUS</v>
      </c>
      <c r="I125" s="113" t="str">
        <f>INDEX('GP Lookup'!$I:$I,MATCH(A125,'GP Lookup'!$A:$A,0))</f>
        <v>DPW</v>
      </c>
      <c r="J125" s="113" t="str">
        <f>IF('GP Jun22data'!$G125=0,"NO",IF(ISNA('GP Jun22data'!$I125),"YES",IF(_xlfn.ISFORMULA('GP Jun22data'!$I125),"NO","YES")))</f>
        <v>NO</v>
      </c>
      <c r="K125"/>
    </row>
    <row r="126" spans="1:11">
      <c r="A126" s="114" t="str">
        <f t="shared" si="2"/>
        <v>1010000ELEC PLANT IN SERV3920600DUMP TRUCKSSG</v>
      </c>
      <c r="B126" s="125" t="s">
        <v>1809</v>
      </c>
      <c r="C126" s="119" t="s">
        <v>1453</v>
      </c>
      <c r="D126" s="125" t="s">
        <v>1817</v>
      </c>
      <c r="E126" s="121" t="s">
        <v>1524</v>
      </c>
      <c r="F126" s="119" t="s">
        <v>87</v>
      </c>
      <c r="G126" s="122">
        <v>1153.79216</v>
      </c>
      <c r="H126" s="113" t="str">
        <f t="shared" si="3"/>
        <v>SG</v>
      </c>
      <c r="I126" s="113" t="str">
        <f>INDEX('GP Lookup'!$I:$I,MATCH(A126,'GP Lookup'!$A:$A,0))</f>
        <v>P</v>
      </c>
      <c r="J126" s="113" t="str">
        <f>IF('GP Jun22data'!$G126=0,"NO",IF(ISNA('GP Jun22data'!$I126),"YES",IF(_xlfn.ISFORMULA('GP Jun22data'!$I126),"NO","YES")))</f>
        <v>NO</v>
      </c>
      <c r="K126"/>
    </row>
    <row r="127" spans="1:11">
      <c r="A127" s="114" t="str">
        <f t="shared" si="2"/>
        <v>1010000ELEC PLANT IN SERV3920600DUMP TRUCKSSITUS</v>
      </c>
      <c r="B127" s="125" t="s">
        <v>1809</v>
      </c>
      <c r="C127" s="119" t="s">
        <v>1453</v>
      </c>
      <c r="D127" s="125" t="s">
        <v>1817</v>
      </c>
      <c r="E127" s="121" t="s">
        <v>1524</v>
      </c>
      <c r="F127" s="119" t="s">
        <v>370</v>
      </c>
      <c r="G127" s="122">
        <v>164.381430416667</v>
      </c>
      <c r="H127" s="113" t="str">
        <f t="shared" si="3"/>
        <v>SITUS</v>
      </c>
      <c r="I127" s="113" t="str">
        <f>INDEX('GP Lookup'!$I:$I,MATCH(A127,'GP Lookup'!$A:$A,0))</f>
        <v>DPW</v>
      </c>
      <c r="J127" s="113" t="str">
        <f>IF('GP Jun22data'!$G127=0,"NO",IF(ISNA('GP Jun22data'!$I127),"YES",IF(_xlfn.ISFORMULA('GP Jun22data'!$I127),"NO","YES")))</f>
        <v>NO</v>
      </c>
      <c r="K127"/>
    </row>
    <row r="128" spans="1:11">
      <c r="A128" s="114" t="str">
        <f t="shared" si="2"/>
        <v>1010000ELEC PLANT IN SERV3920900TRAILERSSITUS</v>
      </c>
      <c r="B128" s="125" t="s">
        <v>1809</v>
      </c>
      <c r="C128" s="119" t="s">
        <v>1453</v>
      </c>
      <c r="D128" s="125" t="s">
        <v>1818</v>
      </c>
      <c r="E128" s="121" t="s">
        <v>1525</v>
      </c>
      <c r="F128" s="119" t="s">
        <v>387</v>
      </c>
      <c r="G128" s="122">
        <v>574.22975166666697</v>
      </c>
      <c r="H128" s="113" t="str">
        <f t="shared" si="3"/>
        <v>SITUS</v>
      </c>
      <c r="I128" s="113" t="str">
        <f>INDEX('GP Lookup'!$I:$I,MATCH(A128,'GP Lookup'!$A:$A,0))</f>
        <v>DPW</v>
      </c>
      <c r="J128" s="113" t="str">
        <f>IF('GP Jun22data'!$G128=0,"NO",IF(ISNA('GP Jun22data'!$I128),"YES",IF(_xlfn.ISFORMULA('GP Jun22data'!$I128),"NO","YES")))</f>
        <v>NO</v>
      </c>
      <c r="K128"/>
    </row>
    <row r="129" spans="1:11">
      <c r="A129" s="114" t="str">
        <f t="shared" si="2"/>
        <v>1010000ELEC PLANT IN SERV3920900TRAILERSSE</v>
      </c>
      <c r="B129" s="125" t="s">
        <v>1809</v>
      </c>
      <c r="C129" s="119" t="s">
        <v>1453</v>
      </c>
      <c r="D129" s="125" t="s">
        <v>1818</v>
      </c>
      <c r="E129" s="121" t="s">
        <v>1525</v>
      </c>
      <c r="F129" s="119" t="s">
        <v>3110</v>
      </c>
      <c r="G129" s="122">
        <v>42.092295</v>
      </c>
      <c r="H129" s="113" t="str">
        <f t="shared" si="3"/>
        <v>SE</v>
      </c>
      <c r="I129" s="113" t="str">
        <f>INDEX('GP Lookup'!$I:$I,MATCH(A129,'GP Lookup'!$A:$A,0))</f>
        <v>P</v>
      </c>
      <c r="J129" s="113" t="str">
        <f>IF('GP Jun22data'!$G129=0,"NO",IF(ISNA('GP Jun22data'!$I129),"YES",IF(_xlfn.ISFORMULA('GP Jun22data'!$I129),"NO","YES")))</f>
        <v>NO</v>
      </c>
      <c r="K129"/>
    </row>
    <row r="130" spans="1:11">
      <c r="A130" s="114" t="str">
        <f t="shared" ref="A130:A193" si="4">CONCATENATE($B130,$C130,$D130,$E130,$H130)</f>
        <v>1010000ELEC PLANT IN SERV3920900TRAILERSSG</v>
      </c>
      <c r="B130" s="125" t="s">
        <v>1809</v>
      </c>
      <c r="C130" s="119" t="s">
        <v>1453</v>
      </c>
      <c r="D130" s="125" t="s">
        <v>1818</v>
      </c>
      <c r="E130" s="121" t="s">
        <v>1525</v>
      </c>
      <c r="F130" s="119" t="s">
        <v>3106</v>
      </c>
      <c r="G130" s="122">
        <v>685.50121708333302</v>
      </c>
      <c r="H130" s="113" t="str">
        <f t="shared" si="3"/>
        <v>SG</v>
      </c>
      <c r="I130" s="113" t="str">
        <f>INDEX('GP Lookup'!$I:$I,MATCH(A130,'GP Lookup'!$A:$A,0))</f>
        <v>P</v>
      </c>
      <c r="J130" s="113" t="str">
        <f>IF('GP Jun22data'!$G130=0,"NO",IF(ISNA('GP Jun22data'!$I130),"YES",IF(_xlfn.ISFORMULA('GP Jun22data'!$I130),"NO","YES")))</f>
        <v>NO</v>
      </c>
      <c r="K130"/>
    </row>
    <row r="131" spans="1:11">
      <c r="A131" s="114" t="str">
        <f t="shared" si="4"/>
        <v>1010000ELEC PLANT IN SERV3920900TRAILERSSG</v>
      </c>
      <c r="B131" s="125" t="s">
        <v>1809</v>
      </c>
      <c r="C131" s="119" t="s">
        <v>1453</v>
      </c>
      <c r="D131" s="125" t="s">
        <v>1818</v>
      </c>
      <c r="E131" s="121" t="s">
        <v>1525</v>
      </c>
      <c r="F131" s="119" t="s">
        <v>3108</v>
      </c>
      <c r="G131" s="122">
        <v>8.1182400000000001</v>
      </c>
      <c r="H131" s="113" t="str">
        <f t="shared" ref="H131:H194" si="5">IF(OR(F131="IDU",F131="OR",F131="UT",F131="WYU",F131="WYP",F131="CA",F131="WA"),"SITUS",IF(OR(F131="CAEE",F131="JBE"),"SE",IF(OR(F131="CAGE",F131="CAGW",F131="JBG"),"SG",F131)))</f>
        <v>SG</v>
      </c>
      <c r="I131" s="113" t="str">
        <f>INDEX('GP Lookup'!$I:$I,MATCH(A131,'GP Lookup'!$A:$A,0))</f>
        <v>P</v>
      </c>
      <c r="J131" s="113" t="str">
        <f>IF('GP Jun22data'!$G131=0,"NO",IF(ISNA('GP Jun22data'!$I131),"YES",IF(_xlfn.ISFORMULA('GP Jun22data'!$I131),"NO","YES")))</f>
        <v>NO</v>
      </c>
      <c r="K131"/>
    </row>
    <row r="132" spans="1:11">
      <c r="A132" s="114" t="str">
        <f t="shared" si="4"/>
        <v>1010000ELEC PLANT IN SERV3920900TRAILERSSITUS</v>
      </c>
      <c r="B132" s="125" t="s">
        <v>1809</v>
      </c>
      <c r="C132" s="119" t="s">
        <v>1453</v>
      </c>
      <c r="D132" s="125" t="s">
        <v>1818</v>
      </c>
      <c r="E132" s="121" t="s">
        <v>1525</v>
      </c>
      <c r="F132" s="119" t="s">
        <v>372</v>
      </c>
      <c r="G132" s="122">
        <v>2166.2149670833301</v>
      </c>
      <c r="H132" s="113" t="str">
        <f t="shared" si="5"/>
        <v>SITUS</v>
      </c>
      <c r="I132" s="113" t="str">
        <f>INDEX('GP Lookup'!$I:$I,MATCH(A132,'GP Lookup'!$A:$A,0))</f>
        <v>DPW</v>
      </c>
      <c r="J132" s="113" t="str">
        <f>IF('GP Jun22data'!$G132=0,"NO",IF(ISNA('GP Jun22data'!$I132),"YES",IF(_xlfn.ISFORMULA('GP Jun22data'!$I132),"NO","YES")))</f>
        <v>NO</v>
      </c>
      <c r="K132"/>
    </row>
    <row r="133" spans="1:11">
      <c r="A133" s="114" t="str">
        <f t="shared" si="4"/>
        <v>1010000ELEC PLANT IN SERV3920900TRAILERSSG</v>
      </c>
      <c r="B133" s="125" t="s">
        <v>1809</v>
      </c>
      <c r="C133" s="119" t="s">
        <v>1453</v>
      </c>
      <c r="D133" s="125" t="s">
        <v>1818</v>
      </c>
      <c r="E133" s="121" t="s">
        <v>1525</v>
      </c>
      <c r="F133" s="119" t="s">
        <v>3107</v>
      </c>
      <c r="G133" s="122">
        <v>105.28393</v>
      </c>
      <c r="H133" s="113" t="str">
        <f t="shared" si="5"/>
        <v>SG</v>
      </c>
      <c r="I133" s="113" t="str">
        <f>INDEX('GP Lookup'!$I:$I,MATCH(A133,'GP Lookup'!$A:$A,0))</f>
        <v>P</v>
      </c>
      <c r="J133" s="113" t="str">
        <f>IF('GP Jun22data'!$G133=0,"NO",IF(ISNA('GP Jun22data'!$I133),"YES",IF(_xlfn.ISFORMULA('GP Jun22data'!$I133),"NO","YES")))</f>
        <v>NO</v>
      </c>
      <c r="K133"/>
    </row>
    <row r="134" spans="1:11">
      <c r="A134" s="114" t="str">
        <f t="shared" si="4"/>
        <v>1010000ELEC PLANT IN SERV3920900TRAILERSSITUS</v>
      </c>
      <c r="B134" s="125" t="s">
        <v>1809</v>
      </c>
      <c r="C134" s="119" t="s">
        <v>1453</v>
      </c>
      <c r="D134" s="125" t="s">
        <v>1818</v>
      </c>
      <c r="E134" s="121" t="s">
        <v>1525</v>
      </c>
      <c r="F134" s="119" t="s">
        <v>343</v>
      </c>
      <c r="G134" s="122">
        <v>4731.77431958333</v>
      </c>
      <c r="H134" s="113" t="str">
        <f t="shared" si="5"/>
        <v>SITUS</v>
      </c>
      <c r="I134" s="113" t="str">
        <f>INDEX('GP Lookup'!$I:$I,MATCH(A134,'GP Lookup'!$A:$A,0))</f>
        <v>DPW</v>
      </c>
      <c r="J134" s="113" t="str">
        <f>IF('GP Jun22data'!$G134=0,"NO",IF(ISNA('GP Jun22data'!$I134),"YES",IF(_xlfn.ISFORMULA('GP Jun22data'!$I134),"NO","YES")))</f>
        <v>NO</v>
      </c>
      <c r="K134"/>
    </row>
    <row r="135" spans="1:11">
      <c r="A135" s="114" t="str">
        <f t="shared" si="4"/>
        <v>1010000ELEC PLANT IN SERV3920900TRAILERSSG</v>
      </c>
      <c r="B135" s="125" t="s">
        <v>1809</v>
      </c>
      <c r="C135" s="119" t="s">
        <v>1453</v>
      </c>
      <c r="D135" s="125" t="s">
        <v>1818</v>
      </c>
      <c r="E135" s="121" t="s">
        <v>1525</v>
      </c>
      <c r="F135" s="119" t="s">
        <v>87</v>
      </c>
      <c r="G135" s="122">
        <v>1017.947085</v>
      </c>
      <c r="H135" s="113" t="str">
        <f t="shared" si="5"/>
        <v>SG</v>
      </c>
      <c r="I135" s="113" t="str">
        <f>INDEX('GP Lookup'!$I:$I,MATCH(A135,'GP Lookup'!$A:$A,0))</f>
        <v>P</v>
      </c>
      <c r="J135" s="113" t="str">
        <f>IF('GP Jun22data'!$G135=0,"NO",IF(ISNA('GP Jun22data'!$I135),"YES",IF(_xlfn.ISFORMULA('GP Jun22data'!$I135),"NO","YES")))</f>
        <v>NO</v>
      </c>
      <c r="K135"/>
    </row>
    <row r="136" spans="1:11">
      <c r="A136" s="114" t="str">
        <f t="shared" si="4"/>
        <v>1010000ELEC PLANT IN SERV3920900TRAILERSSO</v>
      </c>
      <c r="B136" s="125" t="s">
        <v>1809</v>
      </c>
      <c r="C136" s="119" t="s">
        <v>1453</v>
      </c>
      <c r="D136" s="125" t="s">
        <v>1818</v>
      </c>
      <c r="E136" s="121" t="s">
        <v>1525</v>
      </c>
      <c r="F136" s="119" t="s">
        <v>89</v>
      </c>
      <c r="G136" s="122">
        <v>1218.3157787499999</v>
      </c>
      <c r="H136" s="113" t="str">
        <f t="shared" si="5"/>
        <v>SO</v>
      </c>
      <c r="I136" s="113" t="str">
        <f>INDEX('GP Lookup'!$I:$I,MATCH(A136,'GP Lookup'!$A:$A,0))</f>
        <v>PTD</v>
      </c>
      <c r="J136" s="113" t="str">
        <f>IF('GP Jun22data'!$G136=0,"NO",IF(ISNA('GP Jun22data'!$I136),"YES",IF(_xlfn.ISFORMULA('GP Jun22data'!$I136),"NO","YES")))</f>
        <v>NO</v>
      </c>
      <c r="K136"/>
    </row>
    <row r="137" spans="1:11">
      <c r="A137" s="114" t="str">
        <f t="shared" si="4"/>
        <v>1010000ELEC PLANT IN SERV3920900TRAILERSSITUS</v>
      </c>
      <c r="B137" s="125" t="s">
        <v>1809</v>
      </c>
      <c r="C137" s="119" t="s">
        <v>1453</v>
      </c>
      <c r="D137" s="125" t="s">
        <v>1818</v>
      </c>
      <c r="E137" s="121" t="s">
        <v>1525</v>
      </c>
      <c r="F137" s="119" t="s">
        <v>370</v>
      </c>
      <c r="G137" s="122">
        <v>10734.380599583301</v>
      </c>
      <c r="H137" s="113" t="str">
        <f t="shared" si="5"/>
        <v>SITUS</v>
      </c>
      <c r="I137" s="113" t="str">
        <f>INDEX('GP Lookup'!$I:$I,MATCH(A137,'GP Lookup'!$A:$A,0))</f>
        <v>DPW</v>
      </c>
      <c r="J137" s="113" t="str">
        <f>IF('GP Jun22data'!$G137=0,"NO",IF(ISNA('GP Jun22data'!$I137),"YES",IF(_xlfn.ISFORMULA('GP Jun22data'!$I137),"NO","YES")))</f>
        <v>NO</v>
      </c>
      <c r="K137"/>
    </row>
    <row r="138" spans="1:11">
      <c r="A138" s="114" t="str">
        <f t="shared" si="4"/>
        <v>1010000ELEC PLANT IN SERV3920900TRAILERSSITUS</v>
      </c>
      <c r="B138" s="125" t="s">
        <v>1809</v>
      </c>
      <c r="C138" s="119" t="s">
        <v>1453</v>
      </c>
      <c r="D138" s="125" t="s">
        <v>1818</v>
      </c>
      <c r="E138" s="121" t="s">
        <v>1525</v>
      </c>
      <c r="F138" s="119" t="s">
        <v>367</v>
      </c>
      <c r="G138" s="122">
        <v>1071.9248216666699</v>
      </c>
      <c r="H138" s="113" t="str">
        <f t="shared" si="5"/>
        <v>SITUS</v>
      </c>
      <c r="I138" s="113" t="str">
        <f>INDEX('GP Lookup'!$I:$I,MATCH(A138,'GP Lookup'!$A:$A,0))</f>
        <v>DPW</v>
      </c>
      <c r="J138" s="113" t="str">
        <f>IF('GP Jun22data'!$G138=0,"NO",IF(ISNA('GP Jun22data'!$I138),"YES",IF(_xlfn.ISFORMULA('GP Jun22data'!$I138),"NO","YES")))</f>
        <v>NO</v>
      </c>
      <c r="K138"/>
    </row>
    <row r="139" spans="1:11">
      <c r="A139" s="114" t="str">
        <f t="shared" si="4"/>
        <v>1010000ELEC PLANT IN SERV3920900TRAILERSSITUS</v>
      </c>
      <c r="B139" s="125" t="s">
        <v>1809</v>
      </c>
      <c r="C139" s="119" t="s">
        <v>1453</v>
      </c>
      <c r="D139" s="125" t="s">
        <v>1818</v>
      </c>
      <c r="E139" s="121" t="s">
        <v>1525</v>
      </c>
      <c r="F139" s="119" t="s">
        <v>386</v>
      </c>
      <c r="G139" s="122">
        <v>4027.6920095833302</v>
      </c>
      <c r="H139" s="113" t="str">
        <f t="shared" si="5"/>
        <v>SITUS</v>
      </c>
      <c r="I139" s="113" t="str">
        <f>INDEX('GP Lookup'!$I:$I,MATCH(A139,'GP Lookup'!$A:$A,0))</f>
        <v>DPW</v>
      </c>
      <c r="J139" s="113" t="str">
        <f>IF('GP Jun22data'!$G139=0,"NO",IF(ISNA('GP Jun22data'!$I139),"YES",IF(_xlfn.ISFORMULA('GP Jun22data'!$I139),"NO","YES")))</f>
        <v>NO</v>
      </c>
      <c r="K139"/>
    </row>
    <row r="140" spans="1:11">
      <c r="A140" s="114" t="str">
        <f t="shared" si="4"/>
        <v>1010000ELEC PLANT IN SERV3920900TRAILERSSITUS</v>
      </c>
      <c r="B140" s="125" t="s">
        <v>1809</v>
      </c>
      <c r="C140" s="119" t="s">
        <v>1453</v>
      </c>
      <c r="D140" s="125" t="s">
        <v>1818</v>
      </c>
      <c r="E140" s="121" t="s">
        <v>1525</v>
      </c>
      <c r="F140" s="119" t="s">
        <v>378</v>
      </c>
      <c r="G140" s="122">
        <v>815.19028458333298</v>
      </c>
      <c r="H140" s="113" t="str">
        <f t="shared" si="5"/>
        <v>SITUS</v>
      </c>
      <c r="I140" s="113" t="str">
        <f>INDEX('GP Lookup'!$I:$I,MATCH(A140,'GP Lookup'!$A:$A,0))</f>
        <v>DPW</v>
      </c>
      <c r="J140" s="113" t="str">
        <f>IF('GP Jun22data'!$G140=0,"NO",IF(ISNA('GP Jun22data'!$I140),"YES",IF(_xlfn.ISFORMULA('GP Jun22data'!$I140),"NO","YES")))</f>
        <v>NO</v>
      </c>
      <c r="K140"/>
    </row>
    <row r="141" spans="1:11">
      <c r="A141" s="114" t="str">
        <f t="shared" si="4"/>
        <v>1010000ELEC PLANT IN SERV3921400"SNOWMOBILES, MOTORCYCLES (4-WHEELED ATVSITUS</v>
      </c>
      <c r="B141" s="125" t="s">
        <v>1809</v>
      </c>
      <c r="C141" s="119" t="s">
        <v>1453</v>
      </c>
      <c r="D141" s="125" t="s">
        <v>1819</v>
      </c>
      <c r="E141" s="121" t="s">
        <v>1526</v>
      </c>
      <c r="F141" s="119" t="s">
        <v>387</v>
      </c>
      <c r="G141" s="122">
        <v>327.32303958333301</v>
      </c>
      <c r="H141" s="113" t="str">
        <f t="shared" si="5"/>
        <v>SITUS</v>
      </c>
      <c r="I141" s="113" t="str">
        <f>INDEX('GP Lookup'!$I:$I,MATCH(A141,'GP Lookup'!$A:$A,0))</f>
        <v>DPW</v>
      </c>
      <c r="J141" s="113" t="str">
        <f>IF('GP Jun22data'!$G141=0,"NO",IF(ISNA('GP Jun22data'!$I141),"YES",IF(_xlfn.ISFORMULA('GP Jun22data'!$I141),"NO","YES")))</f>
        <v>NO</v>
      </c>
      <c r="K141"/>
    </row>
    <row r="142" spans="1:11">
      <c r="A142" s="114" t="str">
        <f t="shared" si="4"/>
        <v>1010000ELEC PLANT IN SERV3921400"SNOWMOBILES, MOTORCYCLES (4-WHEELED ATVSE</v>
      </c>
      <c r="B142" s="125" t="s">
        <v>1809</v>
      </c>
      <c r="C142" s="119" t="s">
        <v>1453</v>
      </c>
      <c r="D142" s="125" t="s">
        <v>1819</v>
      </c>
      <c r="E142" s="121" t="s">
        <v>1526</v>
      </c>
      <c r="F142" s="119" t="s">
        <v>3110</v>
      </c>
      <c r="G142" s="122">
        <v>6.085</v>
      </c>
      <c r="H142" s="113" t="str">
        <f t="shared" si="5"/>
        <v>SE</v>
      </c>
      <c r="I142" s="113" t="str">
        <f>INDEX('GP Lookup'!$I:$I,MATCH(A142,'GP Lookup'!$A:$A,0))</f>
        <v>P</v>
      </c>
      <c r="J142" s="113" t="str">
        <f>IF('GP Jun22data'!$G142=0,"NO",IF(ISNA('GP Jun22data'!$I142),"YES",IF(_xlfn.ISFORMULA('GP Jun22data'!$I142),"NO","YES")))</f>
        <v>NO</v>
      </c>
      <c r="K142"/>
    </row>
    <row r="143" spans="1:11">
      <c r="A143" s="114" t="str">
        <f t="shared" si="4"/>
        <v>1010000ELEC PLANT IN SERV3921400"SNOWMOBILES, MOTORCYCLES (4-WHEELED ATVSG</v>
      </c>
      <c r="B143" s="125" t="s">
        <v>1809</v>
      </c>
      <c r="C143" s="119" t="s">
        <v>1453</v>
      </c>
      <c r="D143" s="125" t="s">
        <v>1819</v>
      </c>
      <c r="E143" s="121" t="s">
        <v>1526</v>
      </c>
      <c r="F143" s="119" t="s">
        <v>3106</v>
      </c>
      <c r="G143" s="122">
        <v>704.64076583333394</v>
      </c>
      <c r="H143" s="113" t="str">
        <f t="shared" si="5"/>
        <v>SG</v>
      </c>
      <c r="I143" s="113" t="str">
        <f>INDEX('GP Lookup'!$I:$I,MATCH(A143,'GP Lookup'!$A:$A,0))</f>
        <v>P</v>
      </c>
      <c r="J143" s="113" t="str">
        <f>IF('GP Jun22data'!$G143=0,"NO",IF(ISNA('GP Jun22data'!$I143),"YES",IF(_xlfn.ISFORMULA('GP Jun22data'!$I143),"NO","YES")))</f>
        <v>NO</v>
      </c>
      <c r="K143"/>
    </row>
    <row r="144" spans="1:11">
      <c r="A144" s="114" t="str">
        <f t="shared" si="4"/>
        <v>1010000ELEC PLANT IN SERV3921400"SNOWMOBILES, MOTORCYCLES (4-WHEELED ATVSG</v>
      </c>
      <c r="B144" s="125" t="s">
        <v>1809</v>
      </c>
      <c r="C144" s="119" t="s">
        <v>1453</v>
      </c>
      <c r="D144" s="125" t="s">
        <v>1819</v>
      </c>
      <c r="E144" s="121" t="s">
        <v>1526</v>
      </c>
      <c r="F144" s="119" t="s">
        <v>3108</v>
      </c>
      <c r="G144" s="122">
        <v>22.294969999999999</v>
      </c>
      <c r="H144" s="113" t="str">
        <f t="shared" si="5"/>
        <v>SG</v>
      </c>
      <c r="I144" s="113" t="str">
        <f>INDEX('GP Lookup'!$I:$I,MATCH(A144,'GP Lookup'!$A:$A,0))</f>
        <v>P</v>
      </c>
      <c r="J144" s="113" t="str">
        <f>IF('GP Jun22data'!$G144=0,"NO",IF(ISNA('GP Jun22data'!$I144),"YES",IF(_xlfn.ISFORMULA('GP Jun22data'!$I144),"NO","YES")))</f>
        <v>NO</v>
      </c>
      <c r="K144"/>
    </row>
    <row r="145" spans="1:11">
      <c r="A145" s="114" t="str">
        <f t="shared" si="4"/>
        <v>1010000ELEC PLANT IN SERV3921400"SNOWMOBILES, MOTORCYCLES (4-WHEELED ATVSITUS</v>
      </c>
      <c r="B145" s="125" t="s">
        <v>1809</v>
      </c>
      <c r="C145" s="119" t="s">
        <v>1453</v>
      </c>
      <c r="D145" s="125" t="s">
        <v>1819</v>
      </c>
      <c r="E145" s="121" t="s">
        <v>1526</v>
      </c>
      <c r="F145" s="119" t="s">
        <v>372</v>
      </c>
      <c r="G145" s="122">
        <v>180.59939625000001</v>
      </c>
      <c r="H145" s="113" t="str">
        <f t="shared" si="5"/>
        <v>SITUS</v>
      </c>
      <c r="I145" s="113" t="str">
        <f>INDEX('GP Lookup'!$I:$I,MATCH(A145,'GP Lookup'!$A:$A,0))</f>
        <v>DPW</v>
      </c>
      <c r="J145" s="113" t="str">
        <f>IF('GP Jun22data'!$G145=0,"NO",IF(ISNA('GP Jun22data'!$I145),"YES",IF(_xlfn.ISFORMULA('GP Jun22data'!$I145),"NO","YES")))</f>
        <v>NO</v>
      </c>
      <c r="K145"/>
    </row>
    <row r="146" spans="1:11">
      <c r="A146" s="114" t="str">
        <f t="shared" si="4"/>
        <v>1010000ELEC PLANT IN SERV3921400"SNOWMOBILES, MOTORCYCLES (4-WHEELED ATVSG</v>
      </c>
      <c r="B146" s="125" t="s">
        <v>1809</v>
      </c>
      <c r="C146" s="119" t="s">
        <v>1453</v>
      </c>
      <c r="D146" s="125" t="s">
        <v>1819</v>
      </c>
      <c r="E146" s="121" t="s">
        <v>1526</v>
      </c>
      <c r="F146" s="119" t="s">
        <v>3107</v>
      </c>
      <c r="G146" s="122">
        <v>49.16084</v>
      </c>
      <c r="H146" s="113" t="str">
        <f t="shared" si="5"/>
        <v>SG</v>
      </c>
      <c r="I146" s="113" t="str">
        <f>INDEX('GP Lookup'!$I:$I,MATCH(A146,'GP Lookup'!$A:$A,0))</f>
        <v>P</v>
      </c>
      <c r="J146" s="113" t="str">
        <f>IF('GP Jun22data'!$G146=0,"NO",IF(ISNA('GP Jun22data'!$I146),"YES",IF(_xlfn.ISFORMULA('GP Jun22data'!$I146),"NO","YES")))</f>
        <v>NO</v>
      </c>
      <c r="K146"/>
    </row>
    <row r="147" spans="1:11">
      <c r="A147" s="114" t="str">
        <f t="shared" si="4"/>
        <v>1010000ELEC PLANT IN SERV3921400"SNOWMOBILES, MOTORCYCLES (4-WHEELED ATVSITUS</v>
      </c>
      <c r="B147" s="125" t="s">
        <v>1809</v>
      </c>
      <c r="C147" s="119" t="s">
        <v>1453</v>
      </c>
      <c r="D147" s="125" t="s">
        <v>1819</v>
      </c>
      <c r="E147" s="121" t="s">
        <v>1526</v>
      </c>
      <c r="F147" s="119" t="s">
        <v>343</v>
      </c>
      <c r="G147" s="122">
        <v>667.86727333333295</v>
      </c>
      <c r="H147" s="113" t="str">
        <f t="shared" si="5"/>
        <v>SITUS</v>
      </c>
      <c r="I147" s="113" t="str">
        <f>INDEX('GP Lookup'!$I:$I,MATCH(A147,'GP Lookup'!$A:$A,0))</f>
        <v>DPW</v>
      </c>
      <c r="J147" s="113" t="str">
        <f>IF('GP Jun22data'!$G147=0,"NO",IF(ISNA('GP Jun22data'!$I147),"YES",IF(_xlfn.ISFORMULA('GP Jun22data'!$I147),"NO","YES")))</f>
        <v>NO</v>
      </c>
      <c r="K147"/>
    </row>
    <row r="148" spans="1:11">
      <c r="A148" s="114" t="str">
        <f t="shared" si="4"/>
        <v>1010000ELEC PLANT IN SERV3921400"SNOWMOBILES, MOTORCYCLES (4-WHEELED ATVSG</v>
      </c>
      <c r="B148" s="125" t="s">
        <v>1809</v>
      </c>
      <c r="C148" s="119" t="s">
        <v>1453</v>
      </c>
      <c r="D148" s="125" t="s">
        <v>1819</v>
      </c>
      <c r="E148" s="121" t="s">
        <v>1526</v>
      </c>
      <c r="F148" s="119" t="s">
        <v>87</v>
      </c>
      <c r="G148" s="122">
        <v>597.87277208333296</v>
      </c>
      <c r="H148" s="113" t="str">
        <f t="shared" si="5"/>
        <v>SG</v>
      </c>
      <c r="I148" s="113" t="str">
        <f>INDEX('GP Lookup'!$I:$I,MATCH(A148,'GP Lookup'!$A:$A,0))</f>
        <v>P</v>
      </c>
      <c r="J148" s="113" t="str">
        <f>IF('GP Jun22data'!$G148=0,"NO",IF(ISNA('GP Jun22data'!$I148),"YES",IF(_xlfn.ISFORMULA('GP Jun22data'!$I148),"NO","YES")))</f>
        <v>NO</v>
      </c>
      <c r="K148"/>
    </row>
    <row r="149" spans="1:11">
      <c r="A149" s="114" t="str">
        <f t="shared" si="4"/>
        <v>1010000ELEC PLANT IN SERV3921400"SNOWMOBILES, MOTORCYCLES (4-WHEELED ATVSO</v>
      </c>
      <c r="B149" s="125" t="s">
        <v>1809</v>
      </c>
      <c r="C149" s="119" t="s">
        <v>1453</v>
      </c>
      <c r="D149" s="125" t="s">
        <v>1819</v>
      </c>
      <c r="E149" s="121" t="s">
        <v>1526</v>
      </c>
      <c r="F149" s="119" t="s">
        <v>89</v>
      </c>
      <c r="G149" s="122">
        <v>68.805756250000002</v>
      </c>
      <c r="H149" s="113" t="str">
        <f t="shared" si="5"/>
        <v>SO</v>
      </c>
      <c r="I149" s="113" t="str">
        <f>INDEX('GP Lookup'!$I:$I,MATCH(A149,'GP Lookup'!$A:$A,0))</f>
        <v>PTD</v>
      </c>
      <c r="J149" s="113" t="str">
        <f>IF('GP Jun22data'!$G149=0,"NO",IF(ISNA('GP Jun22data'!$I149),"YES",IF(_xlfn.ISFORMULA('GP Jun22data'!$I149),"NO","YES")))</f>
        <v>NO</v>
      </c>
      <c r="K149"/>
    </row>
    <row r="150" spans="1:11">
      <c r="A150" s="114" t="str">
        <f t="shared" si="4"/>
        <v>1010000ELEC PLANT IN SERV3921400"SNOWMOBILES, MOTORCYCLES (4-WHEELED ATVSITUS</v>
      </c>
      <c r="B150" s="125" t="s">
        <v>1809</v>
      </c>
      <c r="C150" s="119" t="s">
        <v>1453</v>
      </c>
      <c r="D150" s="125" t="s">
        <v>1819</v>
      </c>
      <c r="E150" s="121" t="s">
        <v>1526</v>
      </c>
      <c r="F150" s="119" t="s">
        <v>370</v>
      </c>
      <c r="G150" s="122">
        <v>479.29959666666701</v>
      </c>
      <c r="H150" s="113" t="str">
        <f t="shared" si="5"/>
        <v>SITUS</v>
      </c>
      <c r="I150" s="113" t="str">
        <f>INDEX('GP Lookup'!$I:$I,MATCH(A150,'GP Lookup'!$A:$A,0))</f>
        <v>DPW</v>
      </c>
      <c r="J150" s="113" t="str">
        <f>IF('GP Jun22data'!$G150=0,"NO",IF(ISNA('GP Jun22data'!$I150),"YES",IF(_xlfn.ISFORMULA('GP Jun22data'!$I150),"NO","YES")))</f>
        <v>NO</v>
      </c>
      <c r="K150"/>
    </row>
    <row r="151" spans="1:11">
      <c r="A151" s="114" t="str">
        <f t="shared" si="4"/>
        <v>1010000ELEC PLANT IN SERV3921400"SNOWMOBILES, MOTORCYCLES (4-WHEELED ATVSITUS</v>
      </c>
      <c r="B151" s="125" t="s">
        <v>1809</v>
      </c>
      <c r="C151" s="119" t="s">
        <v>1453</v>
      </c>
      <c r="D151" s="125" t="s">
        <v>1819</v>
      </c>
      <c r="E151" s="121" t="s">
        <v>1526</v>
      </c>
      <c r="F151" s="119" t="s">
        <v>367</v>
      </c>
      <c r="G151" s="122">
        <v>146.4780375</v>
      </c>
      <c r="H151" s="113" t="str">
        <f t="shared" si="5"/>
        <v>SITUS</v>
      </c>
      <c r="I151" s="113" t="str">
        <f>INDEX('GP Lookup'!$I:$I,MATCH(A151,'GP Lookup'!$A:$A,0))</f>
        <v>DPW</v>
      </c>
      <c r="J151" s="113" t="str">
        <f>IF('GP Jun22data'!$G151=0,"NO",IF(ISNA('GP Jun22data'!$I151),"YES",IF(_xlfn.ISFORMULA('GP Jun22data'!$I151),"NO","YES")))</f>
        <v>NO</v>
      </c>
      <c r="K151"/>
    </row>
    <row r="152" spans="1:11">
      <c r="A152" s="114" t="str">
        <f t="shared" si="4"/>
        <v>1010000ELEC PLANT IN SERV3921400"SNOWMOBILES, MOTORCYCLES (4-WHEELED ATVSITUS</v>
      </c>
      <c r="B152" s="125" t="s">
        <v>1809</v>
      </c>
      <c r="C152" s="119" t="s">
        <v>1453</v>
      </c>
      <c r="D152" s="125" t="s">
        <v>1819</v>
      </c>
      <c r="E152" s="121" t="s">
        <v>1526</v>
      </c>
      <c r="F152" s="119" t="s">
        <v>386</v>
      </c>
      <c r="G152" s="122">
        <v>422.60041124999998</v>
      </c>
      <c r="H152" s="113" t="str">
        <f t="shared" si="5"/>
        <v>SITUS</v>
      </c>
      <c r="I152" s="113" t="str">
        <f>INDEX('GP Lookup'!$I:$I,MATCH(A152,'GP Lookup'!$A:$A,0))</f>
        <v>DPW</v>
      </c>
      <c r="J152" s="113" t="str">
        <f>IF('GP Jun22data'!$G152=0,"NO",IF(ISNA('GP Jun22data'!$I152),"YES",IF(_xlfn.ISFORMULA('GP Jun22data'!$I152),"NO","YES")))</f>
        <v>NO</v>
      </c>
      <c r="K152"/>
    </row>
    <row r="153" spans="1:11">
      <c r="A153" s="114" t="str">
        <f t="shared" si="4"/>
        <v>1010000ELEC PLANT IN SERV3921400"SNOWMOBILES, MOTORCYCLES (4-WHEELED ATVSITUS</v>
      </c>
      <c r="B153" s="125" t="s">
        <v>1809</v>
      </c>
      <c r="C153" s="119" t="s">
        <v>1453</v>
      </c>
      <c r="D153" s="125" t="s">
        <v>1819</v>
      </c>
      <c r="E153" s="121" t="s">
        <v>1526</v>
      </c>
      <c r="F153" s="119" t="s">
        <v>378</v>
      </c>
      <c r="G153" s="122">
        <v>80.573340000000002</v>
      </c>
      <c r="H153" s="113" t="str">
        <f t="shared" si="5"/>
        <v>SITUS</v>
      </c>
      <c r="I153" s="113" t="str">
        <f>INDEX('GP Lookup'!$I:$I,MATCH(A153,'GP Lookup'!$A:$A,0))</f>
        <v>DPW</v>
      </c>
      <c r="J153" s="113" t="str">
        <f>IF('GP Jun22data'!$G153=0,"NO",IF(ISNA('GP Jun22data'!$I153),"YES",IF(_xlfn.ISFORMULA('GP Jun22data'!$I153),"NO","YES")))</f>
        <v>NO</v>
      </c>
      <c r="K153"/>
    </row>
    <row r="154" spans="1:11">
      <c r="A154" s="114" t="str">
        <f t="shared" si="4"/>
        <v>1010000ELEC PLANT IN SERV3921900OVER-THE-ROAD SEMI-TRACTORSSG</v>
      </c>
      <c r="B154" s="125" t="s">
        <v>1809</v>
      </c>
      <c r="C154" s="119" t="s">
        <v>1453</v>
      </c>
      <c r="D154" s="125" t="s">
        <v>1820</v>
      </c>
      <c r="E154" s="121" t="s">
        <v>1527</v>
      </c>
      <c r="F154" s="119" t="s">
        <v>3106</v>
      </c>
      <c r="G154" s="122">
        <v>238.08744999999999</v>
      </c>
      <c r="H154" s="113" t="str">
        <f t="shared" si="5"/>
        <v>SG</v>
      </c>
      <c r="I154" s="113" t="str">
        <f>INDEX('GP Lookup'!$I:$I,MATCH(A154,'GP Lookup'!$A:$A,0))</f>
        <v>P</v>
      </c>
      <c r="J154" s="113" t="str">
        <f>IF('GP Jun22data'!$G154=0,"NO",IF(ISNA('GP Jun22data'!$I154),"YES",IF(_xlfn.ISFORMULA('GP Jun22data'!$I154),"NO","YES")))</f>
        <v>NO</v>
      </c>
      <c r="K154"/>
    </row>
    <row r="155" spans="1:11">
      <c r="A155" s="114" t="str">
        <f t="shared" si="4"/>
        <v>1010000ELEC PLANT IN SERV3921900OVER-THE-ROAD SEMI-TRACTORSSG</v>
      </c>
      <c r="B155" s="125" t="s">
        <v>1809</v>
      </c>
      <c r="C155" s="119" t="s">
        <v>1453</v>
      </c>
      <c r="D155" s="125" t="s">
        <v>1820</v>
      </c>
      <c r="E155" s="121" t="s">
        <v>1527</v>
      </c>
      <c r="F155" s="119" t="s">
        <v>3108</v>
      </c>
      <c r="G155" s="122">
        <v>2.3837700000000002</v>
      </c>
      <c r="H155" s="113" t="str">
        <f t="shared" si="5"/>
        <v>SG</v>
      </c>
      <c r="I155" s="113" t="str">
        <f>INDEX('GP Lookup'!$I:$I,MATCH(A155,'GP Lookup'!$A:$A,0))</f>
        <v>P</v>
      </c>
      <c r="J155" s="113" t="str">
        <f>IF('GP Jun22data'!$G155=0,"NO",IF(ISNA('GP Jun22data'!$I155),"YES",IF(_xlfn.ISFORMULA('GP Jun22data'!$I155),"NO","YES")))</f>
        <v>NO</v>
      </c>
      <c r="K155"/>
    </row>
    <row r="156" spans="1:11">
      <c r="A156" s="114" t="str">
        <f t="shared" si="4"/>
        <v>1010000ELEC PLANT IN SERV3921900OVER-THE-ROAD SEMI-TRACTORSSG</v>
      </c>
      <c r="B156" s="125" t="s">
        <v>1809</v>
      </c>
      <c r="C156" s="119" t="s">
        <v>1453</v>
      </c>
      <c r="D156" s="125" t="s">
        <v>1820</v>
      </c>
      <c r="E156" s="121" t="s">
        <v>1527</v>
      </c>
      <c r="F156" s="119" t="s">
        <v>3107</v>
      </c>
      <c r="G156" s="122">
        <v>100.6099</v>
      </c>
      <c r="H156" s="113" t="str">
        <f t="shared" si="5"/>
        <v>SG</v>
      </c>
      <c r="I156" s="113" t="str">
        <f>INDEX('GP Lookup'!$I:$I,MATCH(A156,'GP Lookup'!$A:$A,0))</f>
        <v>P</v>
      </c>
      <c r="J156" s="113" t="str">
        <f>IF('GP Jun22data'!$G156=0,"NO",IF(ISNA('GP Jun22data'!$I156),"YES",IF(_xlfn.ISFORMULA('GP Jun22data'!$I156),"NO","YES")))</f>
        <v>NO</v>
      </c>
      <c r="K156"/>
    </row>
    <row r="157" spans="1:11">
      <c r="A157" s="114" t="str">
        <f t="shared" si="4"/>
        <v>1010000ELEC PLANT IN SERV3921900OVER-THE-ROAD SEMI-TRACTORSSITUS</v>
      </c>
      <c r="B157" s="125" t="s">
        <v>1809</v>
      </c>
      <c r="C157" s="119" t="s">
        <v>1453</v>
      </c>
      <c r="D157" s="125" t="s">
        <v>1820</v>
      </c>
      <c r="E157" s="121" t="s">
        <v>1527</v>
      </c>
      <c r="F157" s="119" t="s">
        <v>343</v>
      </c>
      <c r="G157" s="122">
        <v>317.14125000000001</v>
      </c>
      <c r="H157" s="113" t="str">
        <f t="shared" si="5"/>
        <v>SITUS</v>
      </c>
      <c r="I157" s="113" t="str">
        <f>INDEX('GP Lookup'!$I:$I,MATCH(A157,'GP Lookup'!$A:$A,0))</f>
        <v>DPW</v>
      </c>
      <c r="J157" s="113" t="str">
        <f>IF('GP Jun22data'!$G157=0,"NO",IF(ISNA('GP Jun22data'!$I157),"YES",IF(_xlfn.ISFORMULA('GP Jun22data'!$I157),"NO","YES")))</f>
        <v>NO</v>
      </c>
      <c r="K157"/>
    </row>
    <row r="158" spans="1:11">
      <c r="A158" s="114" t="str">
        <f t="shared" si="4"/>
        <v>1010000ELEC PLANT IN SERV3921900OVER-THE-ROAD SEMI-TRACTORSSG</v>
      </c>
      <c r="B158" s="125" t="s">
        <v>1809</v>
      </c>
      <c r="C158" s="119" t="s">
        <v>1453</v>
      </c>
      <c r="D158" s="125" t="s">
        <v>1820</v>
      </c>
      <c r="E158" s="121" t="s">
        <v>1527</v>
      </c>
      <c r="F158" s="119" t="s">
        <v>87</v>
      </c>
      <c r="G158" s="122">
        <v>116.26260000000001</v>
      </c>
      <c r="H158" s="113" t="str">
        <f t="shared" si="5"/>
        <v>SG</v>
      </c>
      <c r="I158" s="113" t="str">
        <f>INDEX('GP Lookup'!$I:$I,MATCH(A158,'GP Lookup'!$A:$A,0))</f>
        <v>P</v>
      </c>
      <c r="J158" s="113" t="str">
        <f>IF('GP Jun22data'!$G158=0,"NO",IF(ISNA('GP Jun22data'!$I158),"YES",IF(_xlfn.ISFORMULA('GP Jun22data'!$I158),"NO","YES")))</f>
        <v>NO</v>
      </c>
      <c r="K158"/>
    </row>
    <row r="159" spans="1:11">
      <c r="A159" s="114" t="str">
        <f t="shared" si="4"/>
        <v>1010000ELEC PLANT IN SERV3921900OVER-THE-ROAD SEMI-TRACTORSSO</v>
      </c>
      <c r="B159" s="125" t="s">
        <v>1809</v>
      </c>
      <c r="C159" s="119" t="s">
        <v>1453</v>
      </c>
      <c r="D159" s="125" t="s">
        <v>1820</v>
      </c>
      <c r="E159" s="121" t="s">
        <v>1527</v>
      </c>
      <c r="F159" s="119" t="s">
        <v>89</v>
      </c>
      <c r="G159" s="122">
        <v>214.51728</v>
      </c>
      <c r="H159" s="113" t="str">
        <f t="shared" si="5"/>
        <v>SO</v>
      </c>
      <c r="I159" s="113" t="str">
        <f>INDEX('GP Lookup'!$I:$I,MATCH(A159,'GP Lookup'!$A:$A,0))</f>
        <v>PTD</v>
      </c>
      <c r="J159" s="113" t="str">
        <f>IF('GP Jun22data'!$G159=0,"NO",IF(ISNA('GP Jun22data'!$I159),"YES",IF(_xlfn.ISFORMULA('GP Jun22data'!$I159),"NO","YES")))</f>
        <v>NO</v>
      </c>
      <c r="K159"/>
    </row>
    <row r="160" spans="1:11">
      <c r="A160" s="114" t="str">
        <f t="shared" si="4"/>
        <v>1010000ELEC PLANT IN SERV3921900OVER-THE-ROAD SEMI-TRACTORSSITUS</v>
      </c>
      <c r="B160" s="125" t="s">
        <v>1809</v>
      </c>
      <c r="C160" s="119" t="s">
        <v>1453</v>
      </c>
      <c r="D160" s="125" t="s">
        <v>1820</v>
      </c>
      <c r="E160" s="121" t="s">
        <v>1527</v>
      </c>
      <c r="F160" s="119" t="s">
        <v>370</v>
      </c>
      <c r="G160" s="122">
        <v>1588.9613400000001</v>
      </c>
      <c r="H160" s="113" t="str">
        <f t="shared" si="5"/>
        <v>SITUS</v>
      </c>
      <c r="I160" s="113" t="str">
        <f>INDEX('GP Lookup'!$I:$I,MATCH(A160,'GP Lookup'!$A:$A,0))</f>
        <v>DPW</v>
      </c>
      <c r="J160" s="113" t="str">
        <f>IF('GP Jun22data'!$G160=0,"NO",IF(ISNA('GP Jun22data'!$I160),"YES",IF(_xlfn.ISFORMULA('GP Jun22data'!$I160),"NO","YES")))</f>
        <v>NO</v>
      </c>
      <c r="K160"/>
    </row>
    <row r="161" spans="1:11">
      <c r="A161" s="114" t="str">
        <f t="shared" si="4"/>
        <v>1010000ELEC PLANT IN SERV3921900OVER-THE-ROAD SEMI-TRACTORSSITUS</v>
      </c>
      <c r="B161" s="125" t="s">
        <v>1809</v>
      </c>
      <c r="C161" s="119" t="s">
        <v>1453</v>
      </c>
      <c r="D161" s="125" t="s">
        <v>1820</v>
      </c>
      <c r="E161" s="121" t="s">
        <v>1527</v>
      </c>
      <c r="F161" s="119" t="s">
        <v>367</v>
      </c>
      <c r="G161" s="122">
        <v>170.02782999999999</v>
      </c>
      <c r="H161" s="113" t="str">
        <f t="shared" si="5"/>
        <v>SITUS</v>
      </c>
      <c r="I161" s="113" t="str">
        <f>INDEX('GP Lookup'!$I:$I,MATCH(A161,'GP Lookup'!$A:$A,0))</f>
        <v>DPW</v>
      </c>
      <c r="J161" s="113" t="str">
        <f>IF('GP Jun22data'!$G161=0,"NO",IF(ISNA('GP Jun22data'!$I161),"YES",IF(_xlfn.ISFORMULA('GP Jun22data'!$I161),"NO","YES")))</f>
        <v>NO</v>
      </c>
      <c r="K161"/>
    </row>
    <row r="162" spans="1:11">
      <c r="A162" s="114" t="str">
        <f t="shared" si="4"/>
        <v>1010000ELEC PLANT IN SERV3921900OVER-THE-ROAD SEMI-TRACTORSSITUS</v>
      </c>
      <c r="B162" s="125" t="s">
        <v>1809</v>
      </c>
      <c r="C162" s="119" t="s">
        <v>1453</v>
      </c>
      <c r="D162" s="125" t="s">
        <v>1820</v>
      </c>
      <c r="E162" s="121" t="s">
        <v>1527</v>
      </c>
      <c r="F162" s="119" t="s">
        <v>386</v>
      </c>
      <c r="G162" s="122">
        <v>86.466899999999995</v>
      </c>
      <c r="H162" s="113" t="str">
        <f t="shared" si="5"/>
        <v>SITUS</v>
      </c>
      <c r="I162" s="113" t="str">
        <f>INDEX('GP Lookup'!$I:$I,MATCH(A162,'GP Lookup'!$A:$A,0))</f>
        <v>DPW</v>
      </c>
      <c r="J162" s="113" t="str">
        <f>IF('GP Jun22data'!$G162=0,"NO",IF(ISNA('GP Jun22data'!$I162),"YES",IF(_xlfn.ISFORMULA('GP Jun22data'!$I162),"NO","YES")))</f>
        <v>NO</v>
      </c>
      <c r="K162"/>
    </row>
    <row r="163" spans="1:11">
      <c r="A163" s="114" t="str">
        <f t="shared" si="4"/>
        <v>1010000ELEC PLANT IN SERV3923000TRANSPORTATION EQUIPMENTSO</v>
      </c>
      <c r="B163" s="125" t="s">
        <v>1809</v>
      </c>
      <c r="C163" s="119" t="s">
        <v>1453</v>
      </c>
      <c r="D163" s="125" t="s">
        <v>1821</v>
      </c>
      <c r="E163" s="121" t="s">
        <v>1528</v>
      </c>
      <c r="F163" s="119" t="s">
        <v>89</v>
      </c>
      <c r="G163" s="122">
        <v>2993.14068</v>
      </c>
      <c r="H163" s="113" t="str">
        <f t="shared" si="5"/>
        <v>SO</v>
      </c>
      <c r="I163" s="113" t="str">
        <f>INDEX('GP Lookup'!$I:$I,MATCH(A163,'GP Lookup'!$A:$A,0))</f>
        <v>PTD</v>
      </c>
      <c r="J163" s="113" t="str">
        <f>IF('GP Jun22data'!$G163=0,"NO",IF(ISNA('GP Jun22data'!$I163),"YES",IF(_xlfn.ISFORMULA('GP Jun22data'!$I163),"NO","YES")))</f>
        <v>NO</v>
      </c>
      <c r="K163"/>
    </row>
    <row r="164" spans="1:11">
      <c r="A164" s="114" t="str">
        <f t="shared" si="4"/>
        <v>1010000ELEC PLANT IN SERV3930000STORES EQUIPMENTSITUS</v>
      </c>
      <c r="B164" s="125" t="s">
        <v>1809</v>
      </c>
      <c r="C164" s="119" t="s">
        <v>1453</v>
      </c>
      <c r="D164" s="125" t="s">
        <v>1800</v>
      </c>
      <c r="E164" s="121" t="s">
        <v>1529</v>
      </c>
      <c r="F164" s="119" t="s">
        <v>387</v>
      </c>
      <c r="G164" s="122">
        <v>167.53100458333299</v>
      </c>
      <c r="H164" s="113" t="str">
        <f t="shared" si="5"/>
        <v>SITUS</v>
      </c>
      <c r="I164" s="113" t="str">
        <f>INDEX('GP Lookup'!$I:$I,MATCH(A164,'GP Lookup'!$A:$A,0))</f>
        <v>TD</v>
      </c>
      <c r="J164" s="113" t="str">
        <f>IF('GP Jun22data'!$G164=0,"NO",IF(ISNA('GP Jun22data'!$I164),"YES",IF(_xlfn.ISFORMULA('GP Jun22data'!$I164),"NO","YES")))</f>
        <v>NO</v>
      </c>
      <c r="K164"/>
    </row>
    <row r="165" spans="1:11">
      <c r="A165" s="114" t="str">
        <f t="shared" si="4"/>
        <v>1010000ELEC PLANT IN SERV3930000STORES EQUIPMENTSG</v>
      </c>
      <c r="B165" s="125" t="s">
        <v>1809</v>
      </c>
      <c r="C165" s="119" t="s">
        <v>1453</v>
      </c>
      <c r="D165" s="125" t="s">
        <v>1800</v>
      </c>
      <c r="E165" s="121" t="s">
        <v>1529</v>
      </c>
      <c r="F165" s="119" t="s">
        <v>3106</v>
      </c>
      <c r="G165" s="122">
        <v>3365.2654975</v>
      </c>
      <c r="H165" s="113" t="str">
        <f t="shared" si="5"/>
        <v>SG</v>
      </c>
      <c r="I165" s="113" t="str">
        <f>INDEX('GP Lookup'!$I:$I,MATCH(A165,'GP Lookup'!$A:$A,0))</f>
        <v>P</v>
      </c>
      <c r="J165" s="113" t="str">
        <f>IF('GP Jun22data'!$G165=0,"NO",IF(ISNA('GP Jun22data'!$I165),"YES",IF(_xlfn.ISFORMULA('GP Jun22data'!$I165),"NO","YES")))</f>
        <v>NO</v>
      </c>
      <c r="K165"/>
    </row>
    <row r="166" spans="1:11">
      <c r="A166" s="114" t="str">
        <f t="shared" si="4"/>
        <v>1010000ELEC PLANT IN SERV3930000STORES EQUIPMENTSG</v>
      </c>
      <c r="B166" s="125" t="s">
        <v>1809</v>
      </c>
      <c r="C166" s="119" t="s">
        <v>1453</v>
      </c>
      <c r="D166" s="125" t="s">
        <v>1800</v>
      </c>
      <c r="E166" s="121" t="s">
        <v>1529</v>
      </c>
      <c r="F166" s="119" t="s">
        <v>3108</v>
      </c>
      <c r="G166" s="122">
        <v>212.657020416667</v>
      </c>
      <c r="H166" s="113" t="str">
        <f t="shared" si="5"/>
        <v>SG</v>
      </c>
      <c r="I166" s="113" t="str">
        <f>INDEX('GP Lookup'!$I:$I,MATCH(A166,'GP Lookup'!$A:$A,0))</f>
        <v>P</v>
      </c>
      <c r="J166" s="113" t="str">
        <f>IF('GP Jun22data'!$G166=0,"NO",IF(ISNA('GP Jun22data'!$I166),"YES",IF(_xlfn.ISFORMULA('GP Jun22data'!$I166),"NO","YES")))</f>
        <v>NO</v>
      </c>
      <c r="K166"/>
    </row>
    <row r="167" spans="1:11">
      <c r="A167" s="114" t="str">
        <f t="shared" si="4"/>
        <v>1010000ELEC PLANT IN SERV3930000STORES EQUIPMENTSITUS</v>
      </c>
      <c r="B167" s="125" t="s">
        <v>1809</v>
      </c>
      <c r="C167" s="119" t="s">
        <v>1453</v>
      </c>
      <c r="D167" s="125" t="s">
        <v>1800</v>
      </c>
      <c r="E167" s="121" t="s">
        <v>1529</v>
      </c>
      <c r="F167" s="119" t="s">
        <v>372</v>
      </c>
      <c r="G167" s="122">
        <v>598.76757999999995</v>
      </c>
      <c r="H167" s="113" t="str">
        <f t="shared" si="5"/>
        <v>SITUS</v>
      </c>
      <c r="I167" s="113" t="str">
        <f>INDEX('GP Lookup'!$I:$I,MATCH(A167,'GP Lookup'!$A:$A,0))</f>
        <v>TD</v>
      </c>
      <c r="J167" s="113" t="str">
        <f>IF('GP Jun22data'!$G167=0,"NO",IF(ISNA('GP Jun22data'!$I167),"YES",IF(_xlfn.ISFORMULA('GP Jun22data'!$I167),"NO","YES")))</f>
        <v>NO</v>
      </c>
      <c r="K167"/>
    </row>
    <row r="168" spans="1:11">
      <c r="A168" s="114" t="str">
        <f t="shared" si="4"/>
        <v>1010000ELEC PLANT IN SERV3930000STORES EQUIPMENTSG</v>
      </c>
      <c r="B168" s="125" t="s">
        <v>1809</v>
      </c>
      <c r="C168" s="119" t="s">
        <v>1453</v>
      </c>
      <c r="D168" s="125" t="s">
        <v>1800</v>
      </c>
      <c r="E168" s="121" t="s">
        <v>1529</v>
      </c>
      <c r="F168" s="119" t="s">
        <v>3107</v>
      </c>
      <c r="G168" s="122">
        <v>962.32042999999999</v>
      </c>
      <c r="H168" s="113" t="str">
        <f t="shared" si="5"/>
        <v>SG</v>
      </c>
      <c r="I168" s="113" t="str">
        <f>INDEX('GP Lookup'!$I:$I,MATCH(A168,'GP Lookup'!$A:$A,0))</f>
        <v>P</v>
      </c>
      <c r="J168" s="113" t="str">
        <f>IF('GP Jun22data'!$G168=0,"NO",IF(ISNA('GP Jun22data'!$I168),"YES",IF(_xlfn.ISFORMULA('GP Jun22data'!$I168),"NO","YES")))</f>
        <v>NO</v>
      </c>
      <c r="K168"/>
    </row>
    <row r="169" spans="1:11">
      <c r="A169" s="114" t="str">
        <f t="shared" si="4"/>
        <v>1010000ELEC PLANT IN SERV3930000STORES EQUIPMENTSITUS</v>
      </c>
      <c r="B169" s="125" t="s">
        <v>1809</v>
      </c>
      <c r="C169" s="119" t="s">
        <v>1453</v>
      </c>
      <c r="D169" s="125" t="s">
        <v>1800</v>
      </c>
      <c r="E169" s="121" t="s">
        <v>1529</v>
      </c>
      <c r="F169" s="119" t="s">
        <v>343</v>
      </c>
      <c r="G169" s="122">
        <v>2734.9895558333301</v>
      </c>
      <c r="H169" s="113" t="str">
        <f t="shared" si="5"/>
        <v>SITUS</v>
      </c>
      <c r="I169" s="113" t="str">
        <f>INDEX('GP Lookup'!$I:$I,MATCH(A169,'GP Lookup'!$A:$A,0))</f>
        <v>TD</v>
      </c>
      <c r="J169" s="113" t="str">
        <f>IF('GP Jun22data'!$G169=0,"NO",IF(ISNA('GP Jun22data'!$I169),"YES",IF(_xlfn.ISFORMULA('GP Jun22data'!$I169),"NO","YES")))</f>
        <v>NO</v>
      </c>
      <c r="K169"/>
    </row>
    <row r="170" spans="1:11">
      <c r="A170" s="114" t="str">
        <f t="shared" si="4"/>
        <v>1010000ELEC PLANT IN SERV3930000STORES EQUIPMENTSG</v>
      </c>
      <c r="B170" s="125" t="s">
        <v>1809</v>
      </c>
      <c r="C170" s="119" t="s">
        <v>1453</v>
      </c>
      <c r="D170" s="125" t="s">
        <v>1800</v>
      </c>
      <c r="E170" s="121" t="s">
        <v>1529</v>
      </c>
      <c r="F170" s="119" t="s">
        <v>87</v>
      </c>
      <c r="G170" s="122">
        <v>1637.0745041666701</v>
      </c>
      <c r="H170" s="113" t="str">
        <f t="shared" si="5"/>
        <v>SG</v>
      </c>
      <c r="I170" s="113" t="str">
        <f>INDEX('GP Lookup'!$I:$I,MATCH(A170,'GP Lookup'!$A:$A,0))</f>
        <v>P</v>
      </c>
      <c r="J170" s="113" t="str">
        <f>IF('GP Jun22data'!$G170=0,"NO",IF(ISNA('GP Jun22data'!$I170),"YES",IF(_xlfn.ISFORMULA('GP Jun22data'!$I170),"NO","YES")))</f>
        <v>NO</v>
      </c>
      <c r="K170"/>
    </row>
    <row r="171" spans="1:11">
      <c r="A171" s="114" t="str">
        <f t="shared" si="4"/>
        <v>1010000ELEC PLANT IN SERV3930000STORES EQUIPMENTSO</v>
      </c>
      <c r="B171" s="125" t="s">
        <v>1809</v>
      </c>
      <c r="C171" s="119" t="s">
        <v>1453</v>
      </c>
      <c r="D171" s="125" t="s">
        <v>1800</v>
      </c>
      <c r="E171" s="121" t="s">
        <v>1529</v>
      </c>
      <c r="F171" s="119" t="s">
        <v>89</v>
      </c>
      <c r="G171" s="122">
        <v>234.65183958333299</v>
      </c>
      <c r="H171" s="113" t="str">
        <f t="shared" si="5"/>
        <v>SO</v>
      </c>
      <c r="I171" s="113" t="str">
        <f>INDEX('GP Lookup'!$I:$I,MATCH(A171,'GP Lookup'!$A:$A,0))</f>
        <v>PTD</v>
      </c>
      <c r="J171" s="113" t="str">
        <f>IF('GP Jun22data'!$G171=0,"NO",IF(ISNA('GP Jun22data'!$I171),"YES",IF(_xlfn.ISFORMULA('GP Jun22data'!$I171),"NO","YES")))</f>
        <v>NO</v>
      </c>
      <c r="K171"/>
    </row>
    <row r="172" spans="1:11">
      <c r="A172" s="114" t="str">
        <f t="shared" si="4"/>
        <v>1010000ELEC PLANT IN SERV3930000STORES EQUIPMENTSITUS</v>
      </c>
      <c r="B172" s="125" t="s">
        <v>1809</v>
      </c>
      <c r="C172" s="119" t="s">
        <v>1453</v>
      </c>
      <c r="D172" s="125" t="s">
        <v>1800</v>
      </c>
      <c r="E172" s="121" t="s">
        <v>1529</v>
      </c>
      <c r="F172" s="119" t="s">
        <v>370</v>
      </c>
      <c r="G172" s="122">
        <v>3800.2205875</v>
      </c>
      <c r="H172" s="113" t="str">
        <f t="shared" si="5"/>
        <v>SITUS</v>
      </c>
      <c r="I172" s="113" t="str">
        <f>INDEX('GP Lookup'!$I:$I,MATCH(A172,'GP Lookup'!$A:$A,0))</f>
        <v>TD</v>
      </c>
      <c r="J172" s="113" t="str">
        <f>IF('GP Jun22data'!$G172=0,"NO",IF(ISNA('GP Jun22data'!$I172),"YES",IF(_xlfn.ISFORMULA('GP Jun22data'!$I172),"NO","YES")))</f>
        <v>NO</v>
      </c>
      <c r="K172"/>
    </row>
    <row r="173" spans="1:11">
      <c r="A173" s="114" t="str">
        <f t="shared" si="4"/>
        <v>1010000ELEC PLANT IN SERV3930000STORES EQUIPMENTSITUS</v>
      </c>
      <c r="B173" s="125" t="s">
        <v>1809</v>
      </c>
      <c r="C173" s="119" t="s">
        <v>1453</v>
      </c>
      <c r="D173" s="125" t="s">
        <v>1800</v>
      </c>
      <c r="E173" s="121" t="s">
        <v>1529</v>
      </c>
      <c r="F173" s="119" t="s">
        <v>367</v>
      </c>
      <c r="G173" s="122">
        <v>690.05408083333305</v>
      </c>
      <c r="H173" s="113" t="str">
        <f t="shared" si="5"/>
        <v>SITUS</v>
      </c>
      <c r="I173" s="113" t="str">
        <f>INDEX('GP Lookup'!$I:$I,MATCH(A173,'GP Lookup'!$A:$A,0))</f>
        <v>TD</v>
      </c>
      <c r="J173" s="113" t="str">
        <f>IF('GP Jun22data'!$G173=0,"NO",IF(ISNA('GP Jun22data'!$I173),"YES",IF(_xlfn.ISFORMULA('GP Jun22data'!$I173),"NO","YES")))</f>
        <v>NO</v>
      </c>
      <c r="K173"/>
    </row>
    <row r="174" spans="1:11">
      <c r="A174" s="114" t="str">
        <f t="shared" si="4"/>
        <v>1010000ELEC PLANT IN SERV3930000STORES EQUIPMENTSITUS</v>
      </c>
      <c r="B174" s="125" t="s">
        <v>1809</v>
      </c>
      <c r="C174" s="119" t="s">
        <v>1453</v>
      </c>
      <c r="D174" s="125" t="s">
        <v>1800</v>
      </c>
      <c r="E174" s="121" t="s">
        <v>1529</v>
      </c>
      <c r="F174" s="119" t="s">
        <v>386</v>
      </c>
      <c r="G174" s="122">
        <v>1252.45562</v>
      </c>
      <c r="H174" s="113" t="str">
        <f t="shared" si="5"/>
        <v>SITUS</v>
      </c>
      <c r="I174" s="113" t="str">
        <f>INDEX('GP Lookup'!$I:$I,MATCH(A174,'GP Lookup'!$A:$A,0))</f>
        <v>TD</v>
      </c>
      <c r="J174" s="113" t="str">
        <f>IF('GP Jun22data'!$G174=0,"NO",IF(ISNA('GP Jun22data'!$I174),"YES",IF(_xlfn.ISFORMULA('GP Jun22data'!$I174),"NO","YES")))</f>
        <v>NO</v>
      </c>
      <c r="K174"/>
    </row>
    <row r="175" spans="1:11">
      <c r="A175" s="114" t="str">
        <f t="shared" si="4"/>
        <v>1010000ELEC PLANT IN SERV3930000STORES EQUIPMENTSITUS</v>
      </c>
      <c r="B175" s="125" t="s">
        <v>1809</v>
      </c>
      <c r="C175" s="119" t="s">
        <v>1453</v>
      </c>
      <c r="D175" s="125" t="s">
        <v>1800</v>
      </c>
      <c r="E175" s="121" t="s">
        <v>1529</v>
      </c>
      <c r="F175" s="119" t="s">
        <v>378</v>
      </c>
      <c r="G175" s="122">
        <v>1.3375699999999999</v>
      </c>
      <c r="H175" s="113" t="str">
        <f t="shared" si="5"/>
        <v>SITUS</v>
      </c>
      <c r="I175" s="113" t="str">
        <f>INDEX('GP Lookup'!$I:$I,MATCH(A175,'GP Lookup'!$A:$A,0))</f>
        <v>TD</v>
      </c>
      <c r="J175" s="113" t="str">
        <f>IF('GP Jun22data'!$G175=0,"NO",IF(ISNA('GP Jun22data'!$I175),"YES",IF(_xlfn.ISFORMULA('GP Jun22data'!$I175),"NO","YES")))</f>
        <v>NO</v>
      </c>
      <c r="K175"/>
    </row>
    <row r="176" spans="1:11">
      <c r="A176" s="114" t="str">
        <f t="shared" si="4"/>
        <v>1010000ELEC PLANT IN SERV3940000"TLS, SHOP, GAR EQUIPMENT"SITUS</v>
      </c>
      <c r="B176" s="125" t="s">
        <v>1809</v>
      </c>
      <c r="C176" s="119" t="s">
        <v>1453</v>
      </c>
      <c r="D176" s="125" t="s">
        <v>1801</v>
      </c>
      <c r="E176" s="121" t="s">
        <v>1530</v>
      </c>
      <c r="F176" s="119" t="s">
        <v>387</v>
      </c>
      <c r="G176" s="122">
        <v>912.72363250000001</v>
      </c>
      <c r="H176" s="113" t="str">
        <f t="shared" si="5"/>
        <v>SITUS</v>
      </c>
      <c r="I176" s="113" t="str">
        <f>INDEX('GP Lookup'!$I:$I,MATCH(A176,'GP Lookup'!$A:$A,0))</f>
        <v>TD</v>
      </c>
      <c r="J176" s="113" t="str">
        <f>IF('GP Jun22data'!$G176=0,"NO",IF(ISNA('GP Jun22data'!$I176),"YES",IF(_xlfn.ISFORMULA('GP Jun22data'!$I176),"NO","YES")))</f>
        <v>NO</v>
      </c>
      <c r="K176"/>
    </row>
    <row r="177" spans="1:11">
      <c r="A177" s="114" t="str">
        <f t="shared" si="4"/>
        <v>1010000ELEC PLANT IN SERV3940000"TLS, SHOP, GAR EQUIPMENT"SE</v>
      </c>
      <c r="B177" s="125" t="s">
        <v>1809</v>
      </c>
      <c r="C177" s="119" t="s">
        <v>1453</v>
      </c>
      <c r="D177" s="125" t="s">
        <v>1801</v>
      </c>
      <c r="E177" s="121" t="s">
        <v>1530</v>
      </c>
      <c r="F177" s="119" t="s">
        <v>3110</v>
      </c>
      <c r="G177" s="122">
        <v>125.69107</v>
      </c>
      <c r="H177" s="113" t="str">
        <f t="shared" si="5"/>
        <v>SE</v>
      </c>
      <c r="I177" s="113" t="str">
        <f>INDEX('GP Lookup'!$I:$I,MATCH(A177,'GP Lookup'!$A:$A,0))</f>
        <v>P</v>
      </c>
      <c r="J177" s="113" t="str">
        <f>IF('GP Jun22data'!$G177=0,"NO",IF(ISNA('GP Jun22data'!$I177),"YES",IF(_xlfn.ISFORMULA('GP Jun22data'!$I177),"NO","YES")))</f>
        <v>NO</v>
      </c>
      <c r="K177"/>
    </row>
    <row r="178" spans="1:11">
      <c r="A178" s="114" t="str">
        <f t="shared" si="4"/>
        <v>1010000ELEC PLANT IN SERV3940000"TLS, SHOP, GAR EQUIPMENT"SG</v>
      </c>
      <c r="B178" s="125" t="s">
        <v>1809</v>
      </c>
      <c r="C178" s="119" t="s">
        <v>1453</v>
      </c>
      <c r="D178" s="125" t="s">
        <v>1801</v>
      </c>
      <c r="E178" s="121" t="s">
        <v>1530</v>
      </c>
      <c r="F178" s="119" t="s">
        <v>3106</v>
      </c>
      <c r="G178" s="122">
        <v>15082.435230416701</v>
      </c>
      <c r="H178" s="113" t="str">
        <f t="shared" si="5"/>
        <v>SG</v>
      </c>
      <c r="I178" s="113" t="str">
        <f>INDEX('GP Lookup'!$I:$I,MATCH(A178,'GP Lookup'!$A:$A,0))</f>
        <v>P</v>
      </c>
      <c r="J178" s="113" t="str">
        <f>IF('GP Jun22data'!$G178=0,"NO",IF(ISNA('GP Jun22data'!$I178),"YES",IF(_xlfn.ISFORMULA('GP Jun22data'!$I178),"NO","YES")))</f>
        <v>NO</v>
      </c>
      <c r="K178"/>
    </row>
    <row r="179" spans="1:11">
      <c r="A179" s="114" t="str">
        <f t="shared" si="4"/>
        <v>1010000ELEC PLANT IN SERV3940000"TLS, SHOP, GAR EQUIPMENT"SG</v>
      </c>
      <c r="B179" s="125" t="s">
        <v>1809</v>
      </c>
      <c r="C179" s="119" t="s">
        <v>1453</v>
      </c>
      <c r="D179" s="125" t="s">
        <v>1801</v>
      </c>
      <c r="E179" s="121" t="s">
        <v>1530</v>
      </c>
      <c r="F179" s="119" t="s">
        <v>3108</v>
      </c>
      <c r="G179" s="122">
        <v>726.39468875</v>
      </c>
      <c r="H179" s="113" t="str">
        <f t="shared" si="5"/>
        <v>SG</v>
      </c>
      <c r="I179" s="113" t="str">
        <f>INDEX('GP Lookup'!$I:$I,MATCH(A179,'GP Lookup'!$A:$A,0))</f>
        <v>P</v>
      </c>
      <c r="J179" s="113" t="str">
        <f>IF('GP Jun22data'!$G179=0,"NO",IF(ISNA('GP Jun22data'!$I179),"YES",IF(_xlfn.ISFORMULA('GP Jun22data'!$I179),"NO","YES")))</f>
        <v>NO</v>
      </c>
      <c r="K179"/>
    </row>
    <row r="180" spans="1:11">
      <c r="A180" s="114" t="str">
        <f t="shared" si="4"/>
        <v>1010000ELEC PLANT IN SERV3940000"TLS, SHOP, GAR EQUIPMENT"SITUS</v>
      </c>
      <c r="B180" s="125" t="s">
        <v>1809</v>
      </c>
      <c r="C180" s="119" t="s">
        <v>1453</v>
      </c>
      <c r="D180" s="125" t="s">
        <v>1801</v>
      </c>
      <c r="E180" s="121" t="s">
        <v>1530</v>
      </c>
      <c r="F180" s="119" t="s">
        <v>372</v>
      </c>
      <c r="G180" s="122">
        <v>2225.7779233333299</v>
      </c>
      <c r="H180" s="113" t="str">
        <f t="shared" si="5"/>
        <v>SITUS</v>
      </c>
      <c r="I180" s="113" t="str">
        <f>INDEX('GP Lookup'!$I:$I,MATCH(A180,'GP Lookup'!$A:$A,0))</f>
        <v>TD</v>
      </c>
      <c r="J180" s="113" t="str">
        <f>IF('GP Jun22data'!$G180=0,"NO",IF(ISNA('GP Jun22data'!$I180),"YES",IF(_xlfn.ISFORMULA('GP Jun22data'!$I180),"NO","YES")))</f>
        <v>NO</v>
      </c>
      <c r="K180"/>
    </row>
    <row r="181" spans="1:11">
      <c r="A181" s="114" t="str">
        <f t="shared" si="4"/>
        <v>1010000ELEC PLANT IN SERV3940000"TLS, SHOP, GAR EQUIPMENT"SG</v>
      </c>
      <c r="B181" s="125" t="s">
        <v>1809</v>
      </c>
      <c r="C181" s="119" t="s">
        <v>1453</v>
      </c>
      <c r="D181" s="125" t="s">
        <v>1801</v>
      </c>
      <c r="E181" s="121" t="s">
        <v>1530</v>
      </c>
      <c r="F181" s="119" t="s">
        <v>3107</v>
      </c>
      <c r="G181" s="122">
        <v>2835.29806166667</v>
      </c>
      <c r="H181" s="113" t="str">
        <f t="shared" si="5"/>
        <v>SG</v>
      </c>
      <c r="I181" s="113" t="str">
        <f>INDEX('GP Lookup'!$I:$I,MATCH(A181,'GP Lookup'!$A:$A,0))</f>
        <v>P</v>
      </c>
      <c r="J181" s="113" t="str">
        <f>IF('GP Jun22data'!$G181=0,"NO",IF(ISNA('GP Jun22data'!$I181),"YES",IF(_xlfn.ISFORMULA('GP Jun22data'!$I181),"NO","YES")))</f>
        <v>NO</v>
      </c>
      <c r="K181"/>
    </row>
    <row r="182" spans="1:11">
      <c r="A182" s="114" t="str">
        <f t="shared" si="4"/>
        <v>1010000ELEC PLANT IN SERV3940000"TLS, SHOP, GAR EQUIPMENT"SITUS</v>
      </c>
      <c r="B182" s="125" t="s">
        <v>1809</v>
      </c>
      <c r="C182" s="119" t="s">
        <v>1453</v>
      </c>
      <c r="D182" s="125" t="s">
        <v>1801</v>
      </c>
      <c r="E182" s="121" t="s">
        <v>1530</v>
      </c>
      <c r="F182" s="119" t="s">
        <v>343</v>
      </c>
      <c r="G182" s="122">
        <v>11054.72786375</v>
      </c>
      <c r="H182" s="113" t="str">
        <f t="shared" si="5"/>
        <v>SITUS</v>
      </c>
      <c r="I182" s="113" t="str">
        <f>INDEX('GP Lookup'!$I:$I,MATCH(A182,'GP Lookup'!$A:$A,0))</f>
        <v>TD</v>
      </c>
      <c r="J182" s="113" t="str">
        <f>IF('GP Jun22data'!$G182=0,"NO",IF(ISNA('GP Jun22data'!$I182),"YES",IF(_xlfn.ISFORMULA('GP Jun22data'!$I182),"NO","YES")))</f>
        <v>NO</v>
      </c>
      <c r="K182"/>
    </row>
    <row r="183" spans="1:11">
      <c r="A183" s="114" t="str">
        <f t="shared" si="4"/>
        <v>1010000ELEC PLANT IN SERV3940000"TLS, SHOP, GAR EQUIPMENT"SG</v>
      </c>
      <c r="B183" s="125" t="s">
        <v>1809</v>
      </c>
      <c r="C183" s="119" t="s">
        <v>1453</v>
      </c>
      <c r="D183" s="125" t="s">
        <v>1801</v>
      </c>
      <c r="E183" s="121" t="s">
        <v>1530</v>
      </c>
      <c r="F183" s="119" t="s">
        <v>87</v>
      </c>
      <c r="G183" s="122">
        <v>3131.7985366666699</v>
      </c>
      <c r="H183" s="113" t="str">
        <f t="shared" si="5"/>
        <v>SG</v>
      </c>
      <c r="I183" s="113" t="str">
        <f>INDEX('GP Lookup'!$I:$I,MATCH(A183,'GP Lookup'!$A:$A,0))</f>
        <v>P</v>
      </c>
      <c r="J183" s="113" t="str">
        <f>IF('GP Jun22data'!$G183=0,"NO",IF(ISNA('GP Jun22data'!$I183),"YES",IF(_xlfn.ISFORMULA('GP Jun22data'!$I183),"NO","YES")))</f>
        <v>NO</v>
      </c>
      <c r="K183"/>
    </row>
    <row r="184" spans="1:11">
      <c r="A184" s="114" t="str">
        <f t="shared" si="4"/>
        <v>1010000ELEC PLANT IN SERV3940000"TLS, SHOP, GAR EQUIPMENT"SO</v>
      </c>
      <c r="B184" s="125" t="s">
        <v>1809</v>
      </c>
      <c r="C184" s="119" t="s">
        <v>1453</v>
      </c>
      <c r="D184" s="125" t="s">
        <v>1801</v>
      </c>
      <c r="E184" s="121" t="s">
        <v>1530</v>
      </c>
      <c r="F184" s="119" t="s">
        <v>89</v>
      </c>
      <c r="G184" s="122">
        <v>1895.9740479166701</v>
      </c>
      <c r="H184" s="113" t="str">
        <f t="shared" si="5"/>
        <v>SO</v>
      </c>
      <c r="I184" s="113" t="str">
        <f>INDEX('GP Lookup'!$I:$I,MATCH(A184,'GP Lookup'!$A:$A,0))</f>
        <v>PTD</v>
      </c>
      <c r="J184" s="113" t="str">
        <f>IF('GP Jun22data'!$G184=0,"NO",IF(ISNA('GP Jun22data'!$I184),"YES",IF(_xlfn.ISFORMULA('GP Jun22data'!$I184),"NO","YES")))</f>
        <v>NO</v>
      </c>
      <c r="K184"/>
    </row>
    <row r="185" spans="1:11">
      <c r="A185" s="114" t="str">
        <f t="shared" si="4"/>
        <v>1010000ELEC PLANT IN SERV3940000"TLS, SHOP, GAR EQUIPMENT"SITUS</v>
      </c>
      <c r="B185" s="125" t="s">
        <v>1809</v>
      </c>
      <c r="C185" s="119" t="s">
        <v>1453</v>
      </c>
      <c r="D185" s="125" t="s">
        <v>1801</v>
      </c>
      <c r="E185" s="121" t="s">
        <v>1530</v>
      </c>
      <c r="F185" s="119" t="s">
        <v>370</v>
      </c>
      <c r="G185" s="122">
        <v>16026.869825416699</v>
      </c>
      <c r="H185" s="113" t="str">
        <f t="shared" si="5"/>
        <v>SITUS</v>
      </c>
      <c r="I185" s="113" t="str">
        <f>INDEX('GP Lookup'!$I:$I,MATCH(A185,'GP Lookup'!$A:$A,0))</f>
        <v>TD</v>
      </c>
      <c r="J185" s="113" t="str">
        <f>IF('GP Jun22data'!$G185=0,"NO",IF(ISNA('GP Jun22data'!$I185),"YES",IF(_xlfn.ISFORMULA('GP Jun22data'!$I185),"NO","YES")))</f>
        <v>NO</v>
      </c>
      <c r="K185"/>
    </row>
    <row r="186" spans="1:11">
      <c r="A186" s="114" t="str">
        <f t="shared" si="4"/>
        <v>1010000ELEC PLANT IN SERV3940000"TLS, SHOP, GAR EQUIPMENT"SITUS</v>
      </c>
      <c r="B186" s="125" t="s">
        <v>1809</v>
      </c>
      <c r="C186" s="119" t="s">
        <v>1453</v>
      </c>
      <c r="D186" s="125" t="s">
        <v>1801</v>
      </c>
      <c r="E186" s="121" t="s">
        <v>1530</v>
      </c>
      <c r="F186" s="119" t="s">
        <v>367</v>
      </c>
      <c r="G186" s="122">
        <v>2723.7399654166702</v>
      </c>
      <c r="H186" s="113" t="str">
        <f t="shared" si="5"/>
        <v>SITUS</v>
      </c>
      <c r="I186" s="113" t="str">
        <f>INDEX('GP Lookup'!$I:$I,MATCH(A186,'GP Lookup'!$A:$A,0))</f>
        <v>TD</v>
      </c>
      <c r="J186" s="113" t="str">
        <f>IF('GP Jun22data'!$G186=0,"NO",IF(ISNA('GP Jun22data'!$I186),"YES",IF(_xlfn.ISFORMULA('GP Jun22data'!$I186),"NO","YES")))</f>
        <v>NO</v>
      </c>
      <c r="K186"/>
    </row>
    <row r="187" spans="1:11">
      <c r="A187" s="114" t="str">
        <f t="shared" si="4"/>
        <v>1010000ELEC PLANT IN SERV3940000"TLS, SHOP, GAR EQUIPMENT"SITUS</v>
      </c>
      <c r="B187" s="125" t="s">
        <v>1809</v>
      </c>
      <c r="C187" s="119" t="s">
        <v>1453</v>
      </c>
      <c r="D187" s="125" t="s">
        <v>1801</v>
      </c>
      <c r="E187" s="121" t="s">
        <v>1530</v>
      </c>
      <c r="F187" s="119" t="s">
        <v>386</v>
      </c>
      <c r="G187" s="122">
        <v>4118.2412733333304</v>
      </c>
      <c r="H187" s="113" t="str">
        <f t="shared" si="5"/>
        <v>SITUS</v>
      </c>
      <c r="I187" s="113" t="str">
        <f>INDEX('GP Lookup'!$I:$I,MATCH(A187,'GP Lookup'!$A:$A,0))</f>
        <v>TD</v>
      </c>
      <c r="J187" s="113" t="str">
        <f>IF('GP Jun22data'!$G187=0,"NO",IF(ISNA('GP Jun22data'!$I187),"YES",IF(_xlfn.ISFORMULA('GP Jun22data'!$I187),"NO","YES")))</f>
        <v>NO</v>
      </c>
      <c r="K187"/>
    </row>
    <row r="188" spans="1:11">
      <c r="A188" s="114" t="str">
        <f t="shared" si="4"/>
        <v>1010000ELEC PLANT IN SERV3940000"TLS, SHOP, GAR EQUIPMENT"SITUS</v>
      </c>
      <c r="B188" s="125" t="s">
        <v>1809</v>
      </c>
      <c r="C188" s="119" t="s">
        <v>1453</v>
      </c>
      <c r="D188" s="125" t="s">
        <v>1801</v>
      </c>
      <c r="E188" s="121" t="s">
        <v>1530</v>
      </c>
      <c r="F188" s="119" t="s">
        <v>378</v>
      </c>
      <c r="G188" s="122">
        <v>358.23881375000002</v>
      </c>
      <c r="H188" s="113" t="str">
        <f t="shared" si="5"/>
        <v>SITUS</v>
      </c>
      <c r="I188" s="113" t="str">
        <f>INDEX('GP Lookup'!$I:$I,MATCH(A188,'GP Lookup'!$A:$A,0))</f>
        <v>TD</v>
      </c>
      <c r="J188" s="113" t="str">
        <f>IF('GP Jun22data'!$G188=0,"NO",IF(ISNA('GP Jun22data'!$I188),"YES",IF(_xlfn.ISFORMULA('GP Jun22data'!$I188),"NO","YES")))</f>
        <v>NO</v>
      </c>
      <c r="K188"/>
    </row>
    <row r="189" spans="1:11">
      <c r="A189" s="114" t="str">
        <f t="shared" si="4"/>
        <v>1010000ELEC PLANT IN SERV3950000LABORATORY EQUIPMENTSITUS</v>
      </c>
      <c r="B189" s="125" t="s">
        <v>1809</v>
      </c>
      <c r="C189" s="119" t="s">
        <v>1453</v>
      </c>
      <c r="D189" s="125" t="s">
        <v>1802</v>
      </c>
      <c r="E189" s="121" t="s">
        <v>1531</v>
      </c>
      <c r="F189" s="119" t="s">
        <v>387</v>
      </c>
      <c r="G189" s="122">
        <v>521.36260208333294</v>
      </c>
      <c r="H189" s="113" t="str">
        <f t="shared" si="5"/>
        <v>SITUS</v>
      </c>
      <c r="I189" s="113" t="str">
        <f>INDEX('GP Lookup'!$I:$I,MATCH(A189,'GP Lookup'!$A:$A,0))</f>
        <v>TD</v>
      </c>
      <c r="J189" s="113" t="str">
        <f>IF('GP Jun22data'!$G189=0,"NO",IF(ISNA('GP Jun22data'!$I189),"YES",IF(_xlfn.ISFORMULA('GP Jun22data'!$I189),"NO","YES")))</f>
        <v>NO</v>
      </c>
      <c r="K189"/>
    </row>
    <row r="190" spans="1:11">
      <c r="A190" s="114" t="str">
        <f t="shared" si="4"/>
        <v>1010000ELEC PLANT IN SERV3950000LABORATORY EQUIPMENTSE</v>
      </c>
      <c r="B190" s="125" t="s">
        <v>1809</v>
      </c>
      <c r="C190" s="119" t="s">
        <v>1453</v>
      </c>
      <c r="D190" s="125" t="s">
        <v>1802</v>
      </c>
      <c r="E190" s="121" t="s">
        <v>1531</v>
      </c>
      <c r="F190" s="119" t="s">
        <v>3110</v>
      </c>
      <c r="G190" s="122">
        <v>1333.377125</v>
      </c>
      <c r="H190" s="113" t="str">
        <f t="shared" si="5"/>
        <v>SE</v>
      </c>
      <c r="I190" s="113" t="str">
        <f>INDEX('GP Lookup'!$I:$I,MATCH(A190,'GP Lookup'!$A:$A,0))</f>
        <v>P</v>
      </c>
      <c r="J190" s="113" t="str">
        <f>IF('GP Jun22data'!$G190=0,"NO",IF(ISNA('GP Jun22data'!$I190),"YES",IF(_xlfn.ISFORMULA('GP Jun22data'!$I190),"NO","YES")))</f>
        <v>NO</v>
      </c>
      <c r="K190"/>
    </row>
    <row r="191" spans="1:11">
      <c r="A191" s="114" t="str">
        <f t="shared" si="4"/>
        <v>1010000ELEC PLANT IN SERV3950000LABORATORY EQUIPMENTSG</v>
      </c>
      <c r="B191" s="125" t="s">
        <v>1809</v>
      </c>
      <c r="C191" s="119" t="s">
        <v>1453</v>
      </c>
      <c r="D191" s="125" t="s">
        <v>1802</v>
      </c>
      <c r="E191" s="121" t="s">
        <v>1531</v>
      </c>
      <c r="F191" s="119" t="s">
        <v>3106</v>
      </c>
      <c r="G191" s="122">
        <v>3517.7704595833302</v>
      </c>
      <c r="H191" s="113" t="str">
        <f t="shared" si="5"/>
        <v>SG</v>
      </c>
      <c r="I191" s="113" t="str">
        <f>INDEX('GP Lookup'!$I:$I,MATCH(A191,'GP Lookup'!$A:$A,0))</f>
        <v>P</v>
      </c>
      <c r="J191" s="113" t="str">
        <f>IF('GP Jun22data'!$G191=0,"NO",IF(ISNA('GP Jun22data'!$I191),"YES",IF(_xlfn.ISFORMULA('GP Jun22data'!$I191),"NO","YES")))</f>
        <v>NO</v>
      </c>
      <c r="K191"/>
    </row>
    <row r="192" spans="1:11">
      <c r="A192" s="114" t="str">
        <f t="shared" si="4"/>
        <v>1010000ELEC PLANT IN SERV3950000LABORATORY EQUIPMENTSG</v>
      </c>
      <c r="B192" s="125" t="s">
        <v>1809</v>
      </c>
      <c r="C192" s="119" t="s">
        <v>1453</v>
      </c>
      <c r="D192" s="125" t="s">
        <v>1802</v>
      </c>
      <c r="E192" s="121" t="s">
        <v>1531</v>
      </c>
      <c r="F192" s="119" t="s">
        <v>3108</v>
      </c>
      <c r="G192" s="122">
        <v>216.60748916666699</v>
      </c>
      <c r="H192" s="113" t="str">
        <f t="shared" si="5"/>
        <v>SG</v>
      </c>
      <c r="I192" s="113" t="str">
        <f>INDEX('GP Lookup'!$I:$I,MATCH(A192,'GP Lookup'!$A:$A,0))</f>
        <v>P</v>
      </c>
      <c r="J192" s="113" t="str">
        <f>IF('GP Jun22data'!$G192=0,"NO",IF(ISNA('GP Jun22data'!$I192),"YES",IF(_xlfn.ISFORMULA('GP Jun22data'!$I192),"NO","YES")))</f>
        <v>NO</v>
      </c>
      <c r="K192"/>
    </row>
    <row r="193" spans="1:11">
      <c r="A193" s="114" t="str">
        <f t="shared" si="4"/>
        <v>1010000ELEC PLANT IN SERV3950000LABORATORY EQUIPMENTSITUS</v>
      </c>
      <c r="B193" s="125" t="s">
        <v>1809</v>
      </c>
      <c r="C193" s="119" t="s">
        <v>1453</v>
      </c>
      <c r="D193" s="125" t="s">
        <v>1802</v>
      </c>
      <c r="E193" s="121" t="s">
        <v>1531</v>
      </c>
      <c r="F193" s="119" t="s">
        <v>372</v>
      </c>
      <c r="G193" s="122">
        <v>1348.3619887499999</v>
      </c>
      <c r="H193" s="113" t="str">
        <f t="shared" si="5"/>
        <v>SITUS</v>
      </c>
      <c r="I193" s="113" t="str">
        <f>INDEX('GP Lookup'!$I:$I,MATCH(A193,'GP Lookup'!$A:$A,0))</f>
        <v>TD</v>
      </c>
      <c r="J193" s="113" t="str">
        <f>IF('GP Jun22data'!$G193=0,"NO",IF(ISNA('GP Jun22data'!$I193),"YES",IF(_xlfn.ISFORMULA('GP Jun22data'!$I193),"NO","YES")))</f>
        <v>NO</v>
      </c>
      <c r="K193"/>
    </row>
    <row r="194" spans="1:11">
      <c r="A194" s="114" t="str">
        <f t="shared" ref="A194:A257" si="6">CONCATENATE($B194,$C194,$D194,$E194,$H194)</f>
        <v>1010000ELEC PLANT IN SERV3950000LABORATORY EQUIPMENTSG</v>
      </c>
      <c r="B194" s="125" t="s">
        <v>1809</v>
      </c>
      <c r="C194" s="119" t="s">
        <v>1453</v>
      </c>
      <c r="D194" s="125" t="s">
        <v>1802</v>
      </c>
      <c r="E194" s="121" t="s">
        <v>1531</v>
      </c>
      <c r="F194" s="119" t="s">
        <v>3107</v>
      </c>
      <c r="G194" s="122">
        <v>481.32349375000001</v>
      </c>
      <c r="H194" s="113" t="str">
        <f t="shared" si="5"/>
        <v>SG</v>
      </c>
      <c r="I194" s="113" t="str">
        <f>INDEX('GP Lookup'!$I:$I,MATCH(A194,'GP Lookup'!$A:$A,0))</f>
        <v>P</v>
      </c>
      <c r="J194" s="113" t="str">
        <f>IF('GP Jun22data'!$G194=0,"NO",IF(ISNA('GP Jun22data'!$I194),"YES",IF(_xlfn.ISFORMULA('GP Jun22data'!$I194),"NO","YES")))</f>
        <v>NO</v>
      </c>
      <c r="K194"/>
    </row>
    <row r="195" spans="1:11">
      <c r="A195" s="114" t="str">
        <f t="shared" si="6"/>
        <v>1010000ELEC PLANT IN SERV3950000LABORATORY EQUIPMENTSITUS</v>
      </c>
      <c r="B195" s="125" t="s">
        <v>1809</v>
      </c>
      <c r="C195" s="119" t="s">
        <v>1453</v>
      </c>
      <c r="D195" s="125" t="s">
        <v>1802</v>
      </c>
      <c r="E195" s="121" t="s">
        <v>1531</v>
      </c>
      <c r="F195" s="119" t="s">
        <v>343</v>
      </c>
      <c r="G195" s="122">
        <v>9739.2547887500004</v>
      </c>
      <c r="H195" s="113" t="str">
        <f t="shared" ref="H195:H258" si="7">IF(OR(F195="IDU",F195="OR",F195="UT",F195="WYU",F195="WYP",F195="CA",F195="WA"),"SITUS",IF(OR(F195="CAEE",F195="JBE"),"SE",IF(OR(F195="CAGE",F195="CAGW",F195="JBG"),"SG",F195)))</f>
        <v>SITUS</v>
      </c>
      <c r="I195" s="113" t="str">
        <f>INDEX('GP Lookup'!$I:$I,MATCH(A195,'GP Lookup'!$A:$A,0))</f>
        <v>TD</v>
      </c>
      <c r="J195" s="113" t="str">
        <f>IF('GP Jun22data'!$G195=0,"NO",IF(ISNA('GP Jun22data'!$I195),"YES",IF(_xlfn.ISFORMULA('GP Jun22data'!$I195),"NO","YES")))</f>
        <v>NO</v>
      </c>
      <c r="K195"/>
    </row>
    <row r="196" spans="1:11">
      <c r="A196" s="114" t="str">
        <f t="shared" si="6"/>
        <v>1010000ELEC PLANT IN SERV3950000LABORATORY EQUIPMENTSG</v>
      </c>
      <c r="B196" s="125" t="s">
        <v>1809</v>
      </c>
      <c r="C196" s="119" t="s">
        <v>1453</v>
      </c>
      <c r="D196" s="125" t="s">
        <v>1802</v>
      </c>
      <c r="E196" s="121" t="s">
        <v>1531</v>
      </c>
      <c r="F196" s="119" t="s">
        <v>87</v>
      </c>
      <c r="G196" s="122">
        <v>2386.87982416667</v>
      </c>
      <c r="H196" s="113" t="str">
        <f t="shared" si="7"/>
        <v>SG</v>
      </c>
      <c r="I196" s="113" t="str">
        <f>INDEX('GP Lookup'!$I:$I,MATCH(A196,'GP Lookup'!$A:$A,0))</f>
        <v>P</v>
      </c>
      <c r="J196" s="113" t="str">
        <f>IF('GP Jun22data'!$G196=0,"NO",IF(ISNA('GP Jun22data'!$I196),"YES",IF(_xlfn.ISFORMULA('GP Jun22data'!$I196),"NO","YES")))</f>
        <v>NO</v>
      </c>
      <c r="K196"/>
    </row>
    <row r="197" spans="1:11">
      <c r="A197" s="114" t="str">
        <f t="shared" si="6"/>
        <v>1010000ELEC PLANT IN SERV3950000LABORATORY EQUIPMENTSO</v>
      </c>
      <c r="B197" s="125" t="s">
        <v>1809</v>
      </c>
      <c r="C197" s="119" t="s">
        <v>1453</v>
      </c>
      <c r="D197" s="125" t="s">
        <v>1802</v>
      </c>
      <c r="E197" s="121" t="s">
        <v>1531</v>
      </c>
      <c r="F197" s="119" t="s">
        <v>89</v>
      </c>
      <c r="G197" s="122">
        <v>5105.7514158333297</v>
      </c>
      <c r="H197" s="113" t="str">
        <f t="shared" si="7"/>
        <v>SO</v>
      </c>
      <c r="I197" s="113" t="str">
        <f>INDEX('GP Lookup'!$I:$I,MATCH(A197,'GP Lookup'!$A:$A,0))</f>
        <v>PTD</v>
      </c>
      <c r="J197" s="113" t="str">
        <f>IF('GP Jun22data'!$G197=0,"NO",IF(ISNA('GP Jun22data'!$I197),"YES",IF(_xlfn.ISFORMULA('GP Jun22data'!$I197),"NO","YES")))</f>
        <v>NO</v>
      </c>
      <c r="K197"/>
    </row>
    <row r="198" spans="1:11">
      <c r="A198" s="114" t="str">
        <f t="shared" si="6"/>
        <v>1010000ELEC PLANT IN SERV3950000LABORATORY EQUIPMENTSITUS</v>
      </c>
      <c r="B198" s="125" t="s">
        <v>1809</v>
      </c>
      <c r="C198" s="119" t="s">
        <v>1453</v>
      </c>
      <c r="D198" s="125" t="s">
        <v>1802</v>
      </c>
      <c r="E198" s="121" t="s">
        <v>1531</v>
      </c>
      <c r="F198" s="119" t="s">
        <v>370</v>
      </c>
      <c r="G198" s="122">
        <v>7746.4518145833299</v>
      </c>
      <c r="H198" s="113" t="str">
        <f t="shared" si="7"/>
        <v>SITUS</v>
      </c>
      <c r="I198" s="113" t="str">
        <f>INDEX('GP Lookup'!$I:$I,MATCH(A198,'GP Lookup'!$A:$A,0))</f>
        <v>TD</v>
      </c>
      <c r="J198" s="113" t="str">
        <f>IF('GP Jun22data'!$G198=0,"NO",IF(ISNA('GP Jun22data'!$I198),"YES",IF(_xlfn.ISFORMULA('GP Jun22data'!$I198),"NO","YES")))</f>
        <v>NO</v>
      </c>
      <c r="K198"/>
    </row>
    <row r="199" spans="1:11">
      <c r="A199" s="114" t="str">
        <f t="shared" si="6"/>
        <v>1010000ELEC PLANT IN SERV3950000LABORATORY EQUIPMENTSITUS</v>
      </c>
      <c r="B199" s="125" t="s">
        <v>1809</v>
      </c>
      <c r="C199" s="119" t="s">
        <v>1453</v>
      </c>
      <c r="D199" s="125" t="s">
        <v>1802</v>
      </c>
      <c r="E199" s="121" t="s">
        <v>1531</v>
      </c>
      <c r="F199" s="119" t="s">
        <v>367</v>
      </c>
      <c r="G199" s="122">
        <v>1445.75450041667</v>
      </c>
      <c r="H199" s="113" t="str">
        <f t="shared" si="7"/>
        <v>SITUS</v>
      </c>
      <c r="I199" s="113" t="str">
        <f>INDEX('GP Lookup'!$I:$I,MATCH(A199,'GP Lookup'!$A:$A,0))</f>
        <v>TD</v>
      </c>
      <c r="J199" s="113" t="str">
        <f>IF('GP Jun22data'!$G199=0,"NO",IF(ISNA('GP Jun22data'!$I199),"YES",IF(_xlfn.ISFORMULA('GP Jun22data'!$I199),"NO","YES")))</f>
        <v>NO</v>
      </c>
      <c r="K199"/>
    </row>
    <row r="200" spans="1:11">
      <c r="A200" s="114" t="str">
        <f t="shared" si="6"/>
        <v>1010000ELEC PLANT IN SERV3950000LABORATORY EQUIPMENTSITUS</v>
      </c>
      <c r="B200" s="125" t="s">
        <v>1809</v>
      </c>
      <c r="C200" s="119" t="s">
        <v>1453</v>
      </c>
      <c r="D200" s="125" t="s">
        <v>1802</v>
      </c>
      <c r="E200" s="121" t="s">
        <v>1531</v>
      </c>
      <c r="F200" s="119" t="s">
        <v>386</v>
      </c>
      <c r="G200" s="122">
        <v>2689.0316070833301</v>
      </c>
      <c r="H200" s="113" t="str">
        <f t="shared" si="7"/>
        <v>SITUS</v>
      </c>
      <c r="I200" s="113" t="str">
        <f>INDEX('GP Lookup'!$I:$I,MATCH(A200,'GP Lookup'!$A:$A,0))</f>
        <v>TD</v>
      </c>
      <c r="J200" s="113" t="str">
        <f>IF('GP Jun22data'!$G200=0,"NO",IF(ISNA('GP Jun22data'!$I200),"YES",IF(_xlfn.ISFORMULA('GP Jun22data'!$I200),"NO","YES")))</f>
        <v>NO</v>
      </c>
      <c r="K200"/>
    </row>
    <row r="201" spans="1:11">
      <c r="A201" s="114" t="str">
        <f t="shared" si="6"/>
        <v>1010000ELEC PLANT IN SERV3950000LABORATORY EQUIPMENTSITUS</v>
      </c>
      <c r="B201" s="125" t="s">
        <v>1809</v>
      </c>
      <c r="C201" s="119" t="s">
        <v>1453</v>
      </c>
      <c r="D201" s="125" t="s">
        <v>1802</v>
      </c>
      <c r="E201" s="121" t="s">
        <v>1531</v>
      </c>
      <c r="F201" s="119" t="s">
        <v>378</v>
      </c>
      <c r="G201" s="122">
        <v>95.908599166666605</v>
      </c>
      <c r="H201" s="113" t="str">
        <f t="shared" si="7"/>
        <v>SITUS</v>
      </c>
      <c r="I201" s="113" t="str">
        <f>INDEX('GP Lookup'!$I:$I,MATCH(A201,'GP Lookup'!$A:$A,0))</f>
        <v>TD</v>
      </c>
      <c r="J201" s="113" t="str">
        <f>IF('GP Jun22data'!$G201=0,"NO",IF(ISNA('GP Jun22data'!$I201),"YES",IF(_xlfn.ISFORMULA('GP Jun22data'!$I201),"NO","YES")))</f>
        <v>NO</v>
      </c>
      <c r="K201"/>
    </row>
    <row r="202" spans="1:11">
      <c r="A202" s="114" t="str">
        <f t="shared" si="6"/>
        <v>1010000ELEC PLANT IN SERV3960300"AERIAL LIFT PB TRUCKS, 10000#-16000# GVSITUS</v>
      </c>
      <c r="B202" s="125" t="s">
        <v>1809</v>
      </c>
      <c r="C202" s="119" t="s">
        <v>1453</v>
      </c>
      <c r="D202" s="125" t="s">
        <v>1822</v>
      </c>
      <c r="E202" s="121" t="s">
        <v>1532</v>
      </c>
      <c r="F202" s="119" t="s">
        <v>387</v>
      </c>
      <c r="G202" s="122">
        <v>2123.76965791667</v>
      </c>
      <c r="H202" s="113" t="str">
        <f t="shared" si="7"/>
        <v>SITUS</v>
      </c>
      <c r="I202" s="113" t="str">
        <f>INDEX('GP Lookup'!$I:$I,MATCH(A202,'GP Lookup'!$A:$A,0))</f>
        <v>DPW</v>
      </c>
      <c r="J202" s="113" t="str">
        <f>IF('GP Jun22data'!$G202=0,"NO",IF(ISNA('GP Jun22data'!$I202),"YES",IF(_xlfn.ISFORMULA('GP Jun22data'!$I202),"NO","YES")))</f>
        <v>NO</v>
      </c>
      <c r="K202"/>
    </row>
    <row r="203" spans="1:11">
      <c r="A203" s="114" t="str">
        <f t="shared" si="6"/>
        <v>1010000ELEC PLANT IN SERV3960300"AERIAL LIFT PB TRUCKS, 10000#-16000# GVSG</v>
      </c>
      <c r="B203" s="125" t="s">
        <v>1809</v>
      </c>
      <c r="C203" s="119" t="s">
        <v>1453</v>
      </c>
      <c r="D203" s="125" t="s">
        <v>1822</v>
      </c>
      <c r="E203" s="121" t="s">
        <v>1532</v>
      </c>
      <c r="F203" s="119" t="s">
        <v>3106</v>
      </c>
      <c r="G203" s="122">
        <v>84.484009999999998</v>
      </c>
      <c r="H203" s="113" t="str">
        <f t="shared" si="7"/>
        <v>SG</v>
      </c>
      <c r="I203" s="113" t="str">
        <f>INDEX('GP Lookup'!$I:$I,MATCH(A203,'GP Lookup'!$A:$A,0))</f>
        <v>P</v>
      </c>
      <c r="J203" s="113" t="str">
        <f>IF('GP Jun22data'!$G203=0,"NO",IF(ISNA('GP Jun22data'!$I203),"YES",IF(_xlfn.ISFORMULA('GP Jun22data'!$I203),"NO","YES")))</f>
        <v>NO</v>
      </c>
      <c r="K203"/>
    </row>
    <row r="204" spans="1:11">
      <c r="A204" s="114" t="str">
        <f t="shared" si="6"/>
        <v>1010000ELEC PLANT IN SERV3960300"AERIAL LIFT PB TRUCKS, 10000#-16000# GVSITUS</v>
      </c>
      <c r="B204" s="125" t="s">
        <v>1809</v>
      </c>
      <c r="C204" s="119" t="s">
        <v>1453</v>
      </c>
      <c r="D204" s="125" t="s">
        <v>1822</v>
      </c>
      <c r="E204" s="121" t="s">
        <v>1532</v>
      </c>
      <c r="F204" s="119" t="s">
        <v>372</v>
      </c>
      <c r="G204" s="122">
        <v>3580.1006683333298</v>
      </c>
      <c r="H204" s="113" t="str">
        <f t="shared" si="7"/>
        <v>SITUS</v>
      </c>
      <c r="I204" s="113" t="str">
        <f>INDEX('GP Lookup'!$I:$I,MATCH(A204,'GP Lookup'!$A:$A,0))</f>
        <v>DPW</v>
      </c>
      <c r="J204" s="113" t="str">
        <f>IF('GP Jun22data'!$G204=0,"NO",IF(ISNA('GP Jun22data'!$I204),"YES",IF(_xlfn.ISFORMULA('GP Jun22data'!$I204),"NO","YES")))</f>
        <v>NO</v>
      </c>
      <c r="K204"/>
    </row>
    <row r="205" spans="1:11">
      <c r="A205" s="114" t="str">
        <f t="shared" si="6"/>
        <v>1010000ELEC PLANT IN SERV3960300"AERIAL LIFT PB TRUCKS, 10000#-16000# GVSITUS</v>
      </c>
      <c r="B205" s="125" t="s">
        <v>1809</v>
      </c>
      <c r="C205" s="119" t="s">
        <v>1453</v>
      </c>
      <c r="D205" s="125" t="s">
        <v>1822</v>
      </c>
      <c r="E205" s="121" t="s">
        <v>1532</v>
      </c>
      <c r="F205" s="119" t="s">
        <v>343</v>
      </c>
      <c r="G205" s="122">
        <v>14654.273244583301</v>
      </c>
      <c r="H205" s="113" t="str">
        <f t="shared" si="7"/>
        <v>SITUS</v>
      </c>
      <c r="I205" s="113" t="str">
        <f>INDEX('GP Lookup'!$I:$I,MATCH(A205,'GP Lookup'!$A:$A,0))</f>
        <v>DPW</v>
      </c>
      <c r="J205" s="113" t="str">
        <f>IF('GP Jun22data'!$G205=0,"NO",IF(ISNA('GP Jun22data'!$I205),"YES",IF(_xlfn.ISFORMULA('GP Jun22data'!$I205),"NO","YES")))</f>
        <v>NO</v>
      </c>
      <c r="K205"/>
    </row>
    <row r="206" spans="1:11">
      <c r="A206" s="114" t="str">
        <f t="shared" si="6"/>
        <v>1010000ELEC PLANT IN SERV3960300"AERIAL LIFT PB TRUCKS, 10000#-16000# GVSG</v>
      </c>
      <c r="B206" s="125" t="s">
        <v>1809</v>
      </c>
      <c r="C206" s="119" t="s">
        <v>1453</v>
      </c>
      <c r="D206" s="125" t="s">
        <v>1822</v>
      </c>
      <c r="E206" s="121" t="s">
        <v>1532</v>
      </c>
      <c r="F206" s="119" t="s">
        <v>87</v>
      </c>
      <c r="G206" s="122">
        <v>264.29638583333298</v>
      </c>
      <c r="H206" s="113" t="str">
        <f t="shared" si="7"/>
        <v>SG</v>
      </c>
      <c r="I206" s="113" t="str">
        <f>INDEX('GP Lookup'!$I:$I,MATCH(A206,'GP Lookup'!$A:$A,0))</f>
        <v>P</v>
      </c>
      <c r="J206" s="113" t="str">
        <f>IF('GP Jun22data'!$G206=0,"NO",IF(ISNA('GP Jun22data'!$I206),"YES",IF(_xlfn.ISFORMULA('GP Jun22data'!$I206),"NO","YES")))</f>
        <v>NO</v>
      </c>
      <c r="K206"/>
    </row>
    <row r="207" spans="1:11">
      <c r="A207" s="114" t="str">
        <f t="shared" si="6"/>
        <v>1010000ELEC PLANT IN SERV3960300"AERIAL LIFT PB TRUCKS, 10000#-16000# GVSO</v>
      </c>
      <c r="B207" s="125" t="s">
        <v>1809</v>
      </c>
      <c r="C207" s="119" t="s">
        <v>1453</v>
      </c>
      <c r="D207" s="125" t="s">
        <v>1822</v>
      </c>
      <c r="E207" s="121" t="s">
        <v>1532</v>
      </c>
      <c r="F207" s="119" t="s">
        <v>89</v>
      </c>
      <c r="G207" s="122">
        <v>1308.08620791667</v>
      </c>
      <c r="H207" s="113" t="str">
        <f t="shared" si="7"/>
        <v>SO</v>
      </c>
      <c r="I207" s="113" t="str">
        <f>INDEX('GP Lookup'!$I:$I,MATCH(A207,'GP Lookup'!$A:$A,0))</f>
        <v>PTD</v>
      </c>
      <c r="J207" s="113" t="str">
        <f>IF('GP Jun22data'!$G207=0,"NO",IF(ISNA('GP Jun22data'!$I207),"YES",IF(_xlfn.ISFORMULA('GP Jun22data'!$I207),"NO","YES")))</f>
        <v>NO</v>
      </c>
      <c r="K207"/>
    </row>
    <row r="208" spans="1:11">
      <c r="A208" s="114" t="str">
        <f t="shared" si="6"/>
        <v>1010000ELEC PLANT IN SERV3960300"AERIAL LIFT PB TRUCKS, 10000#-16000# GVSITUS</v>
      </c>
      <c r="B208" s="125" t="s">
        <v>1809</v>
      </c>
      <c r="C208" s="119" t="s">
        <v>1453</v>
      </c>
      <c r="D208" s="125" t="s">
        <v>1822</v>
      </c>
      <c r="E208" s="121" t="s">
        <v>1532</v>
      </c>
      <c r="F208" s="119" t="s">
        <v>370</v>
      </c>
      <c r="G208" s="122">
        <v>14490.2620204167</v>
      </c>
      <c r="H208" s="113" t="str">
        <f t="shared" si="7"/>
        <v>SITUS</v>
      </c>
      <c r="I208" s="113" t="str">
        <f>INDEX('GP Lookup'!$I:$I,MATCH(A208,'GP Lookup'!$A:$A,0))</f>
        <v>DPW</v>
      </c>
      <c r="J208" s="113" t="str">
        <f>IF('GP Jun22data'!$G208=0,"NO",IF(ISNA('GP Jun22data'!$I208),"YES",IF(_xlfn.ISFORMULA('GP Jun22data'!$I208),"NO","YES")))</f>
        <v>NO</v>
      </c>
      <c r="K208"/>
    </row>
    <row r="209" spans="1:11">
      <c r="A209" s="114" t="str">
        <f t="shared" si="6"/>
        <v>1010000ELEC PLANT IN SERV3960300"AERIAL LIFT PB TRUCKS, 10000#-16000# GVSITUS</v>
      </c>
      <c r="B209" s="125" t="s">
        <v>1809</v>
      </c>
      <c r="C209" s="119" t="s">
        <v>1453</v>
      </c>
      <c r="D209" s="125" t="s">
        <v>1822</v>
      </c>
      <c r="E209" s="121" t="s">
        <v>1532</v>
      </c>
      <c r="F209" s="119" t="s">
        <v>367</v>
      </c>
      <c r="G209" s="122">
        <v>2971.8009487499999</v>
      </c>
      <c r="H209" s="113" t="str">
        <f t="shared" si="7"/>
        <v>SITUS</v>
      </c>
      <c r="I209" s="113" t="str">
        <f>INDEX('GP Lookup'!$I:$I,MATCH(A209,'GP Lookup'!$A:$A,0))</f>
        <v>DPW</v>
      </c>
      <c r="J209" s="113" t="str">
        <f>IF('GP Jun22data'!$G209=0,"NO",IF(ISNA('GP Jun22data'!$I209),"YES",IF(_xlfn.ISFORMULA('GP Jun22data'!$I209),"NO","YES")))</f>
        <v>NO</v>
      </c>
      <c r="K209"/>
    </row>
    <row r="210" spans="1:11">
      <c r="A210" s="114" t="str">
        <f t="shared" si="6"/>
        <v>1010000ELEC PLANT IN SERV3960300"AERIAL LIFT PB TRUCKS, 10000#-16000# GVSITUS</v>
      </c>
      <c r="B210" s="125" t="s">
        <v>1809</v>
      </c>
      <c r="C210" s="119" t="s">
        <v>1453</v>
      </c>
      <c r="D210" s="125" t="s">
        <v>1822</v>
      </c>
      <c r="E210" s="121" t="s">
        <v>1532</v>
      </c>
      <c r="F210" s="119" t="s">
        <v>386</v>
      </c>
      <c r="G210" s="122">
        <v>5863.1315949999998</v>
      </c>
      <c r="H210" s="113" t="str">
        <f t="shared" si="7"/>
        <v>SITUS</v>
      </c>
      <c r="I210" s="113" t="str">
        <f>INDEX('GP Lookup'!$I:$I,MATCH(A210,'GP Lookup'!$A:$A,0))</f>
        <v>DPW</v>
      </c>
      <c r="J210" s="113" t="str">
        <f>IF('GP Jun22data'!$G210=0,"NO",IF(ISNA('GP Jun22data'!$I210),"YES",IF(_xlfn.ISFORMULA('GP Jun22data'!$I210),"NO","YES")))</f>
        <v>NO</v>
      </c>
      <c r="K210"/>
    </row>
    <row r="211" spans="1:11">
      <c r="A211" s="114" t="str">
        <f t="shared" si="6"/>
        <v>1010000ELEC PLANT IN SERV3960300"AERIAL LIFT PB TRUCKS, 10000#-16000# GVSITUS</v>
      </c>
      <c r="B211" s="125" t="s">
        <v>1809</v>
      </c>
      <c r="C211" s="119" t="s">
        <v>1453</v>
      </c>
      <c r="D211" s="125" t="s">
        <v>1822</v>
      </c>
      <c r="E211" s="121" t="s">
        <v>1532</v>
      </c>
      <c r="F211" s="119" t="s">
        <v>378</v>
      </c>
      <c r="G211" s="122">
        <v>873.81727000000001</v>
      </c>
      <c r="H211" s="113" t="str">
        <f t="shared" si="7"/>
        <v>SITUS</v>
      </c>
      <c r="I211" s="113" t="str">
        <f>INDEX('GP Lookup'!$I:$I,MATCH(A211,'GP Lookup'!$A:$A,0))</f>
        <v>DPW</v>
      </c>
      <c r="J211" s="113" t="str">
        <f>IF('GP Jun22data'!$G211=0,"NO",IF(ISNA('GP Jun22data'!$I211),"YES",IF(_xlfn.ISFORMULA('GP Jun22data'!$I211),"NO","YES")))</f>
        <v>NO</v>
      </c>
      <c r="K211"/>
    </row>
    <row r="212" spans="1:11">
      <c r="A212" s="114" t="str">
        <f t="shared" si="6"/>
        <v>1010000ELEC PLANT IN SERV3960700TWO-AXLE DIGGER/DERRICK LINE TRUCKSSITUS</v>
      </c>
      <c r="B212" s="125" t="s">
        <v>1809</v>
      </c>
      <c r="C212" s="119" t="s">
        <v>1453</v>
      </c>
      <c r="D212" s="125" t="s">
        <v>1823</v>
      </c>
      <c r="E212" s="121" t="s">
        <v>1533</v>
      </c>
      <c r="F212" s="119" t="s">
        <v>387</v>
      </c>
      <c r="G212" s="122">
        <v>17.522889583333299</v>
      </c>
      <c r="H212" s="113" t="str">
        <f t="shared" si="7"/>
        <v>SITUS</v>
      </c>
      <c r="I212" s="113" t="str">
        <f>INDEX('GP Lookup'!$I:$I,MATCH(A212,'GP Lookup'!$A:$A,0))</f>
        <v>DPW</v>
      </c>
      <c r="J212" s="113" t="str">
        <f>IF('GP Jun22data'!$G212=0,"NO",IF(ISNA('GP Jun22data'!$I212),"YES",IF(_xlfn.ISFORMULA('GP Jun22data'!$I212),"NO","YES")))</f>
        <v>NO</v>
      </c>
      <c r="K212"/>
    </row>
    <row r="213" spans="1:11">
      <c r="A213" s="114" t="str">
        <f t="shared" si="6"/>
        <v>1010000ELEC PLANT IN SERV3960700TWO-AXLE DIGGER/DERRICK LINE TRUCKSSITUS</v>
      </c>
      <c r="B213" s="125" t="s">
        <v>1809</v>
      </c>
      <c r="C213" s="119" t="s">
        <v>1453</v>
      </c>
      <c r="D213" s="125" t="s">
        <v>1823</v>
      </c>
      <c r="E213" s="121" t="s">
        <v>1533</v>
      </c>
      <c r="F213" s="119" t="s">
        <v>372</v>
      </c>
      <c r="G213" s="122">
        <v>561.28447000000006</v>
      </c>
      <c r="H213" s="113" t="str">
        <f t="shared" si="7"/>
        <v>SITUS</v>
      </c>
      <c r="I213" s="113" t="str">
        <f>INDEX('GP Lookup'!$I:$I,MATCH(A213,'GP Lookup'!$A:$A,0))</f>
        <v>DPW</v>
      </c>
      <c r="J213" s="113" t="str">
        <f>IF('GP Jun22data'!$G213=0,"NO",IF(ISNA('GP Jun22data'!$I213),"YES",IF(_xlfn.ISFORMULA('GP Jun22data'!$I213),"NO","YES")))</f>
        <v>NO</v>
      </c>
      <c r="K213"/>
    </row>
    <row r="214" spans="1:11">
      <c r="A214" s="114" t="str">
        <f t="shared" si="6"/>
        <v>1010000ELEC PLANT IN SERV3960700TWO-AXLE DIGGER/DERRICK LINE TRUCKSSITUS</v>
      </c>
      <c r="B214" s="125" t="s">
        <v>1809</v>
      </c>
      <c r="C214" s="119" t="s">
        <v>1453</v>
      </c>
      <c r="D214" s="125" t="s">
        <v>1823</v>
      </c>
      <c r="E214" s="121" t="s">
        <v>1533</v>
      </c>
      <c r="F214" s="119" t="s">
        <v>343</v>
      </c>
      <c r="G214" s="122">
        <v>1043.9244162499999</v>
      </c>
      <c r="H214" s="113" t="str">
        <f t="shared" si="7"/>
        <v>SITUS</v>
      </c>
      <c r="I214" s="113" t="str">
        <f>INDEX('GP Lookup'!$I:$I,MATCH(A214,'GP Lookup'!$A:$A,0))</f>
        <v>DPW</v>
      </c>
      <c r="J214" s="113" t="str">
        <f>IF('GP Jun22data'!$G214=0,"NO",IF(ISNA('GP Jun22data'!$I214),"YES",IF(_xlfn.ISFORMULA('GP Jun22data'!$I214),"NO","YES")))</f>
        <v>NO</v>
      </c>
      <c r="K214"/>
    </row>
    <row r="215" spans="1:11">
      <c r="A215" s="114" t="str">
        <f t="shared" si="6"/>
        <v>1010000ELEC PLANT IN SERV3960700TWO-AXLE DIGGER/DERRICK LINE TRUCKSSG</v>
      </c>
      <c r="B215" s="125" t="s">
        <v>1809</v>
      </c>
      <c r="C215" s="119" t="s">
        <v>1453</v>
      </c>
      <c r="D215" s="125" t="s">
        <v>1823</v>
      </c>
      <c r="E215" s="121" t="s">
        <v>1533</v>
      </c>
      <c r="F215" s="119" t="s">
        <v>87</v>
      </c>
      <c r="G215" s="122">
        <v>124.30812</v>
      </c>
      <c r="H215" s="113" t="str">
        <f t="shared" si="7"/>
        <v>SG</v>
      </c>
      <c r="I215" s="113" t="str">
        <f>INDEX('GP Lookup'!$I:$I,MATCH(A215,'GP Lookup'!$A:$A,0))</f>
        <v>P</v>
      </c>
      <c r="J215" s="113" t="str">
        <f>IF('GP Jun22data'!$G215=0,"NO",IF(ISNA('GP Jun22data'!$I215),"YES",IF(_xlfn.ISFORMULA('GP Jun22data'!$I215),"NO","YES")))</f>
        <v>NO</v>
      </c>
      <c r="K215"/>
    </row>
    <row r="216" spans="1:11">
      <c r="A216" s="114" t="str">
        <f t="shared" si="6"/>
        <v>1010000ELEC PLANT IN SERV3960700TWO-AXLE DIGGER/DERRICK LINE TRUCKSSITUS</v>
      </c>
      <c r="B216" s="125" t="s">
        <v>1809</v>
      </c>
      <c r="C216" s="119" t="s">
        <v>1453</v>
      </c>
      <c r="D216" s="125" t="s">
        <v>1823</v>
      </c>
      <c r="E216" s="121" t="s">
        <v>1533</v>
      </c>
      <c r="F216" s="119" t="s">
        <v>370</v>
      </c>
      <c r="G216" s="122">
        <v>797.83065999999997</v>
      </c>
      <c r="H216" s="113" t="str">
        <f t="shared" si="7"/>
        <v>SITUS</v>
      </c>
      <c r="I216" s="113" t="str">
        <f>INDEX('GP Lookup'!$I:$I,MATCH(A216,'GP Lookup'!$A:$A,0))</f>
        <v>DPW</v>
      </c>
      <c r="J216" s="113" t="str">
        <f>IF('GP Jun22data'!$G216=0,"NO",IF(ISNA('GP Jun22data'!$I216),"YES",IF(_xlfn.ISFORMULA('GP Jun22data'!$I216),"NO","YES")))</f>
        <v>NO</v>
      </c>
      <c r="K216"/>
    </row>
    <row r="217" spans="1:11">
      <c r="A217" s="114" t="str">
        <f t="shared" si="6"/>
        <v>1010000ELEC PLANT IN SERV3960700TWO-AXLE DIGGER/DERRICK LINE TRUCKSSITUS</v>
      </c>
      <c r="B217" s="125" t="s">
        <v>1809</v>
      </c>
      <c r="C217" s="119" t="s">
        <v>1453</v>
      </c>
      <c r="D217" s="125" t="s">
        <v>1823</v>
      </c>
      <c r="E217" s="121" t="s">
        <v>1533</v>
      </c>
      <c r="F217" s="119" t="s">
        <v>378</v>
      </c>
      <c r="G217" s="122">
        <v>209.91423</v>
      </c>
      <c r="H217" s="113" t="str">
        <f t="shared" si="7"/>
        <v>SITUS</v>
      </c>
      <c r="I217" s="113" t="str">
        <f>INDEX('GP Lookup'!$I:$I,MATCH(A217,'GP Lookup'!$A:$A,0))</f>
        <v>DPW</v>
      </c>
      <c r="J217" s="113" t="str">
        <f>IF('GP Jun22data'!$G217=0,"NO",IF(ISNA('GP Jun22data'!$I217),"YES",IF(_xlfn.ISFORMULA('GP Jun22data'!$I217),"NO","YES")))</f>
        <v>NO</v>
      </c>
      <c r="K217"/>
    </row>
    <row r="218" spans="1:11">
      <c r="A218" s="114" t="str">
        <f t="shared" si="6"/>
        <v>1010000ELEC PLANT IN SERV3960800"AERIAL LIFT P.B. TRUCKS, ABOVE 16000#GVSITUS</v>
      </c>
      <c r="B218" s="125" t="s">
        <v>1809</v>
      </c>
      <c r="C218" s="119" t="s">
        <v>1453</v>
      </c>
      <c r="D218" s="125" t="s">
        <v>1824</v>
      </c>
      <c r="E218" s="121" t="s">
        <v>1534</v>
      </c>
      <c r="F218" s="119" t="s">
        <v>387</v>
      </c>
      <c r="G218" s="122">
        <v>1687.48189875</v>
      </c>
      <c r="H218" s="113" t="str">
        <f t="shared" si="7"/>
        <v>SITUS</v>
      </c>
      <c r="I218" s="113" t="str">
        <f>INDEX('GP Lookup'!$I:$I,MATCH(A218,'GP Lookup'!$A:$A,0))</f>
        <v>DPW</v>
      </c>
      <c r="J218" s="113" t="str">
        <f>IF('GP Jun22data'!$G218=0,"NO",IF(ISNA('GP Jun22data'!$I218),"YES",IF(_xlfn.ISFORMULA('GP Jun22data'!$I218),"NO","YES")))</f>
        <v>NO</v>
      </c>
      <c r="K218"/>
    </row>
    <row r="219" spans="1:11">
      <c r="A219" s="114" t="str">
        <f t="shared" si="6"/>
        <v>1010000ELEC PLANT IN SERV3960800"AERIAL LIFT P.B. TRUCKS, ABOVE 16000#GVSG</v>
      </c>
      <c r="B219" s="125" t="s">
        <v>1809</v>
      </c>
      <c r="C219" s="119" t="s">
        <v>1453</v>
      </c>
      <c r="D219" s="125" t="s">
        <v>1824</v>
      </c>
      <c r="E219" s="121" t="s">
        <v>1534</v>
      </c>
      <c r="F219" s="119" t="s">
        <v>3106</v>
      </c>
      <c r="G219" s="122">
        <v>60.034529999999997</v>
      </c>
      <c r="H219" s="113" t="str">
        <f t="shared" si="7"/>
        <v>SG</v>
      </c>
      <c r="I219" s="113" t="str">
        <f>INDEX('GP Lookup'!$I:$I,MATCH(A219,'GP Lookup'!$A:$A,0))</f>
        <v>P</v>
      </c>
      <c r="J219" s="113" t="str">
        <f>IF('GP Jun22data'!$G219=0,"NO",IF(ISNA('GP Jun22data'!$I219),"YES",IF(_xlfn.ISFORMULA('GP Jun22data'!$I219),"NO","YES")))</f>
        <v>NO</v>
      </c>
      <c r="K219"/>
    </row>
    <row r="220" spans="1:11">
      <c r="A220" s="114" t="str">
        <f t="shared" si="6"/>
        <v>1010000ELEC PLANT IN SERV3960800"AERIAL LIFT P.B. TRUCKS, ABOVE 16000#GVSITUS</v>
      </c>
      <c r="B220" s="125" t="s">
        <v>1809</v>
      </c>
      <c r="C220" s="119" t="s">
        <v>1453</v>
      </c>
      <c r="D220" s="125" t="s">
        <v>1824</v>
      </c>
      <c r="E220" s="121" t="s">
        <v>1534</v>
      </c>
      <c r="F220" s="119" t="s">
        <v>372</v>
      </c>
      <c r="G220" s="122">
        <v>4554.9067366666704</v>
      </c>
      <c r="H220" s="113" t="str">
        <f t="shared" si="7"/>
        <v>SITUS</v>
      </c>
      <c r="I220" s="113" t="str">
        <f>INDEX('GP Lookup'!$I:$I,MATCH(A220,'GP Lookup'!$A:$A,0))</f>
        <v>DPW</v>
      </c>
      <c r="J220" s="113" t="str">
        <f>IF('GP Jun22data'!$G220=0,"NO",IF(ISNA('GP Jun22data'!$I220),"YES",IF(_xlfn.ISFORMULA('GP Jun22data'!$I220),"NO","YES")))</f>
        <v>NO</v>
      </c>
      <c r="K220"/>
    </row>
    <row r="221" spans="1:11">
      <c r="A221" s="114" t="str">
        <f t="shared" si="6"/>
        <v>1010000ELEC PLANT IN SERV3960800"AERIAL LIFT P.B. TRUCKS, ABOVE 16000#GVSG</v>
      </c>
      <c r="B221" s="125" t="s">
        <v>1809</v>
      </c>
      <c r="C221" s="119" t="s">
        <v>1453</v>
      </c>
      <c r="D221" s="125" t="s">
        <v>1824</v>
      </c>
      <c r="E221" s="121" t="s">
        <v>1534</v>
      </c>
      <c r="F221" s="119" t="s">
        <v>3107</v>
      </c>
      <c r="G221" s="122">
        <v>69.24794</v>
      </c>
      <c r="H221" s="113" t="str">
        <f t="shared" si="7"/>
        <v>SG</v>
      </c>
      <c r="I221" s="113" t="str">
        <f>INDEX('GP Lookup'!$I:$I,MATCH(A221,'GP Lookup'!$A:$A,0))</f>
        <v>P</v>
      </c>
      <c r="J221" s="113" t="str">
        <f>IF('GP Jun22data'!$G221=0,"NO",IF(ISNA('GP Jun22data'!$I221),"YES",IF(_xlfn.ISFORMULA('GP Jun22data'!$I221),"NO","YES")))</f>
        <v>NO</v>
      </c>
      <c r="K221"/>
    </row>
    <row r="222" spans="1:11">
      <c r="A222" s="114" t="str">
        <f t="shared" si="6"/>
        <v>1010000ELEC PLANT IN SERV3960800"AERIAL LIFT P.B. TRUCKS, ABOVE 16000#GVSITUS</v>
      </c>
      <c r="B222" s="125" t="s">
        <v>1809</v>
      </c>
      <c r="C222" s="119" t="s">
        <v>1453</v>
      </c>
      <c r="D222" s="125" t="s">
        <v>1824</v>
      </c>
      <c r="E222" s="121" t="s">
        <v>1534</v>
      </c>
      <c r="F222" s="119" t="s">
        <v>343</v>
      </c>
      <c r="G222" s="122">
        <v>14408.829948750001</v>
      </c>
      <c r="H222" s="113" t="str">
        <f t="shared" si="7"/>
        <v>SITUS</v>
      </c>
      <c r="I222" s="113" t="str">
        <f>INDEX('GP Lookup'!$I:$I,MATCH(A222,'GP Lookup'!$A:$A,0))</f>
        <v>DPW</v>
      </c>
      <c r="J222" s="113" t="str">
        <f>IF('GP Jun22data'!$G222=0,"NO",IF(ISNA('GP Jun22data'!$I222),"YES",IF(_xlfn.ISFORMULA('GP Jun22data'!$I222),"NO","YES")))</f>
        <v>NO</v>
      </c>
      <c r="K222"/>
    </row>
    <row r="223" spans="1:11">
      <c r="A223" s="114" t="str">
        <f t="shared" si="6"/>
        <v>1010000ELEC PLANT IN SERV3960800"AERIAL LIFT P.B. TRUCKS, ABOVE 16000#GVSG</v>
      </c>
      <c r="B223" s="125" t="s">
        <v>1809</v>
      </c>
      <c r="C223" s="119" t="s">
        <v>1453</v>
      </c>
      <c r="D223" s="125" t="s">
        <v>1824</v>
      </c>
      <c r="E223" s="121" t="s">
        <v>1534</v>
      </c>
      <c r="F223" s="119" t="s">
        <v>87</v>
      </c>
      <c r="G223" s="122">
        <v>1102.21677</v>
      </c>
      <c r="H223" s="113" t="str">
        <f t="shared" si="7"/>
        <v>SG</v>
      </c>
      <c r="I223" s="113" t="str">
        <f>INDEX('GP Lookup'!$I:$I,MATCH(A223,'GP Lookup'!$A:$A,0))</f>
        <v>P</v>
      </c>
      <c r="J223" s="113" t="str">
        <f>IF('GP Jun22data'!$G223=0,"NO",IF(ISNA('GP Jun22data'!$I223),"YES",IF(_xlfn.ISFORMULA('GP Jun22data'!$I223),"NO","YES")))</f>
        <v>NO</v>
      </c>
      <c r="K223"/>
    </row>
    <row r="224" spans="1:11">
      <c r="A224" s="114" t="str">
        <f t="shared" si="6"/>
        <v>1010000ELEC PLANT IN SERV3960800"AERIAL LIFT P.B. TRUCKS, ABOVE 16000#GVSO</v>
      </c>
      <c r="B224" s="125" t="s">
        <v>1809</v>
      </c>
      <c r="C224" s="119" t="s">
        <v>1453</v>
      </c>
      <c r="D224" s="125" t="s">
        <v>1824</v>
      </c>
      <c r="E224" s="121" t="s">
        <v>1534</v>
      </c>
      <c r="F224" s="119" t="s">
        <v>89</v>
      </c>
      <c r="G224" s="122">
        <v>1307.9987083333299</v>
      </c>
      <c r="H224" s="113" t="str">
        <f t="shared" si="7"/>
        <v>SO</v>
      </c>
      <c r="I224" s="113" t="str">
        <f>INDEX('GP Lookup'!$I:$I,MATCH(A224,'GP Lookup'!$A:$A,0))</f>
        <v>PTD</v>
      </c>
      <c r="J224" s="113" t="str">
        <f>IF('GP Jun22data'!$G224=0,"NO",IF(ISNA('GP Jun22data'!$I224),"YES",IF(_xlfn.ISFORMULA('GP Jun22data'!$I224),"NO","YES")))</f>
        <v>NO</v>
      </c>
      <c r="K224"/>
    </row>
    <row r="225" spans="1:11">
      <c r="A225" s="114" t="str">
        <f t="shared" si="6"/>
        <v>1010000ELEC PLANT IN SERV3960800"AERIAL LIFT P.B. TRUCKS, ABOVE 16000#GVSITUS</v>
      </c>
      <c r="B225" s="125" t="s">
        <v>1809</v>
      </c>
      <c r="C225" s="119" t="s">
        <v>1453</v>
      </c>
      <c r="D225" s="125" t="s">
        <v>1824</v>
      </c>
      <c r="E225" s="121" t="s">
        <v>1534</v>
      </c>
      <c r="F225" s="119" t="s">
        <v>370</v>
      </c>
      <c r="G225" s="122">
        <v>16693.465460416701</v>
      </c>
      <c r="H225" s="113" t="str">
        <f t="shared" si="7"/>
        <v>SITUS</v>
      </c>
      <c r="I225" s="113" t="str">
        <f>INDEX('GP Lookup'!$I:$I,MATCH(A225,'GP Lookup'!$A:$A,0))</f>
        <v>DPW</v>
      </c>
      <c r="J225" s="113" t="str">
        <f>IF('GP Jun22data'!$G225=0,"NO",IF(ISNA('GP Jun22data'!$I225),"YES",IF(_xlfn.ISFORMULA('GP Jun22data'!$I225),"NO","YES")))</f>
        <v>NO</v>
      </c>
      <c r="K225"/>
    </row>
    <row r="226" spans="1:11">
      <c r="A226" s="114" t="str">
        <f t="shared" si="6"/>
        <v>1010000ELEC PLANT IN SERV3960800"AERIAL LIFT P.B. TRUCKS, ABOVE 16000#GVSITUS</v>
      </c>
      <c r="B226" s="125" t="s">
        <v>1809</v>
      </c>
      <c r="C226" s="119" t="s">
        <v>1453</v>
      </c>
      <c r="D226" s="125" t="s">
        <v>1824</v>
      </c>
      <c r="E226" s="121" t="s">
        <v>1534</v>
      </c>
      <c r="F226" s="119" t="s">
        <v>367</v>
      </c>
      <c r="G226" s="122">
        <v>2992.3382499999998</v>
      </c>
      <c r="H226" s="113" t="str">
        <f t="shared" si="7"/>
        <v>SITUS</v>
      </c>
      <c r="I226" s="113" t="str">
        <f>INDEX('GP Lookup'!$I:$I,MATCH(A226,'GP Lookup'!$A:$A,0))</f>
        <v>DPW</v>
      </c>
      <c r="J226" s="113" t="str">
        <f>IF('GP Jun22data'!$G226=0,"NO",IF(ISNA('GP Jun22data'!$I226),"YES",IF(_xlfn.ISFORMULA('GP Jun22data'!$I226),"NO","YES")))</f>
        <v>NO</v>
      </c>
      <c r="K226"/>
    </row>
    <row r="227" spans="1:11">
      <c r="A227" s="114" t="str">
        <f t="shared" si="6"/>
        <v>1010000ELEC PLANT IN SERV3960800"AERIAL LIFT P.B. TRUCKS, ABOVE 16000#GVSITUS</v>
      </c>
      <c r="B227" s="125" t="s">
        <v>1809</v>
      </c>
      <c r="C227" s="119" t="s">
        <v>1453</v>
      </c>
      <c r="D227" s="125" t="s">
        <v>1824</v>
      </c>
      <c r="E227" s="121" t="s">
        <v>1534</v>
      </c>
      <c r="F227" s="119" t="s">
        <v>386</v>
      </c>
      <c r="G227" s="122">
        <v>7459.6623008333299</v>
      </c>
      <c r="H227" s="113" t="str">
        <f t="shared" si="7"/>
        <v>SITUS</v>
      </c>
      <c r="I227" s="113" t="str">
        <f>INDEX('GP Lookup'!$I:$I,MATCH(A227,'GP Lookup'!$A:$A,0))</f>
        <v>DPW</v>
      </c>
      <c r="J227" s="113" t="str">
        <f>IF('GP Jun22data'!$G227=0,"NO",IF(ISNA('GP Jun22data'!$I227),"YES",IF(_xlfn.ISFORMULA('GP Jun22data'!$I227),"NO","YES")))</f>
        <v>NO</v>
      </c>
      <c r="K227"/>
    </row>
    <row r="228" spans="1:11">
      <c r="A228" s="114" t="str">
        <f t="shared" si="6"/>
        <v>1010000ELEC PLANT IN SERV3960800"AERIAL LIFT P.B. TRUCKS, ABOVE 16000#GVSITUS</v>
      </c>
      <c r="B228" s="125" t="s">
        <v>1809</v>
      </c>
      <c r="C228" s="119" t="s">
        <v>1453</v>
      </c>
      <c r="D228" s="125" t="s">
        <v>1824</v>
      </c>
      <c r="E228" s="121" t="s">
        <v>1534</v>
      </c>
      <c r="F228" s="119" t="s">
        <v>378</v>
      </c>
      <c r="G228" s="122">
        <v>1040.5532599999999</v>
      </c>
      <c r="H228" s="113" t="str">
        <f t="shared" si="7"/>
        <v>SITUS</v>
      </c>
      <c r="I228" s="113" t="str">
        <f>INDEX('GP Lookup'!$I:$I,MATCH(A228,'GP Lookup'!$A:$A,0))</f>
        <v>DPW</v>
      </c>
      <c r="J228" s="113" t="str">
        <f>IF('GP Jun22data'!$G228=0,"NO",IF(ISNA('GP Jun22data'!$I228),"YES",IF(_xlfn.ISFORMULA('GP Jun22data'!$I228),"NO","YES")))</f>
        <v>NO</v>
      </c>
      <c r="K228"/>
    </row>
    <row r="229" spans="1:11">
      <c r="A229" s="114" t="str">
        <f t="shared" si="6"/>
        <v>1010000ELEC PLANT IN SERV3961000CRANESSG</v>
      </c>
      <c r="B229" s="125" t="s">
        <v>1809</v>
      </c>
      <c r="C229" s="119" t="s">
        <v>1453</v>
      </c>
      <c r="D229" s="125" t="s">
        <v>1825</v>
      </c>
      <c r="E229" s="121" t="s">
        <v>1535</v>
      </c>
      <c r="F229" s="119" t="s">
        <v>3106</v>
      </c>
      <c r="G229" s="122">
        <v>1444.75719041667</v>
      </c>
      <c r="H229" s="113" t="str">
        <f t="shared" si="7"/>
        <v>SG</v>
      </c>
      <c r="I229" s="113" t="str">
        <f>INDEX('GP Lookup'!$I:$I,MATCH(A229,'GP Lookup'!$A:$A,0))</f>
        <v>P</v>
      </c>
      <c r="J229" s="113" t="str">
        <f>IF('GP Jun22data'!$G229=0,"NO",IF(ISNA('GP Jun22data'!$I229),"YES",IF(_xlfn.ISFORMULA('GP Jun22data'!$I229),"NO","YES")))</f>
        <v>NO</v>
      </c>
      <c r="K229"/>
    </row>
    <row r="230" spans="1:11">
      <c r="A230" s="114" t="str">
        <f t="shared" si="6"/>
        <v>1010000ELEC PLANT IN SERV3961000CRANESSG</v>
      </c>
      <c r="B230" s="125" t="s">
        <v>1809</v>
      </c>
      <c r="C230" s="119" t="s">
        <v>1453</v>
      </c>
      <c r="D230" s="125" t="s">
        <v>1825</v>
      </c>
      <c r="E230" s="121" t="s">
        <v>1535</v>
      </c>
      <c r="F230" s="119" t="s">
        <v>3108</v>
      </c>
      <c r="G230" s="122">
        <v>9.7786799999999996</v>
      </c>
      <c r="H230" s="113" t="str">
        <f t="shared" si="7"/>
        <v>SG</v>
      </c>
      <c r="I230" s="113" t="str">
        <f>INDEX('GP Lookup'!$I:$I,MATCH(A230,'GP Lookup'!$A:$A,0))</f>
        <v>P</v>
      </c>
      <c r="J230" s="113" t="str">
        <f>IF('GP Jun22data'!$G230=0,"NO",IF(ISNA('GP Jun22data'!$I230),"YES",IF(_xlfn.ISFORMULA('GP Jun22data'!$I230),"NO","YES")))</f>
        <v>NO</v>
      </c>
      <c r="K230"/>
    </row>
    <row r="231" spans="1:11">
      <c r="A231" s="114" t="str">
        <f t="shared" si="6"/>
        <v>1010000ELEC PLANT IN SERV3961000CRANESSG</v>
      </c>
      <c r="B231" s="125" t="s">
        <v>1809</v>
      </c>
      <c r="C231" s="119" t="s">
        <v>1453</v>
      </c>
      <c r="D231" s="125" t="s">
        <v>1825</v>
      </c>
      <c r="E231" s="121" t="s">
        <v>1535</v>
      </c>
      <c r="F231" s="119" t="s">
        <v>3107</v>
      </c>
      <c r="G231" s="122">
        <v>890.04700000000003</v>
      </c>
      <c r="H231" s="113" t="str">
        <f t="shared" si="7"/>
        <v>SG</v>
      </c>
      <c r="I231" s="113" t="str">
        <f>INDEX('GP Lookup'!$I:$I,MATCH(A231,'GP Lookup'!$A:$A,0))</f>
        <v>P</v>
      </c>
      <c r="J231" s="113" t="str">
        <f>IF('GP Jun22data'!$G231=0,"NO",IF(ISNA('GP Jun22data'!$I231),"YES",IF(_xlfn.ISFORMULA('GP Jun22data'!$I231),"NO","YES")))</f>
        <v>NO</v>
      </c>
      <c r="K231"/>
    </row>
    <row r="232" spans="1:11">
      <c r="A232" s="114" t="str">
        <f t="shared" si="6"/>
        <v>1010000ELEC PLANT IN SERV3961000CRANESSITUS</v>
      </c>
      <c r="B232" s="125" t="s">
        <v>1809</v>
      </c>
      <c r="C232" s="119" t="s">
        <v>1453</v>
      </c>
      <c r="D232" s="125" t="s">
        <v>1825</v>
      </c>
      <c r="E232" s="121" t="s">
        <v>1535</v>
      </c>
      <c r="F232" s="119" t="s">
        <v>343</v>
      </c>
      <c r="G232" s="122">
        <v>873.42748791666702</v>
      </c>
      <c r="H232" s="113" t="str">
        <f t="shared" si="7"/>
        <v>SITUS</v>
      </c>
      <c r="I232" s="113" t="str">
        <f>INDEX('GP Lookup'!$I:$I,MATCH(A232,'GP Lookup'!$A:$A,0))</f>
        <v>DPW</v>
      </c>
      <c r="J232" s="113" t="str">
        <f>IF('GP Jun22data'!$G232=0,"NO",IF(ISNA('GP Jun22data'!$I232),"YES",IF(_xlfn.ISFORMULA('GP Jun22data'!$I232),"NO","YES")))</f>
        <v>NO</v>
      </c>
      <c r="K232"/>
    </row>
    <row r="233" spans="1:11">
      <c r="A233" s="114" t="str">
        <f t="shared" si="6"/>
        <v>1010000ELEC PLANT IN SERV3961000CRANESSG</v>
      </c>
      <c r="B233" s="125" t="s">
        <v>1809</v>
      </c>
      <c r="C233" s="119" t="s">
        <v>1453</v>
      </c>
      <c r="D233" s="125" t="s">
        <v>1825</v>
      </c>
      <c r="E233" s="121" t="s">
        <v>1535</v>
      </c>
      <c r="F233" s="119" t="s">
        <v>87</v>
      </c>
      <c r="G233" s="122">
        <v>680.66101749999996</v>
      </c>
      <c r="H233" s="113" t="str">
        <f t="shared" si="7"/>
        <v>SG</v>
      </c>
      <c r="I233" s="113" t="str">
        <f>INDEX('GP Lookup'!$I:$I,MATCH(A233,'GP Lookup'!$A:$A,0))</f>
        <v>P</v>
      </c>
      <c r="J233" s="113" t="str">
        <f>IF('GP Jun22data'!$G233=0,"NO",IF(ISNA('GP Jun22data'!$I233),"YES",IF(_xlfn.ISFORMULA('GP Jun22data'!$I233),"NO","YES")))</f>
        <v>NO</v>
      </c>
      <c r="K233"/>
    </row>
    <row r="234" spans="1:11">
      <c r="A234" s="114" t="str">
        <f t="shared" si="6"/>
        <v>1010000ELEC PLANT IN SERV3961000CRANESSITUS</v>
      </c>
      <c r="B234" s="125" t="s">
        <v>1809</v>
      </c>
      <c r="C234" s="119" t="s">
        <v>1453</v>
      </c>
      <c r="D234" s="125" t="s">
        <v>1825</v>
      </c>
      <c r="E234" s="121" t="s">
        <v>1535</v>
      </c>
      <c r="F234" s="119" t="s">
        <v>370</v>
      </c>
      <c r="G234" s="122">
        <v>193.2064</v>
      </c>
      <c r="H234" s="113" t="str">
        <f t="shared" si="7"/>
        <v>SITUS</v>
      </c>
      <c r="I234" s="113" t="str">
        <f>INDEX('GP Lookup'!$I:$I,MATCH(A234,'GP Lookup'!$A:$A,0))</f>
        <v>DPW</v>
      </c>
      <c r="J234" s="113" t="str">
        <f>IF('GP Jun22data'!$G234=0,"NO",IF(ISNA('GP Jun22data'!$I234),"YES",IF(_xlfn.ISFORMULA('GP Jun22data'!$I234),"NO","YES")))</f>
        <v>NO</v>
      </c>
      <c r="K234"/>
    </row>
    <row r="235" spans="1:11">
      <c r="A235" s="114" t="str">
        <f t="shared" si="6"/>
        <v>1010000ELEC PLANT IN SERV3961100HEAVY CONSTRUCTION EQUIP, PRODUCT DIGGERSG</v>
      </c>
      <c r="B235" s="125" t="s">
        <v>1809</v>
      </c>
      <c r="C235" s="119" t="s">
        <v>1453</v>
      </c>
      <c r="D235" s="125" t="s">
        <v>1826</v>
      </c>
      <c r="E235" s="121" t="s">
        <v>1536</v>
      </c>
      <c r="F235" s="119" t="s">
        <v>3106</v>
      </c>
      <c r="G235" s="122">
        <v>24808.209148333299</v>
      </c>
      <c r="H235" s="113" t="str">
        <f t="shared" si="7"/>
        <v>SG</v>
      </c>
      <c r="I235" s="113" t="str">
        <f>INDEX('GP Lookup'!$I:$I,MATCH(A235,'GP Lookup'!$A:$A,0))</f>
        <v>P</v>
      </c>
      <c r="J235" s="113" t="str">
        <f>IF('GP Jun22data'!$G235=0,"NO",IF(ISNA('GP Jun22data'!$I235),"YES",IF(_xlfn.ISFORMULA('GP Jun22data'!$I235),"NO","YES")))</f>
        <v>NO</v>
      </c>
      <c r="K235"/>
    </row>
    <row r="236" spans="1:11">
      <c r="A236" s="114" t="str">
        <f t="shared" si="6"/>
        <v>1010000ELEC PLANT IN SERV3961100HEAVY CONSTRUCTION EQUIP, PRODUCT DIGGERSG</v>
      </c>
      <c r="B236" s="125" t="s">
        <v>1809</v>
      </c>
      <c r="C236" s="119" t="s">
        <v>1453</v>
      </c>
      <c r="D236" s="125" t="s">
        <v>1826</v>
      </c>
      <c r="E236" s="121" t="s">
        <v>1536</v>
      </c>
      <c r="F236" s="119" t="s">
        <v>3108</v>
      </c>
      <c r="G236" s="122">
        <v>73.691800000000001</v>
      </c>
      <c r="H236" s="113" t="str">
        <f t="shared" si="7"/>
        <v>SG</v>
      </c>
      <c r="I236" s="113" t="str">
        <f>INDEX('GP Lookup'!$I:$I,MATCH(A236,'GP Lookup'!$A:$A,0))</f>
        <v>P</v>
      </c>
      <c r="J236" s="113" t="str">
        <f>IF('GP Jun22data'!$G236=0,"NO",IF(ISNA('GP Jun22data'!$I236),"YES",IF(_xlfn.ISFORMULA('GP Jun22data'!$I236),"NO","YES")))</f>
        <v>NO</v>
      </c>
      <c r="K236"/>
    </row>
    <row r="237" spans="1:11">
      <c r="A237" s="114" t="str">
        <f t="shared" si="6"/>
        <v>1010000ELEC PLANT IN SERV3961100HEAVY CONSTRUCTION EQUIP, PRODUCT DIGGERSG</v>
      </c>
      <c r="B237" s="125" t="s">
        <v>1809</v>
      </c>
      <c r="C237" s="119" t="s">
        <v>1453</v>
      </c>
      <c r="D237" s="125" t="s">
        <v>1826</v>
      </c>
      <c r="E237" s="121" t="s">
        <v>1536</v>
      </c>
      <c r="F237" s="119" t="s">
        <v>3107</v>
      </c>
      <c r="G237" s="122">
        <v>8120.23711</v>
      </c>
      <c r="H237" s="113" t="str">
        <f t="shared" si="7"/>
        <v>SG</v>
      </c>
      <c r="I237" s="113" t="str">
        <f>INDEX('GP Lookup'!$I:$I,MATCH(A237,'GP Lookup'!$A:$A,0))</f>
        <v>P</v>
      </c>
      <c r="J237" s="113" t="str">
        <f>IF('GP Jun22data'!$G237=0,"NO",IF(ISNA('GP Jun22data'!$I237),"YES",IF(_xlfn.ISFORMULA('GP Jun22data'!$I237),"NO","YES")))</f>
        <v>NO</v>
      </c>
      <c r="K237"/>
    </row>
    <row r="238" spans="1:11">
      <c r="A238" s="114" t="str">
        <f t="shared" si="6"/>
        <v>1010000ELEC PLANT IN SERV3961100HEAVY CONSTRUCTION EQUIP, PRODUCT DIGGERSITUS</v>
      </c>
      <c r="B238" s="125" t="s">
        <v>1809</v>
      </c>
      <c r="C238" s="119" t="s">
        <v>1453</v>
      </c>
      <c r="D238" s="125" t="s">
        <v>1826</v>
      </c>
      <c r="E238" s="121" t="s">
        <v>1536</v>
      </c>
      <c r="F238" s="119" t="s">
        <v>343</v>
      </c>
      <c r="G238" s="122">
        <v>1216.5528099999999</v>
      </c>
      <c r="H238" s="113" t="str">
        <f t="shared" si="7"/>
        <v>SITUS</v>
      </c>
      <c r="I238" s="113" t="str">
        <f>INDEX('GP Lookup'!$I:$I,MATCH(A238,'GP Lookup'!$A:$A,0))</f>
        <v>DPW</v>
      </c>
      <c r="J238" s="113" t="str">
        <f>IF('GP Jun22data'!$G238=0,"NO",IF(ISNA('GP Jun22data'!$I238),"YES",IF(_xlfn.ISFORMULA('GP Jun22data'!$I238),"NO","YES")))</f>
        <v>NO</v>
      </c>
      <c r="K238"/>
    </row>
    <row r="239" spans="1:11">
      <c r="A239" s="114" t="str">
        <f t="shared" si="6"/>
        <v>1010000ELEC PLANT IN SERV3961100HEAVY CONSTRUCTION EQUIP, PRODUCT DIGGERSG</v>
      </c>
      <c r="B239" s="125" t="s">
        <v>1809</v>
      </c>
      <c r="C239" s="119" t="s">
        <v>1453</v>
      </c>
      <c r="D239" s="125" t="s">
        <v>1826</v>
      </c>
      <c r="E239" s="121" t="s">
        <v>1536</v>
      </c>
      <c r="F239" s="119" t="s">
        <v>87</v>
      </c>
      <c r="G239" s="122">
        <v>1512.19219</v>
      </c>
      <c r="H239" s="113" t="str">
        <f t="shared" si="7"/>
        <v>SG</v>
      </c>
      <c r="I239" s="113" t="str">
        <f>INDEX('GP Lookup'!$I:$I,MATCH(A239,'GP Lookup'!$A:$A,0))</f>
        <v>P</v>
      </c>
      <c r="J239" s="113" t="str">
        <f>IF('GP Jun22data'!$G239=0,"NO",IF(ISNA('GP Jun22data'!$I239),"YES",IF(_xlfn.ISFORMULA('GP Jun22data'!$I239),"NO","YES")))</f>
        <v>NO</v>
      </c>
      <c r="K239"/>
    </row>
    <row r="240" spans="1:11">
      <c r="A240" s="114" t="str">
        <f t="shared" si="6"/>
        <v>1010000ELEC PLANT IN SERV3961100HEAVY CONSTRUCTION EQUIP, PRODUCT DIGGERSO</v>
      </c>
      <c r="B240" s="125" t="s">
        <v>1809</v>
      </c>
      <c r="C240" s="119" t="s">
        <v>1453</v>
      </c>
      <c r="D240" s="125" t="s">
        <v>1826</v>
      </c>
      <c r="E240" s="121" t="s">
        <v>1536</v>
      </c>
      <c r="F240" s="119" t="s">
        <v>89</v>
      </c>
      <c r="G240" s="122">
        <v>1487.6918504166699</v>
      </c>
      <c r="H240" s="113" t="str">
        <f t="shared" si="7"/>
        <v>SO</v>
      </c>
      <c r="I240" s="113" t="str">
        <f>INDEX('GP Lookup'!$I:$I,MATCH(A240,'GP Lookup'!$A:$A,0))</f>
        <v>PTD</v>
      </c>
      <c r="J240" s="113" t="str">
        <f>IF('GP Jun22data'!$G240=0,"NO",IF(ISNA('GP Jun22data'!$I240),"YES",IF(_xlfn.ISFORMULA('GP Jun22data'!$I240),"NO","YES")))</f>
        <v>NO</v>
      </c>
      <c r="K240"/>
    </row>
    <row r="241" spans="1:11">
      <c r="A241" s="114" t="str">
        <f t="shared" si="6"/>
        <v>1010000ELEC PLANT IN SERV3961100HEAVY CONSTRUCTION EQUIP, PRODUCT DIGGERSITUS</v>
      </c>
      <c r="B241" s="125" t="s">
        <v>1809</v>
      </c>
      <c r="C241" s="119" t="s">
        <v>1453</v>
      </c>
      <c r="D241" s="125" t="s">
        <v>1826</v>
      </c>
      <c r="E241" s="121" t="s">
        <v>1536</v>
      </c>
      <c r="F241" s="119" t="s">
        <v>370</v>
      </c>
      <c r="G241" s="122">
        <v>1767.3266737500001</v>
      </c>
      <c r="H241" s="113" t="str">
        <f t="shared" si="7"/>
        <v>SITUS</v>
      </c>
      <c r="I241" s="113" t="str">
        <f>INDEX('GP Lookup'!$I:$I,MATCH(A241,'GP Lookup'!$A:$A,0))</f>
        <v>DPW</v>
      </c>
      <c r="J241" s="113" t="str">
        <f>IF('GP Jun22data'!$G241=0,"NO",IF(ISNA('GP Jun22data'!$I241),"YES",IF(_xlfn.ISFORMULA('GP Jun22data'!$I241),"NO","YES")))</f>
        <v>NO</v>
      </c>
      <c r="K241"/>
    </row>
    <row r="242" spans="1:11">
      <c r="A242" s="114" t="str">
        <f t="shared" si="6"/>
        <v>1010000ELEC PLANT IN SERV3961100HEAVY CONSTRUCTION EQUIP, PRODUCT DIGGERSITUS</v>
      </c>
      <c r="B242" s="125" t="s">
        <v>1809</v>
      </c>
      <c r="C242" s="119" t="s">
        <v>1453</v>
      </c>
      <c r="D242" s="125" t="s">
        <v>1826</v>
      </c>
      <c r="E242" s="121" t="s">
        <v>1536</v>
      </c>
      <c r="F242" s="119" t="s">
        <v>386</v>
      </c>
      <c r="G242" s="122">
        <v>900.13572999999997</v>
      </c>
      <c r="H242" s="113" t="str">
        <f t="shared" si="7"/>
        <v>SITUS</v>
      </c>
      <c r="I242" s="113" t="str">
        <f>INDEX('GP Lookup'!$I:$I,MATCH(A242,'GP Lookup'!$A:$A,0))</f>
        <v>DPW</v>
      </c>
      <c r="J242" s="113" t="str">
        <f>IF('GP Jun22data'!$G242=0,"NO",IF(ISNA('GP Jun22data'!$I242),"YES",IF(_xlfn.ISFORMULA('GP Jun22data'!$I242),"NO","YES")))</f>
        <v>NO</v>
      </c>
      <c r="K242"/>
    </row>
    <row r="243" spans="1:11">
      <c r="A243" s="114" t="str">
        <f t="shared" si="6"/>
        <v>1010000ELEC PLANT IN SERV3961200THREE-AXLE DIGGER/DERRICK LINE TRUCKSSITUS</v>
      </c>
      <c r="B243" s="125" t="s">
        <v>1809</v>
      </c>
      <c r="C243" s="119" t="s">
        <v>1453</v>
      </c>
      <c r="D243" s="125" t="s">
        <v>1827</v>
      </c>
      <c r="E243" s="121" t="s">
        <v>1537</v>
      </c>
      <c r="F243" s="119" t="s">
        <v>387</v>
      </c>
      <c r="G243" s="122">
        <v>1697.40809625</v>
      </c>
      <c r="H243" s="113" t="str">
        <f t="shared" si="7"/>
        <v>SITUS</v>
      </c>
      <c r="I243" s="113" t="str">
        <f>INDEX('GP Lookup'!$I:$I,MATCH(A243,'GP Lookup'!$A:$A,0))</f>
        <v>DPW</v>
      </c>
      <c r="J243" s="113" t="str">
        <f>IF('GP Jun22data'!$G243=0,"NO",IF(ISNA('GP Jun22data'!$I243),"YES",IF(_xlfn.ISFORMULA('GP Jun22data'!$I243),"NO","YES")))</f>
        <v>NO</v>
      </c>
      <c r="K243"/>
    </row>
    <row r="244" spans="1:11">
      <c r="A244" s="114" t="str">
        <f t="shared" si="6"/>
        <v>1010000ELEC PLANT IN SERV3961200THREE-AXLE DIGGER/DERRICK LINE TRUCKSSITUS</v>
      </c>
      <c r="B244" s="125" t="s">
        <v>1809</v>
      </c>
      <c r="C244" s="119" t="s">
        <v>1453</v>
      </c>
      <c r="D244" s="125" t="s">
        <v>1827</v>
      </c>
      <c r="E244" s="121" t="s">
        <v>1537</v>
      </c>
      <c r="F244" s="119" t="s">
        <v>372</v>
      </c>
      <c r="G244" s="122">
        <v>3628.6152699999998</v>
      </c>
      <c r="H244" s="113" t="str">
        <f t="shared" si="7"/>
        <v>SITUS</v>
      </c>
      <c r="I244" s="113" t="str">
        <f>INDEX('GP Lookup'!$I:$I,MATCH(A244,'GP Lookup'!$A:$A,0))</f>
        <v>DPW</v>
      </c>
      <c r="J244" s="113" t="str">
        <f>IF('GP Jun22data'!$G244=0,"NO",IF(ISNA('GP Jun22data'!$I244),"YES",IF(_xlfn.ISFORMULA('GP Jun22data'!$I244),"NO","YES")))</f>
        <v>NO</v>
      </c>
      <c r="K244"/>
    </row>
    <row r="245" spans="1:11">
      <c r="A245" s="114" t="str">
        <f t="shared" si="6"/>
        <v>1010000ELEC PLANT IN SERV3961200THREE-AXLE DIGGER/DERRICK LINE TRUCKSSITUS</v>
      </c>
      <c r="B245" s="125" t="s">
        <v>1809</v>
      </c>
      <c r="C245" s="119" t="s">
        <v>1453</v>
      </c>
      <c r="D245" s="125" t="s">
        <v>1827</v>
      </c>
      <c r="E245" s="121" t="s">
        <v>1537</v>
      </c>
      <c r="F245" s="119" t="s">
        <v>343</v>
      </c>
      <c r="G245" s="122">
        <v>11058.9173479167</v>
      </c>
      <c r="H245" s="113" t="str">
        <f t="shared" si="7"/>
        <v>SITUS</v>
      </c>
      <c r="I245" s="113" t="str">
        <f>INDEX('GP Lookup'!$I:$I,MATCH(A245,'GP Lookup'!$A:$A,0))</f>
        <v>DPW</v>
      </c>
      <c r="J245" s="113" t="str">
        <f>IF('GP Jun22data'!$G245=0,"NO",IF(ISNA('GP Jun22data'!$I245),"YES",IF(_xlfn.ISFORMULA('GP Jun22data'!$I245),"NO","YES")))</f>
        <v>NO</v>
      </c>
      <c r="K245"/>
    </row>
    <row r="246" spans="1:11">
      <c r="A246" s="114" t="str">
        <f t="shared" si="6"/>
        <v>1010000ELEC PLANT IN SERV3961200THREE-AXLE DIGGER/DERRICK LINE TRUCKSSG</v>
      </c>
      <c r="B246" s="125" t="s">
        <v>1809</v>
      </c>
      <c r="C246" s="119" t="s">
        <v>1453</v>
      </c>
      <c r="D246" s="125" t="s">
        <v>1827</v>
      </c>
      <c r="E246" s="121" t="s">
        <v>1537</v>
      </c>
      <c r="F246" s="119" t="s">
        <v>87</v>
      </c>
      <c r="G246" s="122">
        <v>325.36768999999998</v>
      </c>
      <c r="H246" s="113" t="str">
        <f t="shared" si="7"/>
        <v>SG</v>
      </c>
      <c r="I246" s="113" t="str">
        <f>INDEX('GP Lookup'!$I:$I,MATCH(A246,'GP Lookup'!$A:$A,0))</f>
        <v>P</v>
      </c>
      <c r="J246" s="113" t="str">
        <f>IF('GP Jun22data'!$G246=0,"NO",IF(ISNA('GP Jun22data'!$I246),"YES",IF(_xlfn.ISFORMULA('GP Jun22data'!$I246),"NO","YES")))</f>
        <v>NO</v>
      </c>
      <c r="K246"/>
    </row>
    <row r="247" spans="1:11">
      <c r="A247" s="114" t="str">
        <f t="shared" si="6"/>
        <v>1010000ELEC PLANT IN SERV3961200THREE-AXLE DIGGER/DERRICK LINE TRUCKSSO</v>
      </c>
      <c r="B247" s="125" t="s">
        <v>1809</v>
      </c>
      <c r="C247" s="119" t="s">
        <v>1453</v>
      </c>
      <c r="D247" s="125" t="s">
        <v>1827</v>
      </c>
      <c r="E247" s="121" t="s">
        <v>1537</v>
      </c>
      <c r="F247" s="119" t="s">
        <v>89</v>
      </c>
      <c r="G247" s="122">
        <v>1279.8220699999999</v>
      </c>
      <c r="H247" s="113" t="str">
        <f t="shared" si="7"/>
        <v>SO</v>
      </c>
      <c r="I247" s="113" t="str">
        <f>INDEX('GP Lookup'!$I:$I,MATCH(A247,'GP Lookup'!$A:$A,0))</f>
        <v>PTD</v>
      </c>
      <c r="J247" s="113" t="str">
        <f>IF('GP Jun22data'!$G247=0,"NO",IF(ISNA('GP Jun22data'!$I247),"YES",IF(_xlfn.ISFORMULA('GP Jun22data'!$I247),"NO","YES")))</f>
        <v>NO</v>
      </c>
      <c r="K247"/>
    </row>
    <row r="248" spans="1:11">
      <c r="A248" s="114" t="str">
        <f t="shared" si="6"/>
        <v>1010000ELEC PLANT IN SERV3961200THREE-AXLE DIGGER/DERRICK LINE TRUCKSSITUS</v>
      </c>
      <c r="B248" s="125" t="s">
        <v>1809</v>
      </c>
      <c r="C248" s="119" t="s">
        <v>1453</v>
      </c>
      <c r="D248" s="125" t="s">
        <v>1827</v>
      </c>
      <c r="E248" s="121" t="s">
        <v>1537</v>
      </c>
      <c r="F248" s="119" t="s">
        <v>370</v>
      </c>
      <c r="G248" s="122">
        <v>16607.167272499999</v>
      </c>
      <c r="H248" s="113" t="str">
        <f t="shared" si="7"/>
        <v>SITUS</v>
      </c>
      <c r="I248" s="113" t="str">
        <f>INDEX('GP Lookup'!$I:$I,MATCH(A248,'GP Lookup'!$A:$A,0))</f>
        <v>DPW</v>
      </c>
      <c r="J248" s="113" t="str">
        <f>IF('GP Jun22data'!$G248=0,"NO",IF(ISNA('GP Jun22data'!$I248),"YES",IF(_xlfn.ISFORMULA('GP Jun22data'!$I248),"NO","YES")))</f>
        <v>NO</v>
      </c>
      <c r="K248"/>
    </row>
    <row r="249" spans="1:11">
      <c r="A249" s="114" t="str">
        <f t="shared" si="6"/>
        <v>1010000ELEC PLANT IN SERV3961200THREE-AXLE DIGGER/DERRICK LINE TRUCKSSITUS</v>
      </c>
      <c r="B249" s="119" t="s">
        <v>1809</v>
      </c>
      <c r="C249" s="119" t="s">
        <v>1453</v>
      </c>
      <c r="D249" s="119" t="s">
        <v>1827</v>
      </c>
      <c r="E249" s="119" t="s">
        <v>1537</v>
      </c>
      <c r="F249" s="119" t="s">
        <v>367</v>
      </c>
      <c r="G249" s="124">
        <v>2191.7188599999999</v>
      </c>
      <c r="H249" s="113" t="str">
        <f t="shared" si="7"/>
        <v>SITUS</v>
      </c>
      <c r="I249" s="113" t="str">
        <f>INDEX('GP Lookup'!$I:$I,MATCH(A249,'GP Lookup'!$A:$A,0))</f>
        <v>DPW</v>
      </c>
      <c r="J249" s="113" t="str">
        <f>IF('GP Jun22data'!$G249=0,"NO",IF(ISNA('GP Jun22data'!$I249),"YES",IF(_xlfn.ISFORMULA('GP Jun22data'!$I249),"NO","YES")))</f>
        <v>NO</v>
      </c>
      <c r="K249"/>
    </row>
    <row r="250" spans="1:11">
      <c r="A250" s="114" t="str">
        <f t="shared" si="6"/>
        <v>1010000ELEC PLANT IN SERV3961200THREE-AXLE DIGGER/DERRICK LINE TRUCKSSITUS</v>
      </c>
      <c r="B250" s="119" t="s">
        <v>1809</v>
      </c>
      <c r="C250" s="120" t="s">
        <v>1453</v>
      </c>
      <c r="D250" s="119" t="s">
        <v>1827</v>
      </c>
      <c r="E250" s="121" t="s">
        <v>1537</v>
      </c>
      <c r="F250" s="120" t="s">
        <v>386</v>
      </c>
      <c r="G250" s="122">
        <v>4696.6256299999995</v>
      </c>
      <c r="H250" s="113" t="str">
        <f t="shared" si="7"/>
        <v>SITUS</v>
      </c>
      <c r="I250" s="113" t="str">
        <f>INDEX('GP Lookup'!$I:$I,MATCH(A250,'GP Lookup'!$A:$A,0))</f>
        <v>DPW</v>
      </c>
      <c r="J250" s="113" t="str">
        <f>IF('GP Jun22data'!$G250=0,"NO",IF(ISNA('GP Jun22data'!$I250),"YES",IF(_xlfn.ISFORMULA('GP Jun22data'!$I250),"NO","YES")))</f>
        <v>NO</v>
      </c>
    </row>
    <row r="251" spans="1:11">
      <c r="A251" s="114" t="str">
        <f t="shared" si="6"/>
        <v>1010000ELEC PLANT IN SERV3961200THREE-AXLE DIGGER/DERRICK LINE TRUCKSSITUS</v>
      </c>
      <c r="B251" s="119" t="s">
        <v>1809</v>
      </c>
      <c r="C251" s="120" t="s">
        <v>1453</v>
      </c>
      <c r="D251" s="119" t="s">
        <v>1827</v>
      </c>
      <c r="E251" s="121" t="s">
        <v>1537</v>
      </c>
      <c r="F251" s="120" t="s">
        <v>378</v>
      </c>
      <c r="G251" s="123">
        <v>1596.08780208333</v>
      </c>
      <c r="H251" s="113" t="str">
        <f t="shared" si="7"/>
        <v>SITUS</v>
      </c>
      <c r="I251" s="113" t="str">
        <f>INDEX('GP Lookup'!$I:$I,MATCH(A251,'GP Lookup'!$A:$A,0))</f>
        <v>DPW</v>
      </c>
      <c r="J251" s="113" t="str">
        <f>IF('GP Jun22data'!$G251=0,"NO",IF(ISNA('GP Jun22data'!$I251),"YES",IF(_xlfn.ISFORMULA('GP Jun22data'!$I251),"NO","YES")))</f>
        <v>NO</v>
      </c>
    </row>
    <row r="252" spans="1:11">
      <c r="A252" s="114" t="str">
        <f t="shared" si="6"/>
        <v>1010000ELEC PLANT IN SERV3961300SNOWCATS, BACKHOES, TRENCHERS, SNOWBLOWRSITUS</v>
      </c>
      <c r="B252" s="119" t="s">
        <v>1809</v>
      </c>
      <c r="C252" s="120" t="s">
        <v>1453</v>
      </c>
      <c r="D252" s="119" t="s">
        <v>1828</v>
      </c>
      <c r="E252" s="121" t="s">
        <v>1538</v>
      </c>
      <c r="F252" s="120" t="s">
        <v>387</v>
      </c>
      <c r="G252" s="123">
        <v>719.99546999999995</v>
      </c>
      <c r="H252" s="113" t="str">
        <f t="shared" si="7"/>
        <v>SITUS</v>
      </c>
      <c r="I252" s="113" t="str">
        <f>INDEX('GP Lookup'!$I:$I,MATCH(A252,'GP Lookup'!$A:$A,0))</f>
        <v>DPW</v>
      </c>
      <c r="J252" s="113" t="str">
        <f>IF('GP Jun22data'!$G252=0,"NO",IF(ISNA('GP Jun22data'!$I252),"YES",IF(_xlfn.ISFORMULA('GP Jun22data'!$I252),"NO","YES")))</f>
        <v>NO</v>
      </c>
    </row>
    <row r="253" spans="1:11">
      <c r="A253" s="114" t="str">
        <f t="shared" si="6"/>
        <v>1010000ELEC PLANT IN SERV3961300SNOWCATS, BACKHOES, TRENCHERS, SNOWBLOWRSE</v>
      </c>
      <c r="B253" s="119" t="s">
        <v>1809</v>
      </c>
      <c r="C253" s="120" t="s">
        <v>1453</v>
      </c>
      <c r="D253" s="119" t="s">
        <v>1828</v>
      </c>
      <c r="E253" s="121" t="s">
        <v>1538</v>
      </c>
      <c r="F253" s="120" t="s">
        <v>3110</v>
      </c>
      <c r="G253" s="123">
        <v>236.68593000000001</v>
      </c>
      <c r="H253" s="113" t="str">
        <f t="shared" si="7"/>
        <v>SE</v>
      </c>
      <c r="I253" s="113" t="str">
        <f>INDEX('GP Lookup'!$I:$I,MATCH(A253,'GP Lookup'!$A:$A,0))</f>
        <v>P</v>
      </c>
      <c r="J253" s="113" t="str">
        <f>IF('GP Jun22data'!$G253=0,"NO",IF(ISNA('GP Jun22data'!$I253),"YES",IF(_xlfn.ISFORMULA('GP Jun22data'!$I253),"NO","YES")))</f>
        <v>NO</v>
      </c>
    </row>
    <row r="254" spans="1:11">
      <c r="A254" s="114" t="str">
        <f t="shared" si="6"/>
        <v>1010000ELEC PLANT IN SERV3961300SNOWCATS, BACKHOES, TRENCHERS, SNOWBLOWRSG</v>
      </c>
      <c r="B254" s="119" t="s">
        <v>1809</v>
      </c>
      <c r="C254" s="120" t="s">
        <v>1453</v>
      </c>
      <c r="D254" s="119" t="s">
        <v>1828</v>
      </c>
      <c r="E254" s="121" t="s">
        <v>1538</v>
      </c>
      <c r="F254" s="120" t="s">
        <v>3106</v>
      </c>
      <c r="G254" s="123">
        <v>2229.17562041667</v>
      </c>
      <c r="H254" s="113" t="str">
        <f t="shared" si="7"/>
        <v>SG</v>
      </c>
      <c r="I254" s="113" t="str">
        <f>INDEX('GP Lookup'!$I:$I,MATCH(A254,'GP Lookup'!$A:$A,0))</f>
        <v>P</v>
      </c>
      <c r="J254" s="113" t="str">
        <f>IF('GP Jun22data'!$G254=0,"NO",IF(ISNA('GP Jun22data'!$I254),"YES",IF(_xlfn.ISFORMULA('GP Jun22data'!$I254),"NO","YES")))</f>
        <v>NO</v>
      </c>
    </row>
    <row r="255" spans="1:11">
      <c r="A255" s="114" t="str">
        <f t="shared" si="6"/>
        <v>1010000ELEC PLANT IN SERV3961300SNOWCATS, BACKHOES, TRENCHERS, SNOWBLOWRSG</v>
      </c>
      <c r="B255" s="119" t="s">
        <v>1809</v>
      </c>
      <c r="C255" s="120" t="s">
        <v>1453</v>
      </c>
      <c r="D255" s="119" t="s">
        <v>1828</v>
      </c>
      <c r="E255" s="121" t="s">
        <v>1538</v>
      </c>
      <c r="F255" s="120" t="s">
        <v>3108</v>
      </c>
      <c r="G255" s="123">
        <v>108.1739</v>
      </c>
      <c r="H255" s="113" t="str">
        <f t="shared" si="7"/>
        <v>SG</v>
      </c>
      <c r="I255" s="113" t="str">
        <f>INDEX('GP Lookup'!$I:$I,MATCH(A255,'GP Lookup'!$A:$A,0))</f>
        <v>P</v>
      </c>
      <c r="J255" s="113" t="str">
        <f>IF('GP Jun22data'!$G255=0,"NO",IF(ISNA('GP Jun22data'!$I255),"YES",IF(_xlfn.ISFORMULA('GP Jun22data'!$I255),"NO","YES")))</f>
        <v>NO</v>
      </c>
    </row>
    <row r="256" spans="1:11">
      <c r="A256" s="114" t="str">
        <f t="shared" si="6"/>
        <v>1010000ELEC PLANT IN SERV3961300SNOWCATS, BACKHOES, TRENCHERS, SNOWBLOWRSITUS</v>
      </c>
      <c r="B256" s="119" t="s">
        <v>1809</v>
      </c>
      <c r="C256" s="120" t="s">
        <v>1453</v>
      </c>
      <c r="D256" s="119" t="s">
        <v>1828</v>
      </c>
      <c r="E256" s="121" t="s">
        <v>1538</v>
      </c>
      <c r="F256" s="120" t="s">
        <v>372</v>
      </c>
      <c r="G256" s="123">
        <v>2253.7554662500002</v>
      </c>
      <c r="H256" s="113" t="str">
        <f t="shared" si="7"/>
        <v>SITUS</v>
      </c>
      <c r="I256" s="113" t="str">
        <f>INDEX('GP Lookup'!$I:$I,MATCH(A256,'GP Lookup'!$A:$A,0))</f>
        <v>DPW</v>
      </c>
      <c r="J256" s="113" t="str">
        <f>IF('GP Jun22data'!$G256=0,"NO",IF(ISNA('GP Jun22data'!$I256),"YES",IF(_xlfn.ISFORMULA('GP Jun22data'!$I256),"NO","YES")))</f>
        <v>NO</v>
      </c>
    </row>
    <row r="257" spans="1:10">
      <c r="A257" s="114" t="str">
        <f t="shared" si="6"/>
        <v>1010000ELEC PLANT IN SERV3961300SNOWCATS, BACKHOES, TRENCHERS, SNOWBLOWRSG</v>
      </c>
      <c r="B257" s="119" t="s">
        <v>1809</v>
      </c>
      <c r="C257" s="120" t="s">
        <v>1453</v>
      </c>
      <c r="D257" s="119" t="s">
        <v>1828</v>
      </c>
      <c r="E257" s="121" t="s">
        <v>1538</v>
      </c>
      <c r="F257" s="120" t="s">
        <v>3107</v>
      </c>
      <c r="G257" s="123">
        <v>1383.9605100000001</v>
      </c>
      <c r="H257" s="113" t="str">
        <f t="shared" si="7"/>
        <v>SG</v>
      </c>
      <c r="I257" s="113" t="str">
        <f>INDEX('GP Lookup'!$I:$I,MATCH(A257,'GP Lookup'!$A:$A,0))</f>
        <v>P</v>
      </c>
      <c r="J257" s="113" t="str">
        <f>IF('GP Jun22data'!$G257=0,"NO",IF(ISNA('GP Jun22data'!$I257),"YES",IF(_xlfn.ISFORMULA('GP Jun22data'!$I257),"NO","YES")))</f>
        <v>NO</v>
      </c>
    </row>
    <row r="258" spans="1:10">
      <c r="A258" s="114" t="str">
        <f t="shared" ref="A258:A306" si="8">CONCATENATE($B258,$C258,$D258,$E258,$H258)</f>
        <v>1010000ELEC PLANT IN SERV3961300SNOWCATS, BACKHOES, TRENCHERS, SNOWBLOWRSITUS</v>
      </c>
      <c r="B258" s="119" t="s">
        <v>1809</v>
      </c>
      <c r="C258" s="120" t="s">
        <v>1453</v>
      </c>
      <c r="D258" s="119" t="s">
        <v>1828</v>
      </c>
      <c r="E258" s="121" t="s">
        <v>1538</v>
      </c>
      <c r="F258" s="120" t="s">
        <v>343</v>
      </c>
      <c r="G258" s="123">
        <v>3427.3847783333299</v>
      </c>
      <c r="H258" s="113" t="str">
        <f t="shared" si="7"/>
        <v>SITUS</v>
      </c>
      <c r="I258" s="113" t="str">
        <f>INDEX('GP Lookup'!$I:$I,MATCH(A258,'GP Lookup'!$A:$A,0))</f>
        <v>DPW</v>
      </c>
      <c r="J258" s="113" t="str">
        <f>IF('GP Jun22data'!$G258=0,"NO",IF(ISNA('GP Jun22data'!$I258),"YES",IF(_xlfn.ISFORMULA('GP Jun22data'!$I258),"NO","YES")))</f>
        <v>NO</v>
      </c>
    </row>
    <row r="259" spans="1:10">
      <c r="A259" s="114" t="str">
        <f t="shared" si="8"/>
        <v>1010000ELEC PLANT IN SERV3961300SNOWCATS, BACKHOES, TRENCHERS, SNOWBLOWRSG</v>
      </c>
      <c r="B259" s="119" t="s">
        <v>1809</v>
      </c>
      <c r="C259" s="120" t="s">
        <v>1453</v>
      </c>
      <c r="D259" s="119" t="s">
        <v>1828</v>
      </c>
      <c r="E259" s="121" t="s">
        <v>1538</v>
      </c>
      <c r="F259" s="120" t="s">
        <v>87</v>
      </c>
      <c r="G259" s="123">
        <v>3134.2014645833301</v>
      </c>
      <c r="H259" s="113" t="str">
        <f t="shared" ref="H259:H306" si="9">IF(OR(F259="IDU",F259="OR",F259="UT",F259="WYU",F259="WYP",F259="CA",F259="WA"),"SITUS",IF(OR(F259="CAEE",F259="JBE"),"SE",IF(OR(F259="CAGE",F259="CAGW",F259="JBG"),"SG",F259)))</f>
        <v>SG</v>
      </c>
      <c r="I259" s="113" t="str">
        <f>INDEX('GP Lookup'!$I:$I,MATCH(A259,'GP Lookup'!$A:$A,0))</f>
        <v>P</v>
      </c>
      <c r="J259" s="113" t="str">
        <f>IF('GP Jun22data'!$G259=0,"NO",IF(ISNA('GP Jun22data'!$I259),"YES",IF(_xlfn.ISFORMULA('GP Jun22data'!$I259),"NO","YES")))</f>
        <v>NO</v>
      </c>
    </row>
    <row r="260" spans="1:10">
      <c r="A260" s="114" t="str">
        <f t="shared" si="8"/>
        <v>1010000ELEC PLANT IN SERV3961300SNOWCATS, BACKHOES, TRENCHERS, SNOWBLOWRSO</v>
      </c>
      <c r="B260" s="119" t="s">
        <v>1809</v>
      </c>
      <c r="C260" s="120" t="s">
        <v>1453</v>
      </c>
      <c r="D260" s="119" t="s">
        <v>1828</v>
      </c>
      <c r="E260" s="121" t="s">
        <v>1538</v>
      </c>
      <c r="F260" s="120" t="s">
        <v>89</v>
      </c>
      <c r="G260" s="123">
        <v>881.19911500000001</v>
      </c>
      <c r="H260" s="113" t="str">
        <f t="shared" si="9"/>
        <v>SO</v>
      </c>
      <c r="I260" s="113" t="str">
        <f>INDEX('GP Lookup'!$I:$I,MATCH(A260,'GP Lookup'!$A:$A,0))</f>
        <v>PTD</v>
      </c>
      <c r="J260" s="113" t="str">
        <f>IF('GP Jun22data'!$G260=0,"NO",IF(ISNA('GP Jun22data'!$I260),"YES",IF(_xlfn.ISFORMULA('GP Jun22data'!$I260),"NO","YES")))</f>
        <v>NO</v>
      </c>
    </row>
    <row r="261" spans="1:10">
      <c r="A261" s="114" t="str">
        <f t="shared" si="8"/>
        <v>1010000ELEC PLANT IN SERV3961300SNOWCATS, BACKHOES, TRENCHERS, SNOWBLOWRSITUS</v>
      </c>
      <c r="B261" s="119" t="s">
        <v>1809</v>
      </c>
      <c r="C261" s="120" t="s">
        <v>1453</v>
      </c>
      <c r="D261" s="119" t="s">
        <v>1828</v>
      </c>
      <c r="E261" s="121" t="s">
        <v>1538</v>
      </c>
      <c r="F261" s="120" t="s">
        <v>370</v>
      </c>
      <c r="G261" s="123">
        <v>8330.0976541666605</v>
      </c>
      <c r="H261" s="113" t="str">
        <f t="shared" si="9"/>
        <v>SITUS</v>
      </c>
      <c r="I261" s="113" t="str">
        <f>INDEX('GP Lookup'!$I:$I,MATCH(A261,'GP Lookup'!$A:$A,0))</f>
        <v>DPW</v>
      </c>
      <c r="J261" s="113" t="str">
        <f>IF('GP Jun22data'!$G261=0,"NO",IF(ISNA('GP Jun22data'!$I261),"YES",IF(_xlfn.ISFORMULA('GP Jun22data'!$I261),"NO","YES")))</f>
        <v>NO</v>
      </c>
    </row>
    <row r="262" spans="1:10">
      <c r="A262" s="114" t="str">
        <f t="shared" si="8"/>
        <v>1010000ELEC PLANT IN SERV3961300SNOWCATS, BACKHOES, TRENCHERS, SNOWBLOWRSITUS</v>
      </c>
      <c r="B262" s="119" t="s">
        <v>1809</v>
      </c>
      <c r="C262" s="120" t="s">
        <v>1453</v>
      </c>
      <c r="D262" s="119" t="s">
        <v>1828</v>
      </c>
      <c r="E262" s="121" t="s">
        <v>1538</v>
      </c>
      <c r="F262" s="120" t="s">
        <v>367</v>
      </c>
      <c r="G262" s="123">
        <v>1485.81422041667</v>
      </c>
      <c r="H262" s="113" t="str">
        <f t="shared" si="9"/>
        <v>SITUS</v>
      </c>
      <c r="I262" s="113" t="str">
        <f>INDEX('GP Lookup'!$I:$I,MATCH(A262,'GP Lookup'!$A:$A,0))</f>
        <v>DPW</v>
      </c>
      <c r="J262" s="113" t="str">
        <f>IF('GP Jun22data'!$G262=0,"NO",IF(ISNA('GP Jun22data'!$I262),"YES",IF(_xlfn.ISFORMULA('GP Jun22data'!$I262),"NO","YES")))</f>
        <v>NO</v>
      </c>
    </row>
    <row r="263" spans="1:10">
      <c r="A263" s="114" t="str">
        <f t="shared" si="8"/>
        <v>1010000ELEC PLANT IN SERV3961300SNOWCATS, BACKHOES, TRENCHERS, SNOWBLOWRSITUS</v>
      </c>
      <c r="B263" s="119" t="s">
        <v>1809</v>
      </c>
      <c r="C263" s="120" t="s">
        <v>1453</v>
      </c>
      <c r="D263" s="119" t="s">
        <v>1828</v>
      </c>
      <c r="E263" s="121" t="s">
        <v>1538</v>
      </c>
      <c r="F263" s="120" t="s">
        <v>386</v>
      </c>
      <c r="G263" s="123">
        <v>2921.61832125</v>
      </c>
      <c r="H263" s="113" t="str">
        <f t="shared" si="9"/>
        <v>SITUS</v>
      </c>
      <c r="I263" s="113" t="str">
        <f>INDEX('GP Lookup'!$I:$I,MATCH(A263,'GP Lookup'!$A:$A,0))</f>
        <v>DPW</v>
      </c>
      <c r="J263" s="113" t="str">
        <f>IF('GP Jun22data'!$G263=0,"NO",IF(ISNA('GP Jun22data'!$I263),"YES",IF(_xlfn.ISFORMULA('GP Jun22data'!$I263),"NO","YES")))</f>
        <v>NO</v>
      </c>
    </row>
    <row r="264" spans="1:10">
      <c r="A264" s="114" t="str">
        <f t="shared" si="8"/>
        <v>1010000ELEC PLANT IN SERV3961300SNOWCATS, BACKHOES, TRENCHERS, SNOWBLOWRSITUS</v>
      </c>
      <c r="B264" s="119" t="s">
        <v>1809</v>
      </c>
      <c r="C264" s="120" t="s">
        <v>1453</v>
      </c>
      <c r="D264" s="119" t="s">
        <v>1828</v>
      </c>
      <c r="E264" s="121" t="s">
        <v>1538</v>
      </c>
      <c r="F264" s="120" t="s">
        <v>378</v>
      </c>
      <c r="G264" s="123">
        <v>879.89076375000002</v>
      </c>
      <c r="H264" s="113" t="str">
        <f t="shared" si="9"/>
        <v>SITUS</v>
      </c>
      <c r="I264" s="113" t="str">
        <f>INDEX('GP Lookup'!$I:$I,MATCH(A264,'GP Lookup'!$A:$A,0))</f>
        <v>DPW</v>
      </c>
      <c r="J264" s="113" t="str">
        <f>IF('GP Jun22data'!$G264=0,"NO",IF(ISNA('GP Jun22data'!$I264),"YES",IF(_xlfn.ISFORMULA('GP Jun22data'!$I264),"NO","YES")))</f>
        <v>NO</v>
      </c>
    </row>
    <row r="265" spans="1:10">
      <c r="A265" s="114" t="str">
        <f t="shared" si="8"/>
        <v>1010000ELEC PLANT IN SERV3970000COMMUNICATION EQUIPMENTSITUS</v>
      </c>
      <c r="B265" s="119" t="s">
        <v>1809</v>
      </c>
      <c r="C265" s="120" t="s">
        <v>1453</v>
      </c>
      <c r="D265" s="119" t="s">
        <v>1803</v>
      </c>
      <c r="E265" s="121" t="s">
        <v>1539</v>
      </c>
      <c r="F265" s="120" t="s">
        <v>387</v>
      </c>
      <c r="G265" s="123">
        <v>5964.9963404166701</v>
      </c>
      <c r="H265" s="113" t="str">
        <f t="shared" si="9"/>
        <v>SITUS</v>
      </c>
      <c r="I265" s="113" t="str">
        <f>INDEX('GP Lookup'!$I:$I,MATCH(A265,'GP Lookup'!$A:$A,0))</f>
        <v>TD</v>
      </c>
      <c r="J265" s="113" t="str">
        <f>IF('GP Jun22data'!$G265=0,"NO",IF(ISNA('GP Jun22data'!$I265),"YES",IF(_xlfn.ISFORMULA('GP Jun22data'!$I265),"NO","YES")))</f>
        <v>NO</v>
      </c>
    </row>
    <row r="266" spans="1:10">
      <c r="A266" s="114" t="str">
        <f t="shared" si="8"/>
        <v>1010000ELEC PLANT IN SERV3970000COMMUNICATION EQUIPMENTSE</v>
      </c>
      <c r="B266" s="119" t="s">
        <v>1809</v>
      </c>
      <c r="C266" s="120" t="s">
        <v>1453</v>
      </c>
      <c r="D266" s="119" t="s">
        <v>1803</v>
      </c>
      <c r="E266" s="121" t="s">
        <v>1539</v>
      </c>
      <c r="F266" s="120" t="s">
        <v>3110</v>
      </c>
      <c r="G266" s="123">
        <v>279.63639000000001</v>
      </c>
      <c r="H266" s="113" t="str">
        <f t="shared" si="9"/>
        <v>SE</v>
      </c>
      <c r="I266" s="113" t="str">
        <f>INDEX('GP Lookup'!$I:$I,MATCH(A266,'GP Lookup'!$A:$A,0))</f>
        <v>P</v>
      </c>
      <c r="J266" s="113" t="str">
        <f>IF('GP Jun22data'!$G266=0,"NO",IF(ISNA('GP Jun22data'!$I266),"YES",IF(_xlfn.ISFORMULA('GP Jun22data'!$I266),"NO","YES")))</f>
        <v>NO</v>
      </c>
    </row>
    <row r="267" spans="1:10">
      <c r="A267" s="114" t="str">
        <f t="shared" si="8"/>
        <v>1010000ELEC PLANT IN SERV3970000COMMUNICATION EQUIPMENTSG</v>
      </c>
      <c r="B267" s="119" t="s">
        <v>1809</v>
      </c>
      <c r="C267" s="120" t="s">
        <v>1453</v>
      </c>
      <c r="D267" s="119" t="s">
        <v>1803</v>
      </c>
      <c r="E267" s="121" t="s">
        <v>1539</v>
      </c>
      <c r="F267" s="120" t="s">
        <v>3106</v>
      </c>
      <c r="G267" s="123">
        <v>25493.358974583301</v>
      </c>
      <c r="H267" s="113" t="str">
        <f t="shared" si="9"/>
        <v>SG</v>
      </c>
      <c r="I267" s="113" t="str">
        <f>INDEX('GP Lookup'!$I:$I,MATCH(A267,'GP Lookup'!$A:$A,0))</f>
        <v>T</v>
      </c>
      <c r="J267" s="113" t="str">
        <f>IF('GP Jun22data'!$G267=0,"NO",IF(ISNA('GP Jun22data'!$I267),"YES",IF(_xlfn.ISFORMULA('GP Jun22data'!$I267),"NO","YES")))</f>
        <v>NO</v>
      </c>
    </row>
    <row r="268" spans="1:10">
      <c r="A268" s="114" t="str">
        <f t="shared" si="8"/>
        <v>1010000ELEC PLANT IN SERV3970000COMMUNICATION EQUIPMENTSG</v>
      </c>
      <c r="B268" s="119" t="s">
        <v>1809</v>
      </c>
      <c r="C268" s="120" t="s">
        <v>1453</v>
      </c>
      <c r="D268" s="119" t="s">
        <v>1803</v>
      </c>
      <c r="E268" s="121" t="s">
        <v>1539</v>
      </c>
      <c r="F268" s="120" t="s">
        <v>3108</v>
      </c>
      <c r="G268" s="123">
        <v>1108.3577124999999</v>
      </c>
      <c r="H268" s="113" t="str">
        <f t="shared" si="9"/>
        <v>SG</v>
      </c>
      <c r="I268" s="113" t="str">
        <f>INDEX('GP Lookup'!$I:$I,MATCH(A268,'GP Lookup'!$A:$A,0))</f>
        <v>T</v>
      </c>
      <c r="J268" s="113" t="str">
        <f>IF('GP Jun22data'!$G268=0,"NO",IF(ISNA('GP Jun22data'!$I268),"YES",IF(_xlfn.ISFORMULA('GP Jun22data'!$I268),"NO","YES")))</f>
        <v>NO</v>
      </c>
    </row>
    <row r="269" spans="1:10">
      <c r="A269" s="114" t="str">
        <f t="shared" si="8"/>
        <v>1010000ELEC PLANT IN SERV3970000COMMUNICATION EQUIPMENTCN</v>
      </c>
      <c r="B269" s="119" t="s">
        <v>1809</v>
      </c>
      <c r="C269" s="120" t="s">
        <v>1453</v>
      </c>
      <c r="D269" s="119" t="s">
        <v>1803</v>
      </c>
      <c r="E269" s="121" t="s">
        <v>1539</v>
      </c>
      <c r="F269" s="120" t="s">
        <v>84</v>
      </c>
      <c r="G269" s="123">
        <v>3631.8756857152098</v>
      </c>
      <c r="H269" s="113" t="str">
        <f t="shared" si="9"/>
        <v>CN</v>
      </c>
      <c r="I269" s="113" t="str">
        <f>INDEX('GP Lookup'!$I:$I,MATCH(A269,'GP Lookup'!$A:$A,0))</f>
        <v>CUST</v>
      </c>
      <c r="J269" s="113" t="str">
        <f>IF('GP Jun22data'!$G269=0,"NO",IF(ISNA('GP Jun22data'!$I269),"YES",IF(_xlfn.ISFORMULA('GP Jun22data'!$I269),"NO","YES")))</f>
        <v>NO</v>
      </c>
    </row>
    <row r="270" spans="1:10">
      <c r="A270" s="114" t="str">
        <f t="shared" si="8"/>
        <v>1010000ELEC PLANT IN SERV3970000COMMUNICATION EQUIPMENTSITUS</v>
      </c>
      <c r="B270" s="119" t="s">
        <v>1809</v>
      </c>
      <c r="C270" s="120" t="s">
        <v>1453</v>
      </c>
      <c r="D270" s="119" t="s">
        <v>1803</v>
      </c>
      <c r="E270" s="121" t="s">
        <v>1539</v>
      </c>
      <c r="F270" s="120" t="s">
        <v>372</v>
      </c>
      <c r="G270" s="123">
        <v>13111.0638225</v>
      </c>
      <c r="H270" s="113" t="str">
        <f t="shared" si="9"/>
        <v>SITUS</v>
      </c>
      <c r="I270" s="113" t="str">
        <f>INDEX('GP Lookup'!$I:$I,MATCH(A270,'GP Lookup'!$A:$A,0))</f>
        <v>TD</v>
      </c>
      <c r="J270" s="113" t="str">
        <f>IF('GP Jun22data'!$G270=0,"NO",IF(ISNA('GP Jun22data'!$I270),"YES",IF(_xlfn.ISFORMULA('GP Jun22data'!$I270),"NO","YES")))</f>
        <v>NO</v>
      </c>
    </row>
    <row r="271" spans="1:10">
      <c r="A271" s="114" t="str">
        <f t="shared" si="8"/>
        <v>1010000ELEC PLANT IN SERV3970000COMMUNICATION EQUIPMENTSG</v>
      </c>
      <c r="B271" s="119" t="s">
        <v>1809</v>
      </c>
      <c r="C271" s="120" t="s">
        <v>1453</v>
      </c>
      <c r="D271" s="119" t="s">
        <v>1803</v>
      </c>
      <c r="E271" s="121" t="s">
        <v>1539</v>
      </c>
      <c r="F271" s="120" t="s">
        <v>3107</v>
      </c>
      <c r="G271" s="123">
        <v>3685.3213337500001</v>
      </c>
      <c r="H271" s="113" t="str">
        <f t="shared" si="9"/>
        <v>SG</v>
      </c>
      <c r="I271" s="113" t="str">
        <f>INDEX('GP Lookup'!$I:$I,MATCH(A271,'GP Lookup'!$A:$A,0))</f>
        <v>T</v>
      </c>
      <c r="J271" s="113" t="str">
        <f>IF('GP Jun22data'!$G271=0,"NO",IF(ISNA('GP Jun22data'!$I271),"YES",IF(_xlfn.ISFORMULA('GP Jun22data'!$I271),"NO","YES")))</f>
        <v>NO</v>
      </c>
    </row>
    <row r="272" spans="1:10">
      <c r="A272" s="114" t="str">
        <f t="shared" si="8"/>
        <v>1010000ELEC PLANT IN SERV3970000COMMUNICATION EQUIPMENTSITUS</v>
      </c>
      <c r="B272" s="119" t="s">
        <v>1809</v>
      </c>
      <c r="C272" s="120" t="s">
        <v>1453</v>
      </c>
      <c r="D272" s="119" t="s">
        <v>1803</v>
      </c>
      <c r="E272" s="121" t="s">
        <v>1539</v>
      </c>
      <c r="F272" s="120" t="s">
        <v>343</v>
      </c>
      <c r="G272" s="123">
        <v>67381.320749166698</v>
      </c>
      <c r="H272" s="113" t="str">
        <f t="shared" si="9"/>
        <v>SITUS</v>
      </c>
      <c r="I272" s="113" t="str">
        <f>INDEX('GP Lookup'!$I:$I,MATCH(A272,'GP Lookup'!$A:$A,0))</f>
        <v>TD</v>
      </c>
      <c r="J272" s="113" t="str">
        <f>IF('GP Jun22data'!$G272=0,"NO",IF(ISNA('GP Jun22data'!$I272),"YES",IF(_xlfn.ISFORMULA('GP Jun22data'!$I272),"NO","YES")))</f>
        <v>NO</v>
      </c>
    </row>
    <row r="273" spans="1:10">
      <c r="A273" s="114" t="str">
        <f t="shared" si="8"/>
        <v>1010000ELEC PLANT IN SERV3970000COMMUNICATION EQUIPMENTSG</v>
      </c>
      <c r="B273" s="119" t="s">
        <v>1809</v>
      </c>
      <c r="C273" s="120" t="s">
        <v>1453</v>
      </c>
      <c r="D273" s="119" t="s">
        <v>1803</v>
      </c>
      <c r="E273" s="121" t="s">
        <v>1539</v>
      </c>
      <c r="F273" s="120" t="s">
        <v>87</v>
      </c>
      <c r="G273" s="123">
        <v>150126.473104167</v>
      </c>
      <c r="H273" s="113" t="str">
        <f t="shared" si="9"/>
        <v>SG</v>
      </c>
      <c r="I273" s="113" t="str">
        <f>INDEX('GP Lookup'!$I:$I,MATCH(A273,'GP Lookup'!$A:$A,0))</f>
        <v>T</v>
      </c>
      <c r="J273" s="113" t="str">
        <f>IF('GP Jun22data'!$G273=0,"NO",IF(ISNA('GP Jun22data'!$I273),"YES",IF(_xlfn.ISFORMULA('GP Jun22data'!$I273),"NO","YES")))</f>
        <v>NO</v>
      </c>
    </row>
    <row r="274" spans="1:10">
      <c r="A274" s="114" t="str">
        <f t="shared" si="8"/>
        <v>1010000ELEC PLANT IN SERV3970000COMMUNICATION EQUIPMENTSO</v>
      </c>
      <c r="B274" s="119" t="s">
        <v>1809</v>
      </c>
      <c r="C274" s="120" t="s">
        <v>1453</v>
      </c>
      <c r="D274" s="119" t="s">
        <v>1803</v>
      </c>
      <c r="E274" s="121" t="s">
        <v>1539</v>
      </c>
      <c r="F274" s="120" t="s">
        <v>89</v>
      </c>
      <c r="G274" s="123">
        <v>92707.823582500001</v>
      </c>
      <c r="H274" s="113" t="str">
        <f t="shared" si="9"/>
        <v>SO</v>
      </c>
      <c r="I274" s="113" t="str">
        <f>INDEX('GP Lookup'!$I:$I,MATCH(A274,'GP Lookup'!$A:$A,0))</f>
        <v>PTD</v>
      </c>
      <c r="J274" s="113" t="str">
        <f>IF('GP Jun22data'!$G274=0,"NO",IF(ISNA('GP Jun22data'!$I274),"YES",IF(_xlfn.ISFORMULA('GP Jun22data'!$I274),"NO","YES")))</f>
        <v>NO</v>
      </c>
    </row>
    <row r="275" spans="1:10">
      <c r="A275" s="114" t="str">
        <f t="shared" si="8"/>
        <v>1010000ELEC PLANT IN SERV3970000COMMUNICATION EQUIPMENTSITUS</v>
      </c>
      <c r="B275" s="119" t="s">
        <v>1809</v>
      </c>
      <c r="C275" s="120" t="s">
        <v>1453</v>
      </c>
      <c r="D275" s="119" t="s">
        <v>1803</v>
      </c>
      <c r="E275" s="121" t="s">
        <v>1539</v>
      </c>
      <c r="F275" s="120" t="s">
        <v>370</v>
      </c>
      <c r="G275" s="123">
        <v>59837.256924166701</v>
      </c>
      <c r="H275" s="113" t="str">
        <f t="shared" si="9"/>
        <v>SITUS</v>
      </c>
      <c r="I275" s="113" t="str">
        <f>INDEX('GP Lookup'!$I:$I,MATCH(A275,'GP Lookup'!$A:$A,0))</f>
        <v>TD</v>
      </c>
      <c r="J275" s="113" t="str">
        <f>IF('GP Jun22data'!$G275=0,"NO",IF(ISNA('GP Jun22data'!$I275),"YES",IF(_xlfn.ISFORMULA('GP Jun22data'!$I275),"NO","YES")))</f>
        <v>NO</v>
      </c>
    </row>
    <row r="276" spans="1:10">
      <c r="A276" s="114" t="str">
        <f t="shared" si="8"/>
        <v>1010000ELEC PLANT IN SERV3970000COMMUNICATION EQUIPMENTSITUS</v>
      </c>
      <c r="B276" s="119" t="s">
        <v>1809</v>
      </c>
      <c r="C276" s="120" t="s">
        <v>1453</v>
      </c>
      <c r="D276" s="119" t="s">
        <v>1803</v>
      </c>
      <c r="E276" s="121" t="s">
        <v>1539</v>
      </c>
      <c r="F276" s="120" t="s">
        <v>367</v>
      </c>
      <c r="G276" s="123">
        <v>12206.2330933333</v>
      </c>
      <c r="H276" s="113" t="str">
        <f t="shared" si="9"/>
        <v>SITUS</v>
      </c>
      <c r="I276" s="113" t="str">
        <f>INDEX('GP Lookup'!$I:$I,MATCH(A276,'GP Lookup'!$A:$A,0))</f>
        <v>TD</v>
      </c>
      <c r="J276" s="113" t="str">
        <f>IF('GP Jun22data'!$G276=0,"NO",IF(ISNA('GP Jun22data'!$I276),"YES",IF(_xlfn.ISFORMULA('GP Jun22data'!$I276),"NO","YES")))</f>
        <v>NO</v>
      </c>
    </row>
    <row r="277" spans="1:10">
      <c r="A277" s="114" t="str">
        <f t="shared" si="8"/>
        <v>1010000ELEC PLANT IN SERV3970000COMMUNICATION EQUIPMENTSITUS</v>
      </c>
      <c r="B277" s="119" t="s">
        <v>1809</v>
      </c>
      <c r="C277" s="120" t="s">
        <v>1453</v>
      </c>
      <c r="D277" s="119" t="s">
        <v>1803</v>
      </c>
      <c r="E277" s="121" t="s">
        <v>1539</v>
      </c>
      <c r="F277" s="120" t="s">
        <v>386</v>
      </c>
      <c r="G277" s="123">
        <v>24608.186154583302</v>
      </c>
      <c r="H277" s="113" t="str">
        <f t="shared" si="9"/>
        <v>SITUS</v>
      </c>
      <c r="I277" s="113" t="str">
        <f>INDEX('GP Lookup'!$I:$I,MATCH(A277,'GP Lookup'!$A:$A,0))</f>
        <v>TD</v>
      </c>
      <c r="J277" s="113" t="str">
        <f>IF('GP Jun22data'!$G277=0,"NO",IF(ISNA('GP Jun22data'!$I277),"YES",IF(_xlfn.ISFORMULA('GP Jun22data'!$I277),"NO","YES")))</f>
        <v>NO</v>
      </c>
    </row>
    <row r="278" spans="1:10">
      <c r="A278" s="114" t="str">
        <f t="shared" si="8"/>
        <v>1010000ELEC PLANT IN SERV3970000COMMUNICATION EQUIPMENTSITUS</v>
      </c>
      <c r="B278" s="119" t="s">
        <v>1809</v>
      </c>
      <c r="C278" s="120" t="s">
        <v>1453</v>
      </c>
      <c r="D278" s="119" t="s">
        <v>1803</v>
      </c>
      <c r="E278" s="121" t="s">
        <v>1539</v>
      </c>
      <c r="F278" s="120" t="s">
        <v>378</v>
      </c>
      <c r="G278" s="123">
        <v>5900.2161087499999</v>
      </c>
      <c r="H278" s="113" t="str">
        <f t="shared" si="9"/>
        <v>SITUS</v>
      </c>
      <c r="I278" s="113" t="str">
        <f>INDEX('GP Lookup'!$I:$I,MATCH(A278,'GP Lookup'!$A:$A,0))</f>
        <v>TD</v>
      </c>
      <c r="J278" s="113" t="str">
        <f>IF('GP Jun22data'!$G278=0,"NO",IF(ISNA('GP Jun22data'!$I278),"YES",IF(_xlfn.ISFORMULA('GP Jun22data'!$I278),"NO","YES")))</f>
        <v>NO</v>
      </c>
    </row>
    <row r="279" spans="1:10">
      <c r="A279" s="114" t="str">
        <f t="shared" si="8"/>
        <v>1010000ELEC PLANT IN SERV3972000MOBILE RADIO EQUIPMENTSITUS</v>
      </c>
      <c r="B279" s="119" t="s">
        <v>1809</v>
      </c>
      <c r="C279" s="120" t="s">
        <v>1453</v>
      </c>
      <c r="D279" s="119" t="s">
        <v>1804</v>
      </c>
      <c r="E279" s="121" t="s">
        <v>1540</v>
      </c>
      <c r="F279" s="120" t="s">
        <v>387</v>
      </c>
      <c r="G279" s="123">
        <v>301.55860124999998</v>
      </c>
      <c r="H279" s="113" t="str">
        <f t="shared" si="9"/>
        <v>SITUS</v>
      </c>
      <c r="I279" s="113" t="str">
        <f>INDEX('GP Lookup'!$I:$I,MATCH(A279,'GP Lookup'!$A:$A,0))</f>
        <v>TD</v>
      </c>
      <c r="J279" s="113" t="str">
        <f>IF('GP Jun22data'!$G279=0,"NO",IF(ISNA('GP Jun22data'!$I279),"YES",IF(_xlfn.ISFORMULA('GP Jun22data'!$I279),"NO","YES")))</f>
        <v>NO</v>
      </c>
    </row>
    <row r="280" spans="1:10">
      <c r="A280" s="114" t="str">
        <f t="shared" si="8"/>
        <v>1010000ELEC PLANT IN SERV3972000MOBILE RADIO EQUIPMENTSE</v>
      </c>
      <c r="B280" s="119" t="s">
        <v>1809</v>
      </c>
      <c r="C280" s="120" t="s">
        <v>1453</v>
      </c>
      <c r="D280" s="119" t="s">
        <v>1804</v>
      </c>
      <c r="E280" s="121" t="s">
        <v>1540</v>
      </c>
      <c r="F280" s="120" t="s">
        <v>3110</v>
      </c>
      <c r="G280" s="123">
        <v>82.139439999999993</v>
      </c>
      <c r="H280" s="113" t="str">
        <f t="shared" si="9"/>
        <v>SE</v>
      </c>
      <c r="I280" s="113" t="str">
        <f>INDEX('GP Lookup'!$I:$I,MATCH(A280,'GP Lookup'!$A:$A,0))</f>
        <v>P</v>
      </c>
      <c r="J280" s="113" t="str">
        <f>IF('GP Jun22data'!$G280=0,"NO",IF(ISNA('GP Jun22data'!$I280),"YES",IF(_xlfn.ISFORMULA('GP Jun22data'!$I280),"NO","YES")))</f>
        <v>NO</v>
      </c>
    </row>
    <row r="281" spans="1:10">
      <c r="A281" s="114" t="str">
        <f t="shared" si="8"/>
        <v>1010000ELEC PLANT IN SERV3972000MOBILE RADIO EQUIPMENTSG</v>
      </c>
      <c r="B281" s="119" t="s">
        <v>1809</v>
      </c>
      <c r="C281" s="120" t="s">
        <v>1453</v>
      </c>
      <c r="D281" s="119" t="s">
        <v>1804</v>
      </c>
      <c r="E281" s="121" t="s">
        <v>1540</v>
      </c>
      <c r="F281" s="120" t="s">
        <v>3106</v>
      </c>
      <c r="G281" s="123">
        <v>1740.49139583333</v>
      </c>
      <c r="H281" s="113" t="str">
        <f t="shared" si="9"/>
        <v>SG</v>
      </c>
      <c r="I281" s="113" t="str">
        <f>INDEX('GP Lookup'!$I:$I,MATCH(A281,'GP Lookup'!$A:$A,0))</f>
        <v>P</v>
      </c>
      <c r="J281" s="113" t="str">
        <f>IF('GP Jun22data'!$G281=0,"NO",IF(ISNA('GP Jun22data'!$I281),"YES",IF(_xlfn.ISFORMULA('GP Jun22data'!$I281),"NO","YES")))</f>
        <v>NO</v>
      </c>
    </row>
    <row r="282" spans="1:10">
      <c r="A282" s="114" t="str">
        <f t="shared" si="8"/>
        <v>1010000ELEC PLANT IN SERV3972000MOBILE RADIO EQUIPMENTSG</v>
      </c>
      <c r="B282" s="119" t="s">
        <v>1809</v>
      </c>
      <c r="C282" s="120" t="s">
        <v>1453</v>
      </c>
      <c r="D282" s="119" t="s">
        <v>1804</v>
      </c>
      <c r="E282" s="121" t="s">
        <v>1540</v>
      </c>
      <c r="F282" s="120" t="s">
        <v>3108</v>
      </c>
      <c r="G282" s="123">
        <v>29.3222925</v>
      </c>
      <c r="H282" s="113" t="str">
        <f t="shared" si="9"/>
        <v>SG</v>
      </c>
      <c r="I282" s="113" t="str">
        <f>INDEX('GP Lookup'!$I:$I,MATCH(A282,'GP Lookup'!$A:$A,0))</f>
        <v>P</v>
      </c>
      <c r="J282" s="113" t="str">
        <f>IF('GP Jun22data'!$G282=0,"NO",IF(ISNA('GP Jun22data'!$I282),"YES",IF(_xlfn.ISFORMULA('GP Jun22data'!$I282),"NO","YES")))</f>
        <v>NO</v>
      </c>
    </row>
    <row r="283" spans="1:10">
      <c r="A283" s="114" t="str">
        <f t="shared" si="8"/>
        <v>1010000ELEC PLANT IN SERV3972000MOBILE RADIO EQUIPMENTSITUS</v>
      </c>
      <c r="B283" s="119" t="s">
        <v>1809</v>
      </c>
      <c r="C283" s="120" t="s">
        <v>1453</v>
      </c>
      <c r="D283" s="119" t="s">
        <v>1804</v>
      </c>
      <c r="E283" s="121" t="s">
        <v>1540</v>
      </c>
      <c r="F283" s="120" t="s">
        <v>372</v>
      </c>
      <c r="G283" s="123">
        <v>293.75208333333302</v>
      </c>
      <c r="H283" s="113" t="str">
        <f t="shared" si="9"/>
        <v>SITUS</v>
      </c>
      <c r="I283" s="113" t="str">
        <f>INDEX('GP Lookup'!$I:$I,MATCH(A283,'GP Lookup'!$A:$A,0))</f>
        <v>TD</v>
      </c>
      <c r="J283" s="113" t="str">
        <f>IF('GP Jun22data'!$G283=0,"NO",IF(ISNA('GP Jun22data'!$I283),"YES",IF(_xlfn.ISFORMULA('GP Jun22data'!$I283),"NO","YES")))</f>
        <v>NO</v>
      </c>
    </row>
    <row r="284" spans="1:10">
      <c r="A284" s="114" t="str">
        <f t="shared" si="8"/>
        <v>1010000ELEC PLANT IN SERV3972000MOBILE RADIO EQUIPMENTSG</v>
      </c>
      <c r="B284" s="119" t="s">
        <v>1809</v>
      </c>
      <c r="C284" s="120" t="s">
        <v>1453</v>
      </c>
      <c r="D284" s="119" t="s">
        <v>1804</v>
      </c>
      <c r="E284" s="121" t="s">
        <v>1540</v>
      </c>
      <c r="F284" s="120" t="s">
        <v>3107</v>
      </c>
      <c r="G284" s="123">
        <v>593.42872</v>
      </c>
      <c r="H284" s="113" t="str">
        <f t="shared" si="9"/>
        <v>SG</v>
      </c>
      <c r="I284" s="113" t="str">
        <f>INDEX('GP Lookup'!$I:$I,MATCH(A284,'GP Lookup'!$A:$A,0))</f>
        <v>P</v>
      </c>
      <c r="J284" s="113" t="str">
        <f>IF('GP Jun22data'!$G284=0,"NO",IF(ISNA('GP Jun22data'!$I284),"YES",IF(_xlfn.ISFORMULA('GP Jun22data'!$I284),"NO","YES")))</f>
        <v>NO</v>
      </c>
    </row>
    <row r="285" spans="1:10">
      <c r="A285" s="114" t="str">
        <f t="shared" si="8"/>
        <v>1010000ELEC PLANT IN SERV3972000MOBILE RADIO EQUIPMENTSITUS</v>
      </c>
      <c r="B285" s="119" t="s">
        <v>1809</v>
      </c>
      <c r="C285" s="120" t="s">
        <v>1453</v>
      </c>
      <c r="D285" s="119" t="s">
        <v>1804</v>
      </c>
      <c r="E285" s="121" t="s">
        <v>1540</v>
      </c>
      <c r="F285" s="120" t="s">
        <v>343</v>
      </c>
      <c r="G285" s="123">
        <v>2405.3891125</v>
      </c>
      <c r="H285" s="113" t="str">
        <f t="shared" si="9"/>
        <v>SITUS</v>
      </c>
      <c r="I285" s="113" t="str">
        <f>INDEX('GP Lookup'!$I:$I,MATCH(A285,'GP Lookup'!$A:$A,0))</f>
        <v>TD</v>
      </c>
      <c r="J285" s="113" t="str">
        <f>IF('GP Jun22data'!$G285=0,"NO",IF(ISNA('GP Jun22data'!$I285),"YES",IF(_xlfn.ISFORMULA('GP Jun22data'!$I285),"NO","YES")))</f>
        <v>NO</v>
      </c>
    </row>
    <row r="286" spans="1:10">
      <c r="A286" s="114" t="str">
        <f t="shared" si="8"/>
        <v>1010000ELEC PLANT IN SERV3972000MOBILE RADIO EQUIPMENTSG</v>
      </c>
      <c r="B286" s="119" t="s">
        <v>1809</v>
      </c>
      <c r="C286" s="120" t="s">
        <v>1453</v>
      </c>
      <c r="D286" s="119" t="s">
        <v>1804</v>
      </c>
      <c r="E286" s="121" t="s">
        <v>1540</v>
      </c>
      <c r="F286" s="120" t="s">
        <v>87</v>
      </c>
      <c r="G286" s="123">
        <v>1681.9364066666701</v>
      </c>
      <c r="H286" s="113" t="str">
        <f t="shared" si="9"/>
        <v>SG</v>
      </c>
      <c r="I286" s="113" t="str">
        <f>INDEX('GP Lookup'!$I:$I,MATCH(A286,'GP Lookup'!$A:$A,0))</f>
        <v>P</v>
      </c>
      <c r="J286" s="113" t="str">
        <f>IF('GP Jun22data'!$G286=0,"NO",IF(ISNA('GP Jun22data'!$I286),"YES",IF(_xlfn.ISFORMULA('GP Jun22data'!$I286),"NO","YES")))</f>
        <v>NO</v>
      </c>
    </row>
    <row r="287" spans="1:10">
      <c r="A287" s="114" t="str">
        <f t="shared" si="8"/>
        <v>1010000ELEC PLANT IN SERV3972000MOBILE RADIO EQUIPMENTSO</v>
      </c>
      <c r="B287" s="119" t="s">
        <v>1809</v>
      </c>
      <c r="C287" s="120" t="s">
        <v>1453</v>
      </c>
      <c r="D287" s="119" t="s">
        <v>1804</v>
      </c>
      <c r="E287" s="121" t="s">
        <v>1540</v>
      </c>
      <c r="F287" s="120" t="s">
        <v>89</v>
      </c>
      <c r="G287" s="123">
        <v>332.87761791666702</v>
      </c>
      <c r="H287" s="113" t="str">
        <f t="shared" si="9"/>
        <v>SO</v>
      </c>
      <c r="I287" s="113" t="str">
        <f>INDEX('GP Lookup'!$I:$I,MATCH(A287,'GP Lookup'!$A:$A,0))</f>
        <v>PTD</v>
      </c>
      <c r="J287" s="113" t="str">
        <f>IF('GP Jun22data'!$G287=0,"NO",IF(ISNA('GP Jun22data'!$I287),"YES",IF(_xlfn.ISFORMULA('GP Jun22data'!$I287),"NO","YES")))</f>
        <v>NO</v>
      </c>
    </row>
    <row r="288" spans="1:10">
      <c r="A288" s="114" t="str">
        <f t="shared" si="8"/>
        <v>1010000ELEC PLANT IN SERV3972000MOBILE RADIO EQUIPMENTSITUS</v>
      </c>
      <c r="B288" s="119" t="s">
        <v>1809</v>
      </c>
      <c r="C288" s="120" t="s">
        <v>1453</v>
      </c>
      <c r="D288" s="119" t="s">
        <v>1804</v>
      </c>
      <c r="E288" s="121" t="s">
        <v>1540</v>
      </c>
      <c r="F288" s="120" t="s">
        <v>370</v>
      </c>
      <c r="G288" s="123">
        <v>1662.913595</v>
      </c>
      <c r="H288" s="113" t="str">
        <f t="shared" si="9"/>
        <v>SITUS</v>
      </c>
      <c r="I288" s="113" t="str">
        <f>INDEX('GP Lookup'!$I:$I,MATCH(A288,'GP Lookup'!$A:$A,0))</f>
        <v>TD</v>
      </c>
      <c r="J288" s="113" t="str">
        <f>IF('GP Jun22data'!$G288=0,"NO",IF(ISNA('GP Jun22data'!$I288),"YES",IF(_xlfn.ISFORMULA('GP Jun22data'!$I288),"NO","YES")))</f>
        <v>NO</v>
      </c>
    </row>
    <row r="289" spans="1:10">
      <c r="A289" s="114" t="str">
        <f t="shared" si="8"/>
        <v>1010000ELEC PLANT IN SERV3972000MOBILE RADIO EQUIPMENTSITUS</v>
      </c>
      <c r="B289" s="119" t="s">
        <v>1809</v>
      </c>
      <c r="C289" s="120" t="s">
        <v>1453</v>
      </c>
      <c r="D289" s="119" t="s">
        <v>1804</v>
      </c>
      <c r="E289" s="121" t="s">
        <v>1540</v>
      </c>
      <c r="F289" s="120" t="s">
        <v>367</v>
      </c>
      <c r="G289" s="123">
        <v>477.49275875000001</v>
      </c>
      <c r="H289" s="113" t="str">
        <f t="shared" si="9"/>
        <v>SITUS</v>
      </c>
      <c r="I289" s="113" t="str">
        <f>INDEX('GP Lookup'!$I:$I,MATCH(A289,'GP Lookup'!$A:$A,0))</f>
        <v>TD</v>
      </c>
      <c r="J289" s="113" t="str">
        <f>IF('GP Jun22data'!$G289=0,"NO",IF(ISNA('GP Jun22data'!$I289),"YES",IF(_xlfn.ISFORMULA('GP Jun22data'!$I289),"NO","YES")))</f>
        <v>NO</v>
      </c>
    </row>
    <row r="290" spans="1:10">
      <c r="A290" s="114" t="str">
        <f t="shared" si="8"/>
        <v>1010000ELEC PLANT IN SERV3972000MOBILE RADIO EQUIPMENTSITUS</v>
      </c>
      <c r="B290" s="119" t="s">
        <v>1809</v>
      </c>
      <c r="C290" s="120" t="s">
        <v>1453</v>
      </c>
      <c r="D290" s="119" t="s">
        <v>1804</v>
      </c>
      <c r="E290" s="121" t="s">
        <v>1540</v>
      </c>
      <c r="F290" s="120" t="s">
        <v>386</v>
      </c>
      <c r="G290" s="123">
        <v>581.91208541666697</v>
      </c>
      <c r="H290" s="113" t="str">
        <f t="shared" si="9"/>
        <v>SITUS</v>
      </c>
      <c r="I290" s="113" t="str">
        <f>INDEX('GP Lookup'!$I:$I,MATCH(A290,'GP Lookup'!$A:$A,0))</f>
        <v>TD</v>
      </c>
      <c r="J290" s="113" t="str">
        <f>IF('GP Jun22data'!$G290=0,"NO",IF(ISNA('GP Jun22data'!$I290),"YES",IF(_xlfn.ISFORMULA('GP Jun22data'!$I290),"NO","YES")))</f>
        <v>NO</v>
      </c>
    </row>
    <row r="291" spans="1:10">
      <c r="A291" s="114" t="str">
        <f t="shared" si="8"/>
        <v>1010000ELEC PLANT IN SERV3972000MOBILE RADIO EQUIPMENTSITUS</v>
      </c>
      <c r="B291" s="119" t="s">
        <v>1809</v>
      </c>
      <c r="C291" s="120" t="s">
        <v>1453</v>
      </c>
      <c r="D291" s="119" t="s">
        <v>1804</v>
      </c>
      <c r="E291" s="121" t="s">
        <v>1540</v>
      </c>
      <c r="F291" s="120" t="s">
        <v>378</v>
      </c>
      <c r="G291" s="123">
        <v>102.270509166667</v>
      </c>
      <c r="H291" s="113" t="str">
        <f t="shared" si="9"/>
        <v>SITUS</v>
      </c>
      <c r="I291" s="113" t="str">
        <f>INDEX('GP Lookup'!$I:$I,MATCH(A291,'GP Lookup'!$A:$A,0))</f>
        <v>TD</v>
      </c>
      <c r="J291" s="113" t="str">
        <f>IF('GP Jun22data'!$G291=0,"NO",IF(ISNA('GP Jun22data'!$I291),"YES",IF(_xlfn.ISFORMULA('GP Jun22data'!$I291),"NO","YES")))</f>
        <v>NO</v>
      </c>
    </row>
    <row r="292" spans="1:10">
      <c r="A292" s="114" t="str">
        <f t="shared" si="8"/>
        <v>1010000ELEC PLANT IN SERV3980000MISCELLANEOUS EQUIPMENTSITUS</v>
      </c>
      <c r="B292" s="119" t="s">
        <v>1809</v>
      </c>
      <c r="C292" s="120" t="s">
        <v>1453</v>
      </c>
      <c r="D292" s="119" t="s">
        <v>1805</v>
      </c>
      <c r="E292" s="121" t="s">
        <v>1541</v>
      </c>
      <c r="F292" s="120" t="s">
        <v>387</v>
      </c>
      <c r="G292" s="123">
        <v>52.115091249999999</v>
      </c>
      <c r="H292" s="113" t="str">
        <f t="shared" si="9"/>
        <v>SITUS</v>
      </c>
      <c r="I292" s="113" t="str">
        <f>INDEX('GP Lookup'!$I:$I,MATCH(A292,'GP Lookup'!$A:$A,0))</f>
        <v>TD</v>
      </c>
      <c r="J292" s="113" t="str">
        <f>IF('GP Jun22data'!$G292=0,"NO",IF(ISNA('GP Jun22data'!$I292),"YES",IF(_xlfn.ISFORMULA('GP Jun22data'!$I292),"NO","YES")))</f>
        <v>NO</v>
      </c>
    </row>
    <row r="293" spans="1:10">
      <c r="A293" s="114" t="str">
        <f t="shared" si="8"/>
        <v>1010000ELEC PLANT IN SERV3980000MISCELLANEOUS EQUIPMENTSE</v>
      </c>
      <c r="B293" s="119" t="s">
        <v>1809</v>
      </c>
      <c r="C293" s="120" t="s">
        <v>1453</v>
      </c>
      <c r="D293" s="119" t="s">
        <v>1805</v>
      </c>
      <c r="E293" s="121" t="s">
        <v>1541</v>
      </c>
      <c r="F293" s="120" t="s">
        <v>3110</v>
      </c>
      <c r="G293" s="123">
        <v>3.96584</v>
      </c>
      <c r="H293" s="113" t="str">
        <f t="shared" si="9"/>
        <v>SE</v>
      </c>
      <c r="I293" s="113" t="str">
        <f>INDEX('GP Lookup'!$I:$I,MATCH(A293,'GP Lookup'!$A:$A,0))</f>
        <v>P</v>
      </c>
      <c r="J293" s="113" t="str">
        <f>IF('GP Jun22data'!$G293=0,"NO",IF(ISNA('GP Jun22data'!$I293),"YES",IF(_xlfn.ISFORMULA('GP Jun22data'!$I293),"NO","YES")))</f>
        <v>NO</v>
      </c>
    </row>
    <row r="294" spans="1:10">
      <c r="A294" s="114" t="str">
        <f t="shared" si="8"/>
        <v>1010000ELEC PLANT IN SERV3980000MISCELLANEOUS EQUIPMENTSG</v>
      </c>
      <c r="B294" s="119" t="s">
        <v>1809</v>
      </c>
      <c r="C294" s="120" t="s">
        <v>1453</v>
      </c>
      <c r="D294" s="119" t="s">
        <v>1805</v>
      </c>
      <c r="E294" s="121" t="s">
        <v>1541</v>
      </c>
      <c r="F294" s="120" t="s">
        <v>3106</v>
      </c>
      <c r="G294" s="123">
        <v>1831.6786108333299</v>
      </c>
      <c r="H294" s="113" t="str">
        <f t="shared" si="9"/>
        <v>SG</v>
      </c>
      <c r="I294" s="113" t="str">
        <f>INDEX('GP Lookup'!$I:$I,MATCH(A294,'GP Lookup'!$A:$A,0))</f>
        <v>P</v>
      </c>
      <c r="J294" s="113" t="str">
        <f>IF('GP Jun22data'!$G294=0,"NO",IF(ISNA('GP Jun22data'!$I294),"YES",IF(_xlfn.ISFORMULA('GP Jun22data'!$I294),"NO","YES")))</f>
        <v>NO</v>
      </c>
    </row>
    <row r="295" spans="1:10">
      <c r="A295" s="114" t="str">
        <f t="shared" si="8"/>
        <v>1010000ELEC PLANT IN SERV3980000MISCELLANEOUS EQUIPMENTSG</v>
      </c>
      <c r="B295" s="119" t="s">
        <v>1809</v>
      </c>
      <c r="C295" s="120" t="s">
        <v>1453</v>
      </c>
      <c r="D295" s="119" t="s">
        <v>1805</v>
      </c>
      <c r="E295" s="121" t="s">
        <v>1541</v>
      </c>
      <c r="F295" s="120" t="s">
        <v>3108</v>
      </c>
      <c r="G295" s="123">
        <v>24.068259999999999</v>
      </c>
      <c r="H295" s="113" t="str">
        <f t="shared" si="9"/>
        <v>SG</v>
      </c>
      <c r="I295" s="113" t="str">
        <f>INDEX('GP Lookup'!$I:$I,MATCH(A295,'GP Lookup'!$A:$A,0))</f>
        <v>P</v>
      </c>
      <c r="J295" s="113" t="str">
        <f>IF('GP Jun22data'!$G295=0,"NO",IF(ISNA('GP Jun22data'!$I295),"YES",IF(_xlfn.ISFORMULA('GP Jun22data'!$I295),"NO","YES")))</f>
        <v>NO</v>
      </c>
    </row>
    <row r="296" spans="1:10">
      <c r="A296" s="114" t="str">
        <f t="shared" si="8"/>
        <v>1010000ELEC PLANT IN SERV3980000MISCELLANEOUS EQUIPMENTCN</v>
      </c>
      <c r="B296" s="119" t="s">
        <v>1809</v>
      </c>
      <c r="C296" s="120" t="s">
        <v>1453</v>
      </c>
      <c r="D296" s="119" t="s">
        <v>1805</v>
      </c>
      <c r="E296" s="121" t="s">
        <v>1541</v>
      </c>
      <c r="F296" s="120" t="s">
        <v>84</v>
      </c>
      <c r="G296" s="123">
        <v>78.824062995490706</v>
      </c>
      <c r="H296" s="113" t="str">
        <f t="shared" si="9"/>
        <v>CN</v>
      </c>
      <c r="I296" s="113" t="str">
        <f>INDEX('GP Lookup'!$I:$I,MATCH(A296,'GP Lookup'!$A:$A,0))</f>
        <v>CUST</v>
      </c>
      <c r="J296" s="113" t="str">
        <f>IF('GP Jun22data'!$G296=0,"NO",IF(ISNA('GP Jun22data'!$I296),"YES",IF(_xlfn.ISFORMULA('GP Jun22data'!$I296),"NO","YES")))</f>
        <v>NO</v>
      </c>
    </row>
    <row r="297" spans="1:10">
      <c r="A297" s="114" t="str">
        <f t="shared" si="8"/>
        <v>1010000ELEC PLANT IN SERV3980000MISCELLANEOUS EQUIPMENTSITUS</v>
      </c>
      <c r="B297" s="119" t="s">
        <v>1809</v>
      </c>
      <c r="C297" s="120" t="s">
        <v>1453</v>
      </c>
      <c r="D297" s="119" t="s">
        <v>1805</v>
      </c>
      <c r="E297" s="121" t="s">
        <v>1541</v>
      </c>
      <c r="F297" s="120" t="s">
        <v>372</v>
      </c>
      <c r="G297" s="123">
        <v>72.8129408333333</v>
      </c>
      <c r="H297" s="113" t="str">
        <f t="shared" si="9"/>
        <v>SITUS</v>
      </c>
      <c r="I297" s="113" t="str">
        <f>INDEX('GP Lookup'!$I:$I,MATCH(A297,'GP Lookup'!$A:$A,0))</f>
        <v>TD</v>
      </c>
      <c r="J297" s="113" t="str">
        <f>IF('GP Jun22data'!$G297=0,"NO",IF(ISNA('GP Jun22data'!$I297),"YES",IF(_xlfn.ISFORMULA('GP Jun22data'!$I297),"NO","YES")))</f>
        <v>NO</v>
      </c>
    </row>
    <row r="298" spans="1:10">
      <c r="A298" s="114" t="str">
        <f t="shared" si="8"/>
        <v>1010000ELEC PLANT IN SERV3980000MISCELLANEOUS EQUIPMENTSG</v>
      </c>
      <c r="B298" s="119" t="s">
        <v>1809</v>
      </c>
      <c r="C298" s="120" t="s">
        <v>1453</v>
      </c>
      <c r="D298" s="119" t="s">
        <v>1805</v>
      </c>
      <c r="E298" s="121" t="s">
        <v>1541</v>
      </c>
      <c r="F298" s="120" t="s">
        <v>3107</v>
      </c>
      <c r="G298" s="123">
        <v>266.40971999999999</v>
      </c>
      <c r="H298" s="113" t="str">
        <f t="shared" si="9"/>
        <v>SG</v>
      </c>
      <c r="I298" s="113" t="str">
        <f>INDEX('GP Lookup'!$I:$I,MATCH(A298,'GP Lookup'!$A:$A,0))</f>
        <v>P</v>
      </c>
      <c r="J298" s="113" t="str">
        <f>IF('GP Jun22data'!$G298=0,"NO",IF(ISNA('GP Jun22data'!$I298),"YES",IF(_xlfn.ISFORMULA('GP Jun22data'!$I298),"NO","YES")))</f>
        <v>NO</v>
      </c>
    </row>
    <row r="299" spans="1:10">
      <c r="A299" s="114" t="str">
        <f t="shared" si="8"/>
        <v>1010000ELEC PLANT IN SERV3980000MISCELLANEOUS EQUIPMENTSITUS</v>
      </c>
      <c r="B299" s="119" t="s">
        <v>1809</v>
      </c>
      <c r="C299" s="120" t="s">
        <v>1453</v>
      </c>
      <c r="D299" s="119" t="s">
        <v>1805</v>
      </c>
      <c r="E299" s="121" t="s">
        <v>1541</v>
      </c>
      <c r="F299" s="120" t="s">
        <v>343</v>
      </c>
      <c r="G299" s="123">
        <v>1221.62602541667</v>
      </c>
      <c r="H299" s="113" t="str">
        <f t="shared" si="9"/>
        <v>SITUS</v>
      </c>
      <c r="I299" s="113" t="str">
        <f>INDEX('GP Lookup'!$I:$I,MATCH(A299,'GP Lookup'!$A:$A,0))</f>
        <v>TD</v>
      </c>
      <c r="J299" s="113" t="str">
        <f>IF('GP Jun22data'!$G299=0,"NO",IF(ISNA('GP Jun22data'!$I299),"YES",IF(_xlfn.ISFORMULA('GP Jun22data'!$I299),"NO","YES")))</f>
        <v>NO</v>
      </c>
    </row>
    <row r="300" spans="1:10">
      <c r="A300" s="114" t="str">
        <f t="shared" si="8"/>
        <v>1010000ELEC PLANT IN SERV3980000MISCELLANEOUS EQUIPMENTSG</v>
      </c>
      <c r="B300" s="119" t="s">
        <v>1809</v>
      </c>
      <c r="C300" s="120" t="s">
        <v>1453</v>
      </c>
      <c r="D300" s="119" t="s">
        <v>1805</v>
      </c>
      <c r="E300" s="121" t="s">
        <v>1541</v>
      </c>
      <c r="F300" s="120" t="s">
        <v>87</v>
      </c>
      <c r="G300" s="123">
        <v>762.52201041666603</v>
      </c>
      <c r="H300" s="113" t="str">
        <f t="shared" si="9"/>
        <v>SG</v>
      </c>
      <c r="I300" s="113" t="str">
        <f>INDEX('GP Lookup'!$I:$I,MATCH(A300,'GP Lookup'!$A:$A,0))</f>
        <v>P</v>
      </c>
      <c r="J300" s="113" t="str">
        <f>IF('GP Jun22data'!$G300=0,"NO",IF(ISNA('GP Jun22data'!$I300),"YES",IF(_xlfn.ISFORMULA('GP Jun22data'!$I300),"NO","YES")))</f>
        <v>NO</v>
      </c>
    </row>
    <row r="301" spans="1:10">
      <c r="A301" s="114" t="str">
        <f t="shared" si="8"/>
        <v>1010000ELEC PLANT IN SERV3980000MISCELLANEOUS EQUIPMENTSO</v>
      </c>
      <c r="B301" s="119" t="s">
        <v>1809</v>
      </c>
      <c r="C301" s="120" t="s">
        <v>1453</v>
      </c>
      <c r="D301" s="119" t="s">
        <v>1805</v>
      </c>
      <c r="E301" s="121" t="s">
        <v>1541</v>
      </c>
      <c r="F301" s="120" t="s">
        <v>89</v>
      </c>
      <c r="G301" s="123">
        <v>2189.6015900000002</v>
      </c>
      <c r="H301" s="113" t="str">
        <f t="shared" si="9"/>
        <v>SO</v>
      </c>
      <c r="I301" s="113" t="str">
        <f>INDEX('GP Lookup'!$I:$I,MATCH(A301,'GP Lookup'!$A:$A,0))</f>
        <v>PTD</v>
      </c>
      <c r="J301" s="113" t="str">
        <f>IF('GP Jun22data'!$G301=0,"NO",IF(ISNA('GP Jun22data'!$I301),"YES",IF(_xlfn.ISFORMULA('GP Jun22data'!$I301),"NO","YES")))</f>
        <v>NO</v>
      </c>
    </row>
    <row r="302" spans="1:10">
      <c r="A302" s="114" t="str">
        <f t="shared" si="8"/>
        <v>1010000ELEC PLANT IN SERV3980000MISCELLANEOUS EQUIPMENTSITUS</v>
      </c>
      <c r="B302" s="119" t="s">
        <v>1809</v>
      </c>
      <c r="C302" s="120" t="s">
        <v>1453</v>
      </c>
      <c r="D302" s="119" t="s">
        <v>1805</v>
      </c>
      <c r="E302" s="121" t="s">
        <v>1541</v>
      </c>
      <c r="F302" s="120" t="s">
        <v>370</v>
      </c>
      <c r="G302" s="123">
        <v>1384.7186004166699</v>
      </c>
      <c r="H302" s="113" t="str">
        <f t="shared" si="9"/>
        <v>SITUS</v>
      </c>
      <c r="I302" s="113" t="str">
        <f>INDEX('GP Lookup'!$I:$I,MATCH(A302,'GP Lookup'!$A:$A,0))</f>
        <v>TD</v>
      </c>
      <c r="J302" s="113" t="str">
        <f>IF('GP Jun22data'!$G302=0,"NO",IF(ISNA('GP Jun22data'!$I302),"YES",IF(_xlfn.ISFORMULA('GP Jun22data'!$I302),"NO","YES")))</f>
        <v>NO</v>
      </c>
    </row>
    <row r="303" spans="1:10">
      <c r="A303" s="114" t="str">
        <f t="shared" si="8"/>
        <v>1010000ELEC PLANT IN SERV3980000MISCELLANEOUS EQUIPMENTSITUS</v>
      </c>
      <c r="B303" s="119" t="s">
        <v>1809</v>
      </c>
      <c r="C303" s="120" t="s">
        <v>1453</v>
      </c>
      <c r="D303" s="119" t="s">
        <v>1805</v>
      </c>
      <c r="E303" s="121" t="s">
        <v>1541</v>
      </c>
      <c r="F303" s="120" t="s">
        <v>367</v>
      </c>
      <c r="G303" s="123">
        <v>180.41444874999999</v>
      </c>
      <c r="H303" s="113" t="str">
        <f t="shared" si="9"/>
        <v>SITUS</v>
      </c>
      <c r="I303" s="113" t="str">
        <f>INDEX('GP Lookup'!$I:$I,MATCH(A303,'GP Lookup'!$A:$A,0))</f>
        <v>TD</v>
      </c>
      <c r="J303" s="113" t="str">
        <f>IF('GP Jun22data'!$G303=0,"NO",IF(ISNA('GP Jun22data'!$I303),"YES",IF(_xlfn.ISFORMULA('GP Jun22data'!$I303),"NO","YES")))</f>
        <v>NO</v>
      </c>
    </row>
    <row r="304" spans="1:10">
      <c r="A304" s="114" t="str">
        <f t="shared" si="8"/>
        <v>1010000ELEC PLANT IN SERV3980000MISCELLANEOUS EQUIPMENTSITUS</v>
      </c>
      <c r="B304" s="119" t="s">
        <v>1809</v>
      </c>
      <c r="C304" s="120" t="s">
        <v>1453</v>
      </c>
      <c r="D304" s="119" t="s">
        <v>1805</v>
      </c>
      <c r="E304" s="121" t="s">
        <v>1541</v>
      </c>
      <c r="F304" s="120" t="s">
        <v>386</v>
      </c>
      <c r="G304" s="123">
        <v>236.11698625</v>
      </c>
      <c r="H304" s="113" t="str">
        <f t="shared" si="9"/>
        <v>SITUS</v>
      </c>
      <c r="I304" s="113" t="str">
        <f>INDEX('GP Lookup'!$I:$I,MATCH(A304,'GP Lookup'!$A:$A,0))</f>
        <v>TD</v>
      </c>
      <c r="J304" s="113" t="str">
        <f>IF('GP Jun22data'!$G304=0,"NO",IF(ISNA('GP Jun22data'!$I304),"YES",IF(_xlfn.ISFORMULA('GP Jun22data'!$I304),"NO","YES")))</f>
        <v>NO</v>
      </c>
    </row>
    <row r="305" spans="1:10">
      <c r="A305" s="114" t="str">
        <f t="shared" si="8"/>
        <v>1010000ELEC PLANT IN SERV3980000MISCELLANEOUS EQUIPMENTSITUS</v>
      </c>
      <c r="B305" s="119" t="s">
        <v>1809</v>
      </c>
      <c r="C305" s="120" t="s">
        <v>1453</v>
      </c>
      <c r="D305" s="119" t="s">
        <v>1805</v>
      </c>
      <c r="E305" s="121" t="s">
        <v>1541</v>
      </c>
      <c r="F305" s="120" t="s">
        <v>378</v>
      </c>
      <c r="G305" s="123">
        <v>17.231770000000001</v>
      </c>
      <c r="H305" s="113" t="str">
        <f t="shared" si="9"/>
        <v>SITUS</v>
      </c>
      <c r="I305" s="113" t="str">
        <f>INDEX('GP Lookup'!$I:$I,MATCH(A305,'GP Lookup'!$A:$A,0))</f>
        <v>TD</v>
      </c>
      <c r="J305" s="113" t="str">
        <f>IF('GP Jun22data'!$G305=0,"NO",IF(ISNA('GP Jun22data'!$I305),"YES",IF(_xlfn.ISFORMULA('GP Jun22data'!$I305),"NO","YES")))</f>
        <v>NO</v>
      </c>
    </row>
    <row r="306" spans="1:10">
      <c r="A306" s="114" t="str">
        <f t="shared" si="8"/>
        <v>1010000ELEC PLANT IN SERV3992100LAND OWNED IN FEESE</v>
      </c>
      <c r="B306" s="119" t="s">
        <v>1809</v>
      </c>
      <c r="C306" s="120" t="s">
        <v>1453</v>
      </c>
      <c r="D306" s="119" t="s">
        <v>1829</v>
      </c>
      <c r="E306" s="121" t="s">
        <v>1513</v>
      </c>
      <c r="F306" s="120" t="s">
        <v>3110</v>
      </c>
      <c r="G306" s="123">
        <v>1822.9007200000001</v>
      </c>
      <c r="H306" s="113" t="str">
        <f t="shared" si="9"/>
        <v>SE</v>
      </c>
      <c r="I306" s="113" t="str">
        <f>INDEX('GP Lookup'!$I:$I,MATCH(A306,'GP Lookup'!$A:$A,0))</f>
        <v>P</v>
      </c>
      <c r="J306" s="113" t="str">
        <f>IF('GP Jun22data'!$G306=0,"NO",IF(ISNA('GP Jun22data'!$I306),"YES",IF(_xlfn.ISFORMULA('GP Jun22data'!$I306),"NO","YES")))</f>
        <v>NO</v>
      </c>
    </row>
  </sheetData>
  <autoFilter ref="A1:J306" xr:uid="{FA146565-B069-48D5-8428-01EADCB5D424}"/>
  <conditionalFormatting sqref="J2:J248">
    <cfRule type="cellIs" dxfId="15" priority="3" operator="equal">
      <formula>"YES"</formula>
    </cfRule>
  </conditionalFormatting>
  <conditionalFormatting sqref="J249">
    <cfRule type="cellIs" dxfId="14" priority="2" operator="equal">
      <formula>"YES"</formula>
    </cfRule>
  </conditionalFormatting>
  <conditionalFormatting sqref="J250:J306">
    <cfRule type="cellIs" dxfId="13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30"/>
  <sheetViews>
    <sheetView zoomScale="85" zoomScaleNormal="85" workbookViewId="0"/>
  </sheetViews>
  <sheetFormatPr defaultRowHeight="12.75"/>
  <cols>
    <col min="1" max="1" width="18.7109375" style="114" customWidth="1"/>
    <col min="2" max="4" width="18.7109375" style="119" customWidth="1"/>
    <col min="5" max="5" width="38.85546875" style="121" customWidth="1"/>
    <col min="6" max="6" width="18.7109375" style="119" customWidth="1"/>
    <col min="7" max="7" width="18.7109375" style="123" customWidth="1"/>
    <col min="8" max="10" width="18.7109375" style="115" customWidth="1"/>
    <col min="11" max="13" width="18.7109375" customWidth="1"/>
  </cols>
  <sheetData>
    <row r="1" spans="1:10">
      <c r="A1" s="114" t="s">
        <v>1672</v>
      </c>
      <c r="B1" s="119" t="s">
        <v>345</v>
      </c>
      <c r="C1" s="119" t="s">
        <v>346</v>
      </c>
      <c r="D1" s="119" t="s">
        <v>347</v>
      </c>
      <c r="E1" s="121" t="s">
        <v>348</v>
      </c>
      <c r="F1" s="119" t="s">
        <v>349</v>
      </c>
      <c r="G1" s="119" t="s">
        <v>350</v>
      </c>
      <c r="H1" s="113" t="s">
        <v>351</v>
      </c>
      <c r="I1" s="113" t="s">
        <v>352</v>
      </c>
      <c r="J1"/>
    </row>
    <row r="2" spans="1:10">
      <c r="A2" s="114" t="str">
        <f>CONCATENATE($B2,$C2,$D2,$E2,$H2)</f>
        <v>1010000ELEC PLANT IN SERV3890000LAND AND LAND RIGHTSSITUS</v>
      </c>
      <c r="B2" s="119">
        <v>1010000</v>
      </c>
      <c r="C2" s="119" t="s">
        <v>1453</v>
      </c>
      <c r="D2" s="119">
        <v>3890000</v>
      </c>
      <c r="E2" s="121" t="s">
        <v>1512</v>
      </c>
      <c r="F2" s="119" t="s">
        <v>12</v>
      </c>
      <c r="G2" s="122"/>
      <c r="H2" s="113" t="str">
        <f>IF(OR(F2="IDU",F2="OR",F2="UT",F2="WYU",F2="WYP",F2="CA",F2="WA"),"SITUS",F2)</f>
        <v>SITUS</v>
      </c>
      <c r="I2" s="113" t="s">
        <v>96</v>
      </c>
      <c r="J2"/>
    </row>
    <row r="3" spans="1:10">
      <c r="A3" s="114" t="str">
        <f t="shared" ref="A3:A66" si="0">CONCATENATE($B3,$C3,$D3,$E3,$H3)</f>
        <v>1010000ELEC PLANT IN SERV3890000LAND AND LAND RIGHTSSITUS</v>
      </c>
      <c r="B3" s="119">
        <v>1010000</v>
      </c>
      <c r="C3" s="119" t="s">
        <v>1453</v>
      </c>
      <c r="D3" s="119">
        <v>3890000</v>
      </c>
      <c r="E3" s="121" t="s">
        <v>1512</v>
      </c>
      <c r="F3" s="119" t="s">
        <v>12</v>
      </c>
      <c r="G3" s="122"/>
      <c r="H3" s="113" t="str">
        <f t="shared" ref="H3:H66" si="1">IF(OR(F3="IDU",F3="OR",F3="UT",F3="WYU",F3="WYP",F3="CA",F3="WA"),"SITUS",F3)</f>
        <v>SITUS</v>
      </c>
      <c r="I3" s="113" t="s">
        <v>96</v>
      </c>
      <c r="J3"/>
    </row>
    <row r="4" spans="1:10">
      <c r="A4" s="114" t="str">
        <f t="shared" si="0"/>
        <v>1010000ELEC PLANT IN SERV3890000LAND AND LAND RIGHTSSITUS</v>
      </c>
      <c r="B4" s="119">
        <v>1010000</v>
      </c>
      <c r="C4" s="119" t="s">
        <v>1453</v>
      </c>
      <c r="D4" s="119">
        <v>3890000</v>
      </c>
      <c r="E4" s="121" t="s">
        <v>1512</v>
      </c>
      <c r="F4" s="119" t="s">
        <v>12</v>
      </c>
      <c r="G4" s="122"/>
      <c r="H4" s="113" t="str">
        <f t="shared" si="1"/>
        <v>SITUS</v>
      </c>
      <c r="I4" s="113" t="s">
        <v>96</v>
      </c>
      <c r="J4"/>
    </row>
    <row r="5" spans="1:10">
      <c r="A5" s="114" t="str">
        <f t="shared" si="0"/>
        <v>1010000ELEC PLANT IN SERV3890000LAND AND LAND RIGHTSSITUS</v>
      </c>
      <c r="B5" s="119">
        <v>1010000</v>
      </c>
      <c r="C5" s="119" t="s">
        <v>1453</v>
      </c>
      <c r="D5" s="119">
        <v>3890000</v>
      </c>
      <c r="E5" s="121" t="s">
        <v>1512</v>
      </c>
      <c r="F5" s="119" t="s">
        <v>12</v>
      </c>
      <c r="G5" s="122"/>
      <c r="H5" s="113" t="str">
        <f t="shared" si="1"/>
        <v>SITUS</v>
      </c>
      <c r="I5" s="113" t="s">
        <v>96</v>
      </c>
      <c r="J5"/>
    </row>
    <row r="6" spans="1:10">
      <c r="A6" s="114" t="str">
        <f t="shared" si="0"/>
        <v>1010000ELEC PLANT IN SERV3891000LAND OWNED IN FEECN</v>
      </c>
      <c r="B6" s="119">
        <v>1010000</v>
      </c>
      <c r="C6" s="119" t="s">
        <v>1453</v>
      </c>
      <c r="D6" s="119">
        <v>3891000</v>
      </c>
      <c r="E6" s="121" t="s">
        <v>1513</v>
      </c>
      <c r="F6" s="119" t="s">
        <v>84</v>
      </c>
      <c r="G6" s="122"/>
      <c r="H6" s="113" t="str">
        <f t="shared" si="1"/>
        <v>CN</v>
      </c>
      <c r="I6" s="113" t="s">
        <v>73</v>
      </c>
      <c r="J6"/>
    </row>
    <row r="7" spans="1:10">
      <c r="A7" s="114" t="str">
        <f t="shared" si="0"/>
        <v>1010000ELEC PLANT IN SERV3891000LAND OWNED IN FEESITUS</v>
      </c>
      <c r="B7" s="119">
        <v>1010000</v>
      </c>
      <c r="C7" s="119" t="s">
        <v>1453</v>
      </c>
      <c r="D7" s="119">
        <v>3891000</v>
      </c>
      <c r="E7" s="121" t="s">
        <v>1513</v>
      </c>
      <c r="F7" s="119" t="s">
        <v>12</v>
      </c>
      <c r="G7" s="122"/>
      <c r="H7" s="113" t="str">
        <f t="shared" si="1"/>
        <v>SITUS</v>
      </c>
      <c r="I7" s="113" t="s">
        <v>96</v>
      </c>
      <c r="J7"/>
    </row>
    <row r="8" spans="1:10">
      <c r="A8" s="114" t="str">
        <f t="shared" si="0"/>
        <v>1010000ELEC PLANT IN SERV3891000LAND OWNED IN FEESITUS</v>
      </c>
      <c r="B8" s="119">
        <v>1010000</v>
      </c>
      <c r="C8" s="119" t="s">
        <v>1453</v>
      </c>
      <c r="D8" s="119">
        <v>3891000</v>
      </c>
      <c r="E8" s="121" t="s">
        <v>1513</v>
      </c>
      <c r="F8" s="119" t="s">
        <v>12</v>
      </c>
      <c r="G8" s="122"/>
      <c r="H8" s="113" t="str">
        <f t="shared" si="1"/>
        <v>SITUS</v>
      </c>
      <c r="I8" s="113" t="s">
        <v>96</v>
      </c>
      <c r="J8"/>
    </row>
    <row r="9" spans="1:10">
      <c r="A9" s="114" t="str">
        <f t="shared" si="0"/>
        <v>1010000ELEC PLANT IN SERV3891000LAND OWNED IN FEESG</v>
      </c>
      <c r="B9" s="119">
        <v>1010000</v>
      </c>
      <c r="C9" s="119" t="s">
        <v>1453</v>
      </c>
      <c r="D9" s="119">
        <v>3891000</v>
      </c>
      <c r="E9" s="121" t="s">
        <v>1513</v>
      </c>
      <c r="F9" s="119" t="s">
        <v>87</v>
      </c>
      <c r="G9" s="122"/>
      <c r="H9" s="113" t="str">
        <f t="shared" si="1"/>
        <v>SG</v>
      </c>
      <c r="I9" s="113" t="s">
        <v>68</v>
      </c>
      <c r="J9"/>
    </row>
    <row r="10" spans="1:10">
      <c r="A10" s="114" t="str">
        <f t="shared" si="0"/>
        <v>1010000ELEC PLANT IN SERV3891000LAND OWNED IN FEESITUS</v>
      </c>
      <c r="B10" s="119">
        <v>1010000</v>
      </c>
      <c r="C10" s="119" t="s">
        <v>1453</v>
      </c>
      <c r="D10" s="119">
        <v>3891000</v>
      </c>
      <c r="E10" s="121" t="s">
        <v>1513</v>
      </c>
      <c r="F10" s="119" t="s">
        <v>12</v>
      </c>
      <c r="G10" s="122"/>
      <c r="H10" s="113" t="str">
        <f t="shared" si="1"/>
        <v>SITUS</v>
      </c>
      <c r="I10" s="113" t="s">
        <v>96</v>
      </c>
      <c r="J10"/>
    </row>
    <row r="11" spans="1:10">
      <c r="A11" s="114" t="str">
        <f t="shared" si="0"/>
        <v>1010000ELEC PLANT IN SERV3891000LAND OWNED IN FEESO</v>
      </c>
      <c r="B11" s="119">
        <v>1010000</v>
      </c>
      <c r="C11" s="119" t="s">
        <v>1453</v>
      </c>
      <c r="D11" s="119">
        <v>3891000</v>
      </c>
      <c r="E11" s="121" t="s">
        <v>1513</v>
      </c>
      <c r="F11" s="119" t="s">
        <v>89</v>
      </c>
      <c r="G11" s="122"/>
      <c r="H11" s="113" t="str">
        <f t="shared" si="1"/>
        <v>SO</v>
      </c>
      <c r="I11" s="113" t="s">
        <v>92</v>
      </c>
      <c r="J11"/>
    </row>
    <row r="12" spans="1:10">
      <c r="A12" s="114" t="str">
        <f t="shared" si="0"/>
        <v>1010000ELEC PLANT IN SERV3891000LAND OWNED IN FEESITUS</v>
      </c>
      <c r="B12" s="119">
        <v>1010000</v>
      </c>
      <c r="C12" s="119" t="s">
        <v>1453</v>
      </c>
      <c r="D12" s="119">
        <v>3891000</v>
      </c>
      <c r="E12" s="121" t="s">
        <v>1513</v>
      </c>
      <c r="F12" s="119" t="s">
        <v>12</v>
      </c>
      <c r="G12" s="122"/>
      <c r="H12" s="113" t="str">
        <f t="shared" si="1"/>
        <v>SITUS</v>
      </c>
      <c r="I12" s="113" t="s">
        <v>96</v>
      </c>
      <c r="J12"/>
    </row>
    <row r="13" spans="1:10">
      <c r="A13" s="114" t="str">
        <f t="shared" si="0"/>
        <v>1010000ELEC PLANT IN SERV3891000LAND OWNED IN FEESITUS</v>
      </c>
      <c r="B13" s="119">
        <v>1010000</v>
      </c>
      <c r="C13" s="119" t="s">
        <v>1453</v>
      </c>
      <c r="D13" s="119">
        <v>3891000</v>
      </c>
      <c r="E13" s="121" t="s">
        <v>1513</v>
      </c>
      <c r="F13" s="119" t="s">
        <v>12</v>
      </c>
      <c r="G13" s="122"/>
      <c r="H13" s="113" t="str">
        <f t="shared" si="1"/>
        <v>SITUS</v>
      </c>
      <c r="I13" s="113" t="s">
        <v>96</v>
      </c>
      <c r="J13"/>
    </row>
    <row r="14" spans="1:10">
      <c r="A14" s="114" t="str">
        <f t="shared" si="0"/>
        <v>1010000ELEC PLANT IN SERV3891000LAND OWNED IN FEESITUS</v>
      </c>
      <c r="B14" s="119">
        <v>1010000</v>
      </c>
      <c r="C14" s="119" t="s">
        <v>1453</v>
      </c>
      <c r="D14" s="119">
        <v>3891000</v>
      </c>
      <c r="E14" s="121" t="s">
        <v>1513</v>
      </c>
      <c r="F14" s="119" t="s">
        <v>12</v>
      </c>
      <c r="G14" s="122"/>
      <c r="H14" s="113" t="str">
        <f t="shared" si="1"/>
        <v>SITUS</v>
      </c>
      <c r="I14" s="113" t="s">
        <v>96</v>
      </c>
      <c r="J14"/>
    </row>
    <row r="15" spans="1:10">
      <c r="A15" s="114" t="str">
        <f t="shared" si="0"/>
        <v>1010000ELEC PLANT IN SERV3891000LAND OWNED IN FEESITUS</v>
      </c>
      <c r="B15" s="119">
        <v>1010000</v>
      </c>
      <c r="C15" s="119" t="s">
        <v>1453</v>
      </c>
      <c r="D15" s="119">
        <v>3891000</v>
      </c>
      <c r="E15" s="121" t="s">
        <v>1513</v>
      </c>
      <c r="F15" s="119" t="s">
        <v>12</v>
      </c>
      <c r="G15" s="122"/>
      <c r="H15" s="113" t="str">
        <f t="shared" si="1"/>
        <v>SITUS</v>
      </c>
      <c r="I15" s="113" t="s">
        <v>96</v>
      </c>
      <c r="J15"/>
    </row>
    <row r="16" spans="1:10">
      <c r="A16" s="114" t="str">
        <f t="shared" si="0"/>
        <v>1010000ELEC PLANT IN SERV3892000LAND RIGHTSSITUS</v>
      </c>
      <c r="B16" s="119">
        <v>1010000</v>
      </c>
      <c r="C16" s="119" t="s">
        <v>1453</v>
      </c>
      <c r="D16" s="119">
        <v>3892000</v>
      </c>
      <c r="E16" s="121" t="s">
        <v>1514</v>
      </c>
      <c r="F16" s="119" t="s">
        <v>12</v>
      </c>
      <c r="G16" s="122"/>
      <c r="H16" s="113" t="str">
        <f t="shared" si="1"/>
        <v>SITUS</v>
      </c>
      <c r="I16" s="113" t="s">
        <v>96</v>
      </c>
      <c r="J16"/>
    </row>
    <row r="17" spans="1:10">
      <c r="A17" s="114" t="str">
        <f t="shared" si="0"/>
        <v>1010000ELEC PLANT IN SERV3892000LAND RIGHTSSG</v>
      </c>
      <c r="B17" s="119">
        <v>1010000</v>
      </c>
      <c r="C17" s="119" t="s">
        <v>1453</v>
      </c>
      <c r="D17" s="119">
        <v>3892000</v>
      </c>
      <c r="E17" s="121" t="s">
        <v>1514</v>
      </c>
      <c r="F17" s="119" t="s">
        <v>87</v>
      </c>
      <c r="G17" s="122"/>
      <c r="H17" s="113" t="str">
        <f t="shared" si="1"/>
        <v>SG</v>
      </c>
      <c r="I17" s="113" t="s">
        <v>68</v>
      </c>
      <c r="J17"/>
    </row>
    <row r="18" spans="1:10">
      <c r="A18" s="114" t="str">
        <f t="shared" si="0"/>
        <v>1010000ELEC PLANT IN SERV3892000LAND RIGHTSSITUS</v>
      </c>
      <c r="B18" s="119">
        <v>1010000</v>
      </c>
      <c r="C18" s="119" t="s">
        <v>1453</v>
      </c>
      <c r="D18" s="119">
        <v>3892000</v>
      </c>
      <c r="E18" s="121" t="s">
        <v>1514</v>
      </c>
      <c r="F18" s="119" t="s">
        <v>12</v>
      </c>
      <c r="G18" s="122"/>
      <c r="H18" s="113" t="str">
        <f t="shared" si="1"/>
        <v>SITUS</v>
      </c>
      <c r="I18" s="113" t="s">
        <v>96</v>
      </c>
      <c r="J18"/>
    </row>
    <row r="19" spans="1:10">
      <c r="A19" s="114" t="str">
        <f t="shared" si="0"/>
        <v>1010000ELEC PLANT IN SERV3892000LAND RIGHTSSITUS</v>
      </c>
      <c r="B19" s="119">
        <v>1010000</v>
      </c>
      <c r="C19" s="119" t="s">
        <v>1453</v>
      </c>
      <c r="D19" s="119">
        <v>3892000</v>
      </c>
      <c r="E19" s="121" t="s">
        <v>1514</v>
      </c>
      <c r="F19" s="119" t="s">
        <v>12</v>
      </c>
      <c r="G19" s="122"/>
      <c r="H19" s="113" t="str">
        <f t="shared" si="1"/>
        <v>SITUS</v>
      </c>
      <c r="I19" s="113" t="s">
        <v>96</v>
      </c>
      <c r="J19"/>
    </row>
    <row r="20" spans="1:10">
      <c r="A20" s="114" t="str">
        <f t="shared" si="0"/>
        <v>1010000ELEC PLANT IN SERV3892000LAND RIGHTSSITUS</v>
      </c>
      <c r="B20" s="119">
        <v>1010000</v>
      </c>
      <c r="C20" s="119" t="s">
        <v>1453</v>
      </c>
      <c r="D20" s="119">
        <v>3892000</v>
      </c>
      <c r="E20" s="121" t="s">
        <v>1514</v>
      </c>
      <c r="F20" s="119" t="s">
        <v>12</v>
      </c>
      <c r="G20" s="122"/>
      <c r="H20" s="113" t="str">
        <f t="shared" si="1"/>
        <v>SITUS</v>
      </c>
      <c r="I20" s="113" t="s">
        <v>96</v>
      </c>
      <c r="J20"/>
    </row>
    <row r="21" spans="1:10">
      <c r="A21" s="114" t="str">
        <f t="shared" si="0"/>
        <v>1010000ELEC PLANT IN SERV3900000STRUCTURES AND IMPROVEMENTSCN</v>
      </c>
      <c r="B21" s="119">
        <v>1010000</v>
      </c>
      <c r="C21" s="119" t="s">
        <v>1453</v>
      </c>
      <c r="D21" s="119">
        <v>3900000</v>
      </c>
      <c r="E21" s="121" t="s">
        <v>1515</v>
      </c>
      <c r="F21" s="119" t="s">
        <v>84</v>
      </c>
      <c r="G21" s="122"/>
      <c r="H21" s="113" t="str">
        <f t="shared" si="1"/>
        <v>CN</v>
      </c>
      <c r="I21" s="113" t="s">
        <v>73</v>
      </c>
      <c r="J21"/>
    </row>
    <row r="22" spans="1:10">
      <c r="A22" s="114" t="str">
        <f t="shared" si="0"/>
        <v>1010000ELEC PLANT IN SERV3900000STRUCTURES AND IMPROVEMENTSSITUS</v>
      </c>
      <c r="B22" s="119">
        <v>1010000</v>
      </c>
      <c r="C22" s="119" t="s">
        <v>1453</v>
      </c>
      <c r="D22" s="119">
        <v>3900000</v>
      </c>
      <c r="E22" s="121" t="s">
        <v>1515</v>
      </c>
      <c r="F22" s="119" t="s">
        <v>12</v>
      </c>
      <c r="G22" s="122"/>
      <c r="H22" s="113" t="str">
        <f t="shared" si="1"/>
        <v>SITUS</v>
      </c>
      <c r="I22" s="113" t="s">
        <v>96</v>
      </c>
      <c r="J22"/>
    </row>
    <row r="23" spans="1:10">
      <c r="A23" s="114" t="str">
        <f t="shared" si="0"/>
        <v>1010000ELEC PLANT IN SERV3900000STRUCTURES AND IMPROVEMENTSSITUS</v>
      </c>
      <c r="B23" s="119">
        <v>1010000</v>
      </c>
      <c r="C23" s="119" t="s">
        <v>1453</v>
      </c>
      <c r="D23" s="119">
        <v>3900000</v>
      </c>
      <c r="E23" s="121" t="s">
        <v>1515</v>
      </c>
      <c r="F23" s="119" t="s">
        <v>12</v>
      </c>
      <c r="G23" s="122"/>
      <c r="H23" s="113" t="str">
        <f t="shared" si="1"/>
        <v>SITUS</v>
      </c>
      <c r="I23" s="113" t="s">
        <v>96</v>
      </c>
      <c r="J23"/>
    </row>
    <row r="24" spans="1:10">
      <c r="A24" s="114" t="str">
        <f t="shared" si="0"/>
        <v>1010000ELEC PLANT IN SERV3900000STRUCTURES AND IMPROVEMENTSSE</v>
      </c>
      <c r="B24" s="119">
        <v>1010000</v>
      </c>
      <c r="C24" s="119" t="s">
        <v>1453</v>
      </c>
      <c r="D24" s="119">
        <v>3900000</v>
      </c>
      <c r="E24" s="121" t="s">
        <v>1515</v>
      </c>
      <c r="F24" s="119" t="s">
        <v>85</v>
      </c>
      <c r="G24" s="122"/>
      <c r="H24" s="113" t="str">
        <f t="shared" si="1"/>
        <v>SE</v>
      </c>
      <c r="I24" s="113" t="s">
        <v>68</v>
      </c>
      <c r="J24"/>
    </row>
    <row r="25" spans="1:10">
      <c r="A25" s="114" t="str">
        <f t="shared" si="0"/>
        <v>1010000ELEC PLANT IN SERV3900000STRUCTURES AND IMPROVEMENTSSG</v>
      </c>
      <c r="B25" s="119">
        <v>1010000</v>
      </c>
      <c r="C25" s="119" t="s">
        <v>1453</v>
      </c>
      <c r="D25" s="119">
        <v>3900000</v>
      </c>
      <c r="E25" s="121" t="s">
        <v>1515</v>
      </c>
      <c r="F25" s="119" t="s">
        <v>87</v>
      </c>
      <c r="G25" s="122"/>
      <c r="H25" s="113" t="str">
        <f t="shared" si="1"/>
        <v>SG</v>
      </c>
      <c r="I25" s="113" t="s">
        <v>68</v>
      </c>
      <c r="J25"/>
    </row>
    <row r="26" spans="1:10">
      <c r="A26" s="114" t="str">
        <f t="shared" si="0"/>
        <v>1010000ELEC PLANT IN SERV3900000STRUCTURES AND IMPROVEMENTSSITUS</v>
      </c>
      <c r="B26" s="119">
        <v>1010000</v>
      </c>
      <c r="C26" s="119" t="s">
        <v>1453</v>
      </c>
      <c r="D26" s="119">
        <v>3900000</v>
      </c>
      <c r="E26" s="121" t="s">
        <v>1515</v>
      </c>
      <c r="F26" s="119" t="s">
        <v>12</v>
      </c>
      <c r="G26" s="122"/>
      <c r="H26" s="113" t="str">
        <f t="shared" si="1"/>
        <v>SITUS</v>
      </c>
      <c r="I26" s="113" t="s">
        <v>96</v>
      </c>
      <c r="J26"/>
    </row>
    <row r="27" spans="1:10">
      <c r="A27" s="114" t="str">
        <f t="shared" si="0"/>
        <v>1010000ELEC PLANT IN SERV3900000STRUCTURES AND IMPROVEMENTSSO</v>
      </c>
      <c r="B27" s="119">
        <v>1010000</v>
      </c>
      <c r="C27" s="119" t="s">
        <v>1453</v>
      </c>
      <c r="D27" s="119">
        <v>3900000</v>
      </c>
      <c r="E27" s="121" t="s">
        <v>1515</v>
      </c>
      <c r="F27" s="119" t="s">
        <v>89</v>
      </c>
      <c r="G27" s="122"/>
      <c r="H27" s="113" t="str">
        <f t="shared" si="1"/>
        <v>SO</v>
      </c>
      <c r="I27" s="113" t="s">
        <v>92</v>
      </c>
      <c r="J27"/>
    </row>
    <row r="28" spans="1:10">
      <c r="A28" s="114" t="str">
        <f t="shared" si="0"/>
        <v>1010000ELEC PLANT IN SERV3900000STRUCTURES AND IMPROVEMENTSSITUS</v>
      </c>
      <c r="B28" s="119">
        <v>1010000</v>
      </c>
      <c r="C28" s="119" t="s">
        <v>1453</v>
      </c>
      <c r="D28" s="119">
        <v>3900000</v>
      </c>
      <c r="E28" s="121" t="s">
        <v>1515</v>
      </c>
      <c r="F28" s="119" t="s">
        <v>12</v>
      </c>
      <c r="G28" s="122"/>
      <c r="H28" s="113" t="str">
        <f t="shared" si="1"/>
        <v>SITUS</v>
      </c>
      <c r="I28" s="113" t="s">
        <v>96</v>
      </c>
      <c r="J28"/>
    </row>
    <row r="29" spans="1:10">
      <c r="A29" s="114" t="str">
        <f t="shared" si="0"/>
        <v>1010000ELEC PLANT IN SERV3900000STRUCTURES AND IMPROVEMENTSSITUS</v>
      </c>
      <c r="B29" s="119">
        <v>1010000</v>
      </c>
      <c r="C29" s="119" t="s">
        <v>1453</v>
      </c>
      <c r="D29" s="119">
        <v>3900000</v>
      </c>
      <c r="E29" s="121" t="s">
        <v>1515</v>
      </c>
      <c r="F29" s="119" t="s">
        <v>12</v>
      </c>
      <c r="G29" s="122"/>
      <c r="H29" s="113" t="str">
        <f t="shared" si="1"/>
        <v>SITUS</v>
      </c>
      <c r="I29" s="113" t="s">
        <v>96</v>
      </c>
      <c r="J29"/>
    </row>
    <row r="30" spans="1:10">
      <c r="A30" s="114" t="str">
        <f t="shared" si="0"/>
        <v>1010000ELEC PLANT IN SERV3900000STRUCTURES AND IMPROVEMENTSSITUS</v>
      </c>
      <c r="B30" s="119">
        <v>1010000</v>
      </c>
      <c r="C30" s="119" t="s">
        <v>1453</v>
      </c>
      <c r="D30" s="119">
        <v>3900000</v>
      </c>
      <c r="E30" s="121" t="s">
        <v>1515</v>
      </c>
      <c r="F30" s="119" t="s">
        <v>12</v>
      </c>
      <c r="G30" s="122"/>
      <c r="H30" s="113" t="str">
        <f t="shared" si="1"/>
        <v>SITUS</v>
      </c>
      <c r="I30" s="113" t="s">
        <v>96</v>
      </c>
      <c r="J30"/>
    </row>
    <row r="31" spans="1:10">
      <c r="A31" s="114" t="str">
        <f t="shared" si="0"/>
        <v>1010000ELEC PLANT IN SERV3900000STRUCTURES AND IMPROVEMENTSSITUS</v>
      </c>
      <c r="B31" s="119">
        <v>1010000</v>
      </c>
      <c r="C31" s="119" t="s">
        <v>1453</v>
      </c>
      <c r="D31" s="119">
        <v>3900000</v>
      </c>
      <c r="E31" s="121" t="s">
        <v>1515</v>
      </c>
      <c r="F31" s="119" t="s">
        <v>12</v>
      </c>
      <c r="G31" s="122"/>
      <c r="H31" s="113" t="str">
        <f t="shared" si="1"/>
        <v>SITUS</v>
      </c>
      <c r="I31" s="113" t="s">
        <v>96</v>
      </c>
      <c r="J31"/>
    </row>
    <row r="32" spans="1:10">
      <c r="A32" s="114" t="str">
        <f t="shared" si="0"/>
        <v>1010000ELEC PLANT IN SERV3901000LEASEHOLD IMPROVEMENTS-OFFICE STRSITUS</v>
      </c>
      <c r="B32" s="119">
        <v>1010000</v>
      </c>
      <c r="C32" s="119" t="s">
        <v>1453</v>
      </c>
      <c r="D32" s="119">
        <v>3901000</v>
      </c>
      <c r="E32" s="121" t="s">
        <v>1516</v>
      </c>
      <c r="F32" s="119" t="s">
        <v>12</v>
      </c>
      <c r="G32" s="122"/>
      <c r="H32" s="113" t="str">
        <f t="shared" si="1"/>
        <v>SITUS</v>
      </c>
      <c r="I32" s="113" t="s">
        <v>96</v>
      </c>
      <c r="J32"/>
    </row>
    <row r="33" spans="1:10">
      <c r="A33" s="114" t="str">
        <f t="shared" si="0"/>
        <v>1010000ELEC PLANT IN SERV3901000LEASEHOLD IMPROVEMENTS-OFFICE STRSITUS</v>
      </c>
      <c r="B33" s="119">
        <v>1010000</v>
      </c>
      <c r="C33" s="119" t="s">
        <v>1453</v>
      </c>
      <c r="D33" s="119">
        <v>3901000</v>
      </c>
      <c r="E33" s="121" t="s">
        <v>1516</v>
      </c>
      <c r="F33" s="119" t="s">
        <v>12</v>
      </c>
      <c r="G33" s="122"/>
      <c r="H33" s="113" t="str">
        <f t="shared" si="1"/>
        <v>SITUS</v>
      </c>
      <c r="I33" s="113" t="s">
        <v>96</v>
      </c>
      <c r="J33"/>
    </row>
    <row r="34" spans="1:10">
      <c r="A34" s="114" t="str">
        <f t="shared" si="0"/>
        <v>1010000ELEC PLANT IN SERV3901000LEASEHOLD IMPROVEMENTS-OFFICE STRSITUS</v>
      </c>
      <c r="B34" s="119">
        <v>1010000</v>
      </c>
      <c r="C34" s="119" t="s">
        <v>1453</v>
      </c>
      <c r="D34" s="119">
        <v>3901000</v>
      </c>
      <c r="E34" s="121" t="s">
        <v>1516</v>
      </c>
      <c r="F34" s="119" t="s">
        <v>12</v>
      </c>
      <c r="G34" s="122"/>
      <c r="H34" s="113" t="str">
        <f t="shared" si="1"/>
        <v>SITUS</v>
      </c>
      <c r="I34" s="113" t="s">
        <v>96</v>
      </c>
      <c r="J34"/>
    </row>
    <row r="35" spans="1:10">
      <c r="A35" s="114" t="str">
        <f t="shared" si="0"/>
        <v>1010000ELEC PLANT IN SERV3901000LEASEHOLD IMPROVEMENTS-OFFICE STRSO</v>
      </c>
      <c r="B35" s="119">
        <v>1010000</v>
      </c>
      <c r="C35" s="119" t="s">
        <v>1453</v>
      </c>
      <c r="D35" s="119">
        <v>3901000</v>
      </c>
      <c r="E35" s="121" t="s">
        <v>1516</v>
      </c>
      <c r="F35" s="119" t="s">
        <v>89</v>
      </c>
      <c r="G35" s="122"/>
      <c r="H35" s="113" t="str">
        <f t="shared" si="1"/>
        <v>SO</v>
      </c>
      <c r="I35" s="113" t="s">
        <v>92</v>
      </c>
      <c r="J35"/>
    </row>
    <row r="36" spans="1:10">
      <c r="A36" s="114" t="str">
        <f t="shared" si="0"/>
        <v>1010000ELEC PLANT IN SERV3901000LEASEHOLD IMPROVEMENTS-OFFICE STRSITUS</v>
      </c>
      <c r="B36" s="119">
        <v>1010000</v>
      </c>
      <c r="C36" s="119" t="s">
        <v>1453</v>
      </c>
      <c r="D36" s="119">
        <v>3901000</v>
      </c>
      <c r="E36" s="121" t="s">
        <v>1516</v>
      </c>
      <c r="F36" s="119" t="s">
        <v>12</v>
      </c>
      <c r="G36" s="122"/>
      <c r="H36" s="113" t="str">
        <f t="shared" si="1"/>
        <v>SITUS</v>
      </c>
      <c r="I36" s="113" t="s">
        <v>96</v>
      </c>
      <c r="J36"/>
    </row>
    <row r="37" spans="1:10">
      <c r="A37" s="114" t="str">
        <f t="shared" si="0"/>
        <v>1010000ELEC PLANT IN SERV3901000LEASEHOLD IMPROVEMENTS-OFFICE STRSITUS</v>
      </c>
      <c r="B37" s="119">
        <v>1010000</v>
      </c>
      <c r="C37" s="119" t="s">
        <v>1453</v>
      </c>
      <c r="D37" s="119">
        <v>3901000</v>
      </c>
      <c r="E37" s="121" t="s">
        <v>1516</v>
      </c>
      <c r="F37" s="119" t="s">
        <v>12</v>
      </c>
      <c r="G37" s="122"/>
      <c r="H37" s="113" t="str">
        <f t="shared" si="1"/>
        <v>SITUS</v>
      </c>
      <c r="I37" s="113" t="s">
        <v>96</v>
      </c>
      <c r="J37"/>
    </row>
    <row r="38" spans="1:10">
      <c r="A38" s="114" t="str">
        <f t="shared" si="0"/>
        <v>1010000ELEC PLANT IN SERV3901000LEASEHOLD IMPROVEMENTS-OFFICE STRSITUS</v>
      </c>
      <c r="B38" s="119">
        <v>1010000</v>
      </c>
      <c r="C38" s="119" t="s">
        <v>1453</v>
      </c>
      <c r="D38" s="119">
        <v>3901000</v>
      </c>
      <c r="E38" s="121" t="s">
        <v>1516</v>
      </c>
      <c r="F38" s="119" t="s">
        <v>12</v>
      </c>
      <c r="G38" s="122"/>
      <c r="H38" s="113" t="str">
        <f t="shared" si="1"/>
        <v>SITUS</v>
      </c>
      <c r="I38" s="113" t="s">
        <v>96</v>
      </c>
      <c r="J38"/>
    </row>
    <row r="39" spans="1:10">
      <c r="A39" s="114" t="str">
        <f t="shared" si="0"/>
        <v>1010000ELEC PLANT IN SERV3901000LEASEHOLD IMPROVEMENTS-OFFICE STRSITUS</v>
      </c>
      <c r="B39" s="119">
        <v>1010000</v>
      </c>
      <c r="C39" s="119" t="s">
        <v>1453</v>
      </c>
      <c r="D39" s="119">
        <v>3901000</v>
      </c>
      <c r="E39" s="121" t="s">
        <v>1516</v>
      </c>
      <c r="F39" s="119" t="s">
        <v>12</v>
      </c>
      <c r="G39" s="122"/>
      <c r="H39" s="113" t="str">
        <f t="shared" si="1"/>
        <v>SITUS</v>
      </c>
      <c r="I39" s="113" t="s">
        <v>96</v>
      </c>
      <c r="J39"/>
    </row>
    <row r="40" spans="1:10">
      <c r="A40" s="114" t="str">
        <f t="shared" si="0"/>
        <v>1010000ELEC PLANT IN SERV3910000OFFICE FURNITURECN</v>
      </c>
      <c r="B40" s="119">
        <v>1010000</v>
      </c>
      <c r="C40" s="119" t="s">
        <v>1453</v>
      </c>
      <c r="D40" s="119">
        <v>3910000</v>
      </c>
      <c r="E40" s="121" t="s">
        <v>1517</v>
      </c>
      <c r="F40" s="119" t="s">
        <v>84</v>
      </c>
      <c r="G40" s="122"/>
      <c r="H40" s="113" t="str">
        <f t="shared" si="1"/>
        <v>CN</v>
      </c>
      <c r="I40" s="113" t="s">
        <v>73</v>
      </c>
      <c r="J40"/>
    </row>
    <row r="41" spans="1:10">
      <c r="A41" s="114" t="str">
        <f t="shared" si="0"/>
        <v>1010000ELEC PLANT IN SERV3910000OFFICE FURNITURESITUS</v>
      </c>
      <c r="B41" s="119">
        <v>1010000</v>
      </c>
      <c r="C41" s="119" t="s">
        <v>1453</v>
      </c>
      <c r="D41" s="119">
        <v>3910000</v>
      </c>
      <c r="E41" s="121" t="s">
        <v>1517</v>
      </c>
      <c r="F41" s="119" t="s">
        <v>12</v>
      </c>
      <c r="G41" s="122"/>
      <c r="H41" s="113" t="str">
        <f t="shared" si="1"/>
        <v>SITUS</v>
      </c>
      <c r="I41" s="113" t="s">
        <v>70</v>
      </c>
      <c r="J41"/>
    </row>
    <row r="42" spans="1:10">
      <c r="A42" s="114" t="str">
        <f t="shared" si="0"/>
        <v>1010000ELEC PLANT IN SERV3910000OFFICE FURNITURESITUS</v>
      </c>
      <c r="B42" s="119">
        <v>1010000</v>
      </c>
      <c r="C42" s="119" t="s">
        <v>1453</v>
      </c>
      <c r="D42" s="119">
        <v>3910000</v>
      </c>
      <c r="E42" s="121" t="s">
        <v>1517</v>
      </c>
      <c r="F42" s="119" t="s">
        <v>12</v>
      </c>
      <c r="G42" s="122"/>
      <c r="H42" s="113" t="str">
        <f t="shared" si="1"/>
        <v>SITUS</v>
      </c>
      <c r="I42" s="113" t="s">
        <v>70</v>
      </c>
      <c r="J42"/>
    </row>
    <row r="43" spans="1:10">
      <c r="A43" s="114" t="str">
        <f t="shared" si="0"/>
        <v>1010000ELEC PLANT IN SERV3910000OFFICE FURNITURESE</v>
      </c>
      <c r="B43" s="119">
        <v>1010000</v>
      </c>
      <c r="C43" s="119" t="s">
        <v>1453</v>
      </c>
      <c r="D43" s="119">
        <v>3910000</v>
      </c>
      <c r="E43" s="121" t="s">
        <v>1517</v>
      </c>
      <c r="F43" s="119" t="s">
        <v>85</v>
      </c>
      <c r="G43" s="122"/>
      <c r="H43" s="113" t="str">
        <f t="shared" si="1"/>
        <v>SE</v>
      </c>
      <c r="I43" s="113" t="s">
        <v>68</v>
      </c>
      <c r="J43"/>
    </row>
    <row r="44" spans="1:10">
      <c r="A44" s="114" t="str">
        <f t="shared" si="0"/>
        <v>1010000ELEC PLANT IN SERV3910000OFFICE FURNITURESG</v>
      </c>
      <c r="B44" s="119">
        <v>1010000</v>
      </c>
      <c r="C44" s="119" t="s">
        <v>1453</v>
      </c>
      <c r="D44" s="119">
        <v>3910000</v>
      </c>
      <c r="E44" s="121" t="s">
        <v>1517</v>
      </c>
      <c r="F44" s="119" t="s">
        <v>87</v>
      </c>
      <c r="G44" s="122"/>
      <c r="H44" s="113" t="str">
        <f t="shared" si="1"/>
        <v>SG</v>
      </c>
      <c r="I44" s="113" t="s">
        <v>68</v>
      </c>
      <c r="J44"/>
    </row>
    <row r="45" spans="1:10">
      <c r="A45" s="114" t="str">
        <f t="shared" si="0"/>
        <v>1010000ELEC PLANT IN SERV3910000OFFICE FURNITURESITUS</v>
      </c>
      <c r="B45" s="119">
        <v>1010000</v>
      </c>
      <c r="C45" s="119" t="s">
        <v>1453</v>
      </c>
      <c r="D45" s="119">
        <v>3910000</v>
      </c>
      <c r="E45" s="121" t="s">
        <v>1517</v>
      </c>
      <c r="F45" s="119" t="s">
        <v>12</v>
      </c>
      <c r="G45" s="122"/>
      <c r="H45" s="113" t="str">
        <f t="shared" si="1"/>
        <v>SITUS</v>
      </c>
      <c r="I45" s="113" t="s">
        <v>70</v>
      </c>
      <c r="J45"/>
    </row>
    <row r="46" spans="1:10">
      <c r="A46" s="114" t="str">
        <f t="shared" si="0"/>
        <v>1010000ELEC PLANT IN SERV3910000OFFICE FURNITURESO</v>
      </c>
      <c r="B46" s="119">
        <v>1010000</v>
      </c>
      <c r="C46" s="119" t="s">
        <v>1453</v>
      </c>
      <c r="D46" s="119">
        <v>3910000</v>
      </c>
      <c r="E46" s="121" t="s">
        <v>1517</v>
      </c>
      <c r="F46" s="119" t="s">
        <v>89</v>
      </c>
      <c r="G46" s="122"/>
      <c r="H46" s="113" t="str">
        <f t="shared" si="1"/>
        <v>SO</v>
      </c>
      <c r="I46" s="113" t="s">
        <v>92</v>
      </c>
      <c r="J46"/>
    </row>
    <row r="47" spans="1:10">
      <c r="A47" s="114" t="str">
        <f t="shared" si="0"/>
        <v>1010000ELEC PLANT IN SERV3910000OFFICE FURNITURESITUS</v>
      </c>
      <c r="B47" s="119">
        <v>1010000</v>
      </c>
      <c r="C47" s="119" t="s">
        <v>1453</v>
      </c>
      <c r="D47" s="119">
        <v>3910000</v>
      </c>
      <c r="E47" s="121" t="s">
        <v>1517</v>
      </c>
      <c r="F47" s="119" t="s">
        <v>12</v>
      </c>
      <c r="G47" s="122"/>
      <c r="H47" s="113" t="str">
        <f t="shared" si="1"/>
        <v>SITUS</v>
      </c>
      <c r="I47" s="113" t="s">
        <v>70</v>
      </c>
      <c r="J47"/>
    </row>
    <row r="48" spans="1:10">
      <c r="A48" s="114" t="str">
        <f t="shared" si="0"/>
        <v>1010000ELEC PLANT IN SERV3910000OFFICE FURNITURESITUS</v>
      </c>
      <c r="B48" s="119">
        <v>1010000</v>
      </c>
      <c r="C48" s="119" t="s">
        <v>1453</v>
      </c>
      <c r="D48" s="119">
        <v>3910000</v>
      </c>
      <c r="E48" s="121" t="s">
        <v>1517</v>
      </c>
      <c r="F48" s="119" t="s">
        <v>12</v>
      </c>
      <c r="G48" s="122"/>
      <c r="H48" s="113" t="str">
        <f t="shared" si="1"/>
        <v>SITUS</v>
      </c>
      <c r="I48" s="113" t="s">
        <v>70</v>
      </c>
      <c r="J48"/>
    </row>
    <row r="49" spans="1:10">
      <c r="A49" s="114" t="str">
        <f t="shared" si="0"/>
        <v>1010000ELEC PLANT IN SERV3910000OFFICE FURNITURESITUS</v>
      </c>
      <c r="B49" s="119">
        <v>1010000</v>
      </c>
      <c r="C49" s="119" t="s">
        <v>1453</v>
      </c>
      <c r="D49" s="119">
        <v>3910000</v>
      </c>
      <c r="E49" s="121" t="s">
        <v>1517</v>
      </c>
      <c r="F49" s="119" t="s">
        <v>12</v>
      </c>
      <c r="G49" s="122"/>
      <c r="H49" s="113" t="str">
        <f t="shared" si="1"/>
        <v>SITUS</v>
      </c>
      <c r="I49" s="113" t="s">
        <v>70</v>
      </c>
      <c r="J49"/>
    </row>
    <row r="50" spans="1:10">
      <c r="A50" s="114" t="str">
        <f t="shared" si="0"/>
        <v>1010000ELEC PLANT IN SERV3910000OFFICE FURNITURESITUS</v>
      </c>
      <c r="B50" s="119">
        <v>1010000</v>
      </c>
      <c r="C50" s="119" t="s">
        <v>1453</v>
      </c>
      <c r="D50" s="119">
        <v>3910000</v>
      </c>
      <c r="E50" s="121" t="s">
        <v>1517</v>
      </c>
      <c r="F50" s="119" t="s">
        <v>12</v>
      </c>
      <c r="G50" s="122"/>
      <c r="H50" s="113" t="str">
        <f t="shared" si="1"/>
        <v>SITUS</v>
      </c>
      <c r="I50" s="113" t="s">
        <v>70</v>
      </c>
      <c r="J50"/>
    </row>
    <row r="51" spans="1:10">
      <c r="A51" s="114" t="str">
        <f t="shared" si="0"/>
        <v>1010000ELEC PLANT IN SERV3912000COMPUTER EQUIPMENT - PERSONAL COMPUTERSCN</v>
      </c>
      <c r="B51" s="119">
        <v>1010000</v>
      </c>
      <c r="C51" s="119" t="s">
        <v>1453</v>
      </c>
      <c r="D51" s="119">
        <v>3912000</v>
      </c>
      <c r="E51" s="121" t="s">
        <v>1518</v>
      </c>
      <c r="F51" s="119" t="s">
        <v>84</v>
      </c>
      <c r="G51" s="122"/>
      <c r="H51" s="113" t="str">
        <f t="shared" si="1"/>
        <v>CN</v>
      </c>
      <c r="I51" s="113" t="s">
        <v>73</v>
      </c>
      <c r="J51"/>
    </row>
    <row r="52" spans="1:10">
      <c r="A52" s="114" t="str">
        <f t="shared" si="0"/>
        <v>1010000ELEC PLANT IN SERV3912000COMPUTER EQUIPMENT - PERSONAL COMPUTERSSITUS</v>
      </c>
      <c r="B52" s="119">
        <v>1010000</v>
      </c>
      <c r="C52" s="119" t="s">
        <v>1453</v>
      </c>
      <c r="D52" s="119">
        <v>3912000</v>
      </c>
      <c r="E52" s="121" t="s">
        <v>1518</v>
      </c>
      <c r="F52" s="119" t="s">
        <v>12</v>
      </c>
      <c r="G52" s="122"/>
      <c r="H52" s="113" t="str">
        <f t="shared" si="1"/>
        <v>SITUS</v>
      </c>
      <c r="I52" s="113" t="s">
        <v>70</v>
      </c>
      <c r="J52"/>
    </row>
    <row r="53" spans="1:10">
      <c r="A53" s="114" t="str">
        <f t="shared" si="0"/>
        <v>1010000ELEC PLANT IN SERV3912000COMPUTER EQUIPMENT - PERSONAL COMPUTERSSITUS</v>
      </c>
      <c r="B53" s="119">
        <v>1010000</v>
      </c>
      <c r="C53" s="119" t="s">
        <v>1453</v>
      </c>
      <c r="D53" s="119">
        <v>3912000</v>
      </c>
      <c r="E53" s="121" t="s">
        <v>1518</v>
      </c>
      <c r="F53" s="119" t="s">
        <v>12</v>
      </c>
      <c r="G53" s="122"/>
      <c r="H53" s="113" t="str">
        <f t="shared" si="1"/>
        <v>SITUS</v>
      </c>
      <c r="I53" s="113" t="s">
        <v>70</v>
      </c>
      <c r="J53"/>
    </row>
    <row r="54" spans="1:10">
      <c r="A54" s="114" t="str">
        <f t="shared" si="0"/>
        <v>1010000ELEC PLANT IN SERV3912000COMPUTER EQUIPMENT - PERSONAL COMPUTERSSE</v>
      </c>
      <c r="B54" s="119">
        <v>1010000</v>
      </c>
      <c r="C54" s="119" t="s">
        <v>1453</v>
      </c>
      <c r="D54" s="119">
        <v>3912000</v>
      </c>
      <c r="E54" s="121" t="s">
        <v>1518</v>
      </c>
      <c r="F54" s="119" t="s">
        <v>85</v>
      </c>
      <c r="G54" s="122"/>
      <c r="H54" s="113" t="str">
        <f t="shared" si="1"/>
        <v>SE</v>
      </c>
      <c r="I54" s="113" t="s">
        <v>68</v>
      </c>
      <c r="J54"/>
    </row>
    <row r="55" spans="1:10">
      <c r="A55" s="114" t="str">
        <f t="shared" si="0"/>
        <v>1010000ELEC PLANT IN SERV3912000COMPUTER EQUIPMENT - PERSONAL COMPUTERSSG</v>
      </c>
      <c r="B55" s="119">
        <v>1010000</v>
      </c>
      <c r="C55" s="119" t="s">
        <v>1453</v>
      </c>
      <c r="D55" s="119">
        <v>3912000</v>
      </c>
      <c r="E55" s="121" t="s">
        <v>1518</v>
      </c>
      <c r="F55" s="119" t="s">
        <v>87</v>
      </c>
      <c r="G55" s="122"/>
      <c r="H55" s="113" t="str">
        <f t="shared" si="1"/>
        <v>SG</v>
      </c>
      <c r="I55" s="113" t="s">
        <v>68</v>
      </c>
      <c r="J55"/>
    </row>
    <row r="56" spans="1:10">
      <c r="A56" s="114" t="str">
        <f t="shared" si="0"/>
        <v>1010000ELEC PLANT IN SERV3912000COMPUTER EQUIPMENT - PERSONAL COMPUTERSSITUS</v>
      </c>
      <c r="B56" s="119">
        <v>1010000</v>
      </c>
      <c r="C56" s="119" t="s">
        <v>1453</v>
      </c>
      <c r="D56" s="119">
        <v>3912000</v>
      </c>
      <c r="E56" s="121" t="s">
        <v>1518</v>
      </c>
      <c r="F56" s="119" t="s">
        <v>12</v>
      </c>
      <c r="G56" s="122"/>
      <c r="H56" s="113" t="str">
        <f t="shared" si="1"/>
        <v>SITUS</v>
      </c>
      <c r="I56" s="113" t="s">
        <v>70</v>
      </c>
      <c r="J56"/>
    </row>
    <row r="57" spans="1:10">
      <c r="A57" s="114" t="str">
        <f t="shared" si="0"/>
        <v>1010000ELEC PLANT IN SERV3912000COMPUTER EQUIPMENT - PERSONAL COMPUTERSSO</v>
      </c>
      <c r="B57" s="119">
        <v>1010000</v>
      </c>
      <c r="C57" s="119" t="s">
        <v>1453</v>
      </c>
      <c r="D57" s="119">
        <v>3912000</v>
      </c>
      <c r="E57" s="121" t="s">
        <v>1518</v>
      </c>
      <c r="F57" s="119" t="s">
        <v>89</v>
      </c>
      <c r="G57" s="122"/>
      <c r="H57" s="113" t="str">
        <f t="shared" si="1"/>
        <v>SO</v>
      </c>
      <c r="I57" s="113" t="s">
        <v>92</v>
      </c>
      <c r="J57"/>
    </row>
    <row r="58" spans="1:10">
      <c r="A58" s="114" t="str">
        <f t="shared" si="0"/>
        <v>1010000ELEC PLANT IN SERV3912000COMPUTER EQUIPMENT - PERSONAL COMPUTERSSITUS</v>
      </c>
      <c r="B58" s="119">
        <v>1010000</v>
      </c>
      <c r="C58" s="119" t="s">
        <v>1453</v>
      </c>
      <c r="D58" s="119">
        <v>3912000</v>
      </c>
      <c r="E58" s="121" t="s">
        <v>1518</v>
      </c>
      <c r="F58" s="119" t="s">
        <v>12</v>
      </c>
      <c r="G58" s="122"/>
      <c r="H58" s="113" t="str">
        <f t="shared" si="1"/>
        <v>SITUS</v>
      </c>
      <c r="I58" s="113" t="s">
        <v>70</v>
      </c>
      <c r="J58"/>
    </row>
    <row r="59" spans="1:10">
      <c r="A59" s="114" t="str">
        <f t="shared" si="0"/>
        <v>1010000ELEC PLANT IN SERV3912000COMPUTER EQUIPMENT - PERSONAL COMPUTERSSITUS</v>
      </c>
      <c r="B59" s="119">
        <v>1010000</v>
      </c>
      <c r="C59" s="119" t="s">
        <v>1453</v>
      </c>
      <c r="D59" s="119">
        <v>3912000</v>
      </c>
      <c r="E59" s="121" t="s">
        <v>1518</v>
      </c>
      <c r="F59" s="119" t="s">
        <v>12</v>
      </c>
      <c r="G59" s="122"/>
      <c r="H59" s="113" t="str">
        <f t="shared" si="1"/>
        <v>SITUS</v>
      </c>
      <c r="I59" s="113" t="s">
        <v>70</v>
      </c>
      <c r="J59"/>
    </row>
    <row r="60" spans="1:10">
      <c r="A60" s="114" t="str">
        <f t="shared" si="0"/>
        <v>1010000ELEC PLANT IN SERV3912000COMPUTER EQUIPMENT - PERSONAL COMPUTERSSITUS</v>
      </c>
      <c r="B60" s="119">
        <v>1010000</v>
      </c>
      <c r="C60" s="119" t="s">
        <v>1453</v>
      </c>
      <c r="D60" s="119">
        <v>3912000</v>
      </c>
      <c r="E60" s="121" t="s">
        <v>1518</v>
      </c>
      <c r="F60" s="119" t="s">
        <v>12</v>
      </c>
      <c r="G60" s="122"/>
      <c r="H60" s="113" t="str">
        <f t="shared" si="1"/>
        <v>SITUS</v>
      </c>
      <c r="I60" s="113" t="s">
        <v>70</v>
      </c>
      <c r="J60"/>
    </row>
    <row r="61" spans="1:10">
      <c r="A61" s="114" t="str">
        <f t="shared" si="0"/>
        <v>1010000ELEC PLANT IN SERV3912000COMPUTER EQUIPMENT - PERSONAL COMPUTERSSITUS</v>
      </c>
      <c r="B61" s="119">
        <v>1010000</v>
      </c>
      <c r="C61" s="119" t="s">
        <v>1453</v>
      </c>
      <c r="D61" s="119">
        <v>3912000</v>
      </c>
      <c r="E61" s="121" t="s">
        <v>1518</v>
      </c>
      <c r="F61" s="119" t="s">
        <v>12</v>
      </c>
      <c r="G61" s="122"/>
      <c r="H61" s="113" t="str">
        <f t="shared" si="1"/>
        <v>SITUS</v>
      </c>
      <c r="I61" s="113" t="s">
        <v>70</v>
      </c>
      <c r="J61"/>
    </row>
    <row r="62" spans="1:10">
      <c r="A62" s="114" t="str">
        <f t="shared" si="0"/>
        <v>1010000ELEC PLANT IN SERV3913000OFFICE EQUIPMENTCN</v>
      </c>
      <c r="B62" s="119">
        <v>1010000</v>
      </c>
      <c r="C62" s="119" t="s">
        <v>1453</v>
      </c>
      <c r="D62" s="119">
        <v>3913000</v>
      </c>
      <c r="E62" s="121" t="s">
        <v>1519</v>
      </c>
      <c r="F62" s="119" t="s">
        <v>84</v>
      </c>
      <c r="G62" s="122"/>
      <c r="H62" s="113" t="str">
        <f t="shared" si="1"/>
        <v>CN</v>
      </c>
      <c r="I62" s="113" t="s">
        <v>73</v>
      </c>
      <c r="J62"/>
    </row>
    <row r="63" spans="1:10">
      <c r="A63" s="114" t="str">
        <f t="shared" si="0"/>
        <v>1010000ELEC PLANT IN SERV3913000OFFICE EQUIPMENTSITUS</v>
      </c>
      <c r="B63" s="119">
        <v>1010000</v>
      </c>
      <c r="C63" s="119" t="s">
        <v>1453</v>
      </c>
      <c r="D63" s="119">
        <v>3913000</v>
      </c>
      <c r="E63" s="121" t="s">
        <v>1519</v>
      </c>
      <c r="F63" s="119" t="s">
        <v>12</v>
      </c>
      <c r="G63" s="122"/>
      <c r="H63" s="113" t="str">
        <f t="shared" si="1"/>
        <v>SITUS</v>
      </c>
      <c r="I63" s="113" t="s">
        <v>70</v>
      </c>
      <c r="J63"/>
    </row>
    <row r="64" spans="1:10">
      <c r="A64" s="114" t="str">
        <f t="shared" si="0"/>
        <v>1010000ELEC PLANT IN SERV3913000OFFICE EQUIPMENTSITUS</v>
      </c>
      <c r="B64" s="119">
        <v>1010000</v>
      </c>
      <c r="C64" s="119" t="s">
        <v>1453</v>
      </c>
      <c r="D64" s="119">
        <v>3913000</v>
      </c>
      <c r="E64" s="121" t="s">
        <v>1519</v>
      </c>
      <c r="F64" s="119" t="s">
        <v>12</v>
      </c>
      <c r="G64" s="122"/>
      <c r="H64" s="113" t="str">
        <f t="shared" si="1"/>
        <v>SITUS</v>
      </c>
      <c r="I64" s="113" t="s">
        <v>70</v>
      </c>
      <c r="J64"/>
    </row>
    <row r="65" spans="1:10">
      <c r="A65" s="114" t="str">
        <f t="shared" si="0"/>
        <v>1010000ELEC PLANT IN SERV3913000OFFICE EQUIPMENTSG</v>
      </c>
      <c r="B65" s="119">
        <v>1010000</v>
      </c>
      <c r="C65" s="119" t="s">
        <v>1453</v>
      </c>
      <c r="D65" s="119">
        <v>3913000</v>
      </c>
      <c r="E65" s="121" t="s">
        <v>1519</v>
      </c>
      <c r="F65" s="119" t="s">
        <v>87</v>
      </c>
      <c r="G65" s="122"/>
      <c r="H65" s="113" t="str">
        <f t="shared" si="1"/>
        <v>SG</v>
      </c>
      <c r="I65" s="113" t="s">
        <v>68</v>
      </c>
      <c r="J65"/>
    </row>
    <row r="66" spans="1:10">
      <c r="A66" s="114" t="str">
        <f t="shared" si="0"/>
        <v>1010000ELEC PLANT IN SERV3913000OFFICE EQUIPMENTSO</v>
      </c>
      <c r="B66" s="119">
        <v>1010000</v>
      </c>
      <c r="C66" s="119" t="s">
        <v>1453</v>
      </c>
      <c r="D66" s="119">
        <v>3913000</v>
      </c>
      <c r="E66" s="121" t="s">
        <v>1519</v>
      </c>
      <c r="F66" s="119" t="s">
        <v>89</v>
      </c>
      <c r="G66" s="122"/>
      <c r="H66" s="113" t="str">
        <f t="shared" si="1"/>
        <v>SO</v>
      </c>
      <c r="I66" s="113" t="s">
        <v>92</v>
      </c>
      <c r="J66"/>
    </row>
    <row r="67" spans="1:10">
      <c r="A67" s="114" t="str">
        <f t="shared" ref="A67:A130" si="2">CONCATENATE($B67,$C67,$D67,$E67,$H67)</f>
        <v>1010000ELEC PLANT IN SERV3913000OFFICE EQUIPMENTSITUS</v>
      </c>
      <c r="B67" s="119">
        <v>1010000</v>
      </c>
      <c r="C67" s="119" t="s">
        <v>1453</v>
      </c>
      <c r="D67" s="119">
        <v>3913000</v>
      </c>
      <c r="E67" s="121" t="s">
        <v>1519</v>
      </c>
      <c r="F67" s="119" t="s">
        <v>12</v>
      </c>
      <c r="G67" s="122"/>
      <c r="H67" s="113" t="str">
        <f t="shared" ref="H67:H130" si="3">IF(OR(F67="IDU",F67="OR",F67="UT",F67="WYU",F67="WYP",F67="CA",F67="WA"),"SITUS",F67)</f>
        <v>SITUS</v>
      </c>
      <c r="I67" s="113" t="s">
        <v>70</v>
      </c>
      <c r="J67"/>
    </row>
    <row r="68" spans="1:10">
      <c r="A68" s="114" t="str">
        <f t="shared" si="2"/>
        <v>1010000ELEC PLANT IN SERV3913000OFFICE EQUIPMENTSITUS</v>
      </c>
      <c r="B68" s="119">
        <v>1010000</v>
      </c>
      <c r="C68" s="119" t="s">
        <v>1453</v>
      </c>
      <c r="D68" s="119">
        <v>3913000</v>
      </c>
      <c r="E68" s="121" t="s">
        <v>1519</v>
      </c>
      <c r="F68" s="119" t="s">
        <v>12</v>
      </c>
      <c r="G68" s="122"/>
      <c r="H68" s="113" t="str">
        <f t="shared" si="3"/>
        <v>SITUS</v>
      </c>
      <c r="I68" s="113" t="s">
        <v>70</v>
      </c>
      <c r="J68"/>
    </row>
    <row r="69" spans="1:10">
      <c r="A69" s="114" t="str">
        <f t="shared" si="2"/>
        <v>1010000ELEC PLANT IN SERV39201001/4 TON MINI-PICKUPS AND VANSSITUS</v>
      </c>
      <c r="B69" s="119">
        <v>1010000</v>
      </c>
      <c r="C69" s="119" t="s">
        <v>1453</v>
      </c>
      <c r="D69" s="119">
        <v>3920100</v>
      </c>
      <c r="E69" s="121" t="s">
        <v>1520</v>
      </c>
      <c r="F69" s="119" t="s">
        <v>12</v>
      </c>
      <c r="G69" s="122"/>
      <c r="H69" s="113" t="str">
        <f t="shared" si="3"/>
        <v>SITUS</v>
      </c>
      <c r="I69" s="113" t="s">
        <v>70</v>
      </c>
      <c r="J69"/>
    </row>
    <row r="70" spans="1:10">
      <c r="A70" s="114" t="str">
        <f t="shared" si="2"/>
        <v>1010000ELEC PLANT IN SERV39201001/4 TON MINI-PICKUPS AND VANSSITUS</v>
      </c>
      <c r="B70" s="119">
        <v>1010000</v>
      </c>
      <c r="C70" s="119" t="s">
        <v>1453</v>
      </c>
      <c r="D70" s="119">
        <v>3920100</v>
      </c>
      <c r="E70" s="121" t="s">
        <v>1520</v>
      </c>
      <c r="F70" s="119" t="s">
        <v>12</v>
      </c>
      <c r="G70" s="122"/>
      <c r="H70" s="113" t="str">
        <f t="shared" si="3"/>
        <v>SITUS</v>
      </c>
      <c r="I70" s="113" t="s">
        <v>70</v>
      </c>
      <c r="J70"/>
    </row>
    <row r="71" spans="1:10">
      <c r="A71" s="114" t="str">
        <f t="shared" si="2"/>
        <v>1010000ELEC PLANT IN SERV39201001/4 TON MINI-PICKUPS AND VANSSE</v>
      </c>
      <c r="B71" s="119">
        <v>1010000</v>
      </c>
      <c r="C71" s="119" t="s">
        <v>1453</v>
      </c>
      <c r="D71" s="119">
        <v>3920100</v>
      </c>
      <c r="E71" s="121" t="s">
        <v>1520</v>
      </c>
      <c r="F71" s="119" t="s">
        <v>85</v>
      </c>
      <c r="G71" s="122"/>
      <c r="H71" s="113" t="str">
        <f t="shared" si="3"/>
        <v>SE</v>
      </c>
      <c r="I71" s="113" t="s">
        <v>68</v>
      </c>
      <c r="J71"/>
    </row>
    <row r="72" spans="1:10">
      <c r="A72" s="114" t="str">
        <f t="shared" si="2"/>
        <v>1010000ELEC PLANT IN SERV39201001/4 TON MINI-PICKUPS AND VANSSG</v>
      </c>
      <c r="B72" s="119">
        <v>1010000</v>
      </c>
      <c r="C72" s="119" t="s">
        <v>1453</v>
      </c>
      <c r="D72" s="119">
        <v>3920100</v>
      </c>
      <c r="E72" s="121" t="s">
        <v>1520</v>
      </c>
      <c r="F72" s="119" t="s">
        <v>87</v>
      </c>
      <c r="G72" s="122"/>
      <c r="H72" s="113" t="str">
        <f t="shared" si="3"/>
        <v>SG</v>
      </c>
      <c r="I72" s="113" t="s">
        <v>68</v>
      </c>
      <c r="J72"/>
    </row>
    <row r="73" spans="1:10">
      <c r="A73" s="114" t="str">
        <f t="shared" si="2"/>
        <v>1010000ELEC PLANT IN SERV39201001/4 TON MINI-PICKUPS AND VANSSITUS</v>
      </c>
      <c r="B73" s="119">
        <v>1010000</v>
      </c>
      <c r="C73" s="119" t="s">
        <v>1453</v>
      </c>
      <c r="D73" s="119">
        <v>3920100</v>
      </c>
      <c r="E73" s="121" t="s">
        <v>1520</v>
      </c>
      <c r="F73" s="119" t="s">
        <v>12</v>
      </c>
      <c r="G73" s="122"/>
      <c r="H73" s="113" t="str">
        <f t="shared" si="3"/>
        <v>SITUS</v>
      </c>
      <c r="I73" s="113" t="s">
        <v>70</v>
      </c>
      <c r="J73"/>
    </row>
    <row r="74" spans="1:10">
      <c r="A74" s="114" t="str">
        <f t="shared" si="2"/>
        <v>1010000ELEC PLANT IN SERV39201001/4 TON MINI-PICKUPS AND VANSSO</v>
      </c>
      <c r="B74" s="119">
        <v>1010000</v>
      </c>
      <c r="C74" s="119" t="s">
        <v>1453</v>
      </c>
      <c r="D74" s="119">
        <v>3920100</v>
      </c>
      <c r="E74" s="121" t="s">
        <v>1520</v>
      </c>
      <c r="F74" s="119" t="s">
        <v>89</v>
      </c>
      <c r="G74" s="122"/>
      <c r="H74" s="113" t="str">
        <f t="shared" si="3"/>
        <v>SO</v>
      </c>
      <c r="I74" s="113" t="s">
        <v>92</v>
      </c>
      <c r="J74"/>
    </row>
    <row r="75" spans="1:10">
      <c r="A75" s="114" t="str">
        <f t="shared" si="2"/>
        <v>1010000ELEC PLANT IN SERV39201001/4 TON MINI-PICKUPS AND VANSSITUS</v>
      </c>
      <c r="B75" s="119">
        <v>1010000</v>
      </c>
      <c r="C75" s="119" t="s">
        <v>1453</v>
      </c>
      <c r="D75" s="119">
        <v>3920100</v>
      </c>
      <c r="E75" s="121" t="s">
        <v>1520</v>
      </c>
      <c r="F75" s="119" t="s">
        <v>12</v>
      </c>
      <c r="G75" s="122"/>
      <c r="H75" s="113" t="str">
        <f t="shared" si="3"/>
        <v>SITUS</v>
      </c>
      <c r="I75" s="113" t="s">
        <v>70</v>
      </c>
      <c r="J75"/>
    </row>
    <row r="76" spans="1:10">
      <c r="A76" s="114" t="str">
        <f t="shared" si="2"/>
        <v>1010000ELEC PLANT IN SERV39201001/4 TON MINI-PICKUPS AND VANSSITUS</v>
      </c>
      <c r="B76" s="119">
        <v>1010000</v>
      </c>
      <c r="C76" s="119" t="s">
        <v>1453</v>
      </c>
      <c r="D76" s="119">
        <v>3920100</v>
      </c>
      <c r="E76" s="121" t="s">
        <v>1520</v>
      </c>
      <c r="F76" s="119" t="s">
        <v>12</v>
      </c>
      <c r="G76" s="124"/>
      <c r="H76" s="113" t="str">
        <f t="shared" si="3"/>
        <v>SITUS</v>
      </c>
      <c r="I76" s="113" t="s">
        <v>70</v>
      </c>
      <c r="J76"/>
    </row>
    <row r="77" spans="1:10">
      <c r="A77" s="114" t="str">
        <f t="shared" si="2"/>
        <v>1010000ELEC PLANT IN SERV39201001/4 TON MINI-PICKUPS AND VANSSITUS</v>
      </c>
      <c r="B77" s="119">
        <v>1010000</v>
      </c>
      <c r="C77" s="119" t="s">
        <v>1453</v>
      </c>
      <c r="D77" s="119">
        <v>3920100</v>
      </c>
      <c r="E77" s="121" t="s">
        <v>1520</v>
      </c>
      <c r="F77" s="119" t="s">
        <v>12</v>
      </c>
      <c r="G77" s="122"/>
      <c r="H77" s="113" t="str">
        <f t="shared" si="3"/>
        <v>SITUS</v>
      </c>
      <c r="I77" s="113" t="s">
        <v>70</v>
      </c>
      <c r="J77"/>
    </row>
    <row r="78" spans="1:10">
      <c r="A78" s="114" t="str">
        <f t="shared" si="2"/>
        <v>1010000ELEC PLANT IN SERV39201001/4 TON MINI-PICKUPS AND VANSSITUS</v>
      </c>
      <c r="B78" s="119">
        <v>1010000</v>
      </c>
      <c r="C78" s="119" t="s">
        <v>1453</v>
      </c>
      <c r="D78" s="119">
        <v>3920100</v>
      </c>
      <c r="E78" s="121" t="s">
        <v>1520</v>
      </c>
      <c r="F78" s="119" t="s">
        <v>12</v>
      </c>
      <c r="G78" s="122"/>
      <c r="H78" s="113" t="str">
        <f t="shared" si="3"/>
        <v>SITUS</v>
      </c>
      <c r="I78" s="113" t="s">
        <v>70</v>
      </c>
      <c r="J78"/>
    </row>
    <row r="79" spans="1:10">
      <c r="A79" s="114" t="str">
        <f t="shared" si="2"/>
        <v>1010000ELEC PLANT IN SERV3920200MID AND FULL SIZE AUTOMOBILESSITUS</v>
      </c>
      <c r="B79" s="119">
        <v>1010000</v>
      </c>
      <c r="C79" s="119" t="s">
        <v>1453</v>
      </c>
      <c r="D79" s="119">
        <v>3920200</v>
      </c>
      <c r="E79" s="121" t="s">
        <v>1521</v>
      </c>
      <c r="F79" s="119" t="s">
        <v>12</v>
      </c>
      <c r="G79" s="122"/>
      <c r="H79" s="113" t="str">
        <f t="shared" si="3"/>
        <v>SITUS</v>
      </c>
      <c r="I79" s="113" t="s">
        <v>70</v>
      </c>
      <c r="J79"/>
    </row>
    <row r="80" spans="1:10">
      <c r="A80" s="114" t="str">
        <f t="shared" si="2"/>
        <v>1010000ELEC PLANT IN SERV3920200MID AND FULL SIZE AUTOMOBILESSG</v>
      </c>
      <c r="B80" s="119">
        <v>1010000</v>
      </c>
      <c r="C80" s="119" t="s">
        <v>1453</v>
      </c>
      <c r="D80" s="119">
        <v>3920200</v>
      </c>
      <c r="E80" s="121" t="s">
        <v>1521</v>
      </c>
      <c r="F80" s="119" t="s">
        <v>87</v>
      </c>
      <c r="G80" s="122"/>
      <c r="H80" s="113" t="str">
        <f t="shared" si="3"/>
        <v>SG</v>
      </c>
      <c r="I80" s="113" t="s">
        <v>68</v>
      </c>
      <c r="J80"/>
    </row>
    <row r="81" spans="1:10">
      <c r="A81" s="114" t="str">
        <f t="shared" si="2"/>
        <v>1010000ELEC PLANT IN SERV3920200MID AND FULL SIZE AUTOMOBILESSO</v>
      </c>
      <c r="B81" s="119">
        <v>1010000</v>
      </c>
      <c r="C81" s="119" t="s">
        <v>1453</v>
      </c>
      <c r="D81" s="119">
        <v>3920200</v>
      </c>
      <c r="E81" s="121" t="s">
        <v>1521</v>
      </c>
      <c r="F81" s="119" t="s">
        <v>89</v>
      </c>
      <c r="G81" s="122"/>
      <c r="H81" s="113" t="str">
        <f t="shared" si="3"/>
        <v>SO</v>
      </c>
      <c r="I81" s="113" t="s">
        <v>92</v>
      </c>
      <c r="J81"/>
    </row>
    <row r="82" spans="1:10">
      <c r="A82" s="114" t="str">
        <f t="shared" si="2"/>
        <v>1010000ELEC PLANT IN SERV3920200MID AND FULL SIZE AUTOMOBILESSITUS</v>
      </c>
      <c r="B82" s="119">
        <v>1010000</v>
      </c>
      <c r="C82" s="119" t="s">
        <v>1453</v>
      </c>
      <c r="D82" s="119">
        <v>3920200</v>
      </c>
      <c r="E82" s="121" t="s">
        <v>1521</v>
      </c>
      <c r="F82" s="119" t="s">
        <v>12</v>
      </c>
      <c r="G82" s="122"/>
      <c r="H82" s="113" t="str">
        <f t="shared" si="3"/>
        <v>SITUS</v>
      </c>
      <c r="I82" s="113" t="s">
        <v>70</v>
      </c>
      <c r="J82"/>
    </row>
    <row r="83" spans="1:10">
      <c r="A83" s="114" t="str">
        <f t="shared" si="2"/>
        <v>1010000ELEC PLANT IN SERV3920200MID AND FULL SIZE AUTOMOBILESSITUS</v>
      </c>
      <c r="B83" s="119">
        <v>1010000</v>
      </c>
      <c r="C83" s="119" t="s">
        <v>1453</v>
      </c>
      <c r="D83" s="119">
        <v>3920200</v>
      </c>
      <c r="E83" s="121" t="s">
        <v>1521</v>
      </c>
      <c r="F83" s="119" t="s">
        <v>12</v>
      </c>
      <c r="G83" s="122"/>
      <c r="H83" s="113" t="str">
        <f t="shared" si="3"/>
        <v>SITUS</v>
      </c>
      <c r="I83" s="113" t="s">
        <v>70</v>
      </c>
      <c r="J83"/>
    </row>
    <row r="84" spans="1:10">
      <c r="A84" s="114" t="str">
        <f t="shared" si="2"/>
        <v>1010000ELEC PLANT IN SERV3920200MID AND FULL SIZE AUTOMOBILESSITUS</v>
      </c>
      <c r="B84" s="119">
        <v>1010000</v>
      </c>
      <c r="C84" s="119" t="s">
        <v>1453</v>
      </c>
      <c r="D84" s="119">
        <v>3920200</v>
      </c>
      <c r="E84" s="121" t="s">
        <v>1521</v>
      </c>
      <c r="F84" s="119" t="s">
        <v>12</v>
      </c>
      <c r="G84" s="122"/>
      <c r="H84" s="113" t="str">
        <f t="shared" si="3"/>
        <v>SITUS</v>
      </c>
      <c r="I84" s="113" t="s">
        <v>70</v>
      </c>
      <c r="J84"/>
    </row>
    <row r="85" spans="1:10">
      <c r="A85" s="114" t="str">
        <f t="shared" si="2"/>
        <v>1010000ELEC PLANT IN SERV3920400"1/2 &amp; 3/4 TON PICKUPS, VANS, SERV TRUCKSITUS</v>
      </c>
      <c r="B85" s="119">
        <v>1010000</v>
      </c>
      <c r="C85" s="119" t="s">
        <v>1453</v>
      </c>
      <c r="D85" s="119">
        <v>3920400</v>
      </c>
      <c r="E85" s="121" t="s">
        <v>1522</v>
      </c>
      <c r="F85" s="119" t="s">
        <v>12</v>
      </c>
      <c r="G85" s="122"/>
      <c r="H85" s="113" t="str">
        <f t="shared" si="3"/>
        <v>SITUS</v>
      </c>
      <c r="I85" s="113" t="s">
        <v>70</v>
      </c>
      <c r="J85"/>
    </row>
    <row r="86" spans="1:10">
      <c r="A86" s="114" t="str">
        <f t="shared" si="2"/>
        <v>1010000ELEC PLANT IN SERV3920400"1/2 &amp; 3/4 TON PICKUPS, VANS, SERV TRUCKSITUS</v>
      </c>
      <c r="B86" s="119">
        <v>1010000</v>
      </c>
      <c r="C86" s="119" t="s">
        <v>1453</v>
      </c>
      <c r="D86" s="119">
        <v>3920400</v>
      </c>
      <c r="E86" s="121" t="s">
        <v>1522</v>
      </c>
      <c r="F86" s="119" t="s">
        <v>12</v>
      </c>
      <c r="G86" s="122"/>
      <c r="H86" s="113" t="str">
        <f t="shared" si="3"/>
        <v>SITUS</v>
      </c>
      <c r="I86" s="113" t="s">
        <v>70</v>
      </c>
      <c r="J86"/>
    </row>
    <row r="87" spans="1:10">
      <c r="A87" s="114" t="str">
        <f t="shared" si="2"/>
        <v>1010000ELEC PLANT IN SERV3920400"1/2 &amp; 3/4 TON PICKUPS, VANS, SERV TRUCKSE</v>
      </c>
      <c r="B87" s="119">
        <v>1010000</v>
      </c>
      <c r="C87" s="119" t="s">
        <v>1453</v>
      </c>
      <c r="D87" s="119">
        <v>3920400</v>
      </c>
      <c r="E87" s="121" t="s">
        <v>1522</v>
      </c>
      <c r="F87" s="119" t="s">
        <v>85</v>
      </c>
      <c r="G87" s="122"/>
      <c r="H87" s="113" t="str">
        <f t="shared" si="3"/>
        <v>SE</v>
      </c>
      <c r="I87" s="113" t="s">
        <v>68</v>
      </c>
      <c r="J87"/>
    </row>
    <row r="88" spans="1:10">
      <c r="A88" s="114" t="str">
        <f t="shared" si="2"/>
        <v>1010000ELEC PLANT IN SERV3920400"1/2 &amp; 3/4 TON PICKUPS, VANS, SERV TRUCKSG</v>
      </c>
      <c r="B88" s="119">
        <v>1010000</v>
      </c>
      <c r="C88" s="119" t="s">
        <v>1453</v>
      </c>
      <c r="D88" s="119">
        <v>3920400</v>
      </c>
      <c r="E88" s="121" t="s">
        <v>1522</v>
      </c>
      <c r="F88" s="119" t="s">
        <v>87</v>
      </c>
      <c r="G88" s="122"/>
      <c r="H88" s="113" t="str">
        <f t="shared" si="3"/>
        <v>SG</v>
      </c>
      <c r="I88" s="113" t="s">
        <v>68</v>
      </c>
      <c r="J88"/>
    </row>
    <row r="89" spans="1:10">
      <c r="A89" s="114" t="str">
        <f t="shared" si="2"/>
        <v>1010000ELEC PLANT IN SERV3920400"1/2 &amp; 3/4 TON PICKUPS, VANS, SERV TRUCKSITUS</v>
      </c>
      <c r="B89" s="119">
        <v>1010000</v>
      </c>
      <c r="C89" s="119" t="s">
        <v>1453</v>
      </c>
      <c r="D89" s="119">
        <v>3920400</v>
      </c>
      <c r="E89" s="121" t="s">
        <v>1522</v>
      </c>
      <c r="F89" s="119" t="s">
        <v>12</v>
      </c>
      <c r="G89" s="122"/>
      <c r="H89" s="113" t="str">
        <f t="shared" si="3"/>
        <v>SITUS</v>
      </c>
      <c r="I89" s="113" t="s">
        <v>70</v>
      </c>
      <c r="J89"/>
    </row>
    <row r="90" spans="1:10">
      <c r="A90" s="114" t="str">
        <f t="shared" si="2"/>
        <v>1010000ELEC PLANT IN SERV3920400"1/2 &amp; 3/4 TON PICKUPS, VANS, SERV TRUCKSO</v>
      </c>
      <c r="B90" s="119">
        <v>1010000</v>
      </c>
      <c r="C90" s="119" t="s">
        <v>1453</v>
      </c>
      <c r="D90" s="119">
        <v>3920400</v>
      </c>
      <c r="E90" s="121" t="s">
        <v>1522</v>
      </c>
      <c r="F90" s="119" t="s">
        <v>89</v>
      </c>
      <c r="G90" s="122"/>
      <c r="H90" s="113" t="str">
        <f t="shared" si="3"/>
        <v>SO</v>
      </c>
      <c r="I90" s="113" t="s">
        <v>92</v>
      </c>
      <c r="J90"/>
    </row>
    <row r="91" spans="1:10">
      <c r="A91" s="114" t="str">
        <f t="shared" si="2"/>
        <v>1010000ELEC PLANT IN SERV3920400"1/2 &amp; 3/4 TON PICKUPS, VANS, SERV TRUCKSITUS</v>
      </c>
      <c r="B91" s="119">
        <v>1010000</v>
      </c>
      <c r="C91" s="119" t="s">
        <v>1453</v>
      </c>
      <c r="D91" s="119">
        <v>3920400</v>
      </c>
      <c r="E91" s="121" t="s">
        <v>1522</v>
      </c>
      <c r="F91" s="119" t="s">
        <v>12</v>
      </c>
      <c r="G91" s="122"/>
      <c r="H91" s="113" t="str">
        <f t="shared" si="3"/>
        <v>SITUS</v>
      </c>
      <c r="I91" s="113" t="s">
        <v>70</v>
      </c>
      <c r="J91"/>
    </row>
    <row r="92" spans="1:10">
      <c r="A92" s="114" t="str">
        <f t="shared" si="2"/>
        <v>1010000ELEC PLANT IN SERV3920400"1/2 &amp; 3/4 TON PICKUPS, VANS, SERV TRUCKSITUS</v>
      </c>
      <c r="B92" s="119">
        <v>1010000</v>
      </c>
      <c r="C92" s="119" t="s">
        <v>1453</v>
      </c>
      <c r="D92" s="119">
        <v>3920400</v>
      </c>
      <c r="E92" s="121" t="s">
        <v>1522</v>
      </c>
      <c r="F92" s="119" t="s">
        <v>12</v>
      </c>
      <c r="G92" s="122"/>
      <c r="H92" s="113" t="str">
        <f t="shared" si="3"/>
        <v>SITUS</v>
      </c>
      <c r="I92" s="113" t="s">
        <v>70</v>
      </c>
      <c r="J92"/>
    </row>
    <row r="93" spans="1:10">
      <c r="A93" s="114" t="str">
        <f t="shared" si="2"/>
        <v>1010000ELEC PLANT IN SERV3920400"1/2 &amp; 3/4 TON PICKUPS, VANS, SERV TRUCKSITUS</v>
      </c>
      <c r="B93" s="119">
        <v>1010000</v>
      </c>
      <c r="C93" s="119" t="s">
        <v>1453</v>
      </c>
      <c r="D93" s="119">
        <v>3920400</v>
      </c>
      <c r="E93" s="121" t="s">
        <v>1522</v>
      </c>
      <c r="F93" s="119" t="s">
        <v>12</v>
      </c>
      <c r="G93" s="122"/>
      <c r="H93" s="113" t="str">
        <f t="shared" si="3"/>
        <v>SITUS</v>
      </c>
      <c r="I93" s="113" t="s">
        <v>70</v>
      </c>
      <c r="J93"/>
    </row>
    <row r="94" spans="1:10">
      <c r="A94" s="114" t="str">
        <f t="shared" si="2"/>
        <v>1010000ELEC PLANT IN SERV3920400"1/2 &amp; 3/4 TON PICKUPS, VANS, SERV TRUCKSITUS</v>
      </c>
      <c r="B94" s="119">
        <v>1010000</v>
      </c>
      <c r="C94" s="119" t="s">
        <v>1453</v>
      </c>
      <c r="D94" s="119">
        <v>3920400</v>
      </c>
      <c r="E94" s="121" t="s">
        <v>1522</v>
      </c>
      <c r="F94" s="119" t="s">
        <v>12</v>
      </c>
      <c r="G94" s="122"/>
      <c r="H94" s="113" t="str">
        <f t="shared" si="3"/>
        <v>SITUS</v>
      </c>
      <c r="I94" s="113" t="s">
        <v>70</v>
      </c>
      <c r="J94"/>
    </row>
    <row r="95" spans="1:10">
      <c r="A95" s="114" t="str">
        <f t="shared" si="2"/>
        <v>1010000ELEC PLANT IN SERV3920500"1 TON AND ABOVE, TWO-AXLE TRUCKS"SITUS</v>
      </c>
      <c r="B95" s="119">
        <v>1010000</v>
      </c>
      <c r="C95" s="119" t="s">
        <v>1453</v>
      </c>
      <c r="D95" s="119">
        <v>3920500</v>
      </c>
      <c r="E95" s="121" t="s">
        <v>1523</v>
      </c>
      <c r="F95" s="119" t="s">
        <v>12</v>
      </c>
      <c r="G95" s="122"/>
      <c r="H95" s="113" t="str">
        <f t="shared" si="3"/>
        <v>SITUS</v>
      </c>
      <c r="I95" s="113" t="s">
        <v>70</v>
      </c>
      <c r="J95"/>
    </row>
    <row r="96" spans="1:10">
      <c r="A96" s="114" t="str">
        <f t="shared" si="2"/>
        <v>1010000ELEC PLANT IN SERV3920500"1 TON AND ABOVE, TWO-AXLE TRUCKS"SITUS</v>
      </c>
      <c r="B96" s="119">
        <v>1010000</v>
      </c>
      <c r="C96" s="119" t="s">
        <v>1453</v>
      </c>
      <c r="D96" s="119">
        <v>3920500</v>
      </c>
      <c r="E96" s="121" t="s">
        <v>1523</v>
      </c>
      <c r="F96" s="119" t="s">
        <v>12</v>
      </c>
      <c r="G96" s="122"/>
      <c r="H96" s="113" t="str">
        <f t="shared" si="3"/>
        <v>SITUS</v>
      </c>
      <c r="I96" s="113" t="s">
        <v>70</v>
      </c>
      <c r="J96"/>
    </row>
    <row r="97" spans="1:10">
      <c r="A97" s="114" t="str">
        <f t="shared" si="2"/>
        <v>1010000ELEC PLANT IN SERV3920500"1 TON AND ABOVE, TWO-AXLE TRUCKS"SE</v>
      </c>
      <c r="B97" s="119">
        <v>1010000</v>
      </c>
      <c r="C97" s="119" t="s">
        <v>1453</v>
      </c>
      <c r="D97" s="119">
        <v>3920500</v>
      </c>
      <c r="E97" s="121" t="s">
        <v>1523</v>
      </c>
      <c r="F97" s="119" t="s">
        <v>85</v>
      </c>
      <c r="G97" s="122"/>
      <c r="H97" s="113" t="str">
        <f t="shared" si="3"/>
        <v>SE</v>
      </c>
      <c r="I97" s="113" t="s">
        <v>68</v>
      </c>
      <c r="J97"/>
    </row>
    <row r="98" spans="1:10">
      <c r="A98" s="114" t="str">
        <f t="shared" si="2"/>
        <v>1010000ELEC PLANT IN SERV3920500"1 TON AND ABOVE, TWO-AXLE TRUCKS"SG</v>
      </c>
      <c r="B98" s="119">
        <v>1010000</v>
      </c>
      <c r="C98" s="119" t="s">
        <v>1453</v>
      </c>
      <c r="D98" s="119">
        <v>3920500</v>
      </c>
      <c r="E98" s="121" t="s">
        <v>1523</v>
      </c>
      <c r="F98" s="119" t="s">
        <v>87</v>
      </c>
      <c r="G98" s="122"/>
      <c r="H98" s="113" t="str">
        <f t="shared" si="3"/>
        <v>SG</v>
      </c>
      <c r="I98" s="113" t="s">
        <v>68</v>
      </c>
      <c r="J98"/>
    </row>
    <row r="99" spans="1:10">
      <c r="A99" s="114" t="str">
        <f t="shared" si="2"/>
        <v>1010000ELEC PLANT IN SERV3920500"1 TON AND ABOVE, TWO-AXLE TRUCKS"SITUS</v>
      </c>
      <c r="B99" s="119">
        <v>1010000</v>
      </c>
      <c r="C99" s="119" t="s">
        <v>1453</v>
      </c>
      <c r="D99" s="119">
        <v>3920500</v>
      </c>
      <c r="E99" s="121" t="s">
        <v>1523</v>
      </c>
      <c r="F99" s="119" t="s">
        <v>12</v>
      </c>
      <c r="G99" s="122"/>
      <c r="H99" s="113" t="str">
        <f t="shared" si="3"/>
        <v>SITUS</v>
      </c>
      <c r="I99" s="113" t="s">
        <v>70</v>
      </c>
      <c r="J99"/>
    </row>
    <row r="100" spans="1:10">
      <c r="A100" s="114" t="str">
        <f t="shared" si="2"/>
        <v>1010000ELEC PLANT IN SERV3920500"1 TON AND ABOVE, TWO-AXLE TRUCKS"SO</v>
      </c>
      <c r="B100" s="119">
        <v>1010000</v>
      </c>
      <c r="C100" s="119" t="s">
        <v>1453</v>
      </c>
      <c r="D100" s="119">
        <v>3920500</v>
      </c>
      <c r="E100" s="121" t="s">
        <v>1523</v>
      </c>
      <c r="F100" s="119" t="s">
        <v>89</v>
      </c>
      <c r="G100" s="122"/>
      <c r="H100" s="113" t="str">
        <f t="shared" si="3"/>
        <v>SO</v>
      </c>
      <c r="I100" s="113" t="s">
        <v>92</v>
      </c>
      <c r="J100"/>
    </row>
    <row r="101" spans="1:10">
      <c r="A101" s="114" t="str">
        <f t="shared" si="2"/>
        <v>1010000ELEC PLANT IN SERV3920500"1 TON AND ABOVE, TWO-AXLE TRUCKS"SITUS</v>
      </c>
      <c r="B101" s="119">
        <v>1010000</v>
      </c>
      <c r="C101" s="119" t="s">
        <v>1453</v>
      </c>
      <c r="D101" s="119">
        <v>3920500</v>
      </c>
      <c r="E101" s="121" t="s">
        <v>1523</v>
      </c>
      <c r="F101" s="119" t="s">
        <v>12</v>
      </c>
      <c r="G101" s="122"/>
      <c r="H101" s="113" t="str">
        <f t="shared" si="3"/>
        <v>SITUS</v>
      </c>
      <c r="I101" s="113" t="s">
        <v>70</v>
      </c>
      <c r="J101"/>
    </row>
    <row r="102" spans="1:10">
      <c r="A102" s="114" t="str">
        <f t="shared" si="2"/>
        <v>1010000ELEC PLANT IN SERV3920500"1 TON AND ABOVE, TWO-AXLE TRUCKS"SITUS</v>
      </c>
      <c r="B102" s="119">
        <v>1010000</v>
      </c>
      <c r="C102" s="119" t="s">
        <v>1453</v>
      </c>
      <c r="D102" s="119">
        <v>3920500</v>
      </c>
      <c r="E102" s="121" t="s">
        <v>1523</v>
      </c>
      <c r="F102" s="119" t="s">
        <v>12</v>
      </c>
      <c r="G102" s="122"/>
      <c r="H102" s="113" t="str">
        <f t="shared" si="3"/>
        <v>SITUS</v>
      </c>
      <c r="I102" s="113" t="s">
        <v>70</v>
      </c>
      <c r="J102"/>
    </row>
    <row r="103" spans="1:10">
      <c r="A103" s="114" t="str">
        <f t="shared" si="2"/>
        <v>1010000ELEC PLANT IN SERV3920500"1 TON AND ABOVE, TWO-AXLE TRUCKS"SITUS</v>
      </c>
      <c r="B103" s="119">
        <v>1010000</v>
      </c>
      <c r="C103" s="119" t="s">
        <v>1453</v>
      </c>
      <c r="D103" s="119">
        <v>3920500</v>
      </c>
      <c r="E103" s="121" t="s">
        <v>1523</v>
      </c>
      <c r="F103" s="119" t="s">
        <v>12</v>
      </c>
      <c r="G103" s="122"/>
      <c r="H103" s="113" t="str">
        <f t="shared" si="3"/>
        <v>SITUS</v>
      </c>
      <c r="I103" s="113" t="s">
        <v>70</v>
      </c>
      <c r="J103"/>
    </row>
    <row r="104" spans="1:10">
      <c r="A104" s="114" t="str">
        <f t="shared" si="2"/>
        <v>1010000ELEC PLANT IN SERV3920500"1 TON AND ABOVE, TWO-AXLE TRUCKS"SITUS</v>
      </c>
      <c r="B104" s="119">
        <v>1010000</v>
      </c>
      <c r="C104" s="119" t="s">
        <v>1453</v>
      </c>
      <c r="D104" s="119">
        <v>3920500</v>
      </c>
      <c r="E104" s="121" t="s">
        <v>1523</v>
      </c>
      <c r="F104" s="119" t="s">
        <v>12</v>
      </c>
      <c r="G104" s="122"/>
      <c r="H104" s="113" t="str">
        <f t="shared" si="3"/>
        <v>SITUS</v>
      </c>
      <c r="I104" s="113" t="s">
        <v>70</v>
      </c>
      <c r="J104"/>
    </row>
    <row r="105" spans="1:10">
      <c r="A105" s="114" t="str">
        <f t="shared" si="2"/>
        <v>1010000ELEC PLANT IN SERV3920600DUMP TRUCKSSITUS</v>
      </c>
      <c r="B105" s="119">
        <v>1010000</v>
      </c>
      <c r="C105" s="119" t="s">
        <v>1453</v>
      </c>
      <c r="D105" s="119">
        <v>3920600</v>
      </c>
      <c r="E105" s="121" t="s">
        <v>1524</v>
      </c>
      <c r="F105" s="119" t="s">
        <v>12</v>
      </c>
      <c r="G105" s="122"/>
      <c r="H105" s="113" t="str">
        <f t="shared" si="3"/>
        <v>SITUS</v>
      </c>
      <c r="I105" s="113" t="s">
        <v>70</v>
      </c>
      <c r="J105"/>
    </row>
    <row r="106" spans="1:10">
      <c r="A106" s="114" t="str">
        <f t="shared" si="2"/>
        <v>1010000ELEC PLANT IN SERV3920600DUMP TRUCKSSE</v>
      </c>
      <c r="B106" s="119">
        <v>1010000</v>
      </c>
      <c r="C106" s="119" t="s">
        <v>1453</v>
      </c>
      <c r="D106" s="119">
        <v>3920600</v>
      </c>
      <c r="E106" s="121" t="s">
        <v>1524</v>
      </c>
      <c r="F106" s="119" t="s">
        <v>85</v>
      </c>
      <c r="G106" s="122"/>
      <c r="H106" s="113" t="str">
        <f t="shared" si="3"/>
        <v>SE</v>
      </c>
      <c r="I106" s="113" t="s">
        <v>68</v>
      </c>
      <c r="J106"/>
    </row>
    <row r="107" spans="1:10">
      <c r="A107" s="114" t="str">
        <f t="shared" si="2"/>
        <v>1010000ELEC PLANT IN SERV3920600DUMP TRUCKSSG</v>
      </c>
      <c r="B107" s="119">
        <v>1010000</v>
      </c>
      <c r="C107" s="119" t="s">
        <v>1453</v>
      </c>
      <c r="D107" s="119">
        <v>3920600</v>
      </c>
      <c r="E107" s="121" t="s">
        <v>1524</v>
      </c>
      <c r="F107" s="119" t="s">
        <v>87</v>
      </c>
      <c r="G107" s="122"/>
      <c r="H107" s="113" t="str">
        <f t="shared" si="3"/>
        <v>SG</v>
      </c>
      <c r="I107" s="113" t="s">
        <v>68</v>
      </c>
      <c r="J107"/>
    </row>
    <row r="108" spans="1:10">
      <c r="A108" s="114" t="str">
        <f t="shared" si="2"/>
        <v>1010000ELEC PLANT IN SERV3920600DUMP TRUCKSSO</v>
      </c>
      <c r="B108" s="119">
        <v>1010000</v>
      </c>
      <c r="C108" s="119" t="s">
        <v>1453</v>
      </c>
      <c r="D108" s="119">
        <v>3920600</v>
      </c>
      <c r="E108" s="121" t="s">
        <v>1524</v>
      </c>
      <c r="F108" s="119" t="s">
        <v>89</v>
      </c>
      <c r="G108" s="122"/>
      <c r="H108" s="113" t="str">
        <f t="shared" si="3"/>
        <v>SO</v>
      </c>
      <c r="I108" s="113" t="s">
        <v>92</v>
      </c>
      <c r="J108"/>
    </row>
    <row r="109" spans="1:10">
      <c r="A109" s="114" t="str">
        <f t="shared" si="2"/>
        <v>1010000ELEC PLANT IN SERV3920600DUMP TRUCKSSITUS</v>
      </c>
      <c r="B109" s="119">
        <v>1010000</v>
      </c>
      <c r="C109" s="119" t="s">
        <v>1453</v>
      </c>
      <c r="D109" s="119">
        <v>3920600</v>
      </c>
      <c r="E109" s="121" t="s">
        <v>1524</v>
      </c>
      <c r="F109" s="119" t="s">
        <v>12</v>
      </c>
      <c r="G109" s="122"/>
      <c r="H109" s="113" t="str">
        <f t="shared" si="3"/>
        <v>SITUS</v>
      </c>
      <c r="I109" s="113" t="s">
        <v>70</v>
      </c>
      <c r="J109"/>
    </row>
    <row r="110" spans="1:10">
      <c r="A110" s="114" t="str">
        <f t="shared" si="2"/>
        <v>1010000ELEC PLANT IN SERV3920900TRAILERSSITUS</v>
      </c>
      <c r="B110" s="119">
        <v>1010000</v>
      </c>
      <c r="C110" s="119" t="s">
        <v>1453</v>
      </c>
      <c r="D110" s="119">
        <v>3920900</v>
      </c>
      <c r="E110" s="121" t="s">
        <v>1525</v>
      </c>
      <c r="F110" s="119" t="s">
        <v>12</v>
      </c>
      <c r="G110" s="122"/>
      <c r="H110" s="113" t="str">
        <f t="shared" si="3"/>
        <v>SITUS</v>
      </c>
      <c r="I110" s="113" t="s">
        <v>70</v>
      </c>
      <c r="J110"/>
    </row>
    <row r="111" spans="1:10">
      <c r="A111" s="114" t="str">
        <f t="shared" si="2"/>
        <v>1010000ELEC PLANT IN SERV3920900TRAILERSSITUS</v>
      </c>
      <c r="B111" s="119">
        <v>1010000</v>
      </c>
      <c r="C111" s="119" t="s">
        <v>1453</v>
      </c>
      <c r="D111" s="119">
        <v>3920900</v>
      </c>
      <c r="E111" s="121" t="s">
        <v>1525</v>
      </c>
      <c r="F111" s="119" t="s">
        <v>12</v>
      </c>
      <c r="G111" s="122"/>
      <c r="H111" s="113" t="str">
        <f t="shared" si="3"/>
        <v>SITUS</v>
      </c>
      <c r="I111" s="113" t="s">
        <v>70</v>
      </c>
      <c r="J111"/>
    </row>
    <row r="112" spans="1:10">
      <c r="A112" s="114" t="str">
        <f t="shared" si="2"/>
        <v>1010000ELEC PLANT IN SERV3920900TRAILERSSE</v>
      </c>
      <c r="B112" s="119">
        <v>1010000</v>
      </c>
      <c r="C112" s="119" t="s">
        <v>1453</v>
      </c>
      <c r="D112" s="119">
        <v>3920900</v>
      </c>
      <c r="E112" s="121" t="s">
        <v>1525</v>
      </c>
      <c r="F112" s="119" t="s">
        <v>85</v>
      </c>
      <c r="G112" s="122"/>
      <c r="H112" s="113" t="str">
        <f t="shared" si="3"/>
        <v>SE</v>
      </c>
      <c r="I112" s="113" t="s">
        <v>68</v>
      </c>
      <c r="J112"/>
    </row>
    <row r="113" spans="1:10">
      <c r="A113" s="114" t="str">
        <f t="shared" si="2"/>
        <v>1010000ELEC PLANT IN SERV3920900TRAILERSSG</v>
      </c>
      <c r="B113" s="119">
        <v>1010000</v>
      </c>
      <c r="C113" s="119" t="s">
        <v>1453</v>
      </c>
      <c r="D113" s="119">
        <v>3920900</v>
      </c>
      <c r="E113" s="121" t="s">
        <v>1525</v>
      </c>
      <c r="F113" s="119" t="s">
        <v>87</v>
      </c>
      <c r="G113" s="122"/>
      <c r="H113" s="113" t="str">
        <f t="shared" si="3"/>
        <v>SG</v>
      </c>
      <c r="I113" s="113" t="s">
        <v>68</v>
      </c>
      <c r="J113"/>
    </row>
    <row r="114" spans="1:10">
      <c r="A114" s="114" t="str">
        <f t="shared" si="2"/>
        <v>1010000ELEC PLANT IN SERV3920900TRAILERSSITUS</v>
      </c>
      <c r="B114" s="119">
        <v>1010000</v>
      </c>
      <c r="C114" s="119" t="s">
        <v>1453</v>
      </c>
      <c r="D114" s="119">
        <v>3920900</v>
      </c>
      <c r="E114" s="121" t="s">
        <v>1525</v>
      </c>
      <c r="F114" s="119" t="s">
        <v>12</v>
      </c>
      <c r="G114" s="122"/>
      <c r="H114" s="113" t="str">
        <f t="shared" si="3"/>
        <v>SITUS</v>
      </c>
      <c r="I114" s="113" t="s">
        <v>70</v>
      </c>
      <c r="J114"/>
    </row>
    <row r="115" spans="1:10">
      <c r="A115" s="114" t="str">
        <f t="shared" si="2"/>
        <v>1010000ELEC PLANT IN SERV3920900TRAILERSSO</v>
      </c>
      <c r="B115" s="119">
        <v>1010000</v>
      </c>
      <c r="C115" s="119" t="s">
        <v>1453</v>
      </c>
      <c r="D115" s="119">
        <v>3920900</v>
      </c>
      <c r="E115" s="121" t="s">
        <v>1525</v>
      </c>
      <c r="F115" s="119" t="s">
        <v>89</v>
      </c>
      <c r="G115" s="122"/>
      <c r="H115" s="113" t="str">
        <f t="shared" si="3"/>
        <v>SO</v>
      </c>
      <c r="I115" s="113" t="s">
        <v>92</v>
      </c>
      <c r="J115"/>
    </row>
    <row r="116" spans="1:10">
      <c r="A116" s="114" t="str">
        <f t="shared" si="2"/>
        <v>1010000ELEC PLANT IN SERV3920900TRAILERSSITUS</v>
      </c>
      <c r="B116" s="119">
        <v>1010000</v>
      </c>
      <c r="C116" s="119" t="s">
        <v>1453</v>
      </c>
      <c r="D116" s="119">
        <v>3920900</v>
      </c>
      <c r="E116" s="121" t="s">
        <v>1525</v>
      </c>
      <c r="F116" s="119" t="s">
        <v>12</v>
      </c>
      <c r="G116" s="122"/>
      <c r="H116" s="113" t="str">
        <f t="shared" si="3"/>
        <v>SITUS</v>
      </c>
      <c r="I116" s="113" t="s">
        <v>70</v>
      </c>
      <c r="J116"/>
    </row>
    <row r="117" spans="1:10">
      <c r="A117" s="114" t="str">
        <f t="shared" si="2"/>
        <v>1010000ELEC PLANT IN SERV3920900TRAILERSSITUS</v>
      </c>
      <c r="B117" s="119">
        <v>1010000</v>
      </c>
      <c r="C117" s="119" t="s">
        <v>1453</v>
      </c>
      <c r="D117" s="119">
        <v>3920900</v>
      </c>
      <c r="E117" s="121" t="s">
        <v>1525</v>
      </c>
      <c r="F117" s="119" t="s">
        <v>12</v>
      </c>
      <c r="G117" s="122"/>
      <c r="H117" s="113" t="str">
        <f t="shared" si="3"/>
        <v>SITUS</v>
      </c>
      <c r="I117" s="113" t="s">
        <v>70</v>
      </c>
      <c r="J117"/>
    </row>
    <row r="118" spans="1:10">
      <c r="A118" s="114" t="str">
        <f t="shared" si="2"/>
        <v>1010000ELEC PLANT IN SERV3920900TRAILERSSITUS</v>
      </c>
      <c r="B118" s="119">
        <v>1010000</v>
      </c>
      <c r="C118" s="119" t="s">
        <v>1453</v>
      </c>
      <c r="D118" s="119">
        <v>3920900</v>
      </c>
      <c r="E118" s="121" t="s">
        <v>1525</v>
      </c>
      <c r="F118" s="119" t="s">
        <v>12</v>
      </c>
      <c r="G118" s="122"/>
      <c r="H118" s="113" t="str">
        <f t="shared" si="3"/>
        <v>SITUS</v>
      </c>
      <c r="I118" s="113" t="s">
        <v>70</v>
      </c>
      <c r="J118"/>
    </row>
    <row r="119" spans="1:10">
      <c r="A119" s="114" t="str">
        <f t="shared" si="2"/>
        <v>1010000ELEC PLANT IN SERV3920900TRAILERSSITUS</v>
      </c>
      <c r="B119" s="119">
        <v>1010000</v>
      </c>
      <c r="C119" s="119" t="s">
        <v>1453</v>
      </c>
      <c r="D119" s="119">
        <v>3920900</v>
      </c>
      <c r="E119" s="121" t="s">
        <v>1525</v>
      </c>
      <c r="F119" s="119" t="s">
        <v>12</v>
      </c>
      <c r="G119" s="122"/>
      <c r="H119" s="113" t="str">
        <f t="shared" si="3"/>
        <v>SITUS</v>
      </c>
      <c r="I119" s="113" t="s">
        <v>70</v>
      </c>
      <c r="J119"/>
    </row>
    <row r="120" spans="1:10">
      <c r="A120" s="114" t="str">
        <f t="shared" si="2"/>
        <v>1010000ELEC PLANT IN SERV3921400"SNOWMOBILES, MOTORCYCLES (4-WHEELED ATVSITUS</v>
      </c>
      <c r="B120" s="119">
        <v>1010000</v>
      </c>
      <c r="C120" s="119" t="s">
        <v>1453</v>
      </c>
      <c r="D120" s="119">
        <v>3921400</v>
      </c>
      <c r="E120" s="121" t="s">
        <v>1526</v>
      </c>
      <c r="F120" s="119" t="s">
        <v>12</v>
      </c>
      <c r="G120" s="122"/>
      <c r="H120" s="113" t="str">
        <f t="shared" si="3"/>
        <v>SITUS</v>
      </c>
      <c r="I120" s="113" t="s">
        <v>70</v>
      </c>
      <c r="J120"/>
    </row>
    <row r="121" spans="1:10">
      <c r="A121" s="114" t="str">
        <f t="shared" si="2"/>
        <v>1010000ELEC PLANT IN SERV3921400"SNOWMOBILES, MOTORCYCLES (4-WHEELED ATVSITUS</v>
      </c>
      <c r="B121" s="119">
        <v>1010000</v>
      </c>
      <c r="C121" s="119" t="s">
        <v>1453</v>
      </c>
      <c r="D121" s="119">
        <v>3921400</v>
      </c>
      <c r="E121" s="121" t="s">
        <v>1526</v>
      </c>
      <c r="F121" s="119" t="s">
        <v>12</v>
      </c>
      <c r="G121" s="122"/>
      <c r="H121" s="113" t="str">
        <f t="shared" si="3"/>
        <v>SITUS</v>
      </c>
      <c r="I121" s="113" t="s">
        <v>70</v>
      </c>
      <c r="J121"/>
    </row>
    <row r="122" spans="1:10">
      <c r="A122" s="114" t="str">
        <f t="shared" si="2"/>
        <v>1010000ELEC PLANT IN SERV3921400"SNOWMOBILES, MOTORCYCLES (4-WHEELED ATVSE</v>
      </c>
      <c r="B122" s="119">
        <v>1010000</v>
      </c>
      <c r="C122" s="119" t="s">
        <v>1453</v>
      </c>
      <c r="D122" s="119">
        <v>3921400</v>
      </c>
      <c r="E122" s="121" t="s">
        <v>1526</v>
      </c>
      <c r="F122" s="119" t="s">
        <v>85</v>
      </c>
      <c r="G122" s="122"/>
      <c r="H122" s="113" t="str">
        <f t="shared" si="3"/>
        <v>SE</v>
      </c>
      <c r="I122" s="113" t="s">
        <v>68</v>
      </c>
      <c r="J122"/>
    </row>
    <row r="123" spans="1:10">
      <c r="A123" s="114" t="str">
        <f t="shared" si="2"/>
        <v>1010000ELEC PLANT IN SERV3921400"SNOWMOBILES, MOTORCYCLES (4-WHEELED ATVSG</v>
      </c>
      <c r="B123" s="119">
        <v>1010000</v>
      </c>
      <c r="C123" s="119" t="s">
        <v>1453</v>
      </c>
      <c r="D123" s="119">
        <v>3921400</v>
      </c>
      <c r="E123" s="121" t="s">
        <v>1526</v>
      </c>
      <c r="F123" s="119" t="s">
        <v>87</v>
      </c>
      <c r="G123" s="122"/>
      <c r="H123" s="113" t="str">
        <f t="shared" si="3"/>
        <v>SG</v>
      </c>
      <c r="I123" s="113" t="s">
        <v>68</v>
      </c>
      <c r="J123"/>
    </row>
    <row r="124" spans="1:10">
      <c r="A124" s="114" t="str">
        <f t="shared" si="2"/>
        <v>1010000ELEC PLANT IN SERV3921400"SNOWMOBILES, MOTORCYCLES (4-WHEELED ATVSITUS</v>
      </c>
      <c r="B124" s="119">
        <v>1010000</v>
      </c>
      <c r="C124" s="119" t="s">
        <v>1453</v>
      </c>
      <c r="D124" s="119">
        <v>3921400</v>
      </c>
      <c r="E124" s="121" t="s">
        <v>1526</v>
      </c>
      <c r="F124" s="119" t="s">
        <v>12</v>
      </c>
      <c r="G124" s="122"/>
      <c r="H124" s="113" t="str">
        <f t="shared" si="3"/>
        <v>SITUS</v>
      </c>
      <c r="I124" s="113" t="s">
        <v>70</v>
      </c>
      <c r="J124"/>
    </row>
    <row r="125" spans="1:10">
      <c r="A125" s="114" t="str">
        <f t="shared" si="2"/>
        <v>1010000ELEC PLANT IN SERV3921400"SNOWMOBILES, MOTORCYCLES (4-WHEELED ATVSO</v>
      </c>
      <c r="B125" s="119">
        <v>1010000</v>
      </c>
      <c r="C125" s="119" t="s">
        <v>1453</v>
      </c>
      <c r="D125" s="119">
        <v>3921400</v>
      </c>
      <c r="E125" s="121" t="s">
        <v>1526</v>
      </c>
      <c r="F125" s="119" t="s">
        <v>89</v>
      </c>
      <c r="G125" s="122"/>
      <c r="H125" s="113" t="str">
        <f t="shared" si="3"/>
        <v>SO</v>
      </c>
      <c r="I125" s="113" t="s">
        <v>92</v>
      </c>
      <c r="J125"/>
    </row>
    <row r="126" spans="1:10">
      <c r="A126" s="114" t="str">
        <f t="shared" si="2"/>
        <v>1010000ELEC PLANT IN SERV3921400"SNOWMOBILES, MOTORCYCLES (4-WHEELED ATVSITUS</v>
      </c>
      <c r="B126" s="119">
        <v>1010000</v>
      </c>
      <c r="C126" s="119" t="s">
        <v>1453</v>
      </c>
      <c r="D126" s="119">
        <v>3921400</v>
      </c>
      <c r="E126" s="121" t="s">
        <v>1526</v>
      </c>
      <c r="F126" s="119" t="s">
        <v>12</v>
      </c>
      <c r="G126" s="122"/>
      <c r="H126" s="113" t="str">
        <f t="shared" si="3"/>
        <v>SITUS</v>
      </c>
      <c r="I126" s="113" t="s">
        <v>70</v>
      </c>
      <c r="J126"/>
    </row>
    <row r="127" spans="1:10">
      <c r="A127" s="114" t="str">
        <f t="shared" si="2"/>
        <v>1010000ELEC PLANT IN SERV3921400"SNOWMOBILES, MOTORCYCLES (4-WHEELED ATVSITUS</v>
      </c>
      <c r="B127" s="119">
        <v>1010000</v>
      </c>
      <c r="C127" s="119" t="s">
        <v>1453</v>
      </c>
      <c r="D127" s="119">
        <v>3921400</v>
      </c>
      <c r="E127" s="121" t="s">
        <v>1526</v>
      </c>
      <c r="F127" s="119" t="s">
        <v>12</v>
      </c>
      <c r="G127" s="122"/>
      <c r="H127" s="113" t="str">
        <f t="shared" si="3"/>
        <v>SITUS</v>
      </c>
      <c r="I127" s="113" t="s">
        <v>70</v>
      </c>
      <c r="J127"/>
    </row>
    <row r="128" spans="1:10">
      <c r="A128" s="114" t="str">
        <f t="shared" si="2"/>
        <v>1010000ELEC PLANT IN SERV3921400"SNOWMOBILES, MOTORCYCLES (4-WHEELED ATVSITUS</v>
      </c>
      <c r="B128" s="119">
        <v>1010000</v>
      </c>
      <c r="C128" s="119" t="s">
        <v>1453</v>
      </c>
      <c r="D128" s="119">
        <v>3921400</v>
      </c>
      <c r="E128" s="121" t="s">
        <v>1526</v>
      </c>
      <c r="F128" s="119" t="s">
        <v>12</v>
      </c>
      <c r="G128" s="122"/>
      <c r="H128" s="113" t="str">
        <f t="shared" si="3"/>
        <v>SITUS</v>
      </c>
      <c r="I128" s="113" t="s">
        <v>70</v>
      </c>
      <c r="J128"/>
    </row>
    <row r="129" spans="1:10">
      <c r="A129" s="114" t="str">
        <f t="shared" si="2"/>
        <v>1010000ELEC PLANT IN SERV3921400"SNOWMOBILES, MOTORCYCLES (4-WHEELED ATVSITUS</v>
      </c>
      <c r="B129" s="119">
        <v>1010000</v>
      </c>
      <c r="C129" s="119" t="s">
        <v>1453</v>
      </c>
      <c r="D129" s="119">
        <v>3921400</v>
      </c>
      <c r="E129" s="121" t="s">
        <v>1526</v>
      </c>
      <c r="F129" s="119" t="s">
        <v>12</v>
      </c>
      <c r="G129" s="122"/>
      <c r="H129" s="113" t="str">
        <f t="shared" si="3"/>
        <v>SITUS</v>
      </c>
      <c r="I129" s="113" t="s">
        <v>70</v>
      </c>
      <c r="J129"/>
    </row>
    <row r="130" spans="1:10">
      <c r="A130" s="114" t="str">
        <f t="shared" si="2"/>
        <v>1010000ELEC PLANT IN SERV3921900OVER-THE-ROAD SEMI-TRACTORSSITUS</v>
      </c>
      <c r="B130" s="119">
        <v>1010000</v>
      </c>
      <c r="C130" s="119" t="s">
        <v>1453</v>
      </c>
      <c r="D130" s="119">
        <v>3921900</v>
      </c>
      <c r="E130" s="121" t="s">
        <v>1527</v>
      </c>
      <c r="F130" s="119" t="s">
        <v>12</v>
      </c>
      <c r="G130" s="122"/>
      <c r="H130" s="113" t="str">
        <f t="shared" si="3"/>
        <v>SITUS</v>
      </c>
      <c r="I130" s="113" t="s">
        <v>70</v>
      </c>
      <c r="J130"/>
    </row>
    <row r="131" spans="1:10">
      <c r="A131" s="114" t="str">
        <f t="shared" ref="A131:A194" si="4">CONCATENATE($B131,$C131,$D131,$E131,$H131)</f>
        <v>1010000ELEC PLANT IN SERV3921900OVER-THE-ROAD SEMI-TRACTORSSG</v>
      </c>
      <c r="B131" s="119">
        <v>1010000</v>
      </c>
      <c r="C131" s="119" t="s">
        <v>1453</v>
      </c>
      <c r="D131" s="119">
        <v>3921900</v>
      </c>
      <c r="E131" s="121" t="s">
        <v>1527</v>
      </c>
      <c r="F131" s="119" t="s">
        <v>87</v>
      </c>
      <c r="G131" s="122"/>
      <c r="H131" s="113" t="str">
        <f t="shared" ref="H131:H194" si="5">IF(OR(F131="IDU",F131="OR",F131="UT",F131="WYU",F131="WYP",F131="CA",F131="WA"),"SITUS",F131)</f>
        <v>SG</v>
      </c>
      <c r="I131" s="113" t="s">
        <v>68</v>
      </c>
      <c r="J131"/>
    </row>
    <row r="132" spans="1:10">
      <c r="A132" s="114" t="str">
        <f t="shared" si="4"/>
        <v>1010000ELEC PLANT IN SERV3921900OVER-THE-ROAD SEMI-TRACTORSSO</v>
      </c>
      <c r="B132" s="119">
        <v>1010000</v>
      </c>
      <c r="C132" s="119" t="s">
        <v>1453</v>
      </c>
      <c r="D132" s="119">
        <v>3921900</v>
      </c>
      <c r="E132" s="121" t="s">
        <v>1527</v>
      </c>
      <c r="F132" s="119" t="s">
        <v>89</v>
      </c>
      <c r="G132" s="122"/>
      <c r="H132" s="113" t="str">
        <f t="shared" si="5"/>
        <v>SO</v>
      </c>
      <c r="I132" s="113" t="s">
        <v>92</v>
      </c>
      <c r="J132"/>
    </row>
    <row r="133" spans="1:10">
      <c r="A133" s="114" t="str">
        <f t="shared" si="4"/>
        <v>1010000ELEC PLANT IN SERV3921900OVER-THE-ROAD SEMI-TRACTORSSITUS</v>
      </c>
      <c r="B133" s="119">
        <v>1010000</v>
      </c>
      <c r="C133" s="119" t="s">
        <v>1453</v>
      </c>
      <c r="D133" s="119">
        <v>3921900</v>
      </c>
      <c r="E133" s="121" t="s">
        <v>1527</v>
      </c>
      <c r="F133" s="119" t="s">
        <v>12</v>
      </c>
      <c r="G133" s="122"/>
      <c r="H133" s="113" t="str">
        <f t="shared" si="5"/>
        <v>SITUS</v>
      </c>
      <c r="I133" s="113" t="s">
        <v>70</v>
      </c>
      <c r="J133"/>
    </row>
    <row r="134" spans="1:10">
      <c r="A134" s="114" t="str">
        <f t="shared" si="4"/>
        <v>1010000ELEC PLANT IN SERV3921900OVER-THE-ROAD SEMI-TRACTORSSITUS</v>
      </c>
      <c r="B134" s="119">
        <v>1010000</v>
      </c>
      <c r="C134" s="119" t="s">
        <v>1453</v>
      </c>
      <c r="D134" s="119">
        <v>3921900</v>
      </c>
      <c r="E134" s="121" t="s">
        <v>1527</v>
      </c>
      <c r="F134" s="119" t="s">
        <v>12</v>
      </c>
      <c r="G134" s="122"/>
      <c r="H134" s="113" t="str">
        <f t="shared" si="5"/>
        <v>SITUS</v>
      </c>
      <c r="I134" s="113" t="s">
        <v>70</v>
      </c>
      <c r="J134"/>
    </row>
    <row r="135" spans="1:10">
      <c r="A135" s="114" t="str">
        <f t="shared" si="4"/>
        <v>1010000ELEC PLANT IN SERV3921900OVER-THE-ROAD SEMI-TRACTORSSITUS</v>
      </c>
      <c r="B135" s="119">
        <v>1010000</v>
      </c>
      <c r="C135" s="119" t="s">
        <v>1453</v>
      </c>
      <c r="D135" s="119">
        <v>3921900</v>
      </c>
      <c r="E135" s="121" t="s">
        <v>1527</v>
      </c>
      <c r="F135" s="119" t="s">
        <v>12</v>
      </c>
      <c r="G135" s="122"/>
      <c r="H135" s="113" t="str">
        <f t="shared" si="5"/>
        <v>SITUS</v>
      </c>
      <c r="I135" s="113" t="s">
        <v>70</v>
      </c>
      <c r="J135"/>
    </row>
    <row r="136" spans="1:10">
      <c r="A136" s="114" t="str">
        <f t="shared" si="4"/>
        <v>1010000ELEC PLANT IN SERV3923000TRANSPORTATION EQUIPMENTSO</v>
      </c>
      <c r="B136" s="119">
        <v>1010000</v>
      </c>
      <c r="C136" s="119" t="s">
        <v>1453</v>
      </c>
      <c r="D136" s="119">
        <v>3923000</v>
      </c>
      <c r="E136" s="121" t="s">
        <v>1528</v>
      </c>
      <c r="F136" s="119" t="s">
        <v>89</v>
      </c>
      <c r="G136" s="122"/>
      <c r="H136" s="113" t="str">
        <f t="shared" si="5"/>
        <v>SO</v>
      </c>
      <c r="I136" s="113" t="s">
        <v>92</v>
      </c>
      <c r="J136"/>
    </row>
    <row r="137" spans="1:10">
      <c r="A137" s="114" t="str">
        <f t="shared" si="4"/>
        <v>1010000ELEC PLANT IN SERV3930000STORES EQUIPMENTSITUS</v>
      </c>
      <c r="B137" s="119">
        <v>1010000</v>
      </c>
      <c r="C137" s="119" t="s">
        <v>1453</v>
      </c>
      <c r="D137" s="119">
        <v>3930000</v>
      </c>
      <c r="E137" s="121" t="s">
        <v>1529</v>
      </c>
      <c r="F137" s="119" t="s">
        <v>12</v>
      </c>
      <c r="G137" s="122"/>
      <c r="H137" s="113" t="str">
        <f t="shared" si="5"/>
        <v>SITUS</v>
      </c>
      <c r="I137" s="113" t="s">
        <v>96</v>
      </c>
      <c r="J137"/>
    </row>
    <row r="138" spans="1:10">
      <c r="A138" s="114" t="str">
        <f t="shared" si="4"/>
        <v>1010000ELEC PLANT IN SERV3930000STORES EQUIPMENTSITUS</v>
      </c>
      <c r="B138" s="119">
        <v>1010000</v>
      </c>
      <c r="C138" s="119" t="s">
        <v>1453</v>
      </c>
      <c r="D138" s="119">
        <v>3930000</v>
      </c>
      <c r="E138" s="121" t="s">
        <v>1529</v>
      </c>
      <c r="F138" s="119" t="s">
        <v>12</v>
      </c>
      <c r="G138" s="122"/>
      <c r="H138" s="113" t="str">
        <f t="shared" si="5"/>
        <v>SITUS</v>
      </c>
      <c r="I138" s="113" t="s">
        <v>96</v>
      </c>
      <c r="J138"/>
    </row>
    <row r="139" spans="1:10">
      <c r="A139" s="114" t="str">
        <f t="shared" si="4"/>
        <v>1010000ELEC PLANT IN SERV3930000STORES EQUIPMENTSG</v>
      </c>
      <c r="B139" s="119">
        <v>1010000</v>
      </c>
      <c r="C139" s="119" t="s">
        <v>1453</v>
      </c>
      <c r="D139" s="119">
        <v>3930000</v>
      </c>
      <c r="E139" s="121" t="s">
        <v>1529</v>
      </c>
      <c r="F139" s="119" t="s">
        <v>87</v>
      </c>
      <c r="G139" s="122"/>
      <c r="H139" s="113" t="str">
        <f t="shared" si="5"/>
        <v>SG</v>
      </c>
      <c r="I139" s="113" t="s">
        <v>68</v>
      </c>
      <c r="J139"/>
    </row>
    <row r="140" spans="1:10">
      <c r="A140" s="114" t="str">
        <f t="shared" si="4"/>
        <v>1010000ELEC PLANT IN SERV3930000STORES EQUIPMENTSITUS</v>
      </c>
      <c r="B140" s="119">
        <v>1010000</v>
      </c>
      <c r="C140" s="119" t="s">
        <v>1453</v>
      </c>
      <c r="D140" s="119">
        <v>3930000</v>
      </c>
      <c r="E140" s="121" t="s">
        <v>1529</v>
      </c>
      <c r="F140" s="119" t="s">
        <v>12</v>
      </c>
      <c r="G140" s="122"/>
      <c r="H140" s="113" t="str">
        <f t="shared" si="5"/>
        <v>SITUS</v>
      </c>
      <c r="I140" s="113" t="s">
        <v>96</v>
      </c>
      <c r="J140"/>
    </row>
    <row r="141" spans="1:10">
      <c r="A141" s="114" t="str">
        <f t="shared" si="4"/>
        <v>1010000ELEC PLANT IN SERV3930000STORES EQUIPMENTSO</v>
      </c>
      <c r="B141" s="119">
        <v>1010000</v>
      </c>
      <c r="C141" s="119" t="s">
        <v>1453</v>
      </c>
      <c r="D141" s="119">
        <v>3930000</v>
      </c>
      <c r="E141" s="121" t="s">
        <v>1529</v>
      </c>
      <c r="F141" s="119" t="s">
        <v>89</v>
      </c>
      <c r="G141" s="122"/>
      <c r="H141" s="113" t="str">
        <f t="shared" si="5"/>
        <v>SO</v>
      </c>
      <c r="I141" s="113" t="s">
        <v>92</v>
      </c>
      <c r="J141"/>
    </row>
    <row r="142" spans="1:10">
      <c r="A142" s="114" t="str">
        <f t="shared" si="4"/>
        <v>1010000ELEC PLANT IN SERV3930000STORES EQUIPMENTSITUS</v>
      </c>
      <c r="B142" s="119">
        <v>1010000</v>
      </c>
      <c r="C142" s="119" t="s">
        <v>1453</v>
      </c>
      <c r="D142" s="119">
        <v>3930000</v>
      </c>
      <c r="E142" s="121" t="s">
        <v>1529</v>
      </c>
      <c r="F142" s="119" t="s">
        <v>12</v>
      </c>
      <c r="G142" s="122"/>
      <c r="H142" s="113" t="str">
        <f t="shared" si="5"/>
        <v>SITUS</v>
      </c>
      <c r="I142" s="113" t="s">
        <v>96</v>
      </c>
      <c r="J142"/>
    </row>
    <row r="143" spans="1:10">
      <c r="A143" s="114" t="str">
        <f t="shared" si="4"/>
        <v>1010000ELEC PLANT IN SERV3930000STORES EQUIPMENTSITUS</v>
      </c>
      <c r="B143" s="119">
        <v>1010000</v>
      </c>
      <c r="C143" s="119" t="s">
        <v>1453</v>
      </c>
      <c r="D143" s="119">
        <v>3930000</v>
      </c>
      <c r="E143" s="121" t="s">
        <v>1529</v>
      </c>
      <c r="F143" s="119" t="s">
        <v>12</v>
      </c>
      <c r="G143" s="122"/>
      <c r="H143" s="113" t="str">
        <f t="shared" si="5"/>
        <v>SITUS</v>
      </c>
      <c r="I143" s="113" t="s">
        <v>96</v>
      </c>
      <c r="J143"/>
    </row>
    <row r="144" spans="1:10">
      <c r="A144" s="114" t="str">
        <f t="shared" si="4"/>
        <v>1010000ELEC PLANT IN SERV3930000STORES EQUIPMENTSITUS</v>
      </c>
      <c r="B144" s="119">
        <v>1010000</v>
      </c>
      <c r="C144" s="119" t="s">
        <v>1453</v>
      </c>
      <c r="D144" s="119">
        <v>3930000</v>
      </c>
      <c r="E144" s="121" t="s">
        <v>1529</v>
      </c>
      <c r="F144" s="119" t="s">
        <v>12</v>
      </c>
      <c r="G144" s="122"/>
      <c r="H144" s="113" t="str">
        <f t="shared" si="5"/>
        <v>SITUS</v>
      </c>
      <c r="I144" s="113" t="s">
        <v>96</v>
      </c>
      <c r="J144"/>
    </row>
    <row r="145" spans="1:10">
      <c r="A145" s="114" t="str">
        <f t="shared" si="4"/>
        <v>1010000ELEC PLANT IN SERV3930000STORES EQUIPMENTSITUS</v>
      </c>
      <c r="B145" s="119">
        <v>1010000</v>
      </c>
      <c r="C145" s="119" t="s">
        <v>1453</v>
      </c>
      <c r="D145" s="119">
        <v>3930000</v>
      </c>
      <c r="E145" s="121" t="s">
        <v>1529</v>
      </c>
      <c r="F145" s="119" t="s">
        <v>12</v>
      </c>
      <c r="G145" s="122"/>
      <c r="H145" s="113" t="str">
        <f t="shared" si="5"/>
        <v>SITUS</v>
      </c>
      <c r="I145" s="113" t="s">
        <v>96</v>
      </c>
      <c r="J145"/>
    </row>
    <row r="146" spans="1:10">
      <c r="A146" s="114" t="str">
        <f t="shared" si="4"/>
        <v>1010000ELEC PLANT IN SERV3940000"TLS, SHOP, GAR EQUIPMENT"SITUS</v>
      </c>
      <c r="B146" s="119">
        <v>1010000</v>
      </c>
      <c r="C146" s="119" t="s">
        <v>1453</v>
      </c>
      <c r="D146" s="119">
        <v>3940000</v>
      </c>
      <c r="E146" s="121" t="s">
        <v>1530</v>
      </c>
      <c r="F146" s="119" t="s">
        <v>12</v>
      </c>
      <c r="G146" s="122"/>
      <c r="H146" s="113" t="str">
        <f t="shared" si="5"/>
        <v>SITUS</v>
      </c>
      <c r="I146" s="113" t="s">
        <v>96</v>
      </c>
      <c r="J146"/>
    </row>
    <row r="147" spans="1:10">
      <c r="A147" s="114" t="str">
        <f t="shared" si="4"/>
        <v>1010000ELEC PLANT IN SERV3940000"TLS, SHOP, GAR EQUIPMENT"SITUS</v>
      </c>
      <c r="B147" s="119">
        <v>1010000</v>
      </c>
      <c r="C147" s="119" t="s">
        <v>1453</v>
      </c>
      <c r="D147" s="119">
        <v>3940000</v>
      </c>
      <c r="E147" s="121" t="s">
        <v>1530</v>
      </c>
      <c r="F147" s="119" t="s">
        <v>12</v>
      </c>
      <c r="G147" s="122"/>
      <c r="H147" s="113" t="str">
        <f t="shared" si="5"/>
        <v>SITUS</v>
      </c>
      <c r="I147" s="113" t="s">
        <v>96</v>
      </c>
      <c r="J147"/>
    </row>
    <row r="148" spans="1:10">
      <c r="A148" s="114" t="str">
        <f t="shared" si="4"/>
        <v>1010000ELEC PLANT IN SERV3940000"TLS, SHOP, GAR EQUIPMENT"SE</v>
      </c>
      <c r="B148" s="119">
        <v>1010000</v>
      </c>
      <c r="C148" s="119" t="s">
        <v>1453</v>
      </c>
      <c r="D148" s="119">
        <v>3940000</v>
      </c>
      <c r="E148" s="121" t="s">
        <v>1530</v>
      </c>
      <c r="F148" s="119" t="s">
        <v>85</v>
      </c>
      <c r="G148" s="122"/>
      <c r="H148" s="113" t="str">
        <f t="shared" si="5"/>
        <v>SE</v>
      </c>
      <c r="I148" s="113" t="s">
        <v>68</v>
      </c>
      <c r="J148"/>
    </row>
    <row r="149" spans="1:10">
      <c r="A149" s="114" t="str">
        <f t="shared" si="4"/>
        <v>1010000ELEC PLANT IN SERV3940000"TLS, SHOP, GAR EQUIPMENT"SG</v>
      </c>
      <c r="B149" s="119">
        <v>1010000</v>
      </c>
      <c r="C149" s="119" t="s">
        <v>1453</v>
      </c>
      <c r="D149" s="119">
        <v>3940000</v>
      </c>
      <c r="E149" s="121" t="s">
        <v>1530</v>
      </c>
      <c r="F149" s="119" t="s">
        <v>87</v>
      </c>
      <c r="G149" s="122"/>
      <c r="H149" s="113" t="str">
        <f t="shared" si="5"/>
        <v>SG</v>
      </c>
      <c r="I149" s="113" t="s">
        <v>68</v>
      </c>
      <c r="J149"/>
    </row>
    <row r="150" spans="1:10">
      <c r="A150" s="114" t="str">
        <f t="shared" si="4"/>
        <v>1010000ELEC PLANT IN SERV3940000"TLS, SHOP, GAR EQUIPMENT"SITUS</v>
      </c>
      <c r="B150" s="119">
        <v>1010000</v>
      </c>
      <c r="C150" s="119" t="s">
        <v>1453</v>
      </c>
      <c r="D150" s="119">
        <v>3940000</v>
      </c>
      <c r="E150" s="121" t="s">
        <v>1530</v>
      </c>
      <c r="F150" s="119" t="s">
        <v>12</v>
      </c>
      <c r="G150" s="122"/>
      <c r="H150" s="113" t="str">
        <f t="shared" si="5"/>
        <v>SITUS</v>
      </c>
      <c r="I150" s="113" t="s">
        <v>96</v>
      </c>
      <c r="J150"/>
    </row>
    <row r="151" spans="1:10">
      <c r="A151" s="114" t="str">
        <f t="shared" si="4"/>
        <v>1010000ELEC PLANT IN SERV3940000"TLS, SHOP, GAR EQUIPMENT"SO</v>
      </c>
      <c r="B151" s="119">
        <v>1010000</v>
      </c>
      <c r="C151" s="119" t="s">
        <v>1453</v>
      </c>
      <c r="D151" s="119">
        <v>3940000</v>
      </c>
      <c r="E151" s="121" t="s">
        <v>1530</v>
      </c>
      <c r="F151" s="119" t="s">
        <v>89</v>
      </c>
      <c r="G151" s="122"/>
      <c r="H151" s="113" t="str">
        <f t="shared" si="5"/>
        <v>SO</v>
      </c>
      <c r="I151" s="113" t="s">
        <v>92</v>
      </c>
      <c r="J151"/>
    </row>
    <row r="152" spans="1:10">
      <c r="A152" s="114" t="str">
        <f t="shared" si="4"/>
        <v>1010000ELEC PLANT IN SERV3940000"TLS, SHOP, GAR EQUIPMENT"SITUS</v>
      </c>
      <c r="B152" s="119">
        <v>1010000</v>
      </c>
      <c r="C152" s="119" t="s">
        <v>1453</v>
      </c>
      <c r="D152" s="119">
        <v>3940000</v>
      </c>
      <c r="E152" s="121" t="s">
        <v>1530</v>
      </c>
      <c r="F152" s="119" t="s">
        <v>12</v>
      </c>
      <c r="G152" s="122"/>
      <c r="H152" s="113" t="str">
        <f t="shared" si="5"/>
        <v>SITUS</v>
      </c>
      <c r="I152" s="113" t="s">
        <v>96</v>
      </c>
      <c r="J152"/>
    </row>
    <row r="153" spans="1:10">
      <c r="A153" s="114" t="str">
        <f t="shared" si="4"/>
        <v>1010000ELEC PLANT IN SERV3940000"TLS, SHOP, GAR EQUIPMENT"SITUS</v>
      </c>
      <c r="B153" s="119">
        <v>1010000</v>
      </c>
      <c r="C153" s="119" t="s">
        <v>1453</v>
      </c>
      <c r="D153" s="119">
        <v>3940000</v>
      </c>
      <c r="E153" s="121" t="s">
        <v>1530</v>
      </c>
      <c r="F153" s="119" t="s">
        <v>12</v>
      </c>
      <c r="G153" s="122"/>
      <c r="H153" s="113" t="str">
        <f t="shared" si="5"/>
        <v>SITUS</v>
      </c>
      <c r="I153" s="113" t="s">
        <v>96</v>
      </c>
      <c r="J153"/>
    </row>
    <row r="154" spans="1:10">
      <c r="A154" s="114" t="str">
        <f t="shared" si="4"/>
        <v>1010000ELEC PLANT IN SERV3940000"TLS, SHOP, GAR EQUIPMENT"SITUS</v>
      </c>
      <c r="B154" s="119">
        <v>1010000</v>
      </c>
      <c r="C154" s="119" t="s">
        <v>1453</v>
      </c>
      <c r="D154" s="119">
        <v>3940000</v>
      </c>
      <c r="E154" s="121" t="s">
        <v>1530</v>
      </c>
      <c r="F154" s="119" t="s">
        <v>12</v>
      </c>
      <c r="G154" s="122"/>
      <c r="H154" s="113" t="str">
        <f t="shared" si="5"/>
        <v>SITUS</v>
      </c>
      <c r="I154" s="113" t="s">
        <v>96</v>
      </c>
      <c r="J154"/>
    </row>
    <row r="155" spans="1:10">
      <c r="A155" s="114" t="str">
        <f t="shared" si="4"/>
        <v>1010000ELEC PLANT IN SERV3940000"TLS, SHOP, GAR EQUIPMENT"SITUS</v>
      </c>
      <c r="B155" s="119">
        <v>1010000</v>
      </c>
      <c r="C155" s="119" t="s">
        <v>1453</v>
      </c>
      <c r="D155" s="119">
        <v>3940000</v>
      </c>
      <c r="E155" s="121" t="s">
        <v>1530</v>
      </c>
      <c r="F155" s="119" t="s">
        <v>12</v>
      </c>
      <c r="G155" s="122"/>
      <c r="H155" s="113" t="str">
        <f t="shared" si="5"/>
        <v>SITUS</v>
      </c>
      <c r="I155" s="113" t="s">
        <v>96</v>
      </c>
      <c r="J155"/>
    </row>
    <row r="156" spans="1:10">
      <c r="A156" s="114" t="str">
        <f t="shared" si="4"/>
        <v>1010000ELEC PLANT IN SERV3950000LABORATORY EQUIPMENTSITUS</v>
      </c>
      <c r="B156" s="119">
        <v>1010000</v>
      </c>
      <c r="C156" s="119" t="s">
        <v>1453</v>
      </c>
      <c r="D156" s="119">
        <v>3950000</v>
      </c>
      <c r="E156" s="121" t="s">
        <v>1531</v>
      </c>
      <c r="F156" s="119" t="s">
        <v>12</v>
      </c>
      <c r="G156" s="122"/>
      <c r="H156" s="113" t="str">
        <f t="shared" si="5"/>
        <v>SITUS</v>
      </c>
      <c r="I156" s="113" t="s">
        <v>96</v>
      </c>
      <c r="J156"/>
    </row>
    <row r="157" spans="1:10">
      <c r="A157" s="114" t="str">
        <f t="shared" si="4"/>
        <v>1010000ELEC PLANT IN SERV3950000LABORATORY EQUIPMENTSITUS</v>
      </c>
      <c r="B157" s="119">
        <v>1010000</v>
      </c>
      <c r="C157" s="119" t="s">
        <v>1453</v>
      </c>
      <c r="D157" s="119">
        <v>3950000</v>
      </c>
      <c r="E157" s="121" t="s">
        <v>1531</v>
      </c>
      <c r="F157" s="119" t="s">
        <v>12</v>
      </c>
      <c r="G157" s="122"/>
      <c r="H157" s="113" t="str">
        <f t="shared" si="5"/>
        <v>SITUS</v>
      </c>
      <c r="I157" s="113" t="s">
        <v>96</v>
      </c>
      <c r="J157"/>
    </row>
    <row r="158" spans="1:10">
      <c r="A158" s="114" t="str">
        <f t="shared" si="4"/>
        <v>1010000ELEC PLANT IN SERV3950000LABORATORY EQUIPMENTSE</v>
      </c>
      <c r="B158" s="119">
        <v>1010000</v>
      </c>
      <c r="C158" s="119" t="s">
        <v>1453</v>
      </c>
      <c r="D158" s="119">
        <v>3950000</v>
      </c>
      <c r="E158" s="121" t="s">
        <v>1531</v>
      </c>
      <c r="F158" s="119" t="s">
        <v>85</v>
      </c>
      <c r="G158" s="122"/>
      <c r="H158" s="113" t="str">
        <f t="shared" si="5"/>
        <v>SE</v>
      </c>
      <c r="I158" s="113" t="s">
        <v>68</v>
      </c>
      <c r="J158"/>
    </row>
    <row r="159" spans="1:10">
      <c r="A159" s="114" t="str">
        <f t="shared" si="4"/>
        <v>1010000ELEC PLANT IN SERV3950000LABORATORY EQUIPMENTSG</v>
      </c>
      <c r="B159" s="119">
        <v>1010000</v>
      </c>
      <c r="C159" s="119" t="s">
        <v>1453</v>
      </c>
      <c r="D159" s="119">
        <v>3950000</v>
      </c>
      <c r="E159" s="121" t="s">
        <v>1531</v>
      </c>
      <c r="F159" s="119" t="s">
        <v>87</v>
      </c>
      <c r="G159" s="122"/>
      <c r="H159" s="113" t="str">
        <f t="shared" si="5"/>
        <v>SG</v>
      </c>
      <c r="I159" s="113" t="s">
        <v>68</v>
      </c>
      <c r="J159"/>
    </row>
    <row r="160" spans="1:10">
      <c r="A160" s="114" t="str">
        <f t="shared" si="4"/>
        <v>1010000ELEC PLANT IN SERV3950000LABORATORY EQUIPMENTSITUS</v>
      </c>
      <c r="B160" s="119">
        <v>1010000</v>
      </c>
      <c r="C160" s="119" t="s">
        <v>1453</v>
      </c>
      <c r="D160" s="119">
        <v>3950000</v>
      </c>
      <c r="E160" s="121" t="s">
        <v>1531</v>
      </c>
      <c r="F160" s="119" t="s">
        <v>12</v>
      </c>
      <c r="G160" s="122"/>
      <c r="H160" s="113" t="str">
        <f t="shared" si="5"/>
        <v>SITUS</v>
      </c>
      <c r="I160" s="113" t="s">
        <v>96</v>
      </c>
      <c r="J160"/>
    </row>
    <row r="161" spans="1:10">
      <c r="A161" s="114" t="str">
        <f t="shared" si="4"/>
        <v>1010000ELEC PLANT IN SERV3950000LABORATORY EQUIPMENTSO</v>
      </c>
      <c r="B161" s="119">
        <v>1010000</v>
      </c>
      <c r="C161" s="119" t="s">
        <v>1453</v>
      </c>
      <c r="D161" s="119">
        <v>3950000</v>
      </c>
      <c r="E161" s="121" t="s">
        <v>1531</v>
      </c>
      <c r="F161" s="119" t="s">
        <v>89</v>
      </c>
      <c r="G161" s="122"/>
      <c r="H161" s="113" t="str">
        <f t="shared" si="5"/>
        <v>SO</v>
      </c>
      <c r="I161" s="113" t="s">
        <v>92</v>
      </c>
      <c r="J161"/>
    </row>
    <row r="162" spans="1:10">
      <c r="A162" s="114" t="str">
        <f t="shared" si="4"/>
        <v>1010000ELEC PLANT IN SERV3950000LABORATORY EQUIPMENTSITUS</v>
      </c>
      <c r="B162" s="119">
        <v>1010000</v>
      </c>
      <c r="C162" s="119" t="s">
        <v>1453</v>
      </c>
      <c r="D162" s="119">
        <v>3950000</v>
      </c>
      <c r="E162" s="121" t="s">
        <v>1531</v>
      </c>
      <c r="F162" s="119" t="s">
        <v>12</v>
      </c>
      <c r="G162" s="122"/>
      <c r="H162" s="113" t="str">
        <f t="shared" si="5"/>
        <v>SITUS</v>
      </c>
      <c r="I162" s="113" t="s">
        <v>96</v>
      </c>
      <c r="J162"/>
    </row>
    <row r="163" spans="1:10">
      <c r="A163" s="114" t="str">
        <f t="shared" si="4"/>
        <v>1010000ELEC PLANT IN SERV3950000LABORATORY EQUIPMENTSITUS</v>
      </c>
      <c r="B163" s="119">
        <v>1010000</v>
      </c>
      <c r="C163" s="119" t="s">
        <v>1453</v>
      </c>
      <c r="D163" s="119">
        <v>3950000</v>
      </c>
      <c r="E163" s="121" t="s">
        <v>1531</v>
      </c>
      <c r="F163" s="119" t="s">
        <v>12</v>
      </c>
      <c r="G163" s="122"/>
      <c r="H163" s="113" t="str">
        <f t="shared" si="5"/>
        <v>SITUS</v>
      </c>
      <c r="I163" s="113" t="s">
        <v>96</v>
      </c>
      <c r="J163"/>
    </row>
    <row r="164" spans="1:10">
      <c r="A164" s="114" t="str">
        <f t="shared" si="4"/>
        <v>1010000ELEC PLANT IN SERV3950000LABORATORY EQUIPMENTSITUS</v>
      </c>
      <c r="B164" s="119">
        <v>1010000</v>
      </c>
      <c r="C164" s="119" t="s">
        <v>1453</v>
      </c>
      <c r="D164" s="119">
        <v>3950000</v>
      </c>
      <c r="E164" s="121" t="s">
        <v>1531</v>
      </c>
      <c r="F164" s="119" t="s">
        <v>12</v>
      </c>
      <c r="G164" s="122"/>
      <c r="H164" s="113" t="str">
        <f t="shared" si="5"/>
        <v>SITUS</v>
      </c>
      <c r="I164" s="113" t="s">
        <v>96</v>
      </c>
      <c r="J164"/>
    </row>
    <row r="165" spans="1:10">
      <c r="A165" s="114" t="str">
        <f t="shared" si="4"/>
        <v>1010000ELEC PLANT IN SERV3950000LABORATORY EQUIPMENTSITUS</v>
      </c>
      <c r="B165" s="119">
        <v>1010000</v>
      </c>
      <c r="C165" s="119" t="s">
        <v>1453</v>
      </c>
      <c r="D165" s="119">
        <v>3950000</v>
      </c>
      <c r="E165" s="121" t="s">
        <v>1531</v>
      </c>
      <c r="F165" s="119" t="s">
        <v>12</v>
      </c>
      <c r="G165" s="122"/>
      <c r="H165" s="113" t="str">
        <f t="shared" si="5"/>
        <v>SITUS</v>
      </c>
      <c r="I165" s="113" t="s">
        <v>96</v>
      </c>
      <c r="J165"/>
    </row>
    <row r="166" spans="1:10">
      <c r="A166" s="114" t="str">
        <f t="shared" si="4"/>
        <v>1010000ELEC PLANT IN SERV3960300"AERIAL LIFT PB TRUCKS, 10000#-16000# GVSITUS</v>
      </c>
      <c r="B166" s="119">
        <v>1010000</v>
      </c>
      <c r="C166" s="119" t="s">
        <v>1453</v>
      </c>
      <c r="D166" s="119">
        <v>3960300</v>
      </c>
      <c r="E166" s="121" t="s">
        <v>1532</v>
      </c>
      <c r="F166" s="119" t="s">
        <v>12</v>
      </c>
      <c r="G166" s="122"/>
      <c r="H166" s="113" t="str">
        <f t="shared" si="5"/>
        <v>SITUS</v>
      </c>
      <c r="I166" s="113" t="s">
        <v>70</v>
      </c>
      <c r="J166"/>
    </row>
    <row r="167" spans="1:10">
      <c r="A167" s="114" t="str">
        <f t="shared" si="4"/>
        <v>1010000ELEC PLANT IN SERV3960300"AERIAL LIFT PB TRUCKS, 10000#-16000# GVSITUS</v>
      </c>
      <c r="B167" s="119">
        <v>1010000</v>
      </c>
      <c r="C167" s="119" t="s">
        <v>1453</v>
      </c>
      <c r="D167" s="119">
        <v>3960300</v>
      </c>
      <c r="E167" s="121" t="s">
        <v>1532</v>
      </c>
      <c r="F167" s="119" t="s">
        <v>12</v>
      </c>
      <c r="G167" s="122"/>
      <c r="H167" s="113" t="str">
        <f t="shared" si="5"/>
        <v>SITUS</v>
      </c>
      <c r="I167" s="113" t="s">
        <v>70</v>
      </c>
      <c r="J167"/>
    </row>
    <row r="168" spans="1:10">
      <c r="A168" s="114" t="str">
        <f t="shared" si="4"/>
        <v>1010000ELEC PLANT IN SERV3960300"AERIAL LIFT PB TRUCKS, 10000#-16000# GVSG</v>
      </c>
      <c r="B168" s="119">
        <v>1010000</v>
      </c>
      <c r="C168" s="119" t="s">
        <v>1453</v>
      </c>
      <c r="D168" s="119">
        <v>3960300</v>
      </c>
      <c r="E168" s="121" t="s">
        <v>1532</v>
      </c>
      <c r="F168" s="119" t="s">
        <v>87</v>
      </c>
      <c r="G168" s="122"/>
      <c r="H168" s="113" t="str">
        <f t="shared" si="5"/>
        <v>SG</v>
      </c>
      <c r="I168" s="113" t="s">
        <v>68</v>
      </c>
      <c r="J168"/>
    </row>
    <row r="169" spans="1:10">
      <c r="A169" s="114" t="str">
        <f t="shared" si="4"/>
        <v>1010000ELEC PLANT IN SERV3960300"AERIAL LIFT PB TRUCKS, 10000#-16000# GVSITUS</v>
      </c>
      <c r="B169" s="119">
        <v>1010000</v>
      </c>
      <c r="C169" s="119" t="s">
        <v>1453</v>
      </c>
      <c r="D169" s="119">
        <v>3960300</v>
      </c>
      <c r="E169" s="121" t="s">
        <v>1532</v>
      </c>
      <c r="F169" s="119" t="s">
        <v>12</v>
      </c>
      <c r="G169" s="122"/>
      <c r="H169" s="113" t="str">
        <f t="shared" si="5"/>
        <v>SITUS</v>
      </c>
      <c r="I169" s="113" t="s">
        <v>70</v>
      </c>
      <c r="J169"/>
    </row>
    <row r="170" spans="1:10">
      <c r="A170" s="114" t="str">
        <f t="shared" si="4"/>
        <v>1010000ELEC PLANT IN SERV3960300"AERIAL LIFT PB TRUCKS, 10000#-16000# GVSO</v>
      </c>
      <c r="B170" s="119">
        <v>1010000</v>
      </c>
      <c r="C170" s="119" t="s">
        <v>1453</v>
      </c>
      <c r="D170" s="119">
        <v>3960300</v>
      </c>
      <c r="E170" s="121" t="s">
        <v>1532</v>
      </c>
      <c r="F170" s="119" t="s">
        <v>89</v>
      </c>
      <c r="G170" s="122"/>
      <c r="H170" s="113" t="str">
        <f t="shared" si="5"/>
        <v>SO</v>
      </c>
      <c r="I170" s="113" t="s">
        <v>92</v>
      </c>
      <c r="J170"/>
    </row>
    <row r="171" spans="1:10">
      <c r="A171" s="114" t="str">
        <f t="shared" si="4"/>
        <v>1010000ELEC PLANT IN SERV3960300"AERIAL LIFT PB TRUCKS, 10000#-16000# GVSITUS</v>
      </c>
      <c r="B171" s="119">
        <v>1010000</v>
      </c>
      <c r="C171" s="119" t="s">
        <v>1453</v>
      </c>
      <c r="D171" s="119">
        <v>3960300</v>
      </c>
      <c r="E171" s="121" t="s">
        <v>1532</v>
      </c>
      <c r="F171" s="119" t="s">
        <v>12</v>
      </c>
      <c r="G171" s="122"/>
      <c r="H171" s="113" t="str">
        <f t="shared" si="5"/>
        <v>SITUS</v>
      </c>
      <c r="I171" s="113" t="s">
        <v>70</v>
      </c>
      <c r="J171"/>
    </row>
    <row r="172" spans="1:10">
      <c r="A172" s="114" t="str">
        <f t="shared" si="4"/>
        <v>1010000ELEC PLANT IN SERV3960300"AERIAL LIFT PB TRUCKS, 10000#-16000# GVSITUS</v>
      </c>
      <c r="B172" s="119">
        <v>1010000</v>
      </c>
      <c r="C172" s="119" t="s">
        <v>1453</v>
      </c>
      <c r="D172" s="119">
        <v>3960300</v>
      </c>
      <c r="E172" s="121" t="s">
        <v>1532</v>
      </c>
      <c r="F172" s="119" t="s">
        <v>12</v>
      </c>
      <c r="G172" s="122"/>
      <c r="H172" s="113" t="str">
        <f t="shared" si="5"/>
        <v>SITUS</v>
      </c>
      <c r="I172" s="113" t="s">
        <v>70</v>
      </c>
      <c r="J172"/>
    </row>
    <row r="173" spans="1:10">
      <c r="A173" s="114" t="str">
        <f t="shared" si="4"/>
        <v>1010000ELEC PLANT IN SERV3960300"AERIAL LIFT PB TRUCKS, 10000#-16000# GVSITUS</v>
      </c>
      <c r="B173" s="119">
        <v>1010000</v>
      </c>
      <c r="C173" s="119" t="s">
        <v>1453</v>
      </c>
      <c r="D173" s="119">
        <v>3960300</v>
      </c>
      <c r="E173" s="121" t="s">
        <v>1532</v>
      </c>
      <c r="F173" s="119" t="s">
        <v>12</v>
      </c>
      <c r="G173" s="122"/>
      <c r="H173" s="113" t="str">
        <f t="shared" si="5"/>
        <v>SITUS</v>
      </c>
      <c r="I173" s="113" t="s">
        <v>70</v>
      </c>
      <c r="J173"/>
    </row>
    <row r="174" spans="1:10">
      <c r="A174" s="114" t="str">
        <f t="shared" si="4"/>
        <v>1010000ELEC PLANT IN SERV3960300"AERIAL LIFT PB TRUCKS, 10000#-16000# GVSITUS</v>
      </c>
      <c r="B174" s="119">
        <v>1010000</v>
      </c>
      <c r="C174" s="119" t="s">
        <v>1453</v>
      </c>
      <c r="D174" s="119">
        <v>3960300</v>
      </c>
      <c r="E174" s="121" t="s">
        <v>1532</v>
      </c>
      <c r="F174" s="119" t="s">
        <v>12</v>
      </c>
      <c r="G174" s="122"/>
      <c r="H174" s="113" t="str">
        <f t="shared" si="5"/>
        <v>SITUS</v>
      </c>
      <c r="I174" s="113" t="s">
        <v>70</v>
      </c>
      <c r="J174"/>
    </row>
    <row r="175" spans="1:10">
      <c r="A175" s="114" t="str">
        <f t="shared" si="4"/>
        <v>1010000ELEC PLANT IN SERV3960700TWO-AXLE DIGGER/DERRICK LINE TRUCKSSITUS</v>
      </c>
      <c r="B175" s="119">
        <v>1010000</v>
      </c>
      <c r="C175" s="119" t="s">
        <v>1453</v>
      </c>
      <c r="D175" s="119">
        <v>3960700</v>
      </c>
      <c r="E175" s="121" t="s">
        <v>1533</v>
      </c>
      <c r="F175" s="119" t="s">
        <v>12</v>
      </c>
      <c r="G175" s="122"/>
      <c r="H175" s="113" t="str">
        <f t="shared" si="5"/>
        <v>SITUS</v>
      </c>
      <c r="I175" s="113" t="s">
        <v>70</v>
      </c>
      <c r="J175"/>
    </row>
    <row r="176" spans="1:10">
      <c r="A176" s="114" t="str">
        <f t="shared" si="4"/>
        <v>1010000ELEC PLANT IN SERV3960700TWO-AXLE DIGGER/DERRICK LINE TRUCKSSITUS</v>
      </c>
      <c r="B176" s="119">
        <v>1010000</v>
      </c>
      <c r="C176" s="119" t="s">
        <v>1453</v>
      </c>
      <c r="D176" s="119">
        <v>3960700</v>
      </c>
      <c r="E176" s="121" t="s">
        <v>1533</v>
      </c>
      <c r="F176" s="119" t="s">
        <v>12</v>
      </c>
      <c r="G176" s="122"/>
      <c r="H176" s="113" t="str">
        <f t="shared" si="5"/>
        <v>SITUS</v>
      </c>
      <c r="I176" s="113" t="s">
        <v>70</v>
      </c>
      <c r="J176"/>
    </row>
    <row r="177" spans="1:10">
      <c r="A177" s="114" t="str">
        <f t="shared" si="4"/>
        <v>1010000ELEC PLANT IN SERV3960700TWO-AXLE DIGGER/DERRICK LINE TRUCKSSG</v>
      </c>
      <c r="B177" s="119">
        <v>1010000</v>
      </c>
      <c r="C177" s="119" t="s">
        <v>1453</v>
      </c>
      <c r="D177" s="119">
        <v>3960700</v>
      </c>
      <c r="E177" s="121" t="s">
        <v>1533</v>
      </c>
      <c r="F177" s="119" t="s">
        <v>87</v>
      </c>
      <c r="G177" s="122"/>
      <c r="H177" s="113" t="str">
        <f t="shared" si="5"/>
        <v>SG</v>
      </c>
      <c r="I177" s="113" t="s">
        <v>68</v>
      </c>
      <c r="J177"/>
    </row>
    <row r="178" spans="1:10">
      <c r="A178" s="114" t="str">
        <f t="shared" si="4"/>
        <v>1010000ELEC PLANT IN SERV3960700TWO-AXLE DIGGER/DERRICK LINE TRUCKSSITUS</v>
      </c>
      <c r="B178" s="119">
        <v>1010000</v>
      </c>
      <c r="C178" s="119" t="s">
        <v>1453</v>
      </c>
      <c r="D178" s="119">
        <v>3960700</v>
      </c>
      <c r="E178" s="121" t="s">
        <v>1533</v>
      </c>
      <c r="F178" s="119" t="s">
        <v>12</v>
      </c>
      <c r="G178" s="122"/>
      <c r="H178" s="113" t="str">
        <f t="shared" si="5"/>
        <v>SITUS</v>
      </c>
      <c r="I178" s="113" t="s">
        <v>70</v>
      </c>
      <c r="J178"/>
    </row>
    <row r="179" spans="1:10">
      <c r="A179" s="114" t="str">
        <f t="shared" si="4"/>
        <v>1010000ELEC PLANT IN SERV3960700TWO-AXLE DIGGER/DERRICK LINE TRUCKSSO</v>
      </c>
      <c r="B179" s="119">
        <v>1010000</v>
      </c>
      <c r="C179" s="119" t="s">
        <v>1453</v>
      </c>
      <c r="D179" s="119">
        <v>3960700</v>
      </c>
      <c r="E179" s="121" t="s">
        <v>1533</v>
      </c>
      <c r="F179" s="119" t="s">
        <v>89</v>
      </c>
      <c r="G179" s="122"/>
      <c r="H179" s="113" t="str">
        <f t="shared" si="5"/>
        <v>SO</v>
      </c>
      <c r="I179" s="113" t="s">
        <v>92</v>
      </c>
      <c r="J179"/>
    </row>
    <row r="180" spans="1:10">
      <c r="A180" s="114" t="str">
        <f t="shared" si="4"/>
        <v>1010000ELEC PLANT IN SERV3960700TWO-AXLE DIGGER/DERRICK LINE TRUCKSSITUS</v>
      </c>
      <c r="B180" s="119">
        <v>1010000</v>
      </c>
      <c r="C180" s="119" t="s">
        <v>1453</v>
      </c>
      <c r="D180" s="119">
        <v>3960700</v>
      </c>
      <c r="E180" s="121" t="s">
        <v>1533</v>
      </c>
      <c r="F180" s="119" t="s">
        <v>12</v>
      </c>
      <c r="G180" s="122"/>
      <c r="H180" s="113" t="str">
        <f t="shared" si="5"/>
        <v>SITUS</v>
      </c>
      <c r="I180" s="113" t="s">
        <v>70</v>
      </c>
      <c r="J180"/>
    </row>
    <row r="181" spans="1:10">
      <c r="A181" s="114" t="str">
        <f t="shared" si="4"/>
        <v>1010000ELEC PLANT IN SERV3960700TWO-AXLE DIGGER/DERRICK LINE TRUCKSSITUS</v>
      </c>
      <c r="B181" s="119">
        <v>1010000</v>
      </c>
      <c r="C181" s="119" t="s">
        <v>1453</v>
      </c>
      <c r="D181" s="119">
        <v>3960700</v>
      </c>
      <c r="E181" s="121" t="s">
        <v>1533</v>
      </c>
      <c r="F181" s="119" t="s">
        <v>12</v>
      </c>
      <c r="G181" s="122"/>
      <c r="H181" s="113" t="str">
        <f t="shared" si="5"/>
        <v>SITUS</v>
      </c>
      <c r="I181" s="113" t="s">
        <v>70</v>
      </c>
      <c r="J181"/>
    </row>
    <row r="182" spans="1:10">
      <c r="A182" s="114" t="str">
        <f t="shared" si="4"/>
        <v>1010000ELEC PLANT IN SERV3960700TWO-AXLE DIGGER/DERRICK LINE TRUCKSSITUS</v>
      </c>
      <c r="B182" s="119">
        <v>1010000</v>
      </c>
      <c r="C182" s="119" t="s">
        <v>1453</v>
      </c>
      <c r="D182" s="119">
        <v>3960700</v>
      </c>
      <c r="E182" s="121" t="s">
        <v>1533</v>
      </c>
      <c r="F182" s="119" t="s">
        <v>12</v>
      </c>
      <c r="G182" s="122"/>
      <c r="H182" s="113" t="str">
        <f t="shared" si="5"/>
        <v>SITUS</v>
      </c>
      <c r="I182" s="113" t="s">
        <v>70</v>
      </c>
      <c r="J182"/>
    </row>
    <row r="183" spans="1:10">
      <c r="A183" s="114" t="str">
        <f t="shared" si="4"/>
        <v>1010000ELEC PLANT IN SERV3960800"AERIAL LIFT P.B. TRUCKS, ABOVE 16000#GVSITUS</v>
      </c>
      <c r="B183" s="119">
        <v>1010000</v>
      </c>
      <c r="C183" s="119" t="s">
        <v>1453</v>
      </c>
      <c r="D183" s="119">
        <v>3960800</v>
      </c>
      <c r="E183" s="121" t="s">
        <v>1534</v>
      </c>
      <c r="F183" s="119" t="s">
        <v>12</v>
      </c>
      <c r="G183" s="122"/>
      <c r="H183" s="113" t="str">
        <f t="shared" si="5"/>
        <v>SITUS</v>
      </c>
      <c r="I183" s="113" t="s">
        <v>70</v>
      </c>
      <c r="J183"/>
    </row>
    <row r="184" spans="1:10">
      <c r="A184" s="114" t="str">
        <f t="shared" si="4"/>
        <v>1010000ELEC PLANT IN SERV3960800"AERIAL LIFT P.B. TRUCKS, ABOVE 16000#GVSITUS</v>
      </c>
      <c r="B184" s="119">
        <v>1010000</v>
      </c>
      <c r="C184" s="119" t="s">
        <v>1453</v>
      </c>
      <c r="D184" s="119">
        <v>3960800</v>
      </c>
      <c r="E184" s="121" t="s">
        <v>1534</v>
      </c>
      <c r="F184" s="119" t="s">
        <v>12</v>
      </c>
      <c r="G184" s="122"/>
      <c r="H184" s="113" t="str">
        <f t="shared" si="5"/>
        <v>SITUS</v>
      </c>
      <c r="I184" s="113" t="s">
        <v>70</v>
      </c>
      <c r="J184"/>
    </row>
    <row r="185" spans="1:10">
      <c r="A185" s="114" t="str">
        <f t="shared" si="4"/>
        <v>1010000ELEC PLANT IN SERV3960800"AERIAL LIFT P.B. TRUCKS, ABOVE 16000#GVSG</v>
      </c>
      <c r="B185" s="119">
        <v>1010000</v>
      </c>
      <c r="C185" s="119" t="s">
        <v>1453</v>
      </c>
      <c r="D185" s="119">
        <v>3960800</v>
      </c>
      <c r="E185" s="121" t="s">
        <v>1534</v>
      </c>
      <c r="F185" s="119" t="s">
        <v>87</v>
      </c>
      <c r="G185" s="122"/>
      <c r="H185" s="113" t="str">
        <f t="shared" si="5"/>
        <v>SG</v>
      </c>
      <c r="I185" s="113" t="s">
        <v>68</v>
      </c>
      <c r="J185"/>
    </row>
    <row r="186" spans="1:10">
      <c r="A186" s="114" t="str">
        <f t="shared" si="4"/>
        <v>1010000ELEC PLANT IN SERV3960800"AERIAL LIFT P.B. TRUCKS, ABOVE 16000#GVSITUS</v>
      </c>
      <c r="B186" s="119">
        <v>1010000</v>
      </c>
      <c r="C186" s="119" t="s">
        <v>1453</v>
      </c>
      <c r="D186" s="119">
        <v>3960800</v>
      </c>
      <c r="E186" s="121" t="s">
        <v>1534</v>
      </c>
      <c r="F186" s="119" t="s">
        <v>12</v>
      </c>
      <c r="G186" s="122"/>
      <c r="H186" s="113" t="str">
        <f t="shared" si="5"/>
        <v>SITUS</v>
      </c>
      <c r="I186" s="113" t="s">
        <v>70</v>
      </c>
      <c r="J186"/>
    </row>
    <row r="187" spans="1:10">
      <c r="A187" s="114" t="str">
        <f t="shared" si="4"/>
        <v>1010000ELEC PLANT IN SERV3960800"AERIAL LIFT P.B. TRUCKS, ABOVE 16000#GVSO</v>
      </c>
      <c r="B187" s="119">
        <v>1010000</v>
      </c>
      <c r="C187" s="119" t="s">
        <v>1453</v>
      </c>
      <c r="D187" s="119">
        <v>3960800</v>
      </c>
      <c r="E187" s="121" t="s">
        <v>1534</v>
      </c>
      <c r="F187" s="119" t="s">
        <v>89</v>
      </c>
      <c r="G187" s="122"/>
      <c r="H187" s="113" t="str">
        <f t="shared" si="5"/>
        <v>SO</v>
      </c>
      <c r="I187" s="113" t="s">
        <v>92</v>
      </c>
      <c r="J187"/>
    </row>
    <row r="188" spans="1:10">
      <c r="A188" s="114" t="str">
        <f t="shared" si="4"/>
        <v>1010000ELEC PLANT IN SERV3960800"AERIAL LIFT P.B. TRUCKS, ABOVE 16000#GVSITUS</v>
      </c>
      <c r="B188" s="119">
        <v>1010000</v>
      </c>
      <c r="C188" s="119" t="s">
        <v>1453</v>
      </c>
      <c r="D188" s="119">
        <v>3960800</v>
      </c>
      <c r="E188" s="121" t="s">
        <v>1534</v>
      </c>
      <c r="F188" s="119" t="s">
        <v>12</v>
      </c>
      <c r="G188" s="122"/>
      <c r="H188" s="113" t="str">
        <f t="shared" si="5"/>
        <v>SITUS</v>
      </c>
      <c r="I188" s="113" t="s">
        <v>70</v>
      </c>
      <c r="J188"/>
    </row>
    <row r="189" spans="1:10">
      <c r="A189" s="114" t="str">
        <f t="shared" si="4"/>
        <v>1010000ELEC PLANT IN SERV3960800"AERIAL LIFT P.B. TRUCKS, ABOVE 16000#GVSITUS</v>
      </c>
      <c r="B189" s="119">
        <v>1010000</v>
      </c>
      <c r="C189" s="119" t="s">
        <v>1453</v>
      </c>
      <c r="D189" s="119">
        <v>3960800</v>
      </c>
      <c r="E189" s="121" t="s">
        <v>1534</v>
      </c>
      <c r="F189" s="119" t="s">
        <v>12</v>
      </c>
      <c r="G189" s="122"/>
      <c r="H189" s="113" t="str">
        <f t="shared" si="5"/>
        <v>SITUS</v>
      </c>
      <c r="I189" s="113" t="s">
        <v>70</v>
      </c>
      <c r="J189"/>
    </row>
    <row r="190" spans="1:10">
      <c r="A190" s="114" t="str">
        <f t="shared" si="4"/>
        <v>1010000ELEC PLANT IN SERV3960800"AERIAL LIFT P.B. TRUCKS, ABOVE 16000#GVSITUS</v>
      </c>
      <c r="B190" s="119">
        <v>1010000</v>
      </c>
      <c r="C190" s="119" t="s">
        <v>1453</v>
      </c>
      <c r="D190" s="119">
        <v>3960800</v>
      </c>
      <c r="E190" s="121" t="s">
        <v>1534</v>
      </c>
      <c r="F190" s="119" t="s">
        <v>12</v>
      </c>
      <c r="G190" s="122"/>
      <c r="H190" s="113" t="str">
        <f t="shared" si="5"/>
        <v>SITUS</v>
      </c>
      <c r="I190" s="113" t="s">
        <v>70</v>
      </c>
      <c r="J190"/>
    </row>
    <row r="191" spans="1:10">
      <c r="A191" s="114" t="str">
        <f t="shared" si="4"/>
        <v>1010000ELEC PLANT IN SERV3960800"AERIAL LIFT P.B. TRUCKS, ABOVE 16000#GVSITUS</v>
      </c>
      <c r="B191" s="119">
        <v>1010000</v>
      </c>
      <c r="C191" s="119" t="s">
        <v>1453</v>
      </c>
      <c r="D191" s="119">
        <v>3960800</v>
      </c>
      <c r="E191" s="121" t="s">
        <v>1534</v>
      </c>
      <c r="F191" s="119" t="s">
        <v>12</v>
      </c>
      <c r="G191" s="122"/>
      <c r="H191" s="113" t="str">
        <f t="shared" si="5"/>
        <v>SITUS</v>
      </c>
      <c r="I191" s="113" t="s">
        <v>70</v>
      </c>
      <c r="J191"/>
    </row>
    <row r="192" spans="1:10">
      <c r="A192" s="114" t="str">
        <f t="shared" si="4"/>
        <v>1010000ELEC PLANT IN SERV3961000CRANESSITUS</v>
      </c>
      <c r="B192" s="119">
        <v>1010000</v>
      </c>
      <c r="C192" s="119" t="s">
        <v>1453</v>
      </c>
      <c r="D192" s="119">
        <v>3961000</v>
      </c>
      <c r="E192" s="121" t="s">
        <v>1535</v>
      </c>
      <c r="F192" s="119" t="s">
        <v>12</v>
      </c>
      <c r="G192" s="122"/>
      <c r="H192" s="113" t="str">
        <f t="shared" si="5"/>
        <v>SITUS</v>
      </c>
      <c r="I192" s="113" t="s">
        <v>70</v>
      </c>
      <c r="J192"/>
    </row>
    <row r="193" spans="1:10">
      <c r="A193" s="114" t="str">
        <f t="shared" si="4"/>
        <v>1010000ELEC PLANT IN SERV3961000CRANESSG</v>
      </c>
      <c r="B193" s="119">
        <v>1010000</v>
      </c>
      <c r="C193" s="119" t="s">
        <v>1453</v>
      </c>
      <c r="D193" s="119">
        <v>3961000</v>
      </c>
      <c r="E193" s="121" t="s">
        <v>1535</v>
      </c>
      <c r="F193" s="119" t="s">
        <v>87</v>
      </c>
      <c r="G193" s="122"/>
      <c r="H193" s="113" t="str">
        <f t="shared" si="5"/>
        <v>SG</v>
      </c>
      <c r="I193" s="113" t="s">
        <v>68</v>
      </c>
      <c r="J193"/>
    </row>
    <row r="194" spans="1:10">
      <c r="A194" s="114" t="str">
        <f t="shared" si="4"/>
        <v>1010000ELEC PLANT IN SERV3961000CRANESSITUS</v>
      </c>
      <c r="B194" s="119">
        <v>1010000</v>
      </c>
      <c r="C194" s="119" t="s">
        <v>1453</v>
      </c>
      <c r="D194" s="119">
        <v>3961000</v>
      </c>
      <c r="E194" s="121" t="s">
        <v>1535</v>
      </c>
      <c r="F194" s="119" t="s">
        <v>12</v>
      </c>
      <c r="G194" s="122"/>
      <c r="H194" s="113" t="str">
        <f t="shared" si="5"/>
        <v>SITUS</v>
      </c>
      <c r="I194" s="113" t="s">
        <v>70</v>
      </c>
      <c r="J194"/>
    </row>
    <row r="195" spans="1:10">
      <c r="A195" s="114" t="str">
        <f t="shared" ref="A195:A258" si="6">CONCATENATE($B195,$C195,$D195,$E195,$H195)</f>
        <v>1010000ELEC PLANT IN SERV3961100HEAVY CONSTRUCTION EQUIP, PRODUCT DIGGERSITUS</v>
      </c>
      <c r="B195" s="119">
        <v>1010000</v>
      </c>
      <c r="C195" s="119" t="s">
        <v>1453</v>
      </c>
      <c r="D195" s="119">
        <v>3961100</v>
      </c>
      <c r="E195" s="121" t="s">
        <v>1536</v>
      </c>
      <c r="F195" s="119" t="s">
        <v>12</v>
      </c>
      <c r="G195" s="122"/>
      <c r="H195" s="113" t="str">
        <f t="shared" ref="H195:H252" si="7">IF(OR(F195="IDU",F195="OR",F195="UT",F195="WYU",F195="WYP",F195="CA",F195="WA"),"SITUS",F195)</f>
        <v>SITUS</v>
      </c>
      <c r="I195" s="113" t="s">
        <v>70</v>
      </c>
      <c r="J195"/>
    </row>
    <row r="196" spans="1:10">
      <c r="A196" s="114" t="str">
        <f t="shared" si="6"/>
        <v>1010000ELEC PLANT IN SERV3961100HEAVY CONSTRUCTION EQUIP, PRODUCT DIGGERSG</v>
      </c>
      <c r="B196" s="119">
        <v>1010000</v>
      </c>
      <c r="C196" s="119" t="s">
        <v>1453</v>
      </c>
      <c r="D196" s="119">
        <v>3961100</v>
      </c>
      <c r="E196" s="121" t="s">
        <v>1536</v>
      </c>
      <c r="F196" s="119" t="s">
        <v>87</v>
      </c>
      <c r="G196" s="122"/>
      <c r="H196" s="113" t="str">
        <f t="shared" si="7"/>
        <v>SG</v>
      </c>
      <c r="I196" s="113" t="s">
        <v>68</v>
      </c>
      <c r="J196"/>
    </row>
    <row r="197" spans="1:10">
      <c r="A197" s="114" t="str">
        <f t="shared" si="6"/>
        <v>1010000ELEC PLANT IN SERV3961100HEAVY CONSTRUCTION EQUIP, PRODUCT DIGGERSO</v>
      </c>
      <c r="B197" s="119">
        <v>1010000</v>
      </c>
      <c r="C197" s="119" t="s">
        <v>1453</v>
      </c>
      <c r="D197" s="119">
        <v>3961100</v>
      </c>
      <c r="E197" s="121" t="s">
        <v>1536</v>
      </c>
      <c r="F197" s="119" t="s">
        <v>89</v>
      </c>
      <c r="G197" s="122"/>
      <c r="H197" s="113" t="str">
        <f t="shared" si="7"/>
        <v>SO</v>
      </c>
      <c r="I197" s="113" t="s">
        <v>92</v>
      </c>
      <c r="J197"/>
    </row>
    <row r="198" spans="1:10">
      <c r="A198" s="114" t="str">
        <f t="shared" si="6"/>
        <v>1010000ELEC PLANT IN SERV3961100HEAVY CONSTRUCTION EQUIP, PRODUCT DIGGERSITUS</v>
      </c>
      <c r="B198" s="119">
        <v>1010000</v>
      </c>
      <c r="C198" s="119" t="s">
        <v>1453</v>
      </c>
      <c r="D198" s="119">
        <v>3961100</v>
      </c>
      <c r="E198" s="121" t="s">
        <v>1536</v>
      </c>
      <c r="F198" s="119" t="s">
        <v>12</v>
      </c>
      <c r="G198" s="122"/>
      <c r="H198" s="113" t="str">
        <f t="shared" si="7"/>
        <v>SITUS</v>
      </c>
      <c r="I198" s="113" t="s">
        <v>70</v>
      </c>
      <c r="J198"/>
    </row>
    <row r="199" spans="1:10">
      <c r="A199" s="114" t="str">
        <f t="shared" si="6"/>
        <v>1010000ELEC PLANT IN SERV3961100HEAVY CONSTRUCTION EQUIP, PRODUCT DIGGERSITUS</v>
      </c>
      <c r="B199" s="119">
        <v>1010000</v>
      </c>
      <c r="C199" s="119" t="s">
        <v>1453</v>
      </c>
      <c r="D199" s="119">
        <v>3961100</v>
      </c>
      <c r="E199" s="121" t="s">
        <v>1536</v>
      </c>
      <c r="F199" s="119" t="s">
        <v>12</v>
      </c>
      <c r="G199" s="122"/>
      <c r="H199" s="113" t="str">
        <f t="shared" si="7"/>
        <v>SITUS</v>
      </c>
      <c r="I199" s="113" t="s">
        <v>70</v>
      </c>
      <c r="J199"/>
    </row>
    <row r="200" spans="1:10">
      <c r="A200" s="114" t="str">
        <f t="shared" si="6"/>
        <v>1010000ELEC PLANT IN SERV3961200THREE-AXLE DIGGER/DERRICK LINE TRUCKSSITUS</v>
      </c>
      <c r="B200" s="119">
        <v>1010000</v>
      </c>
      <c r="C200" s="119" t="s">
        <v>1453</v>
      </c>
      <c r="D200" s="119">
        <v>3961200</v>
      </c>
      <c r="E200" s="121" t="s">
        <v>1537</v>
      </c>
      <c r="F200" s="119" t="s">
        <v>12</v>
      </c>
      <c r="G200" s="122"/>
      <c r="H200" s="113" t="str">
        <f t="shared" si="7"/>
        <v>SITUS</v>
      </c>
      <c r="I200" s="113" t="s">
        <v>70</v>
      </c>
      <c r="J200"/>
    </row>
    <row r="201" spans="1:10">
      <c r="A201" s="114" t="str">
        <f t="shared" si="6"/>
        <v>1010000ELEC PLANT IN SERV3961200THREE-AXLE DIGGER/DERRICK LINE TRUCKSSITUS</v>
      </c>
      <c r="B201" s="119">
        <v>1010000</v>
      </c>
      <c r="C201" s="119" t="s">
        <v>1453</v>
      </c>
      <c r="D201" s="119">
        <v>3961200</v>
      </c>
      <c r="E201" s="121" t="s">
        <v>1537</v>
      </c>
      <c r="F201" s="119" t="s">
        <v>12</v>
      </c>
      <c r="G201" s="122"/>
      <c r="H201" s="113" t="str">
        <f t="shared" si="7"/>
        <v>SITUS</v>
      </c>
      <c r="I201" s="113" t="s">
        <v>70</v>
      </c>
      <c r="J201"/>
    </row>
    <row r="202" spans="1:10">
      <c r="A202" s="114" t="str">
        <f t="shared" si="6"/>
        <v>1010000ELEC PLANT IN SERV3961200THREE-AXLE DIGGER/DERRICK LINE TRUCKSSG</v>
      </c>
      <c r="B202" s="119">
        <v>1010000</v>
      </c>
      <c r="C202" s="119" t="s">
        <v>1453</v>
      </c>
      <c r="D202" s="119">
        <v>3961200</v>
      </c>
      <c r="E202" s="121" t="s">
        <v>1537</v>
      </c>
      <c r="F202" s="119" t="s">
        <v>87</v>
      </c>
      <c r="G202" s="122"/>
      <c r="H202" s="113" t="str">
        <f t="shared" si="7"/>
        <v>SG</v>
      </c>
      <c r="I202" s="113" t="s">
        <v>68</v>
      </c>
      <c r="J202"/>
    </row>
    <row r="203" spans="1:10">
      <c r="A203" s="114" t="str">
        <f t="shared" si="6"/>
        <v>1010000ELEC PLANT IN SERV3961200THREE-AXLE DIGGER/DERRICK LINE TRUCKSSITUS</v>
      </c>
      <c r="B203" s="119">
        <v>1010000</v>
      </c>
      <c r="C203" s="119" t="s">
        <v>1453</v>
      </c>
      <c r="D203" s="119">
        <v>3961200</v>
      </c>
      <c r="E203" s="121" t="s">
        <v>1537</v>
      </c>
      <c r="F203" s="119" t="s">
        <v>12</v>
      </c>
      <c r="G203" s="122"/>
      <c r="H203" s="113" t="str">
        <f t="shared" si="7"/>
        <v>SITUS</v>
      </c>
      <c r="I203" s="113" t="s">
        <v>70</v>
      </c>
      <c r="J203"/>
    </row>
    <row r="204" spans="1:10">
      <c r="A204" s="114" t="str">
        <f t="shared" si="6"/>
        <v>1010000ELEC PLANT IN SERV3961200THREE-AXLE DIGGER/DERRICK LINE TRUCKSSO</v>
      </c>
      <c r="B204" s="119">
        <v>1010000</v>
      </c>
      <c r="C204" s="119" t="s">
        <v>1453</v>
      </c>
      <c r="D204" s="119">
        <v>3961200</v>
      </c>
      <c r="E204" s="121" t="s">
        <v>1537</v>
      </c>
      <c r="F204" s="119" t="s">
        <v>89</v>
      </c>
      <c r="G204" s="122"/>
      <c r="H204" s="113" t="str">
        <f t="shared" si="7"/>
        <v>SO</v>
      </c>
      <c r="I204" s="113" t="s">
        <v>92</v>
      </c>
      <c r="J204"/>
    </row>
    <row r="205" spans="1:10">
      <c r="A205" s="114" t="str">
        <f t="shared" si="6"/>
        <v>1010000ELEC PLANT IN SERV3961200THREE-AXLE DIGGER/DERRICK LINE TRUCKSSITUS</v>
      </c>
      <c r="B205" s="119">
        <v>1010000</v>
      </c>
      <c r="C205" s="119" t="s">
        <v>1453</v>
      </c>
      <c r="D205" s="119">
        <v>3961200</v>
      </c>
      <c r="E205" s="121" t="s">
        <v>1537</v>
      </c>
      <c r="F205" s="119" t="s">
        <v>12</v>
      </c>
      <c r="G205" s="122"/>
      <c r="H205" s="113" t="str">
        <f t="shared" si="7"/>
        <v>SITUS</v>
      </c>
      <c r="I205" s="113" t="s">
        <v>70</v>
      </c>
      <c r="J205"/>
    </row>
    <row r="206" spans="1:10">
      <c r="A206" s="114" t="str">
        <f t="shared" si="6"/>
        <v>1010000ELEC PLANT IN SERV3961200THREE-AXLE DIGGER/DERRICK LINE TRUCKSSITUS</v>
      </c>
      <c r="B206" s="119">
        <v>1010000</v>
      </c>
      <c r="C206" s="119" t="s">
        <v>1453</v>
      </c>
      <c r="D206" s="119">
        <v>3961200</v>
      </c>
      <c r="E206" s="121" t="s">
        <v>1537</v>
      </c>
      <c r="F206" s="119" t="s">
        <v>12</v>
      </c>
      <c r="G206" s="122"/>
      <c r="H206" s="113" t="str">
        <f t="shared" si="7"/>
        <v>SITUS</v>
      </c>
      <c r="I206" s="113" t="s">
        <v>70</v>
      </c>
      <c r="J206"/>
    </row>
    <row r="207" spans="1:10">
      <c r="A207" s="114" t="str">
        <f t="shared" si="6"/>
        <v>1010000ELEC PLANT IN SERV3961200THREE-AXLE DIGGER/DERRICK LINE TRUCKSSITUS</v>
      </c>
      <c r="B207" s="119">
        <v>1010000</v>
      </c>
      <c r="C207" s="119" t="s">
        <v>1453</v>
      </c>
      <c r="D207" s="119">
        <v>3961200</v>
      </c>
      <c r="E207" s="121" t="s">
        <v>1537</v>
      </c>
      <c r="F207" s="119" t="s">
        <v>12</v>
      </c>
      <c r="G207" s="122"/>
      <c r="H207" s="113" t="str">
        <f t="shared" si="7"/>
        <v>SITUS</v>
      </c>
      <c r="I207" s="113" t="s">
        <v>70</v>
      </c>
      <c r="J207"/>
    </row>
    <row r="208" spans="1:10">
      <c r="A208" s="114" t="str">
        <f t="shared" si="6"/>
        <v>1010000ELEC PLANT IN SERV3961200THREE-AXLE DIGGER/DERRICK LINE TRUCKSSITUS</v>
      </c>
      <c r="B208" s="119">
        <v>1010000</v>
      </c>
      <c r="C208" s="119" t="s">
        <v>1453</v>
      </c>
      <c r="D208" s="119">
        <v>3961200</v>
      </c>
      <c r="E208" s="121" t="s">
        <v>1537</v>
      </c>
      <c r="F208" s="119" t="s">
        <v>12</v>
      </c>
      <c r="G208" s="122"/>
      <c r="H208" s="113" t="str">
        <f t="shared" si="7"/>
        <v>SITUS</v>
      </c>
      <c r="I208" s="113" t="s">
        <v>70</v>
      </c>
      <c r="J208"/>
    </row>
    <row r="209" spans="1:10">
      <c r="A209" s="114" t="str">
        <f t="shared" si="6"/>
        <v>1010000ELEC PLANT IN SERV3961300SNOWCATS, BACKHOES, TRENCHERS, SNOWBLOWRSITUS</v>
      </c>
      <c r="B209" s="119">
        <v>1010000</v>
      </c>
      <c r="C209" s="119" t="s">
        <v>1453</v>
      </c>
      <c r="D209" s="119">
        <v>3961300</v>
      </c>
      <c r="E209" s="121" t="s">
        <v>1538</v>
      </c>
      <c r="F209" s="119" t="s">
        <v>12</v>
      </c>
      <c r="G209" s="122"/>
      <c r="H209" s="113" t="str">
        <f t="shared" si="7"/>
        <v>SITUS</v>
      </c>
      <c r="I209" s="113" t="s">
        <v>70</v>
      </c>
      <c r="J209"/>
    </row>
    <row r="210" spans="1:10">
      <c r="A210" s="114" t="str">
        <f t="shared" si="6"/>
        <v>1010000ELEC PLANT IN SERV3961300SNOWCATS, BACKHOES, TRENCHERS, SNOWBLOWRSITUS</v>
      </c>
      <c r="B210" s="119">
        <v>1010000</v>
      </c>
      <c r="C210" s="119" t="s">
        <v>1453</v>
      </c>
      <c r="D210" s="119">
        <v>3961300</v>
      </c>
      <c r="E210" s="121" t="s">
        <v>1538</v>
      </c>
      <c r="F210" s="119" t="s">
        <v>12</v>
      </c>
      <c r="G210" s="122"/>
      <c r="H210" s="113" t="str">
        <f t="shared" si="7"/>
        <v>SITUS</v>
      </c>
      <c r="I210" s="113" t="s">
        <v>70</v>
      </c>
      <c r="J210"/>
    </row>
    <row r="211" spans="1:10">
      <c r="A211" s="114" t="str">
        <f t="shared" si="6"/>
        <v>1010000ELEC PLANT IN SERV3961300SNOWCATS, BACKHOES, TRENCHERS, SNOWBLOWRSE</v>
      </c>
      <c r="B211" s="119">
        <v>1010000</v>
      </c>
      <c r="C211" s="119" t="s">
        <v>1453</v>
      </c>
      <c r="D211" s="119">
        <v>3961300</v>
      </c>
      <c r="E211" s="121" t="s">
        <v>1538</v>
      </c>
      <c r="F211" s="119" t="s">
        <v>85</v>
      </c>
      <c r="G211" s="122"/>
      <c r="H211" s="113" t="str">
        <f t="shared" si="7"/>
        <v>SE</v>
      </c>
      <c r="I211" s="113" t="s">
        <v>68</v>
      </c>
      <c r="J211"/>
    </row>
    <row r="212" spans="1:10">
      <c r="A212" s="114" t="str">
        <f t="shared" si="6"/>
        <v>1010000ELEC PLANT IN SERV3961300SNOWCATS, BACKHOES, TRENCHERS, SNOWBLOWRSG</v>
      </c>
      <c r="B212" s="119">
        <v>1010000</v>
      </c>
      <c r="C212" s="119" t="s">
        <v>1453</v>
      </c>
      <c r="D212" s="119">
        <v>3961300</v>
      </c>
      <c r="E212" s="121" t="s">
        <v>1538</v>
      </c>
      <c r="F212" s="119" t="s">
        <v>87</v>
      </c>
      <c r="G212" s="122"/>
      <c r="H212" s="113" t="str">
        <f t="shared" si="7"/>
        <v>SG</v>
      </c>
      <c r="I212" s="113" t="s">
        <v>68</v>
      </c>
      <c r="J212"/>
    </row>
    <row r="213" spans="1:10">
      <c r="A213" s="114" t="str">
        <f t="shared" si="6"/>
        <v>1010000ELEC PLANT IN SERV3961300SNOWCATS, BACKHOES, TRENCHERS, SNOWBLOWRSITUS</v>
      </c>
      <c r="B213" s="119">
        <v>1010000</v>
      </c>
      <c r="C213" s="119" t="s">
        <v>1453</v>
      </c>
      <c r="D213" s="119">
        <v>3961300</v>
      </c>
      <c r="E213" s="121" t="s">
        <v>1538</v>
      </c>
      <c r="F213" s="119" t="s">
        <v>12</v>
      </c>
      <c r="G213" s="122"/>
      <c r="H213" s="113" t="str">
        <f t="shared" si="7"/>
        <v>SITUS</v>
      </c>
      <c r="I213" s="113" t="s">
        <v>70</v>
      </c>
      <c r="J213"/>
    </row>
    <row r="214" spans="1:10">
      <c r="A214" s="114" t="str">
        <f t="shared" si="6"/>
        <v>1010000ELEC PLANT IN SERV3961300SNOWCATS, BACKHOES, TRENCHERS, SNOWBLOWRSO</v>
      </c>
      <c r="B214" s="119">
        <v>1010000</v>
      </c>
      <c r="C214" s="119" t="s">
        <v>1453</v>
      </c>
      <c r="D214" s="119">
        <v>3961300</v>
      </c>
      <c r="E214" s="121" t="s">
        <v>1538</v>
      </c>
      <c r="F214" s="119" t="s">
        <v>89</v>
      </c>
      <c r="G214" s="122"/>
      <c r="H214" s="113" t="str">
        <f t="shared" si="7"/>
        <v>SO</v>
      </c>
      <c r="I214" s="113" t="s">
        <v>92</v>
      </c>
      <c r="J214"/>
    </row>
    <row r="215" spans="1:10">
      <c r="A215" s="114" t="str">
        <f t="shared" si="6"/>
        <v>1010000ELEC PLANT IN SERV3961300SNOWCATS, BACKHOES, TRENCHERS, SNOWBLOWRSITUS</v>
      </c>
      <c r="B215" s="119">
        <v>1010000</v>
      </c>
      <c r="C215" s="119" t="s">
        <v>1453</v>
      </c>
      <c r="D215" s="119">
        <v>3961300</v>
      </c>
      <c r="E215" s="121" t="s">
        <v>1538</v>
      </c>
      <c r="F215" s="119" t="s">
        <v>12</v>
      </c>
      <c r="G215" s="122"/>
      <c r="H215" s="113" t="str">
        <f t="shared" si="7"/>
        <v>SITUS</v>
      </c>
      <c r="I215" s="113" t="s">
        <v>70</v>
      </c>
      <c r="J215"/>
    </row>
    <row r="216" spans="1:10">
      <c r="A216" s="114" t="str">
        <f t="shared" si="6"/>
        <v>1010000ELEC PLANT IN SERV3961300SNOWCATS, BACKHOES, TRENCHERS, SNOWBLOWRSITUS</v>
      </c>
      <c r="B216" s="119">
        <v>1010000</v>
      </c>
      <c r="C216" s="119" t="s">
        <v>1453</v>
      </c>
      <c r="D216" s="119">
        <v>3961300</v>
      </c>
      <c r="E216" s="121" t="s">
        <v>1538</v>
      </c>
      <c r="F216" s="119" t="s">
        <v>12</v>
      </c>
      <c r="G216" s="122"/>
      <c r="H216" s="113" t="str">
        <f t="shared" si="7"/>
        <v>SITUS</v>
      </c>
      <c r="I216" s="113" t="s">
        <v>70</v>
      </c>
      <c r="J216"/>
    </row>
    <row r="217" spans="1:10">
      <c r="A217" s="114" t="str">
        <f t="shared" si="6"/>
        <v>1010000ELEC PLANT IN SERV3961300SNOWCATS, BACKHOES, TRENCHERS, SNOWBLOWRSITUS</v>
      </c>
      <c r="B217" s="119">
        <v>1010000</v>
      </c>
      <c r="C217" s="119" t="s">
        <v>1453</v>
      </c>
      <c r="D217" s="119">
        <v>3961300</v>
      </c>
      <c r="E217" s="121" t="s">
        <v>1538</v>
      </c>
      <c r="F217" s="119" t="s">
        <v>12</v>
      </c>
      <c r="G217" s="122"/>
      <c r="H217" s="113" t="str">
        <f t="shared" si="7"/>
        <v>SITUS</v>
      </c>
      <c r="I217" s="113" t="s">
        <v>70</v>
      </c>
      <c r="J217"/>
    </row>
    <row r="218" spans="1:10">
      <c r="A218" s="114" t="str">
        <f t="shared" si="6"/>
        <v>1010000ELEC PLANT IN SERV3961300SNOWCATS, BACKHOES, TRENCHERS, SNOWBLOWRSITUS</v>
      </c>
      <c r="B218" s="119">
        <v>1010000</v>
      </c>
      <c r="C218" s="119" t="s">
        <v>1453</v>
      </c>
      <c r="D218" s="119">
        <v>3961300</v>
      </c>
      <c r="E218" s="121" t="s">
        <v>1538</v>
      </c>
      <c r="F218" s="119" t="s">
        <v>12</v>
      </c>
      <c r="G218" s="122"/>
      <c r="H218" s="113" t="str">
        <f t="shared" si="7"/>
        <v>SITUS</v>
      </c>
      <c r="I218" s="113" t="s">
        <v>70</v>
      </c>
      <c r="J218"/>
    </row>
    <row r="219" spans="1:10">
      <c r="A219" s="114" t="str">
        <f t="shared" si="6"/>
        <v>1010000ELEC PLANT IN SERV3970000COMMUNICATION EQUIPMENTCN</v>
      </c>
      <c r="B219" s="119">
        <v>1010000</v>
      </c>
      <c r="C219" s="119" t="s">
        <v>1453</v>
      </c>
      <c r="D219" s="119">
        <v>3970000</v>
      </c>
      <c r="E219" s="121" t="s">
        <v>1539</v>
      </c>
      <c r="F219" s="119" t="s">
        <v>84</v>
      </c>
      <c r="G219" s="122"/>
      <c r="H219" s="113" t="str">
        <f t="shared" si="7"/>
        <v>CN</v>
      </c>
      <c r="I219" s="113" t="s">
        <v>73</v>
      </c>
      <c r="J219"/>
    </row>
    <row r="220" spans="1:10">
      <c r="A220" s="114" t="str">
        <f t="shared" si="6"/>
        <v>1010000ELEC PLANT IN SERV3970000COMMUNICATION EQUIPMENTSITUS</v>
      </c>
      <c r="B220" s="119">
        <v>1010000</v>
      </c>
      <c r="C220" s="119" t="s">
        <v>1453</v>
      </c>
      <c r="D220" s="119">
        <v>3970000</v>
      </c>
      <c r="E220" s="121" t="s">
        <v>1539</v>
      </c>
      <c r="F220" s="119" t="s">
        <v>12</v>
      </c>
      <c r="G220" s="122"/>
      <c r="H220" s="113" t="str">
        <f t="shared" si="7"/>
        <v>SITUS</v>
      </c>
      <c r="I220" s="113" t="s">
        <v>96</v>
      </c>
      <c r="J220"/>
    </row>
    <row r="221" spans="1:10">
      <c r="A221" s="114" t="str">
        <f t="shared" si="6"/>
        <v>1010000ELEC PLANT IN SERV3970000COMMUNICATION EQUIPMENTSITUS</v>
      </c>
      <c r="B221" s="119">
        <v>1010000</v>
      </c>
      <c r="C221" s="119" t="s">
        <v>1453</v>
      </c>
      <c r="D221" s="119">
        <v>3970000</v>
      </c>
      <c r="E221" s="121" t="s">
        <v>1539</v>
      </c>
      <c r="F221" s="119" t="s">
        <v>12</v>
      </c>
      <c r="G221" s="122"/>
      <c r="H221" s="113" t="str">
        <f t="shared" si="7"/>
        <v>SITUS</v>
      </c>
      <c r="I221" s="113" t="s">
        <v>96</v>
      </c>
      <c r="J221"/>
    </row>
    <row r="222" spans="1:10">
      <c r="A222" s="114" t="str">
        <f t="shared" si="6"/>
        <v>1010000ELEC PLANT IN SERV3970000COMMUNICATION EQUIPMENTSE</v>
      </c>
      <c r="B222" s="119">
        <v>1010000</v>
      </c>
      <c r="C222" s="119" t="s">
        <v>1453</v>
      </c>
      <c r="D222" s="119">
        <v>3970000</v>
      </c>
      <c r="E222" s="121" t="s">
        <v>1539</v>
      </c>
      <c r="F222" s="119" t="s">
        <v>85</v>
      </c>
      <c r="G222" s="122"/>
      <c r="H222" s="113" t="str">
        <f t="shared" si="7"/>
        <v>SE</v>
      </c>
      <c r="I222" s="113" t="s">
        <v>68</v>
      </c>
      <c r="J222"/>
    </row>
    <row r="223" spans="1:10">
      <c r="A223" s="114" t="str">
        <f t="shared" si="6"/>
        <v>1010000ELEC PLANT IN SERV3970000COMMUNICATION EQUIPMENTSG</v>
      </c>
      <c r="B223" s="119">
        <v>1010000</v>
      </c>
      <c r="C223" s="119" t="s">
        <v>1453</v>
      </c>
      <c r="D223" s="119">
        <v>3970000</v>
      </c>
      <c r="E223" s="121" t="s">
        <v>1539</v>
      </c>
      <c r="F223" s="119" t="s">
        <v>87</v>
      </c>
      <c r="G223" s="122"/>
      <c r="H223" s="113" t="str">
        <f t="shared" si="7"/>
        <v>SG</v>
      </c>
      <c r="I223" s="113" t="s">
        <v>69</v>
      </c>
      <c r="J223"/>
    </row>
    <row r="224" spans="1:10">
      <c r="A224" s="114" t="str">
        <f t="shared" si="6"/>
        <v>1010000ELEC PLANT IN SERV3970000COMMUNICATION EQUIPMENTSITUS</v>
      </c>
      <c r="B224" s="119">
        <v>1010000</v>
      </c>
      <c r="C224" s="119" t="s">
        <v>1453</v>
      </c>
      <c r="D224" s="119">
        <v>3970000</v>
      </c>
      <c r="E224" s="121" t="s">
        <v>1539</v>
      </c>
      <c r="F224" s="119" t="s">
        <v>12</v>
      </c>
      <c r="G224" s="122"/>
      <c r="H224" s="113" t="str">
        <f t="shared" si="7"/>
        <v>SITUS</v>
      </c>
      <c r="I224" s="113" t="s">
        <v>96</v>
      </c>
      <c r="J224"/>
    </row>
    <row r="225" spans="1:10">
      <c r="A225" s="114" t="str">
        <f t="shared" si="6"/>
        <v>1010000ELEC PLANT IN SERV3970000COMMUNICATION EQUIPMENTSO</v>
      </c>
      <c r="B225" s="119">
        <v>1010000</v>
      </c>
      <c r="C225" s="119" t="s">
        <v>1453</v>
      </c>
      <c r="D225" s="119">
        <v>3970000</v>
      </c>
      <c r="E225" s="121" t="s">
        <v>1539</v>
      </c>
      <c r="F225" s="119" t="s">
        <v>89</v>
      </c>
      <c r="G225" s="122"/>
      <c r="H225" s="113" t="str">
        <f t="shared" si="7"/>
        <v>SO</v>
      </c>
      <c r="I225" s="113" t="s">
        <v>92</v>
      </c>
      <c r="J225"/>
    </row>
    <row r="226" spans="1:10">
      <c r="A226" s="114" t="str">
        <f t="shared" si="6"/>
        <v>1010000ELEC PLANT IN SERV3970000COMMUNICATION EQUIPMENTSITUS</v>
      </c>
      <c r="B226" s="119">
        <v>1010000</v>
      </c>
      <c r="C226" s="119" t="s">
        <v>1453</v>
      </c>
      <c r="D226" s="119">
        <v>3970000</v>
      </c>
      <c r="E226" s="121" t="s">
        <v>1539</v>
      </c>
      <c r="F226" s="119" t="s">
        <v>12</v>
      </c>
      <c r="G226" s="122"/>
      <c r="H226" s="113" t="str">
        <f t="shared" si="7"/>
        <v>SITUS</v>
      </c>
      <c r="I226" s="113" t="s">
        <v>96</v>
      </c>
      <c r="J226"/>
    </row>
    <row r="227" spans="1:10">
      <c r="A227" s="114" t="str">
        <f t="shared" si="6"/>
        <v>1010000ELEC PLANT IN SERV3970000COMMUNICATION EQUIPMENTSITUS</v>
      </c>
      <c r="B227" s="119">
        <v>1010000</v>
      </c>
      <c r="C227" s="119" t="s">
        <v>1453</v>
      </c>
      <c r="D227" s="119">
        <v>3970000</v>
      </c>
      <c r="E227" s="121" t="s">
        <v>1539</v>
      </c>
      <c r="F227" s="119" t="s">
        <v>12</v>
      </c>
      <c r="G227" s="122"/>
      <c r="H227" s="113" t="str">
        <f t="shared" si="7"/>
        <v>SITUS</v>
      </c>
      <c r="I227" s="113" t="s">
        <v>96</v>
      </c>
      <c r="J227"/>
    </row>
    <row r="228" spans="1:10">
      <c r="A228" s="114" t="str">
        <f t="shared" si="6"/>
        <v>1010000ELEC PLANT IN SERV3970000COMMUNICATION EQUIPMENTSITUS</v>
      </c>
      <c r="B228" s="119">
        <v>1010000</v>
      </c>
      <c r="C228" s="119" t="s">
        <v>1453</v>
      </c>
      <c r="D228" s="119">
        <v>3970000</v>
      </c>
      <c r="E228" s="121" t="s">
        <v>1539</v>
      </c>
      <c r="F228" s="119" t="s">
        <v>12</v>
      </c>
      <c r="G228" s="122"/>
      <c r="H228" s="113" t="str">
        <f t="shared" si="7"/>
        <v>SITUS</v>
      </c>
      <c r="I228" s="113" t="s">
        <v>96</v>
      </c>
      <c r="J228"/>
    </row>
    <row r="229" spans="1:10">
      <c r="A229" s="114" t="str">
        <f t="shared" si="6"/>
        <v>1010000ELEC PLANT IN SERV3970000COMMUNICATION EQUIPMENTSITUS</v>
      </c>
      <c r="B229" s="119">
        <v>1010000</v>
      </c>
      <c r="C229" s="119" t="s">
        <v>1453</v>
      </c>
      <c r="D229" s="119">
        <v>3970000</v>
      </c>
      <c r="E229" s="121" t="s">
        <v>1539</v>
      </c>
      <c r="F229" s="119" t="s">
        <v>12</v>
      </c>
      <c r="G229" s="122"/>
      <c r="H229" s="113" t="str">
        <f t="shared" si="7"/>
        <v>SITUS</v>
      </c>
      <c r="I229" s="113" t="s">
        <v>96</v>
      </c>
      <c r="J229"/>
    </row>
    <row r="230" spans="1:10">
      <c r="A230" s="114" t="str">
        <f t="shared" si="6"/>
        <v>1010000ELEC PLANT IN SERV3972000MOBILE RADIO EQUIPMENTSITUS</v>
      </c>
      <c r="B230" s="119">
        <v>1010000</v>
      </c>
      <c r="C230" s="119" t="s">
        <v>1453</v>
      </c>
      <c r="D230" s="119">
        <v>3972000</v>
      </c>
      <c r="E230" s="121" t="s">
        <v>1540</v>
      </c>
      <c r="F230" s="119" t="s">
        <v>12</v>
      </c>
      <c r="G230" s="122"/>
      <c r="H230" s="113" t="str">
        <f t="shared" si="7"/>
        <v>SITUS</v>
      </c>
      <c r="I230" s="113" t="s">
        <v>96</v>
      </c>
      <c r="J230"/>
    </row>
    <row r="231" spans="1:10">
      <c r="A231" s="114" t="str">
        <f t="shared" si="6"/>
        <v>1010000ELEC PLANT IN SERV3972000MOBILE RADIO EQUIPMENTSITUS</v>
      </c>
      <c r="B231" s="119">
        <v>1010000</v>
      </c>
      <c r="C231" s="119" t="s">
        <v>1453</v>
      </c>
      <c r="D231" s="119">
        <v>3972000</v>
      </c>
      <c r="E231" s="121" t="s">
        <v>1540</v>
      </c>
      <c r="F231" s="119" t="s">
        <v>12</v>
      </c>
      <c r="G231" s="122"/>
      <c r="H231" s="113" t="str">
        <f t="shared" si="7"/>
        <v>SITUS</v>
      </c>
      <c r="I231" s="113" t="s">
        <v>96</v>
      </c>
      <c r="J231"/>
    </row>
    <row r="232" spans="1:10">
      <c r="A232" s="114" t="str">
        <f t="shared" si="6"/>
        <v>1010000ELEC PLANT IN SERV3972000MOBILE RADIO EQUIPMENTSE</v>
      </c>
      <c r="B232" s="119">
        <v>1010000</v>
      </c>
      <c r="C232" s="119" t="s">
        <v>1453</v>
      </c>
      <c r="D232" s="119">
        <v>3972000</v>
      </c>
      <c r="E232" s="121" t="s">
        <v>1540</v>
      </c>
      <c r="F232" s="119" t="s">
        <v>85</v>
      </c>
      <c r="G232" s="122"/>
      <c r="H232" s="113" t="str">
        <f t="shared" si="7"/>
        <v>SE</v>
      </c>
      <c r="I232" s="113" t="s">
        <v>68</v>
      </c>
      <c r="J232"/>
    </row>
    <row r="233" spans="1:10">
      <c r="A233" s="114" t="str">
        <f t="shared" si="6"/>
        <v>1010000ELEC PLANT IN SERV3972000MOBILE RADIO EQUIPMENTSG</v>
      </c>
      <c r="B233" s="119">
        <v>1010000</v>
      </c>
      <c r="C233" s="119" t="s">
        <v>1453</v>
      </c>
      <c r="D233" s="119">
        <v>3972000</v>
      </c>
      <c r="E233" s="121" t="s">
        <v>1540</v>
      </c>
      <c r="F233" s="119" t="s">
        <v>87</v>
      </c>
      <c r="G233" s="122"/>
      <c r="H233" s="113" t="str">
        <f t="shared" si="7"/>
        <v>SG</v>
      </c>
      <c r="I233" s="113" t="s">
        <v>68</v>
      </c>
      <c r="J233"/>
    </row>
    <row r="234" spans="1:10">
      <c r="A234" s="114" t="str">
        <f t="shared" si="6"/>
        <v>1010000ELEC PLANT IN SERV3972000MOBILE RADIO EQUIPMENTSITUS</v>
      </c>
      <c r="B234" s="119">
        <v>1010000</v>
      </c>
      <c r="C234" s="119" t="s">
        <v>1453</v>
      </c>
      <c r="D234" s="119">
        <v>3972000</v>
      </c>
      <c r="E234" s="121" t="s">
        <v>1540</v>
      </c>
      <c r="F234" s="119" t="s">
        <v>12</v>
      </c>
      <c r="G234" s="122"/>
      <c r="H234" s="113" t="str">
        <f t="shared" si="7"/>
        <v>SITUS</v>
      </c>
      <c r="I234" s="113" t="s">
        <v>96</v>
      </c>
      <c r="J234"/>
    </row>
    <row r="235" spans="1:10">
      <c r="A235" s="114" t="str">
        <f t="shared" si="6"/>
        <v>1010000ELEC PLANT IN SERV3972000MOBILE RADIO EQUIPMENTSO</v>
      </c>
      <c r="B235" s="119">
        <v>1010000</v>
      </c>
      <c r="C235" s="119" t="s">
        <v>1453</v>
      </c>
      <c r="D235" s="119">
        <v>3972000</v>
      </c>
      <c r="E235" s="121" t="s">
        <v>1540</v>
      </c>
      <c r="F235" s="119" t="s">
        <v>89</v>
      </c>
      <c r="G235" s="122"/>
      <c r="H235" s="113" t="str">
        <f t="shared" si="7"/>
        <v>SO</v>
      </c>
      <c r="I235" s="113" t="s">
        <v>92</v>
      </c>
      <c r="J235"/>
    </row>
    <row r="236" spans="1:10">
      <c r="A236" s="114" t="str">
        <f t="shared" si="6"/>
        <v>1010000ELEC PLANT IN SERV3972000MOBILE RADIO EQUIPMENTSITUS</v>
      </c>
      <c r="B236" s="119">
        <v>1010000</v>
      </c>
      <c r="C236" s="119" t="s">
        <v>1453</v>
      </c>
      <c r="D236" s="119">
        <v>3972000</v>
      </c>
      <c r="E236" s="121" t="s">
        <v>1540</v>
      </c>
      <c r="F236" s="119" t="s">
        <v>12</v>
      </c>
      <c r="G236" s="122"/>
      <c r="H236" s="113" t="str">
        <f t="shared" si="7"/>
        <v>SITUS</v>
      </c>
      <c r="I236" s="113" t="s">
        <v>96</v>
      </c>
      <c r="J236"/>
    </row>
    <row r="237" spans="1:10">
      <c r="A237" s="114" t="str">
        <f t="shared" si="6"/>
        <v>1010000ELEC PLANT IN SERV3972000MOBILE RADIO EQUIPMENTSITUS</v>
      </c>
      <c r="B237" s="119">
        <v>1010000</v>
      </c>
      <c r="C237" s="119" t="s">
        <v>1453</v>
      </c>
      <c r="D237" s="119">
        <v>3972000</v>
      </c>
      <c r="E237" s="121" t="s">
        <v>1540</v>
      </c>
      <c r="F237" s="119" t="s">
        <v>12</v>
      </c>
      <c r="G237" s="122"/>
      <c r="H237" s="113" t="str">
        <f t="shared" si="7"/>
        <v>SITUS</v>
      </c>
      <c r="I237" s="113" t="s">
        <v>96</v>
      </c>
      <c r="J237"/>
    </row>
    <row r="238" spans="1:10">
      <c r="A238" s="114" t="str">
        <f t="shared" si="6"/>
        <v>1010000ELEC PLANT IN SERV3972000MOBILE RADIO EQUIPMENTSITUS</v>
      </c>
      <c r="B238" s="119">
        <v>1010000</v>
      </c>
      <c r="C238" s="119" t="s">
        <v>1453</v>
      </c>
      <c r="D238" s="119">
        <v>3972000</v>
      </c>
      <c r="E238" s="121" t="s">
        <v>1540</v>
      </c>
      <c r="F238" s="119" t="s">
        <v>12</v>
      </c>
      <c r="G238" s="122"/>
      <c r="H238" s="113" t="str">
        <f t="shared" si="7"/>
        <v>SITUS</v>
      </c>
      <c r="I238" s="113" t="s">
        <v>96</v>
      </c>
      <c r="J238"/>
    </row>
    <row r="239" spans="1:10">
      <c r="A239" s="114" t="str">
        <f t="shared" si="6"/>
        <v>1010000ELEC PLANT IN SERV3972000MOBILE RADIO EQUIPMENTSITUS</v>
      </c>
      <c r="B239" s="119">
        <v>1010000</v>
      </c>
      <c r="C239" s="119" t="s">
        <v>1453</v>
      </c>
      <c r="D239" s="119">
        <v>3972000</v>
      </c>
      <c r="E239" s="121" t="s">
        <v>1540</v>
      </c>
      <c r="F239" s="119" t="s">
        <v>12</v>
      </c>
      <c r="G239" s="122"/>
      <c r="H239" s="113" t="str">
        <f t="shared" si="7"/>
        <v>SITUS</v>
      </c>
      <c r="I239" s="113" t="s">
        <v>96</v>
      </c>
      <c r="J239"/>
    </row>
    <row r="240" spans="1:10">
      <c r="A240" s="114" t="str">
        <f t="shared" si="6"/>
        <v>1010000ELEC PLANT IN SERV3980000MISCELLANEOUS EQUIPMENTCN</v>
      </c>
      <c r="B240" s="119">
        <v>1010000</v>
      </c>
      <c r="C240" s="119" t="s">
        <v>1453</v>
      </c>
      <c r="D240" s="119">
        <v>3980000</v>
      </c>
      <c r="E240" s="121" t="s">
        <v>1541</v>
      </c>
      <c r="F240" s="119" t="s">
        <v>84</v>
      </c>
      <c r="G240" s="122"/>
      <c r="H240" s="113" t="str">
        <f t="shared" si="7"/>
        <v>CN</v>
      </c>
      <c r="I240" s="113" t="s">
        <v>73</v>
      </c>
      <c r="J240"/>
    </row>
    <row r="241" spans="1:10">
      <c r="A241" s="114" t="str">
        <f t="shared" si="6"/>
        <v>1010000ELEC PLANT IN SERV3980000MISCELLANEOUS EQUIPMENTSITUS</v>
      </c>
      <c r="B241" s="119">
        <v>1010000</v>
      </c>
      <c r="C241" s="119" t="s">
        <v>1453</v>
      </c>
      <c r="D241" s="119">
        <v>3980000</v>
      </c>
      <c r="E241" s="121" t="s">
        <v>1541</v>
      </c>
      <c r="F241" s="119" t="s">
        <v>12</v>
      </c>
      <c r="G241" s="122"/>
      <c r="H241" s="113" t="str">
        <f t="shared" si="7"/>
        <v>SITUS</v>
      </c>
      <c r="I241" s="113" t="s">
        <v>96</v>
      </c>
      <c r="J241"/>
    </row>
    <row r="242" spans="1:10">
      <c r="A242" s="114" t="str">
        <f t="shared" si="6"/>
        <v>1010000ELEC PLANT IN SERV3980000MISCELLANEOUS EQUIPMENTSITUS</v>
      </c>
      <c r="B242" s="119">
        <v>1010000</v>
      </c>
      <c r="C242" s="119" t="s">
        <v>1453</v>
      </c>
      <c r="D242" s="119">
        <v>3980000</v>
      </c>
      <c r="E242" s="121" t="s">
        <v>1541</v>
      </c>
      <c r="F242" s="119" t="s">
        <v>12</v>
      </c>
      <c r="G242" s="122"/>
      <c r="H242" s="113" t="str">
        <f t="shared" si="7"/>
        <v>SITUS</v>
      </c>
      <c r="I242" s="113" t="s">
        <v>96</v>
      </c>
      <c r="J242"/>
    </row>
    <row r="243" spans="1:10">
      <c r="A243" s="114" t="str">
        <f t="shared" si="6"/>
        <v>1010000ELEC PLANT IN SERV3980000MISCELLANEOUS EQUIPMENTSE</v>
      </c>
      <c r="B243" s="119">
        <v>1010000</v>
      </c>
      <c r="C243" s="119" t="s">
        <v>1453</v>
      </c>
      <c r="D243" s="119">
        <v>3980000</v>
      </c>
      <c r="E243" s="121" t="s">
        <v>1541</v>
      </c>
      <c r="F243" s="119" t="s">
        <v>85</v>
      </c>
      <c r="G243" s="122"/>
      <c r="H243" s="113" t="str">
        <f t="shared" si="7"/>
        <v>SE</v>
      </c>
      <c r="I243" s="113" t="s">
        <v>68</v>
      </c>
      <c r="J243"/>
    </row>
    <row r="244" spans="1:10">
      <c r="A244" s="114" t="str">
        <f t="shared" si="6"/>
        <v>1010000ELEC PLANT IN SERV3980000MISCELLANEOUS EQUIPMENTSG</v>
      </c>
      <c r="B244" s="119">
        <v>1010000</v>
      </c>
      <c r="C244" s="119" t="s">
        <v>1453</v>
      </c>
      <c r="D244" s="119">
        <v>3980000</v>
      </c>
      <c r="E244" s="121" t="s">
        <v>1541</v>
      </c>
      <c r="F244" s="119" t="s">
        <v>87</v>
      </c>
      <c r="G244" s="122"/>
      <c r="H244" s="113" t="str">
        <f t="shared" si="7"/>
        <v>SG</v>
      </c>
      <c r="I244" s="113" t="s">
        <v>68</v>
      </c>
      <c r="J244"/>
    </row>
    <row r="245" spans="1:10">
      <c r="A245" s="114" t="str">
        <f t="shared" si="6"/>
        <v>1010000ELEC PLANT IN SERV3980000MISCELLANEOUS EQUIPMENTSITUS</v>
      </c>
      <c r="B245" s="119">
        <v>1010000</v>
      </c>
      <c r="C245" s="119" t="s">
        <v>1453</v>
      </c>
      <c r="D245" s="119">
        <v>3980000</v>
      </c>
      <c r="E245" s="121" t="s">
        <v>1541</v>
      </c>
      <c r="F245" s="119" t="s">
        <v>12</v>
      </c>
      <c r="G245" s="122"/>
      <c r="H245" s="113" t="str">
        <f t="shared" si="7"/>
        <v>SITUS</v>
      </c>
      <c r="I245" s="113" t="s">
        <v>96</v>
      </c>
      <c r="J245"/>
    </row>
    <row r="246" spans="1:10">
      <c r="A246" s="114" t="str">
        <f t="shared" si="6"/>
        <v>1010000ELEC PLANT IN SERV3980000MISCELLANEOUS EQUIPMENTSO</v>
      </c>
      <c r="B246" s="119">
        <v>1010000</v>
      </c>
      <c r="C246" s="119" t="s">
        <v>1453</v>
      </c>
      <c r="D246" s="119">
        <v>3980000</v>
      </c>
      <c r="E246" s="121" t="s">
        <v>1541</v>
      </c>
      <c r="F246" s="119" t="s">
        <v>89</v>
      </c>
      <c r="G246" s="122"/>
      <c r="H246" s="113" t="str">
        <f t="shared" si="7"/>
        <v>SO</v>
      </c>
      <c r="I246" s="113" t="s">
        <v>92</v>
      </c>
      <c r="J246"/>
    </row>
    <row r="247" spans="1:10">
      <c r="A247" s="114" t="str">
        <f t="shared" si="6"/>
        <v>1010000ELEC PLANT IN SERV3980000MISCELLANEOUS EQUIPMENTSITUS</v>
      </c>
      <c r="B247" s="119">
        <v>1010000</v>
      </c>
      <c r="C247" s="119" t="s">
        <v>1453</v>
      </c>
      <c r="D247" s="119">
        <v>3980000</v>
      </c>
      <c r="E247" s="121" t="s">
        <v>1541</v>
      </c>
      <c r="F247" s="119" t="s">
        <v>12</v>
      </c>
      <c r="G247" s="122"/>
      <c r="H247" s="113" t="str">
        <f t="shared" si="7"/>
        <v>SITUS</v>
      </c>
      <c r="I247" s="113" t="s">
        <v>96</v>
      </c>
      <c r="J247"/>
    </row>
    <row r="248" spans="1:10">
      <c r="A248" s="114" t="str">
        <f t="shared" si="6"/>
        <v>1010000ELEC PLANT IN SERV3980000MISCELLANEOUS EQUIPMENTSITUS</v>
      </c>
      <c r="B248" s="119">
        <v>1010000</v>
      </c>
      <c r="C248" s="119" t="s">
        <v>1453</v>
      </c>
      <c r="D248" s="119">
        <v>3980000</v>
      </c>
      <c r="E248" s="121" t="s">
        <v>1541</v>
      </c>
      <c r="F248" s="119" t="s">
        <v>12</v>
      </c>
      <c r="G248" s="122"/>
      <c r="H248" s="113" t="str">
        <f t="shared" si="7"/>
        <v>SITUS</v>
      </c>
      <c r="I248" s="113" t="s">
        <v>96</v>
      </c>
      <c r="J248"/>
    </row>
    <row r="249" spans="1:10">
      <c r="A249" s="114" t="str">
        <f t="shared" si="6"/>
        <v>1010000ELEC PLANT IN SERV3980000MISCELLANEOUS EQUIPMENTSITUS</v>
      </c>
      <c r="B249" s="119">
        <v>1010000</v>
      </c>
      <c r="C249" s="119" t="s">
        <v>1453</v>
      </c>
      <c r="D249" s="119">
        <v>3980000</v>
      </c>
      <c r="E249" s="121" t="s">
        <v>1541</v>
      </c>
      <c r="F249" s="119" t="s">
        <v>12</v>
      </c>
      <c r="G249" s="122"/>
      <c r="H249" s="113" t="str">
        <f t="shared" si="7"/>
        <v>SITUS</v>
      </c>
      <c r="I249" s="113" t="s">
        <v>96</v>
      </c>
      <c r="J249"/>
    </row>
    <row r="250" spans="1:10">
      <c r="A250" s="114" t="str">
        <f t="shared" si="6"/>
        <v>1010000ELEC PLANT IN SERV3980000MISCELLANEOUS EQUIPMENTSITUS</v>
      </c>
      <c r="B250" s="119">
        <v>1010000</v>
      </c>
      <c r="C250" s="119" t="s">
        <v>1453</v>
      </c>
      <c r="D250" s="119">
        <v>3980000</v>
      </c>
      <c r="E250" s="121" t="s">
        <v>1541</v>
      </c>
      <c r="F250" s="119" t="s">
        <v>12</v>
      </c>
      <c r="G250" s="122"/>
      <c r="H250" s="113" t="str">
        <f t="shared" si="7"/>
        <v>SITUS</v>
      </c>
      <c r="I250" s="113" t="s">
        <v>96</v>
      </c>
      <c r="J250"/>
    </row>
    <row r="251" spans="1:10">
      <c r="A251" s="114" t="str">
        <f t="shared" si="6"/>
        <v>1010000ELEC PLANT IN SERV3992100LAND OWNED IN FEESE</v>
      </c>
      <c r="B251" s="119">
        <v>1010000</v>
      </c>
      <c r="C251" s="119" t="s">
        <v>1453</v>
      </c>
      <c r="D251" s="119">
        <v>3992100</v>
      </c>
      <c r="E251" s="121" t="s">
        <v>1513</v>
      </c>
      <c r="F251" s="119" t="s">
        <v>85</v>
      </c>
      <c r="G251" s="122"/>
      <c r="H251" s="113" t="str">
        <f t="shared" si="7"/>
        <v>SE</v>
      </c>
      <c r="I251" s="113" t="s">
        <v>68</v>
      </c>
      <c r="J251"/>
    </row>
    <row r="252" spans="1:10">
      <c r="A252" s="114" t="str">
        <f t="shared" si="6"/>
        <v>1010000ELEC PLANT IN SERV3892000LAND RIGHTSSO</v>
      </c>
      <c r="B252" s="125">
        <v>1010000</v>
      </c>
      <c r="C252" s="119" t="s">
        <v>1453</v>
      </c>
      <c r="D252" s="125">
        <v>3892000</v>
      </c>
      <c r="E252" s="121" t="s">
        <v>1514</v>
      </c>
      <c r="F252" s="119" t="s">
        <v>89</v>
      </c>
      <c r="G252" s="124"/>
      <c r="H252" s="113" t="str">
        <f t="shared" si="7"/>
        <v>SO</v>
      </c>
      <c r="I252" s="113" t="s">
        <v>92</v>
      </c>
      <c r="J252"/>
    </row>
    <row r="253" spans="1:10" s="115" customFormat="1">
      <c r="A253" s="114" t="str">
        <f t="shared" si="6"/>
        <v>1010000ELEC PLANT IN SERV3891000LAND OWNED IN FEECAGE</v>
      </c>
      <c r="B253" s="125" t="s">
        <v>1809</v>
      </c>
      <c r="C253" s="119" t="s">
        <v>1453</v>
      </c>
      <c r="D253" s="125" t="s">
        <v>1811</v>
      </c>
      <c r="E253" s="121" t="s">
        <v>1513</v>
      </c>
      <c r="F253" s="119" t="s">
        <v>3106</v>
      </c>
      <c r="G253" s="122"/>
      <c r="H253" s="113" t="str">
        <f t="shared" ref="H253" si="8">IF(OR(F253="IDU",F253="OR",F253="UT",F253="WYU",F253="WYP",F253="CA",F253="WA"),"SITUS",F253)</f>
        <v>CAGE</v>
      </c>
      <c r="I253" s="113" t="s">
        <v>68</v>
      </c>
    </row>
    <row r="254" spans="1:10">
      <c r="A254" s="114" t="str">
        <f t="shared" si="6"/>
        <v>1010000ELEC PLANT IN SERV3900000STRUCTURES AND IMPROVEMENTSCAEE</v>
      </c>
      <c r="B254" s="125" t="s">
        <v>1809</v>
      </c>
      <c r="C254" s="119" t="s">
        <v>1453</v>
      </c>
      <c r="D254" s="125" t="s">
        <v>1796</v>
      </c>
      <c r="E254" s="121" t="s">
        <v>1515</v>
      </c>
      <c r="F254" s="119" t="s">
        <v>3110</v>
      </c>
      <c r="H254" s="113" t="str">
        <f t="shared" ref="H254:H256" si="9">IF(OR(F254="IDU",F254="OR",F254="UT",F254="WYU",F254="WYP",F254="CA",F254="WA"),"SITUS",F254)</f>
        <v>CAEE</v>
      </c>
      <c r="I254" s="113" t="s">
        <v>68</v>
      </c>
    </row>
    <row r="255" spans="1:10">
      <c r="A255" s="114" t="str">
        <f t="shared" si="6"/>
        <v>1010000ELEC PLANT IN SERV3900000STRUCTURES AND IMPROVEMENTSCAGE</v>
      </c>
      <c r="B255" s="125" t="s">
        <v>1809</v>
      </c>
      <c r="C255" s="119" t="s">
        <v>1453</v>
      </c>
      <c r="D255" s="125" t="s">
        <v>1796</v>
      </c>
      <c r="E255" s="121" t="s">
        <v>1515</v>
      </c>
      <c r="F255" s="119" t="s">
        <v>3106</v>
      </c>
      <c r="H255" s="113" t="str">
        <f t="shared" si="9"/>
        <v>CAGE</v>
      </c>
      <c r="I255" s="113" t="s">
        <v>68</v>
      </c>
    </row>
    <row r="256" spans="1:10">
      <c r="A256" s="114" t="str">
        <f t="shared" si="6"/>
        <v>1010000ELEC PLANT IN SERV3900000STRUCTURES AND IMPROVEMENTSCAGW</v>
      </c>
      <c r="B256" s="125" t="s">
        <v>1809</v>
      </c>
      <c r="C256" s="119" t="s">
        <v>1453</v>
      </c>
      <c r="D256" s="125" t="s">
        <v>1796</v>
      </c>
      <c r="E256" s="121" t="s">
        <v>1515</v>
      </c>
      <c r="F256" s="119" t="s">
        <v>3108</v>
      </c>
      <c r="H256" s="113" t="str">
        <f t="shared" si="9"/>
        <v>CAGW</v>
      </c>
      <c r="I256" s="113" t="s">
        <v>68</v>
      </c>
    </row>
    <row r="257" spans="1:9">
      <c r="A257" s="114" t="str">
        <f t="shared" si="6"/>
        <v>1010000ELEC PLANT IN SERV3910000OFFICE FURNITURECAEE</v>
      </c>
      <c r="B257" s="125" t="s">
        <v>1809</v>
      </c>
      <c r="C257" s="119" t="s">
        <v>1453</v>
      </c>
      <c r="D257" s="125" t="s">
        <v>1797</v>
      </c>
      <c r="E257" s="121" t="s">
        <v>1517</v>
      </c>
      <c r="F257" s="119" t="s">
        <v>3110</v>
      </c>
      <c r="H257" s="113" t="str">
        <f t="shared" ref="H257:H259" si="10">IF(OR(F257="IDU",F257="OR",F257="UT",F257="WYU",F257="WYP",F257="CA",F257="WA"),"SITUS",F257)</f>
        <v>CAEE</v>
      </c>
      <c r="I257" s="113" t="s">
        <v>68</v>
      </c>
    </row>
    <row r="258" spans="1:9">
      <c r="A258" s="114" t="str">
        <f t="shared" si="6"/>
        <v>1010000ELEC PLANT IN SERV3910000OFFICE FURNITURECAGE</v>
      </c>
      <c r="B258" s="125" t="s">
        <v>1809</v>
      </c>
      <c r="C258" s="119" t="s">
        <v>1453</v>
      </c>
      <c r="D258" s="125" t="s">
        <v>1797</v>
      </c>
      <c r="E258" s="121" t="s">
        <v>1517</v>
      </c>
      <c r="F258" s="119" t="s">
        <v>3106</v>
      </c>
      <c r="H258" s="113" t="str">
        <f t="shared" si="10"/>
        <v>CAGE</v>
      </c>
      <c r="I258" s="113" t="s">
        <v>68</v>
      </c>
    </row>
    <row r="259" spans="1:9">
      <c r="A259" s="114" t="str">
        <f t="shared" ref="A259:A322" si="11">CONCATENATE($B259,$C259,$D259,$E259,$H259)</f>
        <v>1010000ELEC PLANT IN SERV3910000OFFICE FURNITURECAGW</v>
      </c>
      <c r="B259" s="125" t="s">
        <v>1809</v>
      </c>
      <c r="C259" s="119" t="s">
        <v>1453</v>
      </c>
      <c r="D259" s="125" t="s">
        <v>1797</v>
      </c>
      <c r="E259" s="121" t="s">
        <v>1517</v>
      </c>
      <c r="F259" s="119" t="s">
        <v>3108</v>
      </c>
      <c r="H259" s="113" t="str">
        <f t="shared" si="10"/>
        <v>CAGW</v>
      </c>
      <c r="I259" s="113" t="s">
        <v>68</v>
      </c>
    </row>
    <row r="260" spans="1:9">
      <c r="A260" s="114" t="str">
        <f t="shared" si="11"/>
        <v>1010000ELEC PLANT IN SERV3910000OFFICE FURNITUREJBG</v>
      </c>
      <c r="B260" s="125" t="s">
        <v>1809</v>
      </c>
      <c r="C260" s="119" t="s">
        <v>1453</v>
      </c>
      <c r="D260" s="125" t="s">
        <v>1797</v>
      </c>
      <c r="E260" s="121" t="s">
        <v>1517</v>
      </c>
      <c r="F260" s="119" t="s">
        <v>3107</v>
      </c>
      <c r="H260" s="113" t="str">
        <f t="shared" ref="H260" si="12">IF(OR(F260="IDU",F260="OR",F260="UT",F260="WYU",F260="WYP",F260="CA",F260="WA"),"SITUS",F260)</f>
        <v>JBG</v>
      </c>
      <c r="I260" s="113" t="s">
        <v>68</v>
      </c>
    </row>
    <row r="261" spans="1:9">
      <c r="A261" s="114" t="str">
        <f t="shared" si="11"/>
        <v>1010000ELEC PLANT IN SERV3912000COMPUTER EQUIPMENT - PERSONAL COMPUTERSCAEE</v>
      </c>
      <c r="B261" s="125" t="s">
        <v>1809</v>
      </c>
      <c r="C261" s="119" t="s">
        <v>1453</v>
      </c>
      <c r="D261" s="125" t="s">
        <v>1798</v>
      </c>
      <c r="E261" s="121" t="s">
        <v>1518</v>
      </c>
      <c r="F261" s="119" t="s">
        <v>3110</v>
      </c>
      <c r="G261" s="122"/>
      <c r="H261" s="113" t="str">
        <f t="shared" ref="H261:H263" si="13">IF(OR(F261="IDU",F261="OR",F261="UT",F261="WYU",F261="WYP",F261="CA",F261="WA"),"SITUS",F261)</f>
        <v>CAEE</v>
      </c>
      <c r="I261" s="113" t="s">
        <v>68</v>
      </c>
    </row>
    <row r="262" spans="1:9">
      <c r="A262" s="114" t="str">
        <f t="shared" si="11"/>
        <v>1010000ELEC PLANT IN SERV3912000COMPUTER EQUIPMENT - PERSONAL COMPUTERSCAGE</v>
      </c>
      <c r="B262" s="125" t="s">
        <v>1809</v>
      </c>
      <c r="C262" s="119" t="s">
        <v>1453</v>
      </c>
      <c r="D262" s="125" t="s">
        <v>1798</v>
      </c>
      <c r="E262" s="121" t="s">
        <v>1518</v>
      </c>
      <c r="F262" s="119" t="s">
        <v>3106</v>
      </c>
      <c r="G262" s="122"/>
      <c r="H262" s="113" t="str">
        <f t="shared" si="13"/>
        <v>CAGE</v>
      </c>
      <c r="I262" s="113" t="s">
        <v>68</v>
      </c>
    </row>
    <row r="263" spans="1:9">
      <c r="A263" s="114" t="str">
        <f t="shared" si="11"/>
        <v>1010000ELEC PLANT IN SERV3912000COMPUTER EQUIPMENT - PERSONAL COMPUTERSCAGW</v>
      </c>
      <c r="B263" s="125" t="s">
        <v>1809</v>
      </c>
      <c r="C263" s="119" t="s">
        <v>1453</v>
      </c>
      <c r="D263" s="125" t="s">
        <v>1798</v>
      </c>
      <c r="E263" s="121" t="s">
        <v>1518</v>
      </c>
      <c r="F263" s="119" t="s">
        <v>3108</v>
      </c>
      <c r="G263" s="122"/>
      <c r="H263" s="113" t="str">
        <f t="shared" si="13"/>
        <v>CAGW</v>
      </c>
      <c r="I263" s="113" t="s">
        <v>68</v>
      </c>
    </row>
    <row r="264" spans="1:9">
      <c r="A264" s="114" t="str">
        <f t="shared" si="11"/>
        <v>1010000ELEC PLANT IN SERV3912000COMPUTER EQUIPMENT - PERSONAL COMPUTERSJBG</v>
      </c>
      <c r="B264" s="125" t="s">
        <v>1809</v>
      </c>
      <c r="C264" s="119" t="s">
        <v>1453</v>
      </c>
      <c r="D264" s="125" t="s">
        <v>1798</v>
      </c>
      <c r="E264" s="121" t="s">
        <v>1518</v>
      </c>
      <c r="F264" s="119" t="s">
        <v>3107</v>
      </c>
      <c r="H264" s="113" t="str">
        <f t="shared" ref="H264" si="14">IF(OR(F264="IDU",F264="OR",F264="UT",F264="WYU",F264="WYP",F264="CA",F264="WA"),"SITUS",F264)</f>
        <v>JBG</v>
      </c>
      <c r="I264" s="113" t="s">
        <v>68</v>
      </c>
    </row>
    <row r="265" spans="1:9">
      <c r="A265" s="114" t="str">
        <f t="shared" si="11"/>
        <v>1010000ELEC PLANT IN SERV3913000OFFICE EQUIPMENTCAGE</v>
      </c>
      <c r="B265" s="125" t="s">
        <v>1809</v>
      </c>
      <c r="C265" s="119" t="s">
        <v>1453</v>
      </c>
      <c r="D265" s="125" t="s">
        <v>1799</v>
      </c>
      <c r="E265" s="121" t="s">
        <v>1519</v>
      </c>
      <c r="F265" s="119" t="s">
        <v>3106</v>
      </c>
      <c r="H265" s="113" t="str">
        <f t="shared" ref="H265:H266" si="15">IF(OR(F265="IDU",F265="OR",F265="UT",F265="WYU",F265="WYP",F265="CA",F265="WA"),"SITUS",F265)</f>
        <v>CAGE</v>
      </c>
      <c r="I265" s="113" t="s">
        <v>68</v>
      </c>
    </row>
    <row r="266" spans="1:9">
      <c r="A266" s="114" t="str">
        <f t="shared" si="11"/>
        <v>1010000ELEC PLANT IN SERV3913000OFFICE EQUIPMENTCAGW</v>
      </c>
      <c r="B266" s="125" t="s">
        <v>1809</v>
      </c>
      <c r="C266" s="119" t="s">
        <v>1453</v>
      </c>
      <c r="D266" s="125" t="s">
        <v>1799</v>
      </c>
      <c r="E266" s="121" t="s">
        <v>1519</v>
      </c>
      <c r="F266" s="119" t="s">
        <v>3108</v>
      </c>
      <c r="H266" s="113" t="str">
        <f t="shared" si="15"/>
        <v>CAGW</v>
      </c>
      <c r="I266" s="113" t="s">
        <v>68</v>
      </c>
    </row>
    <row r="267" spans="1:9">
      <c r="A267" s="114" t="str">
        <f t="shared" si="11"/>
        <v>1010000ELEC PLANT IN SERV39201001/4 TON MINI-PICKUPS AND VANSCAEE</v>
      </c>
      <c r="B267" s="125" t="s">
        <v>1809</v>
      </c>
      <c r="C267" s="119" t="s">
        <v>1453</v>
      </c>
      <c r="D267" s="125" t="s">
        <v>1813</v>
      </c>
      <c r="E267" s="121" t="s">
        <v>1520</v>
      </c>
      <c r="F267" s="119" t="s">
        <v>3110</v>
      </c>
      <c r="H267" s="113" t="str">
        <f t="shared" ref="H267:H269" si="16">IF(OR(F267="IDU",F267="OR",F267="UT",F267="WYU",F267="WYP",F267="CA",F267="WA"),"SITUS",F267)</f>
        <v>CAEE</v>
      </c>
      <c r="I267" s="113" t="s">
        <v>68</v>
      </c>
    </row>
    <row r="268" spans="1:9">
      <c r="A268" s="114" t="str">
        <f t="shared" si="11"/>
        <v>1010000ELEC PLANT IN SERV39201001/4 TON MINI-PICKUPS AND VANSCAGE</v>
      </c>
      <c r="B268" s="125" t="s">
        <v>1809</v>
      </c>
      <c r="C268" s="119" t="s">
        <v>1453</v>
      </c>
      <c r="D268" s="125" t="s">
        <v>1813</v>
      </c>
      <c r="E268" s="121" t="s">
        <v>1520</v>
      </c>
      <c r="F268" s="119" t="s">
        <v>3106</v>
      </c>
      <c r="H268" s="113" t="str">
        <f t="shared" si="16"/>
        <v>CAGE</v>
      </c>
      <c r="I268" s="113" t="s">
        <v>68</v>
      </c>
    </row>
    <row r="269" spans="1:9">
      <c r="A269" s="114" t="str">
        <f t="shared" si="11"/>
        <v>1010000ELEC PLANT IN SERV39201001/4 TON MINI-PICKUPS AND VANSCAGW</v>
      </c>
      <c r="B269" s="125" t="s">
        <v>1809</v>
      </c>
      <c r="C269" s="119" t="s">
        <v>1453</v>
      </c>
      <c r="D269" s="125" t="s">
        <v>1813</v>
      </c>
      <c r="E269" s="121" t="s">
        <v>1520</v>
      </c>
      <c r="F269" s="119" t="s">
        <v>3108</v>
      </c>
      <c r="H269" s="113" t="str">
        <f t="shared" si="16"/>
        <v>CAGW</v>
      </c>
      <c r="I269" s="113" t="s">
        <v>68</v>
      </c>
    </row>
    <row r="270" spans="1:9">
      <c r="A270" s="114" t="str">
        <f t="shared" si="11"/>
        <v>1010000ELEC PLANT IN SERV39201001/4 TON MINI-PICKUPS AND VANSJBG</v>
      </c>
      <c r="B270" s="125" t="s">
        <v>1809</v>
      </c>
      <c r="C270" s="119" t="s">
        <v>1453</v>
      </c>
      <c r="D270" s="125" t="s">
        <v>1813</v>
      </c>
      <c r="E270" s="121" t="s">
        <v>1520</v>
      </c>
      <c r="F270" s="119" t="s">
        <v>3107</v>
      </c>
      <c r="H270" s="113" t="str">
        <f t="shared" ref="H270" si="17">IF(OR(F270="IDU",F270="OR",F270="UT",F270="WYU",F270="WYP",F270="CA",F270="WA"),"SITUS",F270)</f>
        <v>JBG</v>
      </c>
      <c r="I270" s="113" t="s">
        <v>68</v>
      </c>
    </row>
    <row r="271" spans="1:9">
      <c r="A271" s="114" t="str">
        <f t="shared" si="11"/>
        <v>1010000ELEC PLANT IN SERV3920400"1/2 &amp; 3/4 TON PICKUPS, VANS, SERV TRUCKCAEE</v>
      </c>
      <c r="B271" s="125" t="s">
        <v>1809</v>
      </c>
      <c r="C271" s="119" t="s">
        <v>1453</v>
      </c>
      <c r="D271" s="125" t="s">
        <v>1815</v>
      </c>
      <c r="E271" s="121" t="s">
        <v>1522</v>
      </c>
      <c r="F271" s="119" t="s">
        <v>3110</v>
      </c>
      <c r="H271" s="113" t="str">
        <f t="shared" ref="H271:H273" si="18">IF(OR(F271="IDU",F271="OR",F271="UT",F271="WYU",F271="WYP",F271="CA",F271="WA"),"SITUS",F271)</f>
        <v>CAEE</v>
      </c>
      <c r="I271" s="113" t="s">
        <v>68</v>
      </c>
    </row>
    <row r="272" spans="1:9">
      <c r="A272" s="114" t="str">
        <f t="shared" si="11"/>
        <v>1010000ELEC PLANT IN SERV3920400"1/2 &amp; 3/4 TON PICKUPS, VANS, SERV TRUCKCAGE</v>
      </c>
      <c r="B272" s="125" t="s">
        <v>1809</v>
      </c>
      <c r="C272" s="119" t="s">
        <v>1453</v>
      </c>
      <c r="D272" s="125" t="s">
        <v>1815</v>
      </c>
      <c r="E272" s="121" t="s">
        <v>1522</v>
      </c>
      <c r="F272" s="119" t="s">
        <v>3106</v>
      </c>
      <c r="H272" s="113" t="str">
        <f t="shared" si="18"/>
        <v>CAGE</v>
      </c>
      <c r="I272" s="113" t="s">
        <v>68</v>
      </c>
    </row>
    <row r="273" spans="1:9">
      <c r="A273" s="114" t="str">
        <f t="shared" si="11"/>
        <v>1010000ELEC PLANT IN SERV3920400"1/2 &amp; 3/4 TON PICKUPS, VANS, SERV TRUCKCAGW</v>
      </c>
      <c r="B273" s="125" t="s">
        <v>1809</v>
      </c>
      <c r="C273" s="119" t="s">
        <v>1453</v>
      </c>
      <c r="D273" s="125" t="s">
        <v>1815</v>
      </c>
      <c r="E273" s="121" t="s">
        <v>1522</v>
      </c>
      <c r="F273" s="119" t="s">
        <v>3108</v>
      </c>
      <c r="H273" s="113" t="str">
        <f t="shared" si="18"/>
        <v>CAGW</v>
      </c>
      <c r="I273" s="113" t="s">
        <v>68</v>
      </c>
    </row>
    <row r="274" spans="1:9">
      <c r="A274" s="114" t="str">
        <f t="shared" si="11"/>
        <v>1010000ELEC PLANT IN SERV3920400"1/2 &amp; 3/4 TON PICKUPS, VANS, SERV TRUCKJBG</v>
      </c>
      <c r="B274" s="125" t="s">
        <v>1809</v>
      </c>
      <c r="C274" s="119" t="s">
        <v>1453</v>
      </c>
      <c r="D274" s="125" t="s">
        <v>1815</v>
      </c>
      <c r="E274" s="121" t="s">
        <v>1522</v>
      </c>
      <c r="F274" s="119" t="s">
        <v>3107</v>
      </c>
      <c r="H274" s="113" t="str">
        <f t="shared" ref="H274" si="19">IF(OR(F274="IDU",F274="OR",F274="UT",F274="WYU",F274="WYP",F274="CA",F274="WA"),"SITUS",F274)</f>
        <v>JBG</v>
      </c>
      <c r="I274" s="113" t="s">
        <v>68</v>
      </c>
    </row>
    <row r="275" spans="1:9">
      <c r="A275" s="114" t="str">
        <f t="shared" si="11"/>
        <v>1010000ELEC PLANT IN SERV3920500"1 TON AND ABOVE, TWO-AXLE TRUCKS"CAEE</v>
      </c>
      <c r="B275" s="125" t="s">
        <v>1809</v>
      </c>
      <c r="C275" s="119" t="s">
        <v>1453</v>
      </c>
      <c r="D275" s="125" t="s">
        <v>1816</v>
      </c>
      <c r="E275" s="121" t="s">
        <v>1523</v>
      </c>
      <c r="F275" s="119" t="s">
        <v>3110</v>
      </c>
      <c r="H275" s="113" t="str">
        <f t="shared" ref="H275:H330" si="20">IF(OR(F275="IDU",F275="OR",F275="UT",F275="WYU",F275="WYP",F275="CA",F275="WA"),"SITUS",F275)</f>
        <v>CAEE</v>
      </c>
      <c r="I275" s="113" t="s">
        <v>68</v>
      </c>
    </row>
    <row r="276" spans="1:9">
      <c r="A276" s="114" t="str">
        <f t="shared" si="11"/>
        <v>1010000ELEC PLANT IN SERV3920500"1 TON AND ABOVE, TWO-AXLE TRUCKS"CAGE</v>
      </c>
      <c r="B276" s="125" t="s">
        <v>1809</v>
      </c>
      <c r="C276" s="119" t="s">
        <v>1453</v>
      </c>
      <c r="D276" s="125" t="s">
        <v>1816</v>
      </c>
      <c r="E276" s="121" t="s">
        <v>1523</v>
      </c>
      <c r="F276" s="119" t="s">
        <v>3106</v>
      </c>
      <c r="H276" s="113" t="str">
        <f t="shared" si="20"/>
        <v>CAGE</v>
      </c>
      <c r="I276" s="113" t="s">
        <v>68</v>
      </c>
    </row>
    <row r="277" spans="1:9">
      <c r="A277" s="114" t="str">
        <f t="shared" si="11"/>
        <v>1010000ELEC PLANT IN SERV3920500"1 TON AND ABOVE, TWO-AXLE TRUCKS"CAGW</v>
      </c>
      <c r="B277" s="125" t="s">
        <v>1809</v>
      </c>
      <c r="C277" s="119" t="s">
        <v>1453</v>
      </c>
      <c r="D277" s="125" t="s">
        <v>1816</v>
      </c>
      <c r="E277" s="121" t="s">
        <v>1523</v>
      </c>
      <c r="F277" s="119" t="s">
        <v>3108</v>
      </c>
      <c r="H277" s="113" t="str">
        <f t="shared" si="20"/>
        <v>CAGW</v>
      </c>
      <c r="I277" s="113" t="s">
        <v>68</v>
      </c>
    </row>
    <row r="278" spans="1:9">
      <c r="A278" s="114" t="str">
        <f t="shared" si="11"/>
        <v>1010000ELEC PLANT IN SERV3920500"1 TON AND ABOVE, TWO-AXLE TRUCKS"JBG</v>
      </c>
      <c r="B278" s="125" t="s">
        <v>1809</v>
      </c>
      <c r="C278" s="119" t="s">
        <v>1453</v>
      </c>
      <c r="D278" s="125" t="s">
        <v>1816</v>
      </c>
      <c r="E278" s="121" t="s">
        <v>1523</v>
      </c>
      <c r="F278" s="119" t="s">
        <v>3107</v>
      </c>
      <c r="H278" s="113" t="str">
        <f t="shared" si="20"/>
        <v>JBG</v>
      </c>
      <c r="I278" s="113" t="s">
        <v>68</v>
      </c>
    </row>
    <row r="279" spans="1:9">
      <c r="A279" s="114" t="str">
        <f t="shared" si="11"/>
        <v>1010000ELEC PLANT IN SERV3920600DUMP TRUCKSCAEE</v>
      </c>
      <c r="B279" s="125" t="s">
        <v>1809</v>
      </c>
      <c r="C279" s="119" t="s">
        <v>1453</v>
      </c>
      <c r="D279" s="125" t="s">
        <v>1817</v>
      </c>
      <c r="E279" s="121" t="s">
        <v>1524</v>
      </c>
      <c r="F279" s="119" t="s">
        <v>3110</v>
      </c>
      <c r="H279" s="113" t="str">
        <f t="shared" si="20"/>
        <v>CAEE</v>
      </c>
      <c r="I279" s="113" t="s">
        <v>68</v>
      </c>
    </row>
    <row r="280" spans="1:9">
      <c r="A280" s="114" t="str">
        <f t="shared" si="11"/>
        <v>1010000ELEC PLANT IN SERV3920600DUMP TRUCKSCAGE</v>
      </c>
      <c r="B280" s="125" t="s">
        <v>1809</v>
      </c>
      <c r="C280" s="119" t="s">
        <v>1453</v>
      </c>
      <c r="D280" s="125" t="s">
        <v>1817</v>
      </c>
      <c r="E280" s="121" t="s">
        <v>1524</v>
      </c>
      <c r="F280" s="119" t="s">
        <v>3106</v>
      </c>
      <c r="H280" s="113" t="str">
        <f t="shared" si="20"/>
        <v>CAGE</v>
      </c>
      <c r="I280" s="113" t="s">
        <v>68</v>
      </c>
    </row>
    <row r="281" spans="1:9">
      <c r="A281" s="114" t="str">
        <f t="shared" si="11"/>
        <v>1010000ELEC PLANT IN SERV3920600DUMP TRUCKSCAGW</v>
      </c>
      <c r="B281" s="125" t="s">
        <v>1809</v>
      </c>
      <c r="C281" s="119" t="s">
        <v>1453</v>
      </c>
      <c r="D281" s="125" t="s">
        <v>1817</v>
      </c>
      <c r="E281" s="121" t="s">
        <v>1524</v>
      </c>
      <c r="F281" s="119" t="s">
        <v>3108</v>
      </c>
      <c r="H281" s="113" t="str">
        <f t="shared" si="20"/>
        <v>CAGW</v>
      </c>
      <c r="I281" s="113" t="s">
        <v>68</v>
      </c>
    </row>
    <row r="282" spans="1:9">
      <c r="A282" s="114" t="str">
        <f t="shared" si="11"/>
        <v>1010000ELEC PLANT IN SERV3920600DUMP TRUCKSJBG</v>
      </c>
      <c r="B282" s="125" t="s">
        <v>1809</v>
      </c>
      <c r="C282" s="119" t="s">
        <v>1453</v>
      </c>
      <c r="D282" s="125" t="s">
        <v>1817</v>
      </c>
      <c r="E282" s="121" t="s">
        <v>1524</v>
      </c>
      <c r="F282" s="119" t="s">
        <v>3107</v>
      </c>
      <c r="H282" s="113" t="str">
        <f t="shared" si="20"/>
        <v>JBG</v>
      </c>
      <c r="I282" s="113" t="s">
        <v>68</v>
      </c>
    </row>
    <row r="283" spans="1:9">
      <c r="A283" s="114" t="str">
        <f t="shared" si="11"/>
        <v>1010000ELEC PLANT IN SERV3920900TRAILERSCAEE</v>
      </c>
      <c r="B283" s="125" t="s">
        <v>1809</v>
      </c>
      <c r="C283" s="119" t="s">
        <v>1453</v>
      </c>
      <c r="D283" s="125" t="s">
        <v>1818</v>
      </c>
      <c r="E283" s="121" t="s">
        <v>1525</v>
      </c>
      <c r="F283" s="119" t="s">
        <v>3110</v>
      </c>
      <c r="H283" s="113" t="str">
        <f t="shared" si="20"/>
        <v>CAEE</v>
      </c>
      <c r="I283" s="113" t="s">
        <v>68</v>
      </c>
    </row>
    <row r="284" spans="1:9">
      <c r="A284" s="114" t="str">
        <f t="shared" si="11"/>
        <v>1010000ELEC PLANT IN SERV3920900TRAILERSCAGE</v>
      </c>
      <c r="B284" s="125" t="s">
        <v>1809</v>
      </c>
      <c r="C284" s="119" t="s">
        <v>1453</v>
      </c>
      <c r="D284" s="125" t="s">
        <v>1818</v>
      </c>
      <c r="E284" s="121" t="s">
        <v>1525</v>
      </c>
      <c r="F284" s="119" t="s">
        <v>3106</v>
      </c>
      <c r="H284" s="113" t="str">
        <f t="shared" si="20"/>
        <v>CAGE</v>
      </c>
      <c r="I284" s="113" t="s">
        <v>68</v>
      </c>
    </row>
    <row r="285" spans="1:9">
      <c r="A285" s="114" t="str">
        <f t="shared" si="11"/>
        <v>1010000ELEC PLANT IN SERV3920900TRAILERSCAGW</v>
      </c>
      <c r="B285" s="125" t="s">
        <v>1809</v>
      </c>
      <c r="C285" s="119" t="s">
        <v>1453</v>
      </c>
      <c r="D285" s="125" t="s">
        <v>1818</v>
      </c>
      <c r="E285" s="121" t="s">
        <v>1525</v>
      </c>
      <c r="F285" s="119" t="s">
        <v>3108</v>
      </c>
      <c r="H285" s="113" t="str">
        <f t="shared" si="20"/>
        <v>CAGW</v>
      </c>
      <c r="I285" s="113" t="s">
        <v>68</v>
      </c>
    </row>
    <row r="286" spans="1:9">
      <c r="A286" s="114" t="str">
        <f t="shared" si="11"/>
        <v>1010000ELEC PLANT IN SERV3920900TRAILERSJBG</v>
      </c>
      <c r="B286" s="125" t="s">
        <v>1809</v>
      </c>
      <c r="C286" s="119" t="s">
        <v>1453</v>
      </c>
      <c r="D286" s="125" t="s">
        <v>1818</v>
      </c>
      <c r="E286" s="121" t="s">
        <v>1525</v>
      </c>
      <c r="F286" s="119" t="s">
        <v>3107</v>
      </c>
      <c r="H286" s="113" t="str">
        <f t="shared" si="20"/>
        <v>JBG</v>
      </c>
      <c r="I286" s="113" t="s">
        <v>68</v>
      </c>
    </row>
    <row r="287" spans="1:9">
      <c r="A287" s="114" t="str">
        <f t="shared" si="11"/>
        <v>1010000ELEC PLANT IN SERV3921400"SNOWMOBILES, MOTORCYCLES (4-WHEELED ATVCAEE</v>
      </c>
      <c r="B287" s="125" t="s">
        <v>1809</v>
      </c>
      <c r="C287" s="119" t="s">
        <v>1453</v>
      </c>
      <c r="D287" s="125" t="s">
        <v>1819</v>
      </c>
      <c r="E287" s="121" t="s">
        <v>1526</v>
      </c>
      <c r="F287" s="119" t="s">
        <v>3110</v>
      </c>
      <c r="H287" s="113" t="str">
        <f t="shared" si="20"/>
        <v>CAEE</v>
      </c>
      <c r="I287" s="113" t="s">
        <v>68</v>
      </c>
    </row>
    <row r="288" spans="1:9">
      <c r="A288" s="114" t="str">
        <f t="shared" si="11"/>
        <v>1010000ELEC PLANT IN SERV3921400"SNOWMOBILES, MOTORCYCLES (4-WHEELED ATVCAGE</v>
      </c>
      <c r="B288" s="125" t="s">
        <v>1809</v>
      </c>
      <c r="C288" s="119" t="s">
        <v>1453</v>
      </c>
      <c r="D288" s="125" t="s">
        <v>1819</v>
      </c>
      <c r="E288" s="121" t="s">
        <v>1526</v>
      </c>
      <c r="F288" s="119" t="s">
        <v>3106</v>
      </c>
      <c r="H288" s="113" t="str">
        <f t="shared" si="20"/>
        <v>CAGE</v>
      </c>
      <c r="I288" s="113" t="s">
        <v>68</v>
      </c>
    </row>
    <row r="289" spans="1:9">
      <c r="A289" s="114" t="str">
        <f t="shared" si="11"/>
        <v>1010000ELEC PLANT IN SERV3921400"SNOWMOBILES, MOTORCYCLES (4-WHEELED ATVCAGW</v>
      </c>
      <c r="B289" s="125" t="s">
        <v>1809</v>
      </c>
      <c r="C289" s="119" t="s">
        <v>1453</v>
      </c>
      <c r="D289" s="125" t="s">
        <v>1819</v>
      </c>
      <c r="E289" s="121" t="s">
        <v>1526</v>
      </c>
      <c r="F289" s="119" t="s">
        <v>3108</v>
      </c>
      <c r="H289" s="113" t="str">
        <f t="shared" si="20"/>
        <v>CAGW</v>
      </c>
      <c r="I289" s="113" t="s">
        <v>68</v>
      </c>
    </row>
    <row r="290" spans="1:9">
      <c r="A290" s="114" t="str">
        <f t="shared" si="11"/>
        <v>1010000ELEC PLANT IN SERV3921400"SNOWMOBILES, MOTORCYCLES (4-WHEELED ATVJBG</v>
      </c>
      <c r="B290" s="125" t="s">
        <v>1809</v>
      </c>
      <c r="C290" s="119" t="s">
        <v>1453</v>
      </c>
      <c r="D290" s="125" t="s">
        <v>1819</v>
      </c>
      <c r="E290" s="121" t="s">
        <v>1526</v>
      </c>
      <c r="F290" s="119" t="s">
        <v>3107</v>
      </c>
      <c r="H290" s="113" t="str">
        <f t="shared" si="20"/>
        <v>JBG</v>
      </c>
      <c r="I290" s="113" t="s">
        <v>68</v>
      </c>
    </row>
    <row r="291" spans="1:9">
      <c r="A291" s="114" t="str">
        <f t="shared" si="11"/>
        <v>1010000ELEC PLANT IN SERV3921900OVER-THE-ROAD SEMI-TRACTORSCAGE</v>
      </c>
      <c r="B291" s="125" t="s">
        <v>1809</v>
      </c>
      <c r="C291" s="119" t="s">
        <v>1453</v>
      </c>
      <c r="D291" s="125" t="s">
        <v>1820</v>
      </c>
      <c r="E291" s="121" t="s">
        <v>1527</v>
      </c>
      <c r="F291" s="119" t="s">
        <v>3106</v>
      </c>
      <c r="H291" s="113" t="str">
        <f t="shared" si="20"/>
        <v>CAGE</v>
      </c>
      <c r="I291" s="113" t="s">
        <v>68</v>
      </c>
    </row>
    <row r="292" spans="1:9">
      <c r="A292" s="114" t="str">
        <f t="shared" si="11"/>
        <v>1010000ELEC PLANT IN SERV3921900OVER-THE-ROAD SEMI-TRACTORSCAGW</v>
      </c>
      <c r="B292" s="125" t="s">
        <v>1809</v>
      </c>
      <c r="C292" s="119" t="s">
        <v>1453</v>
      </c>
      <c r="D292" s="125" t="s">
        <v>1820</v>
      </c>
      <c r="E292" s="121" t="s">
        <v>1527</v>
      </c>
      <c r="F292" s="119" t="s">
        <v>3108</v>
      </c>
      <c r="H292" s="113" t="str">
        <f t="shared" si="20"/>
        <v>CAGW</v>
      </c>
      <c r="I292" s="113" t="s">
        <v>68</v>
      </c>
    </row>
    <row r="293" spans="1:9">
      <c r="A293" s="114" t="str">
        <f t="shared" si="11"/>
        <v>1010000ELEC PLANT IN SERV3921900OVER-THE-ROAD SEMI-TRACTORSJBG</v>
      </c>
      <c r="B293" s="125" t="s">
        <v>1809</v>
      </c>
      <c r="C293" s="119" t="s">
        <v>1453</v>
      </c>
      <c r="D293" s="125" t="s">
        <v>1820</v>
      </c>
      <c r="E293" s="121" t="s">
        <v>1527</v>
      </c>
      <c r="F293" s="119" t="s">
        <v>3107</v>
      </c>
      <c r="H293" s="113" t="str">
        <f t="shared" si="20"/>
        <v>JBG</v>
      </c>
      <c r="I293" s="113" t="s">
        <v>68</v>
      </c>
    </row>
    <row r="294" spans="1:9">
      <c r="A294" s="114" t="str">
        <f t="shared" si="11"/>
        <v>1010000ELEC PLANT IN SERV3930000STORES EQUIPMENTCAGE</v>
      </c>
      <c r="B294" s="125" t="s">
        <v>1809</v>
      </c>
      <c r="C294" s="119" t="s">
        <v>1453</v>
      </c>
      <c r="D294" s="125" t="s">
        <v>1800</v>
      </c>
      <c r="E294" s="121" t="s">
        <v>1529</v>
      </c>
      <c r="F294" s="119" t="s">
        <v>3106</v>
      </c>
      <c r="H294" s="113" t="str">
        <f t="shared" si="20"/>
        <v>CAGE</v>
      </c>
      <c r="I294" s="113" t="s">
        <v>68</v>
      </c>
    </row>
    <row r="295" spans="1:9">
      <c r="A295" s="114" t="str">
        <f t="shared" si="11"/>
        <v>1010000ELEC PLANT IN SERV3930000STORES EQUIPMENTCAGW</v>
      </c>
      <c r="B295" s="125" t="s">
        <v>1809</v>
      </c>
      <c r="C295" s="119" t="s">
        <v>1453</v>
      </c>
      <c r="D295" s="125" t="s">
        <v>1800</v>
      </c>
      <c r="E295" s="121" t="s">
        <v>1529</v>
      </c>
      <c r="F295" s="119" t="s">
        <v>3108</v>
      </c>
      <c r="H295" s="113" t="str">
        <f t="shared" si="20"/>
        <v>CAGW</v>
      </c>
      <c r="I295" s="113" t="s">
        <v>68</v>
      </c>
    </row>
    <row r="296" spans="1:9">
      <c r="A296" s="114" t="str">
        <f t="shared" si="11"/>
        <v>1010000ELEC PLANT IN SERV3930000STORES EQUIPMENTJBG</v>
      </c>
      <c r="B296" s="125" t="s">
        <v>1809</v>
      </c>
      <c r="C296" s="119" t="s">
        <v>1453</v>
      </c>
      <c r="D296" s="125" t="s">
        <v>1800</v>
      </c>
      <c r="E296" s="121" t="s">
        <v>1529</v>
      </c>
      <c r="F296" s="119" t="s">
        <v>3107</v>
      </c>
      <c r="H296" s="113" t="str">
        <f t="shared" si="20"/>
        <v>JBG</v>
      </c>
      <c r="I296" s="113" t="s">
        <v>68</v>
      </c>
    </row>
    <row r="297" spans="1:9">
      <c r="A297" s="114" t="str">
        <f t="shared" si="11"/>
        <v>1010000ELEC PLANT IN SERV3940000"TLS, SHOP, GAR EQUIPMENT"CAEE</v>
      </c>
      <c r="B297" s="125" t="s">
        <v>1809</v>
      </c>
      <c r="C297" s="119" t="s">
        <v>1453</v>
      </c>
      <c r="D297" s="125" t="s">
        <v>1801</v>
      </c>
      <c r="E297" s="121" t="s">
        <v>1530</v>
      </c>
      <c r="F297" s="119" t="s">
        <v>3110</v>
      </c>
      <c r="H297" s="113" t="str">
        <f t="shared" si="20"/>
        <v>CAEE</v>
      </c>
      <c r="I297" s="113" t="s">
        <v>68</v>
      </c>
    </row>
    <row r="298" spans="1:9">
      <c r="A298" s="114" t="str">
        <f t="shared" si="11"/>
        <v>1010000ELEC PLANT IN SERV3940000"TLS, SHOP, GAR EQUIPMENT"CAGE</v>
      </c>
      <c r="B298" s="125" t="s">
        <v>1809</v>
      </c>
      <c r="C298" s="119" t="s">
        <v>1453</v>
      </c>
      <c r="D298" s="125" t="s">
        <v>1801</v>
      </c>
      <c r="E298" s="121" t="s">
        <v>1530</v>
      </c>
      <c r="F298" s="119" t="s">
        <v>3106</v>
      </c>
      <c r="H298" s="113" t="str">
        <f t="shared" si="20"/>
        <v>CAGE</v>
      </c>
      <c r="I298" s="113" t="s">
        <v>68</v>
      </c>
    </row>
    <row r="299" spans="1:9">
      <c r="A299" s="114" t="str">
        <f t="shared" si="11"/>
        <v>1010000ELEC PLANT IN SERV3940000"TLS, SHOP, GAR EQUIPMENT"CAGW</v>
      </c>
      <c r="B299" s="125" t="s">
        <v>1809</v>
      </c>
      <c r="C299" s="119" t="s">
        <v>1453</v>
      </c>
      <c r="D299" s="125" t="s">
        <v>1801</v>
      </c>
      <c r="E299" s="121" t="s">
        <v>1530</v>
      </c>
      <c r="F299" s="119" t="s">
        <v>3108</v>
      </c>
      <c r="H299" s="113" t="str">
        <f t="shared" si="20"/>
        <v>CAGW</v>
      </c>
      <c r="I299" s="113" t="s">
        <v>68</v>
      </c>
    </row>
    <row r="300" spans="1:9">
      <c r="A300" s="114" t="str">
        <f t="shared" si="11"/>
        <v>1010000ELEC PLANT IN SERV3940000"TLS, SHOP, GAR EQUIPMENT"JBG</v>
      </c>
      <c r="B300" s="125" t="s">
        <v>1809</v>
      </c>
      <c r="C300" s="119" t="s">
        <v>1453</v>
      </c>
      <c r="D300" s="125" t="s">
        <v>1801</v>
      </c>
      <c r="E300" s="121" t="s">
        <v>1530</v>
      </c>
      <c r="F300" s="119" t="s">
        <v>3107</v>
      </c>
      <c r="H300" s="113" t="str">
        <f t="shared" si="20"/>
        <v>JBG</v>
      </c>
      <c r="I300" s="113" t="s">
        <v>68</v>
      </c>
    </row>
    <row r="301" spans="1:9">
      <c r="A301" s="114" t="str">
        <f t="shared" si="11"/>
        <v>1010000ELEC PLANT IN SERV3950000LABORATORY EQUIPMENTCAEE</v>
      </c>
      <c r="B301" s="125" t="s">
        <v>1809</v>
      </c>
      <c r="C301" s="119" t="s">
        <v>1453</v>
      </c>
      <c r="D301" s="125" t="s">
        <v>1802</v>
      </c>
      <c r="E301" s="121" t="s">
        <v>1531</v>
      </c>
      <c r="F301" s="119" t="s">
        <v>3110</v>
      </c>
      <c r="H301" s="113" t="str">
        <f t="shared" si="20"/>
        <v>CAEE</v>
      </c>
      <c r="I301" s="113" t="s">
        <v>68</v>
      </c>
    </row>
    <row r="302" spans="1:9">
      <c r="A302" s="114" t="str">
        <f t="shared" si="11"/>
        <v>1010000ELEC PLANT IN SERV3950000LABORATORY EQUIPMENTCAGE</v>
      </c>
      <c r="B302" s="125" t="s">
        <v>1809</v>
      </c>
      <c r="C302" s="119" t="s">
        <v>1453</v>
      </c>
      <c r="D302" s="125" t="s">
        <v>1802</v>
      </c>
      <c r="E302" s="121" t="s">
        <v>1531</v>
      </c>
      <c r="F302" s="119" t="s">
        <v>3106</v>
      </c>
      <c r="H302" s="113" t="str">
        <f t="shared" si="20"/>
        <v>CAGE</v>
      </c>
      <c r="I302" s="113" t="s">
        <v>68</v>
      </c>
    </row>
    <row r="303" spans="1:9">
      <c r="A303" s="114" t="str">
        <f t="shared" si="11"/>
        <v>1010000ELEC PLANT IN SERV3950000LABORATORY EQUIPMENTCAGW</v>
      </c>
      <c r="B303" s="125" t="s">
        <v>1809</v>
      </c>
      <c r="C303" s="119" t="s">
        <v>1453</v>
      </c>
      <c r="D303" s="125" t="s">
        <v>1802</v>
      </c>
      <c r="E303" s="121" t="s">
        <v>1531</v>
      </c>
      <c r="F303" s="119" t="s">
        <v>3108</v>
      </c>
      <c r="H303" s="113" t="str">
        <f t="shared" si="20"/>
        <v>CAGW</v>
      </c>
      <c r="I303" s="113" t="s">
        <v>68</v>
      </c>
    </row>
    <row r="304" spans="1:9">
      <c r="A304" s="114" t="str">
        <f t="shared" si="11"/>
        <v>1010000ELEC PLANT IN SERV3950000LABORATORY EQUIPMENTJBG</v>
      </c>
      <c r="B304" s="125" t="s">
        <v>1809</v>
      </c>
      <c r="C304" s="119" t="s">
        <v>1453</v>
      </c>
      <c r="D304" s="125" t="s">
        <v>1802</v>
      </c>
      <c r="E304" s="121" t="s">
        <v>1531</v>
      </c>
      <c r="F304" s="119" t="s">
        <v>3107</v>
      </c>
      <c r="H304" s="113" t="str">
        <f t="shared" si="20"/>
        <v>JBG</v>
      </c>
      <c r="I304" s="113" t="s">
        <v>68</v>
      </c>
    </row>
    <row r="305" spans="1:9">
      <c r="A305" s="114" t="str">
        <f t="shared" si="11"/>
        <v>1010000ELEC PLANT IN SERV3960300"AERIAL LIFT PB TRUCKS, 10000#-16000# GVCAGE</v>
      </c>
      <c r="B305" s="125" t="s">
        <v>1809</v>
      </c>
      <c r="C305" s="119" t="s">
        <v>1453</v>
      </c>
      <c r="D305" s="125" t="s">
        <v>1822</v>
      </c>
      <c r="E305" s="121" t="s">
        <v>1532</v>
      </c>
      <c r="F305" s="119" t="s">
        <v>3106</v>
      </c>
      <c r="H305" s="113" t="str">
        <f t="shared" si="20"/>
        <v>CAGE</v>
      </c>
      <c r="I305" s="113" t="s">
        <v>68</v>
      </c>
    </row>
    <row r="306" spans="1:9">
      <c r="A306" s="114" t="str">
        <f t="shared" si="11"/>
        <v>1010000ELEC PLANT IN SERV3960800"AERIAL LIFT P.B. TRUCKS, ABOVE 16000#GVCAGE</v>
      </c>
      <c r="B306" s="125" t="s">
        <v>1809</v>
      </c>
      <c r="C306" s="119" t="s">
        <v>1453</v>
      </c>
      <c r="D306" s="125" t="s">
        <v>1824</v>
      </c>
      <c r="E306" s="121" t="s">
        <v>1534</v>
      </c>
      <c r="F306" s="119" t="s">
        <v>3106</v>
      </c>
      <c r="H306" s="113" t="str">
        <f t="shared" si="20"/>
        <v>CAGE</v>
      </c>
      <c r="I306" s="113" t="s">
        <v>68</v>
      </c>
    </row>
    <row r="307" spans="1:9">
      <c r="A307" s="114" t="str">
        <f t="shared" si="11"/>
        <v>1010000ELEC PLANT IN SERV3960800"AERIAL LIFT P.B. TRUCKS, ABOVE 16000#GVJBG</v>
      </c>
      <c r="B307" s="125" t="s">
        <v>1809</v>
      </c>
      <c r="C307" s="119" t="s">
        <v>1453</v>
      </c>
      <c r="D307" s="125" t="s">
        <v>1824</v>
      </c>
      <c r="E307" s="121" t="s">
        <v>1534</v>
      </c>
      <c r="F307" s="119" t="s">
        <v>3107</v>
      </c>
      <c r="H307" s="113" t="str">
        <f t="shared" si="20"/>
        <v>JBG</v>
      </c>
      <c r="I307" s="113" t="s">
        <v>68</v>
      </c>
    </row>
    <row r="308" spans="1:9">
      <c r="A308" s="114" t="str">
        <f t="shared" si="11"/>
        <v>1010000ELEC PLANT IN SERV3961000CRANESCAGE</v>
      </c>
      <c r="B308" s="125" t="s">
        <v>1809</v>
      </c>
      <c r="C308" s="119" t="s">
        <v>1453</v>
      </c>
      <c r="D308" s="125" t="s">
        <v>1825</v>
      </c>
      <c r="E308" s="121" t="s">
        <v>1535</v>
      </c>
      <c r="F308" s="119" t="s">
        <v>3106</v>
      </c>
      <c r="H308" s="113" t="str">
        <f t="shared" si="20"/>
        <v>CAGE</v>
      </c>
      <c r="I308" s="113" t="s">
        <v>68</v>
      </c>
    </row>
    <row r="309" spans="1:9">
      <c r="A309" s="114" t="str">
        <f t="shared" si="11"/>
        <v>1010000ELEC PLANT IN SERV3961000CRANESCAGW</v>
      </c>
      <c r="B309" s="125" t="s">
        <v>1809</v>
      </c>
      <c r="C309" s="119" t="s">
        <v>1453</v>
      </c>
      <c r="D309" s="125" t="s">
        <v>1825</v>
      </c>
      <c r="E309" s="121" t="s">
        <v>1535</v>
      </c>
      <c r="F309" s="119" t="s">
        <v>3108</v>
      </c>
      <c r="H309" s="113" t="str">
        <f t="shared" si="20"/>
        <v>CAGW</v>
      </c>
      <c r="I309" s="113" t="s">
        <v>68</v>
      </c>
    </row>
    <row r="310" spans="1:9">
      <c r="A310" s="114" t="str">
        <f t="shared" si="11"/>
        <v>1010000ELEC PLANT IN SERV3961000CRANESJBG</v>
      </c>
      <c r="B310" s="125" t="s">
        <v>1809</v>
      </c>
      <c r="C310" s="119" t="s">
        <v>1453</v>
      </c>
      <c r="D310" s="125" t="s">
        <v>1825</v>
      </c>
      <c r="E310" s="121" t="s">
        <v>1535</v>
      </c>
      <c r="F310" s="119" t="s">
        <v>3107</v>
      </c>
      <c r="H310" s="113" t="str">
        <f t="shared" si="20"/>
        <v>JBG</v>
      </c>
      <c r="I310" s="113" t="s">
        <v>68</v>
      </c>
    </row>
    <row r="311" spans="1:9">
      <c r="A311" s="114" t="str">
        <f t="shared" si="11"/>
        <v>1010000ELEC PLANT IN SERV3961100HEAVY CONSTRUCTION EQUIP, PRODUCT DIGGERCAGE</v>
      </c>
      <c r="B311" s="125" t="s">
        <v>1809</v>
      </c>
      <c r="C311" s="119" t="s">
        <v>1453</v>
      </c>
      <c r="D311" s="125" t="s">
        <v>1826</v>
      </c>
      <c r="E311" s="121" t="s">
        <v>1536</v>
      </c>
      <c r="F311" s="119" t="s">
        <v>3106</v>
      </c>
      <c r="H311" s="113" t="str">
        <f t="shared" si="20"/>
        <v>CAGE</v>
      </c>
      <c r="I311" s="113" t="s">
        <v>68</v>
      </c>
    </row>
    <row r="312" spans="1:9">
      <c r="A312" s="114" t="str">
        <f t="shared" si="11"/>
        <v>1010000ELEC PLANT IN SERV3961100HEAVY CONSTRUCTION EQUIP, PRODUCT DIGGERCAGW</v>
      </c>
      <c r="B312" s="125" t="s">
        <v>1809</v>
      </c>
      <c r="C312" s="119" t="s">
        <v>1453</v>
      </c>
      <c r="D312" s="125" t="s">
        <v>1826</v>
      </c>
      <c r="E312" s="121" t="s">
        <v>1536</v>
      </c>
      <c r="F312" s="119" t="s">
        <v>3108</v>
      </c>
      <c r="H312" s="113" t="str">
        <f t="shared" si="20"/>
        <v>CAGW</v>
      </c>
      <c r="I312" s="113" t="s">
        <v>68</v>
      </c>
    </row>
    <row r="313" spans="1:9">
      <c r="A313" s="114" t="str">
        <f t="shared" si="11"/>
        <v>1010000ELEC PLANT IN SERV3961100HEAVY CONSTRUCTION EQUIP, PRODUCT DIGGERJBG</v>
      </c>
      <c r="B313" s="125" t="s">
        <v>1809</v>
      </c>
      <c r="C313" s="119" t="s">
        <v>1453</v>
      </c>
      <c r="D313" s="125" t="s">
        <v>1826</v>
      </c>
      <c r="E313" s="121" t="s">
        <v>1536</v>
      </c>
      <c r="F313" s="119" t="s">
        <v>3107</v>
      </c>
      <c r="H313" s="113" t="str">
        <f t="shared" si="20"/>
        <v>JBG</v>
      </c>
      <c r="I313" s="113" t="s">
        <v>68</v>
      </c>
    </row>
    <row r="314" spans="1:9">
      <c r="A314" s="114" t="str">
        <f t="shared" si="11"/>
        <v>1010000ELEC PLANT IN SERV3961300SNOWCATS, BACKHOES, TRENCHERS, SNOWBLOWRCAEE</v>
      </c>
      <c r="B314" s="119" t="s">
        <v>1809</v>
      </c>
      <c r="C314" s="119" t="s">
        <v>1453</v>
      </c>
      <c r="D314" s="119" t="s">
        <v>1828</v>
      </c>
      <c r="E314" s="121" t="s">
        <v>1538</v>
      </c>
      <c r="F314" s="119" t="s">
        <v>3110</v>
      </c>
      <c r="H314" s="113" t="str">
        <f t="shared" si="20"/>
        <v>CAEE</v>
      </c>
      <c r="I314" s="113" t="s">
        <v>68</v>
      </c>
    </row>
    <row r="315" spans="1:9">
      <c r="A315" s="114" t="str">
        <f t="shared" si="11"/>
        <v>1010000ELEC PLANT IN SERV3961300SNOWCATS, BACKHOES, TRENCHERS, SNOWBLOWRCAGE</v>
      </c>
      <c r="B315" s="119" t="s">
        <v>1809</v>
      </c>
      <c r="C315" s="119" t="s">
        <v>1453</v>
      </c>
      <c r="D315" s="119" t="s">
        <v>1828</v>
      </c>
      <c r="E315" s="121" t="s">
        <v>1538</v>
      </c>
      <c r="F315" s="119" t="s">
        <v>3106</v>
      </c>
      <c r="H315" s="113" t="str">
        <f t="shared" si="20"/>
        <v>CAGE</v>
      </c>
      <c r="I315" s="113" t="s">
        <v>68</v>
      </c>
    </row>
    <row r="316" spans="1:9">
      <c r="A316" s="114" t="str">
        <f t="shared" si="11"/>
        <v>1010000ELEC PLANT IN SERV3961300SNOWCATS, BACKHOES, TRENCHERS, SNOWBLOWRCAGW</v>
      </c>
      <c r="B316" s="119" t="s">
        <v>1809</v>
      </c>
      <c r="C316" s="119" t="s">
        <v>1453</v>
      </c>
      <c r="D316" s="119" t="s">
        <v>1828</v>
      </c>
      <c r="E316" s="121" t="s">
        <v>1538</v>
      </c>
      <c r="F316" s="119" t="s">
        <v>3108</v>
      </c>
      <c r="H316" s="113" t="str">
        <f t="shared" si="20"/>
        <v>CAGW</v>
      </c>
      <c r="I316" s="113" t="s">
        <v>68</v>
      </c>
    </row>
    <row r="317" spans="1:9">
      <c r="A317" s="114" t="str">
        <f t="shared" si="11"/>
        <v>1010000ELEC PLANT IN SERV3961300SNOWCATS, BACKHOES, TRENCHERS, SNOWBLOWRJBG</v>
      </c>
      <c r="B317" s="119" t="s">
        <v>1809</v>
      </c>
      <c r="C317" s="119" t="s">
        <v>1453</v>
      </c>
      <c r="D317" s="119" t="s">
        <v>1828</v>
      </c>
      <c r="E317" s="121" t="s">
        <v>1538</v>
      </c>
      <c r="F317" s="119" t="s">
        <v>3107</v>
      </c>
      <c r="H317" s="113" t="str">
        <f t="shared" si="20"/>
        <v>JBG</v>
      </c>
      <c r="I317" s="113" t="s">
        <v>68</v>
      </c>
    </row>
    <row r="318" spans="1:9">
      <c r="A318" s="114" t="str">
        <f t="shared" si="11"/>
        <v>1010000ELEC PLANT IN SERV3970000COMMUNICATION EQUIPMENTCAEE</v>
      </c>
      <c r="B318" s="119" t="s">
        <v>1809</v>
      </c>
      <c r="C318" s="119" t="s">
        <v>1453</v>
      </c>
      <c r="D318" s="119" t="s">
        <v>1803</v>
      </c>
      <c r="E318" s="121" t="s">
        <v>1539</v>
      </c>
      <c r="F318" s="119" t="s">
        <v>3110</v>
      </c>
      <c r="H318" s="113" t="str">
        <f t="shared" si="20"/>
        <v>CAEE</v>
      </c>
      <c r="I318" s="113" t="s">
        <v>68</v>
      </c>
    </row>
    <row r="319" spans="1:9">
      <c r="A319" s="114" t="str">
        <f t="shared" si="11"/>
        <v>1010000ELEC PLANT IN SERV3970000COMMUNICATION EQUIPMENTCAGE</v>
      </c>
      <c r="B319" s="119" t="s">
        <v>1809</v>
      </c>
      <c r="C319" s="119" t="s">
        <v>1453</v>
      </c>
      <c r="D319" s="119" t="s">
        <v>1803</v>
      </c>
      <c r="E319" s="121" t="s">
        <v>1539</v>
      </c>
      <c r="F319" s="119" t="s">
        <v>3106</v>
      </c>
      <c r="H319" s="113" t="str">
        <f t="shared" si="20"/>
        <v>CAGE</v>
      </c>
      <c r="I319" s="113" t="s">
        <v>68</v>
      </c>
    </row>
    <row r="320" spans="1:9">
      <c r="A320" s="114" t="str">
        <f t="shared" si="11"/>
        <v>1010000ELEC PLANT IN SERV3970000COMMUNICATION EQUIPMENTCAGW</v>
      </c>
      <c r="B320" s="119" t="s">
        <v>1809</v>
      </c>
      <c r="C320" s="119" t="s">
        <v>1453</v>
      </c>
      <c r="D320" s="119" t="s">
        <v>1803</v>
      </c>
      <c r="E320" s="121" t="s">
        <v>1539</v>
      </c>
      <c r="F320" s="119" t="s">
        <v>3108</v>
      </c>
      <c r="H320" s="113" t="str">
        <f t="shared" si="20"/>
        <v>CAGW</v>
      </c>
      <c r="I320" s="113" t="s">
        <v>68</v>
      </c>
    </row>
    <row r="321" spans="1:9">
      <c r="A321" s="114" t="str">
        <f t="shared" si="11"/>
        <v>1010000ELEC PLANT IN SERV3970000COMMUNICATION EQUIPMENTJBG</v>
      </c>
      <c r="B321" s="119" t="s">
        <v>1809</v>
      </c>
      <c r="C321" s="119" t="s">
        <v>1453</v>
      </c>
      <c r="D321" s="119" t="s">
        <v>1803</v>
      </c>
      <c r="E321" s="121" t="s">
        <v>1539</v>
      </c>
      <c r="F321" s="119" t="s">
        <v>3107</v>
      </c>
      <c r="H321" s="113" t="str">
        <f t="shared" si="20"/>
        <v>JBG</v>
      </c>
      <c r="I321" s="113" t="s">
        <v>68</v>
      </c>
    </row>
    <row r="322" spans="1:9">
      <c r="A322" s="114" t="str">
        <f t="shared" si="11"/>
        <v>1010000ELEC PLANT IN SERV3972000MOBILE RADIO EQUIPMENTCAEE</v>
      </c>
      <c r="B322" s="119" t="s">
        <v>1809</v>
      </c>
      <c r="C322" s="119" t="s">
        <v>1453</v>
      </c>
      <c r="D322" s="119" t="s">
        <v>1804</v>
      </c>
      <c r="E322" s="121" t="s">
        <v>1540</v>
      </c>
      <c r="F322" s="119" t="s">
        <v>3110</v>
      </c>
      <c r="H322" s="113" t="str">
        <f t="shared" si="20"/>
        <v>CAEE</v>
      </c>
      <c r="I322" s="113" t="s">
        <v>68</v>
      </c>
    </row>
    <row r="323" spans="1:9">
      <c r="A323" s="114" t="str">
        <f t="shared" ref="A323:A330" si="21">CONCATENATE($B323,$C323,$D323,$E323,$H323)</f>
        <v>1010000ELEC PLANT IN SERV3972000MOBILE RADIO EQUIPMENTCAGE</v>
      </c>
      <c r="B323" s="119" t="s">
        <v>1809</v>
      </c>
      <c r="C323" s="119" t="s">
        <v>1453</v>
      </c>
      <c r="D323" s="119" t="s">
        <v>1804</v>
      </c>
      <c r="E323" s="121" t="s">
        <v>1540</v>
      </c>
      <c r="F323" s="119" t="s">
        <v>3106</v>
      </c>
      <c r="H323" s="113" t="str">
        <f t="shared" si="20"/>
        <v>CAGE</v>
      </c>
      <c r="I323" s="113" t="s">
        <v>68</v>
      </c>
    </row>
    <row r="324" spans="1:9">
      <c r="A324" s="114" t="str">
        <f t="shared" si="21"/>
        <v>1010000ELEC PLANT IN SERV3972000MOBILE RADIO EQUIPMENTCAGW</v>
      </c>
      <c r="B324" s="119" t="s">
        <v>1809</v>
      </c>
      <c r="C324" s="119" t="s">
        <v>1453</v>
      </c>
      <c r="D324" s="119" t="s">
        <v>1804</v>
      </c>
      <c r="E324" s="121" t="s">
        <v>1540</v>
      </c>
      <c r="F324" s="119" t="s">
        <v>3108</v>
      </c>
      <c r="H324" s="113" t="str">
        <f t="shared" si="20"/>
        <v>CAGW</v>
      </c>
      <c r="I324" s="113" t="s">
        <v>68</v>
      </c>
    </row>
    <row r="325" spans="1:9">
      <c r="A325" s="114" t="str">
        <f t="shared" si="21"/>
        <v>1010000ELEC PLANT IN SERV3972000MOBILE RADIO EQUIPMENTJBG</v>
      </c>
      <c r="B325" s="119" t="s">
        <v>1809</v>
      </c>
      <c r="C325" s="119" t="s">
        <v>1453</v>
      </c>
      <c r="D325" s="119" t="s">
        <v>1804</v>
      </c>
      <c r="E325" s="121" t="s">
        <v>1540</v>
      </c>
      <c r="F325" s="119" t="s">
        <v>3107</v>
      </c>
      <c r="H325" s="113" t="str">
        <f t="shared" si="20"/>
        <v>JBG</v>
      </c>
      <c r="I325" s="113" t="s">
        <v>68</v>
      </c>
    </row>
    <row r="326" spans="1:9">
      <c r="A326" s="114" t="str">
        <f t="shared" si="21"/>
        <v>1010000ELEC PLANT IN SERV3980000MISCELLANEOUS EQUIPMENTCAEE</v>
      </c>
      <c r="B326" s="119" t="s">
        <v>1809</v>
      </c>
      <c r="C326" s="119" t="s">
        <v>1453</v>
      </c>
      <c r="D326" s="119" t="s">
        <v>1805</v>
      </c>
      <c r="E326" s="121" t="s">
        <v>1541</v>
      </c>
      <c r="F326" s="119" t="s">
        <v>3110</v>
      </c>
      <c r="H326" s="113" t="str">
        <f t="shared" si="20"/>
        <v>CAEE</v>
      </c>
      <c r="I326" s="113" t="s">
        <v>68</v>
      </c>
    </row>
    <row r="327" spans="1:9">
      <c r="A327" s="114" t="str">
        <f t="shared" si="21"/>
        <v>1010000ELEC PLANT IN SERV3980000MISCELLANEOUS EQUIPMENTCAGE</v>
      </c>
      <c r="B327" s="119" t="s">
        <v>1809</v>
      </c>
      <c r="C327" s="119" t="s">
        <v>1453</v>
      </c>
      <c r="D327" s="119" t="s">
        <v>1805</v>
      </c>
      <c r="E327" s="121" t="s">
        <v>1541</v>
      </c>
      <c r="F327" s="119" t="s">
        <v>3106</v>
      </c>
      <c r="H327" s="113" t="str">
        <f t="shared" si="20"/>
        <v>CAGE</v>
      </c>
      <c r="I327" s="113" t="s">
        <v>68</v>
      </c>
    </row>
    <row r="328" spans="1:9">
      <c r="A328" s="114" t="str">
        <f t="shared" si="21"/>
        <v>1010000ELEC PLANT IN SERV3980000MISCELLANEOUS EQUIPMENTCAGW</v>
      </c>
      <c r="B328" s="119" t="s">
        <v>1809</v>
      </c>
      <c r="C328" s="119" t="s">
        <v>1453</v>
      </c>
      <c r="D328" s="119" t="s">
        <v>1805</v>
      </c>
      <c r="E328" s="121" t="s">
        <v>1541</v>
      </c>
      <c r="F328" s="119" t="s">
        <v>3108</v>
      </c>
      <c r="H328" s="113" t="str">
        <f t="shared" si="20"/>
        <v>CAGW</v>
      </c>
      <c r="I328" s="113" t="s">
        <v>68</v>
      </c>
    </row>
    <row r="329" spans="1:9">
      <c r="A329" s="114" t="str">
        <f t="shared" si="21"/>
        <v>1010000ELEC PLANT IN SERV3980000MISCELLANEOUS EQUIPMENTJBG</v>
      </c>
      <c r="B329" s="119" t="s">
        <v>1809</v>
      </c>
      <c r="C329" s="119" t="s">
        <v>1453</v>
      </c>
      <c r="D329" s="119" t="s">
        <v>1805</v>
      </c>
      <c r="E329" s="121" t="s">
        <v>1541</v>
      </c>
      <c r="F329" s="119" t="s">
        <v>3107</v>
      </c>
      <c r="H329" s="113" t="str">
        <f t="shared" si="20"/>
        <v>JBG</v>
      </c>
      <c r="I329" s="113" t="s">
        <v>68</v>
      </c>
    </row>
    <row r="330" spans="1:9">
      <c r="A330" s="114" t="str">
        <f t="shared" si="21"/>
        <v>1010000ELEC PLANT IN SERV3992100LAND OWNED IN FEECAEE</v>
      </c>
      <c r="B330" s="119" t="s">
        <v>1809</v>
      </c>
      <c r="C330" s="119" t="s">
        <v>1453</v>
      </c>
      <c r="D330" s="119" t="s">
        <v>1829</v>
      </c>
      <c r="E330" s="121" t="s">
        <v>1513</v>
      </c>
      <c r="F330" s="119" t="s">
        <v>3110</v>
      </c>
      <c r="H330" s="113" t="str">
        <f t="shared" si="20"/>
        <v>CAEE</v>
      </c>
      <c r="I330" s="113" t="s">
        <v>68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FFFF"/>
  </sheetPr>
  <dimension ref="A1:K96"/>
  <sheetViews>
    <sheetView zoomScale="85" zoomScaleNormal="85" workbookViewId="0"/>
  </sheetViews>
  <sheetFormatPr defaultRowHeight="12.75"/>
  <cols>
    <col min="1" max="1" width="18.7109375" style="114" customWidth="1"/>
    <col min="2" max="4" width="18.7109375" style="119" customWidth="1"/>
    <col min="5" max="5" width="38.85546875" style="121" customWidth="1"/>
    <col min="6" max="6" width="18.7109375" style="119" customWidth="1"/>
    <col min="7" max="7" width="18.7109375" style="138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19" t="s">
        <v>345</v>
      </c>
      <c r="C1" s="119" t="s">
        <v>346</v>
      </c>
      <c r="D1" s="119" t="s">
        <v>347</v>
      </c>
      <c r="E1" s="121" t="s">
        <v>348</v>
      </c>
      <c r="F1" s="119" t="s">
        <v>349</v>
      </c>
      <c r="G1" s="135" t="s">
        <v>350</v>
      </c>
      <c r="H1" s="113" t="s">
        <v>351</v>
      </c>
      <c r="I1" s="113" t="s">
        <v>352</v>
      </c>
      <c r="J1" s="113" t="s">
        <v>353</v>
      </c>
      <c r="K1"/>
    </row>
    <row r="2" spans="1:11">
      <c r="A2" s="114" t="str">
        <f>CONCATENATE($B2,$C2,$D2,$E2,$H2)</f>
        <v>1010000ELEC PLANT IN SERV3020000FRANCHISES AND CONSENTSSITUS</v>
      </c>
      <c r="B2" s="125" t="s">
        <v>1809</v>
      </c>
      <c r="C2" s="119" t="s">
        <v>1453</v>
      </c>
      <c r="D2" s="125" t="s">
        <v>1963</v>
      </c>
      <c r="E2" s="121" t="s">
        <v>1454</v>
      </c>
      <c r="F2" s="119" t="s">
        <v>372</v>
      </c>
      <c r="G2" s="138">
        <v>1000</v>
      </c>
      <c r="H2" s="113" t="str">
        <f>IF(OR(F2="IDU",F2="OR",F2="UT",F2="WYU",F2="WYP",F2="CA",F2="WA"),"SITUS",IF(OR(F2="CAEE",F2="JBE"),"SE",IF(OR(F2="CAGE",F2="CAGW",F2="JBG"),"SG",F2)))</f>
        <v>SITUS</v>
      </c>
      <c r="I2" s="113" t="str">
        <f>INDEX('IP Lookup'!$I:$I,MATCH(A2,'IP Lookup'!$A:$A,0))</f>
        <v>TD</v>
      </c>
      <c r="J2" s="113" t="str">
        <f>IF('IP Jun22data'!$G2=0,"NO",IF(ISNA('IP Jun22data'!$I2),"YES",IF(_xlfn.ISFORMULA('IP Jun22data'!$I2),"NO","YES")))</f>
        <v>NO</v>
      </c>
      <c r="K2"/>
    </row>
    <row r="3" spans="1:11">
      <c r="A3" s="114" t="str">
        <f t="shared" ref="A3:A66" si="0">CONCATENATE($B3,$C3,$D3,$E3,$H3)</f>
        <v>1010000ELEC PLANT IN SERV3020000FRANCHISES AND CONSENTSSG</v>
      </c>
      <c r="B3" s="125" t="s">
        <v>1809</v>
      </c>
      <c r="C3" s="119" t="s">
        <v>1453</v>
      </c>
      <c r="D3" s="125" t="s">
        <v>1963</v>
      </c>
      <c r="E3" s="121" t="s">
        <v>1454</v>
      </c>
      <c r="F3" s="119" t="s">
        <v>87</v>
      </c>
      <c r="G3" s="138">
        <v>13159.83986</v>
      </c>
      <c r="H3" s="113" t="str">
        <f t="shared" ref="H3:H66" si="1">IF(OR(F3="IDU",F3="OR",F3="UT",F3="WYU",F3="WYP",F3="CA",F3="WA"),"SITUS",IF(OR(F3="CAEE",F3="JBE"),"SE",IF(OR(F3="CAGE",F3="CAGW",F3="JBG"),"SG",F3)))</f>
        <v>SG</v>
      </c>
      <c r="I3" s="113" t="str">
        <f>INDEX('IP Lookup'!$I:$I,MATCH(A3,'IP Lookup'!$A:$A,0))</f>
        <v>P</v>
      </c>
      <c r="J3" s="113" t="str">
        <f>IF('IP Jun22data'!$G3=0,"NO",IF(ISNA('IP Jun22data'!$I3),"YES",IF(_xlfn.ISFORMULA('IP Jun22data'!$I3),"NO","YES")))</f>
        <v>NO</v>
      </c>
      <c r="K3"/>
    </row>
    <row r="4" spans="1:11">
      <c r="A4" s="114" t="str">
        <f t="shared" si="0"/>
        <v>1010000ELEC PLANT IN SERV3020000FRANCHISES AND CONSENTSSG-P</v>
      </c>
      <c r="B4" s="125" t="s">
        <v>1809</v>
      </c>
      <c r="C4" s="119" t="s">
        <v>1453</v>
      </c>
      <c r="D4" s="125" t="s">
        <v>1963</v>
      </c>
      <c r="E4" s="121" t="s">
        <v>1454</v>
      </c>
      <c r="F4" s="119" t="s">
        <v>280</v>
      </c>
      <c r="G4" s="138">
        <v>177566.82464000001</v>
      </c>
      <c r="H4" s="113" t="str">
        <f t="shared" si="1"/>
        <v>SG-P</v>
      </c>
      <c r="I4" s="113" t="str">
        <f>INDEX('IP Lookup'!$I:$I,MATCH(A4,'IP Lookup'!$A:$A,0))</f>
        <v>P</v>
      </c>
      <c r="J4" s="113" t="str">
        <f>IF('IP Jun22data'!$G4=0,"NO",IF(ISNA('IP Jun22data'!$I4),"YES",IF(_xlfn.ISFORMULA('IP Jun22data'!$I4),"NO","YES")))</f>
        <v>NO</v>
      </c>
      <c r="K4"/>
    </row>
    <row r="5" spans="1:11">
      <c r="A5" s="114" t="str">
        <f t="shared" si="0"/>
        <v>1010000ELEC PLANT IN SERV3020000FRANCHISES AND CONSENTSSG-U</v>
      </c>
      <c r="B5" s="125" t="s">
        <v>1809</v>
      </c>
      <c r="C5" s="119" t="s">
        <v>1453</v>
      </c>
      <c r="D5" s="125" t="s">
        <v>1963</v>
      </c>
      <c r="E5" s="121" t="s">
        <v>1454</v>
      </c>
      <c r="F5" s="119" t="s">
        <v>1455</v>
      </c>
      <c r="G5" s="138">
        <v>10497.825382499999</v>
      </c>
      <c r="H5" s="113" t="str">
        <f t="shared" si="1"/>
        <v>SG-U</v>
      </c>
      <c r="I5" s="113" t="str">
        <f>INDEX('IP Lookup'!$I:$I,MATCH(A5,'IP Lookup'!$A:$A,0))</f>
        <v>P</v>
      </c>
      <c r="J5" s="113" t="str">
        <f>IF('IP Jun22data'!$G5=0,"NO",IF(ISNA('IP Jun22data'!$I5),"YES",IF(_xlfn.ISFORMULA('IP Jun22data'!$I5),"NO","YES")))</f>
        <v>NO</v>
      </c>
      <c r="K5"/>
    </row>
    <row r="6" spans="1:11">
      <c r="A6" s="114" t="str">
        <f t="shared" si="0"/>
        <v>1010000ELEC PLANT IN SERV3020000FRANCHISES AND CONSENTSSITUS</v>
      </c>
      <c r="B6" s="125" t="s">
        <v>1809</v>
      </c>
      <c r="C6" s="119" t="s">
        <v>1453</v>
      </c>
      <c r="D6" s="125" t="s">
        <v>1963</v>
      </c>
      <c r="E6" s="121" t="s">
        <v>1454</v>
      </c>
      <c r="F6" s="119" t="s">
        <v>370</v>
      </c>
      <c r="G6" s="138">
        <v>-32081.21485</v>
      </c>
      <c r="H6" s="113" t="str">
        <f t="shared" si="1"/>
        <v>SITUS</v>
      </c>
      <c r="I6" s="113" t="str">
        <f>INDEX('IP Lookup'!$I:$I,MATCH(A6,'IP Lookup'!$A:$A,0))</f>
        <v>TD</v>
      </c>
      <c r="J6" s="113" t="str">
        <f>IF('IP Jun22data'!$G6=0,"NO",IF(ISNA('IP Jun22data'!$I6),"YES",IF(_xlfn.ISFORMULA('IP Jun22data'!$I6),"NO","YES")))</f>
        <v>NO</v>
      </c>
      <c r="K6"/>
    </row>
    <row r="7" spans="1:11">
      <c r="A7" s="114" t="str">
        <f t="shared" si="0"/>
        <v>1010000ELEC PLANT IN SERV3031040TRANSMISSION INTANGIBLE ASSETSSG</v>
      </c>
      <c r="B7" s="125" t="s">
        <v>1809</v>
      </c>
      <c r="C7" s="119" t="s">
        <v>1453</v>
      </c>
      <c r="D7" s="125" t="s">
        <v>1964</v>
      </c>
      <c r="E7" s="121" t="s">
        <v>1456</v>
      </c>
      <c r="F7" s="119" t="s">
        <v>3106</v>
      </c>
      <c r="G7" s="138">
        <v>10.8919</v>
      </c>
      <c r="H7" s="113" t="str">
        <f t="shared" si="1"/>
        <v>SG</v>
      </c>
      <c r="I7" s="113" t="str">
        <f>INDEX('IP Lookup'!$I:$I,MATCH(A7,'IP Lookup'!$A:$A,0))</f>
        <v>T</v>
      </c>
      <c r="J7" s="113" t="str">
        <f>IF('IP Jun22data'!$G7=0,"NO",IF(ISNA('IP Jun22data'!$I7),"YES",IF(_xlfn.ISFORMULA('IP Jun22data'!$I7),"NO","YES")))</f>
        <v>NO</v>
      </c>
      <c r="K7"/>
    </row>
    <row r="8" spans="1:11">
      <c r="A8" s="114" t="str">
        <f t="shared" si="0"/>
        <v>1010000ELEC PLANT IN SERV3031040TRANSMISSION INTANGIBLE ASSETSSG</v>
      </c>
      <c r="B8" s="125" t="s">
        <v>1809</v>
      </c>
      <c r="C8" s="119" t="s">
        <v>1453</v>
      </c>
      <c r="D8" s="125" t="s">
        <v>1964</v>
      </c>
      <c r="E8" s="121" t="s">
        <v>1456</v>
      </c>
      <c r="F8" s="119" t="s">
        <v>3108</v>
      </c>
      <c r="G8" s="138">
        <v>3404.1529</v>
      </c>
      <c r="H8" s="113" t="str">
        <f t="shared" si="1"/>
        <v>SG</v>
      </c>
      <c r="I8" s="113" t="str">
        <f>INDEX('IP Lookup'!$I:$I,MATCH(A8,'IP Lookup'!$A:$A,0))</f>
        <v>T</v>
      </c>
      <c r="J8" s="113" t="str">
        <f>IF('IP Jun22data'!$G8=0,"NO",IF(ISNA('IP Jun22data'!$I8),"YES",IF(_xlfn.ISFORMULA('IP Jun22data'!$I8),"NO","YES")))</f>
        <v>NO</v>
      </c>
      <c r="K8"/>
    </row>
    <row r="9" spans="1:11">
      <c r="A9" s="114" t="str">
        <f t="shared" si="0"/>
        <v>1010000ELEC PLANT IN SERV3031040TRANSMISSION INTANGIBLE ASSETSSITUS</v>
      </c>
      <c r="B9" s="125" t="s">
        <v>1809</v>
      </c>
      <c r="C9" s="119" t="s">
        <v>1453</v>
      </c>
      <c r="D9" s="125" t="s">
        <v>1964</v>
      </c>
      <c r="E9" s="121" t="s">
        <v>1456</v>
      </c>
      <c r="F9" s="119" t="s">
        <v>343</v>
      </c>
      <c r="G9" s="138">
        <v>530.80893000000003</v>
      </c>
      <c r="H9" s="113" t="str">
        <f t="shared" si="1"/>
        <v>SITUS</v>
      </c>
      <c r="I9" s="113" t="str">
        <f>INDEX('IP Lookup'!$I:$I,MATCH(A9,'IP Lookup'!$A:$A,0))</f>
        <v>T</v>
      </c>
      <c r="J9" s="113" t="str">
        <f>IF('IP Jun22data'!$G9=0,"NO",IF(ISNA('IP Jun22data'!$I9),"YES",IF(_xlfn.ISFORMULA('IP Jun22data'!$I9),"NO","YES")))</f>
        <v>NO</v>
      </c>
      <c r="K9"/>
    </row>
    <row r="10" spans="1:11">
      <c r="A10" s="114" t="str">
        <f t="shared" si="0"/>
        <v>1010000ELEC PLANT IN SERV3031040TRANSMISSION INTANGIBLE ASSETSSG</v>
      </c>
      <c r="B10" s="125" t="s">
        <v>1809</v>
      </c>
      <c r="C10" s="119" t="s">
        <v>1453</v>
      </c>
      <c r="D10" s="125" t="s">
        <v>1964</v>
      </c>
      <c r="E10" s="121" t="s">
        <v>1456</v>
      </c>
      <c r="F10" s="119" t="s">
        <v>87</v>
      </c>
      <c r="G10" s="138">
        <v>47082.634973333297</v>
      </c>
      <c r="H10" s="113" t="str">
        <f t="shared" si="1"/>
        <v>SG</v>
      </c>
      <c r="I10" s="113" t="str">
        <f>INDEX('IP Lookup'!$I:$I,MATCH(A10,'IP Lookup'!$A:$A,0))</f>
        <v>T</v>
      </c>
      <c r="J10" s="113" t="str">
        <f>IF('IP Jun22data'!$G10=0,"NO",IF(ISNA('IP Jun22data'!$I10),"YES",IF(_xlfn.ISFORMULA('IP Jun22data'!$I10),"NO","YES")))</f>
        <v>NO</v>
      </c>
      <c r="K10"/>
    </row>
    <row r="11" spans="1:11">
      <c r="A11" s="114" t="str">
        <f t="shared" si="0"/>
        <v>1010000ELEC PLANT IN SERV3031040TRANSMISSION INTANGIBLE ASSETSSITUS</v>
      </c>
      <c r="B11" s="125" t="s">
        <v>1809</v>
      </c>
      <c r="C11" s="119" t="s">
        <v>1453</v>
      </c>
      <c r="D11" s="125" t="s">
        <v>1964</v>
      </c>
      <c r="E11" s="121" t="s">
        <v>1456</v>
      </c>
      <c r="F11" s="119" t="s">
        <v>370</v>
      </c>
      <c r="G11" s="138">
        <v>1618.820565</v>
      </c>
      <c r="H11" s="113" t="str">
        <f t="shared" si="1"/>
        <v>SITUS</v>
      </c>
      <c r="I11" s="113" t="str">
        <f>INDEX('IP Lookup'!$I:$I,MATCH(A11,'IP Lookup'!$A:$A,0))</f>
        <v>T</v>
      </c>
      <c r="J11" s="113" t="str">
        <f>IF('IP Jun22data'!$G11=0,"NO",IF(ISNA('IP Jun22data'!$I11),"YES",IF(_xlfn.ISFORMULA('IP Jun22data'!$I11),"NO","YES")))</f>
        <v>NO</v>
      </c>
      <c r="K11"/>
    </row>
    <row r="12" spans="1:11">
      <c r="A12" s="114" t="str">
        <f t="shared" si="0"/>
        <v>1010000ELEC PLANT IN SERV3031040TRANSMISSION INTANGIBLE ASSETSSITUS</v>
      </c>
      <c r="B12" s="125" t="s">
        <v>1809</v>
      </c>
      <c r="C12" s="119" t="s">
        <v>1453</v>
      </c>
      <c r="D12" s="125" t="s">
        <v>1964</v>
      </c>
      <c r="E12" s="121" t="s">
        <v>1456</v>
      </c>
      <c r="F12" s="119" t="s">
        <v>386</v>
      </c>
      <c r="G12" s="138">
        <v>4229.3195900000001</v>
      </c>
      <c r="H12" s="113" t="str">
        <f t="shared" si="1"/>
        <v>SITUS</v>
      </c>
      <c r="I12" s="113" t="str">
        <f>INDEX('IP Lookup'!$I:$I,MATCH(A12,'IP Lookup'!$A:$A,0))</f>
        <v>T</v>
      </c>
      <c r="J12" s="113" t="str">
        <f>IF('IP Jun22data'!$G12=0,"NO",IF(ISNA('IP Jun22data'!$I12),"YES",IF(_xlfn.ISFORMULA('IP Jun22data'!$I12),"NO","YES")))</f>
        <v>NO</v>
      </c>
      <c r="K12"/>
    </row>
    <row r="13" spans="1:11">
      <c r="A13" s="114" t="str">
        <f t="shared" si="0"/>
        <v>1010000ELEC PLANT IN SERV3031050RCMS - REGION CONSTRUCTION MGMT SYSTEMSO</v>
      </c>
      <c r="B13" s="125" t="s">
        <v>1809</v>
      </c>
      <c r="C13" s="119" t="s">
        <v>1453</v>
      </c>
      <c r="D13" s="125" t="s">
        <v>1965</v>
      </c>
      <c r="E13" s="121" t="s">
        <v>1457</v>
      </c>
      <c r="F13" s="119" t="s">
        <v>89</v>
      </c>
      <c r="G13" s="138">
        <v>11249.26273</v>
      </c>
      <c r="H13" s="113" t="str">
        <f t="shared" si="1"/>
        <v>SO</v>
      </c>
      <c r="I13" s="113" t="str">
        <f>INDEX('IP Lookup'!$I:$I,MATCH(A13,'IP Lookup'!$A:$A,0))</f>
        <v>PTD</v>
      </c>
      <c r="J13" s="113" t="str">
        <f>IF('IP Jun22data'!$G13=0,"NO",IF(ISNA('IP Jun22data'!$I13),"YES",IF(_xlfn.ISFORMULA('IP Jun22data'!$I13),"NO","YES")))</f>
        <v>NO</v>
      </c>
      <c r="K13"/>
    </row>
    <row r="14" spans="1:11">
      <c r="A14" s="114" t="str">
        <f t="shared" si="0"/>
        <v>1010000ELEC PLANT IN SERV3031080FUEL MANAGEMENT SYSTEMSO</v>
      </c>
      <c r="B14" s="125" t="s">
        <v>1809</v>
      </c>
      <c r="C14" s="119" t="s">
        <v>1453</v>
      </c>
      <c r="D14" s="125" t="s">
        <v>1966</v>
      </c>
      <c r="E14" s="121" t="s">
        <v>1458</v>
      </c>
      <c r="F14" s="119" t="s">
        <v>89</v>
      </c>
      <c r="G14" s="138">
        <v>3292.5410000000002</v>
      </c>
      <c r="H14" s="113" t="str">
        <f t="shared" si="1"/>
        <v>SO</v>
      </c>
      <c r="I14" s="113" t="str">
        <f>INDEX('IP Lookup'!$I:$I,MATCH(A14,'IP Lookup'!$A:$A,0))</f>
        <v>PTD</v>
      </c>
      <c r="J14" s="113" t="str">
        <f>IF('IP Jun22data'!$G14=0,"NO",IF(ISNA('IP Jun22data'!$I14),"YES",IF(_xlfn.ISFORMULA('IP Jun22data'!$I14),"NO","YES")))</f>
        <v>NO</v>
      </c>
      <c r="K14"/>
    </row>
    <row r="15" spans="1:11">
      <c r="A15" s="114" t="str">
        <f t="shared" si="0"/>
        <v>1010000ELEC PLANT IN SERV3031230AFPR - AUTOMATED FACILITY POINT RECORDSSO</v>
      </c>
      <c r="B15" s="125" t="s">
        <v>1809</v>
      </c>
      <c r="C15" s="119" t="s">
        <v>1453</v>
      </c>
      <c r="D15" s="125" t="s">
        <v>1967</v>
      </c>
      <c r="E15" s="121" t="s">
        <v>3111</v>
      </c>
      <c r="F15" s="119" t="s">
        <v>89</v>
      </c>
      <c r="G15" s="138">
        <v>4409.6926000000003</v>
      </c>
      <c r="H15" s="113" t="str">
        <f t="shared" si="1"/>
        <v>SO</v>
      </c>
      <c r="I15" s="113" t="str">
        <f>INDEX('IP Lookup'!$I:$I,MATCH(A15,'IP Lookup'!$A:$A,0))</f>
        <v>TD</v>
      </c>
      <c r="J15" s="113" t="str">
        <f>IF('IP Jun22data'!$G15=0,"NO",IF(ISNA('IP Jun22data'!$I15),"YES",IF(_xlfn.ISFORMULA('IP Jun22data'!$I15),"NO","YES")))</f>
        <v>NO</v>
      </c>
      <c r="K15"/>
    </row>
    <row r="16" spans="1:11">
      <c r="A16" s="114" t="str">
        <f t="shared" si="0"/>
        <v>1010000ELEC PLANT IN SERV3031680CADOPS - COMPUTER-ASSISTED DISTRIBUTIONSO</v>
      </c>
      <c r="B16" s="125" t="s">
        <v>1809</v>
      </c>
      <c r="C16" s="119" t="s">
        <v>1453</v>
      </c>
      <c r="D16" s="125" t="s">
        <v>1968</v>
      </c>
      <c r="E16" s="121" t="s">
        <v>3112</v>
      </c>
      <c r="F16" s="119" t="s">
        <v>89</v>
      </c>
      <c r="G16" s="138">
        <v>15604.059979166699</v>
      </c>
      <c r="H16" s="113" t="str">
        <f t="shared" si="1"/>
        <v>SO</v>
      </c>
      <c r="I16" s="113" t="str">
        <f>INDEX('IP Lookup'!$I:$I,MATCH(A16,'IP Lookup'!$A:$A,0))</f>
        <v>DPW</v>
      </c>
      <c r="J16" s="113" t="str">
        <f>IF('IP Jun22data'!$G16=0,"NO",IF(ISNA('IP Jun22data'!$I16),"YES",IF(_xlfn.ISFORMULA('IP Jun22data'!$I16),"NO","YES")))</f>
        <v>NO</v>
      </c>
      <c r="K16"/>
    </row>
    <row r="17" spans="1:11">
      <c r="A17" s="114" t="str">
        <f t="shared" si="0"/>
        <v>1010000ELEC PLANT IN SERV3031830CUSTOMER SERVICE SYSTEM (CSS)CN</v>
      </c>
      <c r="B17" s="125" t="s">
        <v>1809</v>
      </c>
      <c r="C17" s="119" t="s">
        <v>1453</v>
      </c>
      <c r="D17" s="125" t="s">
        <v>1969</v>
      </c>
      <c r="E17" s="121" t="s">
        <v>1462</v>
      </c>
      <c r="F17" s="119" t="s">
        <v>84</v>
      </c>
      <c r="G17" s="138">
        <v>147841.790312842</v>
      </c>
      <c r="H17" s="113" t="str">
        <f t="shared" si="1"/>
        <v>CN</v>
      </c>
      <c r="I17" s="113" t="str">
        <f>INDEX('IP Lookup'!$I:$I,MATCH(A17,'IP Lookup'!$A:$A,0))</f>
        <v>CUST</v>
      </c>
      <c r="J17" s="113" t="str">
        <f>IF('IP Jun22data'!$G17=0,"NO",IF(ISNA('IP Jun22data'!$I17),"YES",IF(_xlfn.ISFORMULA('IP Jun22data'!$I17),"NO","YES")))</f>
        <v>NO</v>
      </c>
      <c r="K17"/>
    </row>
    <row r="18" spans="1:11">
      <c r="A18" s="114" t="str">
        <f t="shared" si="0"/>
        <v>1010000ELEC PLANT IN SERV3032040S A PSO</v>
      </c>
      <c r="B18" s="125" t="s">
        <v>1809</v>
      </c>
      <c r="C18" s="119" t="s">
        <v>1453</v>
      </c>
      <c r="D18" s="125" t="s">
        <v>1970</v>
      </c>
      <c r="E18" s="121" t="s">
        <v>1463</v>
      </c>
      <c r="F18" s="119" t="s">
        <v>89</v>
      </c>
      <c r="G18" s="138">
        <v>183057.62479249999</v>
      </c>
      <c r="H18" s="113" t="str">
        <f t="shared" si="1"/>
        <v>SO</v>
      </c>
      <c r="I18" s="113" t="str">
        <f>INDEX('IP Lookup'!$I:$I,MATCH(A18,'IP Lookup'!$A:$A,0))</f>
        <v>PTD</v>
      </c>
      <c r="J18" s="113" t="str">
        <f>IF('IP Jun22data'!$G18=0,"NO",IF(ISNA('IP Jun22data'!$I18),"YES",IF(_xlfn.ISFORMULA('IP Jun22data'!$I18),"NO","YES")))</f>
        <v>NO</v>
      </c>
      <c r="K18"/>
    </row>
    <row r="19" spans="1:11">
      <c r="A19" s="114" t="str">
        <f t="shared" si="0"/>
        <v>1010000ELEC PLANT IN SERV3032130NODAL PRICING SOFTWARESG</v>
      </c>
      <c r="B19" s="125" t="s">
        <v>1809</v>
      </c>
      <c r="C19" s="119" t="s">
        <v>1453</v>
      </c>
      <c r="D19" s="125" t="s">
        <v>1971</v>
      </c>
      <c r="E19" s="121" t="s">
        <v>3113</v>
      </c>
      <c r="F19" s="119" t="s">
        <v>87</v>
      </c>
      <c r="G19" s="138">
        <v>2900.2259645833301</v>
      </c>
      <c r="H19" s="113" t="str">
        <f t="shared" si="1"/>
        <v>SG</v>
      </c>
      <c r="I19" s="113" t="str">
        <f>INDEX('IP Lookup'!$I:$I,MATCH(A19,'IP Lookup'!$A:$A,0))</f>
        <v>P</v>
      </c>
      <c r="J19" s="113" t="str">
        <f>IF('IP Jun22data'!$G19=0,"NO",IF(ISNA('IP Jun22data'!$I19),"YES",IF(_xlfn.ISFORMULA('IP Jun22data'!$I19),"NO","YES")))</f>
        <v>NO</v>
      </c>
      <c r="K19"/>
    </row>
    <row r="20" spans="1:11">
      <c r="A20" s="114" t="str">
        <f t="shared" si="0"/>
        <v>1010000ELEC PLANT IN SERV3032140ESM-IRPSO</v>
      </c>
      <c r="B20" s="125" t="s">
        <v>1809</v>
      </c>
      <c r="C20" s="119" t="s">
        <v>1453</v>
      </c>
      <c r="D20" s="125" t="s">
        <v>1973</v>
      </c>
      <c r="E20" s="121" t="s">
        <v>3114</v>
      </c>
      <c r="F20" s="119" t="s">
        <v>89</v>
      </c>
      <c r="G20" s="138">
        <v>1936.13085208333</v>
      </c>
      <c r="H20" s="113" t="str">
        <f t="shared" si="1"/>
        <v>SO</v>
      </c>
      <c r="I20" s="113" t="str">
        <f>INDEX('IP Lookup'!$I:$I,MATCH(A20,'IP Lookup'!$A:$A,0))</f>
        <v>P</v>
      </c>
      <c r="J20" s="113" t="str">
        <f>IF('IP Jun22data'!$G20=0,"NO",IF(ISNA('IP Jun22data'!$I20),"YES",IF(_xlfn.ISFORMULA('IP Jun22data'!$I20),"NO","YES")))</f>
        <v>NO</v>
      </c>
      <c r="K20"/>
    </row>
    <row r="21" spans="1:11">
      <c r="A21" s="114" t="str">
        <f t="shared" si="0"/>
        <v>1010000ELEC PLANT IN SERV3032150CELONISSO</v>
      </c>
      <c r="B21" s="125" t="s">
        <v>1809</v>
      </c>
      <c r="C21" s="119" t="s">
        <v>1453</v>
      </c>
      <c r="D21" s="125" t="s">
        <v>1975</v>
      </c>
      <c r="E21" s="121" t="s">
        <v>3115</v>
      </c>
      <c r="F21" s="119" t="s">
        <v>89</v>
      </c>
      <c r="G21" s="138">
        <v>4573.5118258333296</v>
      </c>
      <c r="H21" s="113" t="str">
        <f t="shared" si="1"/>
        <v>SO</v>
      </c>
      <c r="I21" s="113" t="str">
        <f>INDEX('IP Lookup'!$I:$I,MATCH(A21,'IP Lookup'!$A:$A,0))</f>
        <v>PTD</v>
      </c>
      <c r="J21" s="113" t="str">
        <f>IF('IP Jun22data'!$G21=0,"NO",IF(ISNA('IP Jun22data'!$I21),"YES",IF(_xlfn.ISFORMULA('IP Jun22data'!$I21),"NO","YES")))</f>
        <v>NO</v>
      </c>
      <c r="K21"/>
    </row>
    <row r="22" spans="1:11">
      <c r="A22" s="114" t="str">
        <f t="shared" si="0"/>
        <v>1010000ELEC PLANT IN SERV3032160ARCOSSO</v>
      </c>
      <c r="B22" s="125" t="s">
        <v>1809</v>
      </c>
      <c r="C22" s="119" t="s">
        <v>1453</v>
      </c>
      <c r="D22" s="125" t="s">
        <v>1977</v>
      </c>
      <c r="E22" s="121" t="s">
        <v>3116</v>
      </c>
      <c r="F22" s="119" t="s">
        <v>89</v>
      </c>
      <c r="G22" s="138">
        <v>2440.3147166666699</v>
      </c>
      <c r="H22" s="113" t="str">
        <f t="shared" si="1"/>
        <v>SO</v>
      </c>
      <c r="I22" s="113" t="str">
        <f>INDEX('IP Lookup'!$I:$I,MATCH(A22,'IP Lookup'!$A:$A,0))</f>
        <v>TD</v>
      </c>
      <c r="J22" s="113" t="str">
        <f>IF('IP Jun22data'!$G22=0,"NO",IF(ISNA('IP Jun22data'!$I22),"YES",IF(_xlfn.ISFORMULA('IP Jun22data'!$I22),"NO","YES")))</f>
        <v>NO</v>
      </c>
      <c r="K22"/>
    </row>
    <row r="23" spans="1:11">
      <c r="A23" s="114" t="str">
        <f t="shared" si="0"/>
        <v>1010000ELEC PLANT IN SERV3032170AZURE B2C - IDENTITY MGTSO</v>
      </c>
      <c r="B23" s="125" t="s">
        <v>1809</v>
      </c>
      <c r="C23" s="119" t="s">
        <v>1453</v>
      </c>
      <c r="D23" s="125" t="s">
        <v>1979</v>
      </c>
      <c r="E23" s="121" t="s">
        <v>3117</v>
      </c>
      <c r="F23" s="119" t="s">
        <v>89</v>
      </c>
      <c r="G23" s="138">
        <v>1128.6207675000001</v>
      </c>
      <c r="H23" s="113" t="str">
        <f t="shared" si="1"/>
        <v>SO</v>
      </c>
      <c r="I23" s="113" t="str">
        <f>INDEX('IP Lookup'!$I:$I,MATCH(A23,'IP Lookup'!$A:$A,0))</f>
        <v>PTD</v>
      </c>
      <c r="J23" s="113" t="str">
        <f>IF('IP Jun22data'!$G23=0,"NO",IF(ISNA('IP Jun22data'!$I23),"YES",IF(_xlfn.ISFORMULA('IP Jun22data'!$I23),"NO","YES")))</f>
        <v>NO</v>
      </c>
      <c r="K23"/>
    </row>
    <row r="24" spans="1:11">
      <c r="A24" s="114" t="str">
        <f t="shared" si="0"/>
        <v>1010000ELEC PLANT IN SERV3032180IAM - SCHEDULING/TAGGING SYSTEMSO</v>
      </c>
      <c r="B24" s="125" t="s">
        <v>1809</v>
      </c>
      <c r="C24" s="119" t="s">
        <v>1453</v>
      </c>
      <c r="D24" s="125" t="s">
        <v>1981</v>
      </c>
      <c r="E24" s="121" t="s">
        <v>3118</v>
      </c>
      <c r="F24" s="119" t="s">
        <v>89</v>
      </c>
      <c r="G24" s="138">
        <v>727.17377958333304</v>
      </c>
      <c r="H24" s="113" t="str">
        <f t="shared" si="1"/>
        <v>SO</v>
      </c>
      <c r="I24" s="113" t="str">
        <f>INDEX('IP Lookup'!$I:$I,MATCH(A24,'IP Lookup'!$A:$A,0))</f>
        <v>TD</v>
      </c>
      <c r="J24" s="113" t="str">
        <f>IF('IP Jun22data'!$G24=0,"NO",IF(ISNA('IP Jun22data'!$I24),"YES",IF(_xlfn.ISFORMULA('IP Jun22data'!$I24),"NO","YES")))</f>
        <v>NO</v>
      </c>
      <c r="K24"/>
    </row>
    <row r="25" spans="1:11">
      <c r="A25" s="114" t="str">
        <f t="shared" si="0"/>
        <v>1010000ELEC PLANT IN SERV3032190PCI GenTraderSO</v>
      </c>
      <c r="B25" s="125" t="s">
        <v>1809</v>
      </c>
      <c r="C25" s="119" t="s">
        <v>1453</v>
      </c>
      <c r="D25" s="125" t="s">
        <v>1983</v>
      </c>
      <c r="E25" s="121" t="s">
        <v>1984</v>
      </c>
      <c r="F25" s="119" t="s">
        <v>89</v>
      </c>
      <c r="G25" s="138">
        <v>873.25253250000003</v>
      </c>
      <c r="H25" s="113" t="str">
        <f t="shared" si="1"/>
        <v>SO</v>
      </c>
      <c r="I25" s="113" t="str">
        <f>INDEX('IP Lookup'!$I:$I,MATCH(A25,'IP Lookup'!$A:$A,0))</f>
        <v>P</v>
      </c>
      <c r="J25" s="113" t="str">
        <f>IF('IP Jun22data'!$G25=0,"NO",IF(ISNA('IP Jun22data'!$I25),"YES",IF(_xlfn.ISFORMULA('IP Jun22data'!$I25),"NO","YES")))</f>
        <v>NO</v>
      </c>
      <c r="K25"/>
    </row>
    <row r="26" spans="1:11">
      <c r="A26" s="114" t="str">
        <f t="shared" si="0"/>
        <v>1010000ELEC PLANT IN SERV3032200ITOASO</v>
      </c>
      <c r="B26" s="125" t="s">
        <v>1809</v>
      </c>
      <c r="C26" s="119" t="s">
        <v>1453</v>
      </c>
      <c r="D26" s="125" t="s">
        <v>1985</v>
      </c>
      <c r="E26" s="121" t="s">
        <v>3119</v>
      </c>
      <c r="F26" s="119" t="s">
        <v>89</v>
      </c>
      <c r="G26" s="138">
        <v>2263.0170366666698</v>
      </c>
      <c r="H26" s="113" t="str">
        <f t="shared" si="1"/>
        <v>SO</v>
      </c>
      <c r="I26" s="113" t="str">
        <f>INDEX('IP Lookup'!$I:$I,MATCH(A26,'IP Lookup'!$A:$A,0))</f>
        <v>T</v>
      </c>
      <c r="J26" s="113" t="str">
        <f>IF('IP Jun22data'!$G26=0,"NO",IF(ISNA('IP Jun22data'!$I26),"YES",IF(_xlfn.ISFORMULA('IP Jun22data'!$I26),"NO","YES")))</f>
        <v>NO</v>
      </c>
      <c r="K26"/>
    </row>
    <row r="27" spans="1:11">
      <c r="A27" s="114" t="str">
        <f t="shared" si="0"/>
        <v>1010000ELEC PLANT IN SERV3032210TSSA - TrueSight Server AutomationSO</v>
      </c>
      <c r="B27" s="125" t="s">
        <v>1809</v>
      </c>
      <c r="C27" s="119" t="s">
        <v>1453</v>
      </c>
      <c r="D27" s="125" t="s">
        <v>3120</v>
      </c>
      <c r="E27" s="121" t="s">
        <v>3121</v>
      </c>
      <c r="F27" s="119" t="s">
        <v>89</v>
      </c>
      <c r="G27" s="138">
        <v>646.39218291666702</v>
      </c>
      <c r="H27" s="113" t="str">
        <f t="shared" si="1"/>
        <v>SO</v>
      </c>
      <c r="I27" s="113" t="str">
        <f>INDEX('IP Lookup'!$I:$I,MATCH(A27,'IP Lookup'!$A:$A,0))</f>
        <v>PTD</v>
      </c>
      <c r="J27" s="113" t="str">
        <f>IF('IP Jun22data'!$G27=0,"NO",IF(ISNA('IP Jun22data'!$I27),"YES",IF(_xlfn.ISFORMULA('IP Jun22data'!$I27),"NO","YES")))</f>
        <v>NO</v>
      </c>
      <c r="K27"/>
    </row>
    <row r="28" spans="1:11">
      <c r="A28" s="114" t="str">
        <f t="shared" si="0"/>
        <v>1010000ELEC PLANT IN SERV3032220COGNOS - EDW REPORTING TOOLSO</v>
      </c>
      <c r="B28" s="125" t="s">
        <v>1809</v>
      </c>
      <c r="C28" s="119" t="s">
        <v>1453</v>
      </c>
      <c r="D28" s="125" t="s">
        <v>1987</v>
      </c>
      <c r="E28" s="121" t="s">
        <v>3122</v>
      </c>
      <c r="F28" s="119" t="s">
        <v>89</v>
      </c>
      <c r="G28" s="138">
        <v>1316.4332987499999</v>
      </c>
      <c r="H28" s="113" t="str">
        <f t="shared" si="1"/>
        <v>SO</v>
      </c>
      <c r="I28" s="113" t="str">
        <f>INDEX('IP Lookup'!$I:$I,MATCH(A28,'IP Lookup'!$A:$A,0))</f>
        <v>PTD</v>
      </c>
      <c r="J28" s="113" t="str">
        <f>IF('IP Jun22data'!$G28=0,"NO",IF(ISNA('IP Jun22data'!$I28),"YES",IF(_xlfn.ISFORMULA('IP Jun22data'!$I28),"NO","YES")))</f>
        <v>NO</v>
      </c>
      <c r="K28"/>
    </row>
    <row r="29" spans="1:11">
      <c r="A29" s="114" t="str">
        <f t="shared" si="0"/>
        <v>1010000ELEC PLANT IN SERV3032270ENTERPRISE DATA WAREHOUSESO</v>
      </c>
      <c r="B29" s="125" t="s">
        <v>1809</v>
      </c>
      <c r="C29" s="119" t="s">
        <v>1453</v>
      </c>
      <c r="D29" s="125" t="s">
        <v>1988</v>
      </c>
      <c r="E29" s="121" t="s">
        <v>1466</v>
      </c>
      <c r="F29" s="119" t="s">
        <v>89</v>
      </c>
      <c r="G29" s="138">
        <v>5876.8036400000001</v>
      </c>
      <c r="H29" s="113" t="str">
        <f t="shared" si="1"/>
        <v>SO</v>
      </c>
      <c r="I29" s="113" t="str">
        <f>INDEX('IP Lookup'!$I:$I,MATCH(A29,'IP Lookup'!$A:$A,0))</f>
        <v>PTD</v>
      </c>
      <c r="J29" s="113" t="str">
        <f>IF('IP Jun22data'!$G29=0,"NO",IF(ISNA('IP Jun22data'!$I29),"YES",IF(_xlfn.ISFORMULA('IP Jun22data'!$I29),"NO","YES")))</f>
        <v>NO</v>
      </c>
      <c r="K29"/>
    </row>
    <row r="30" spans="1:11">
      <c r="A30" s="114" t="str">
        <f t="shared" si="0"/>
        <v>1010000ELEC PLANT IN SERV3032330FIELDNET PRO METER READING SYST -HRP REPSO</v>
      </c>
      <c r="B30" s="125" t="s">
        <v>1809</v>
      </c>
      <c r="C30" s="119" t="s">
        <v>1453</v>
      </c>
      <c r="D30" s="125" t="s">
        <v>1989</v>
      </c>
      <c r="E30" s="121" t="s">
        <v>1467</v>
      </c>
      <c r="F30" s="119" t="s">
        <v>89</v>
      </c>
      <c r="G30" s="138">
        <v>2907.75963</v>
      </c>
      <c r="H30" s="113" t="str">
        <f t="shared" si="1"/>
        <v>SO</v>
      </c>
      <c r="I30" s="113" t="str">
        <f>INDEX('IP Lookup'!$I:$I,MATCH(A30,'IP Lookup'!$A:$A,0))</f>
        <v>CUST</v>
      </c>
      <c r="J30" s="113" t="str">
        <f>IF('IP Jun22data'!$G30=0,"NO",IF(ISNA('IP Jun22data'!$I30),"YES",IF(_xlfn.ISFORMULA('IP Jun22data'!$I30),"NO","YES")))</f>
        <v>NO</v>
      </c>
      <c r="K30"/>
    </row>
    <row r="31" spans="1:11">
      <c r="A31" s="114" t="str">
        <f t="shared" si="0"/>
        <v>1010000ELEC PLANT IN SERV3032340FACILITY INSPECTION REPORTING SYSTEMSO</v>
      </c>
      <c r="B31" s="125" t="s">
        <v>1809</v>
      </c>
      <c r="C31" s="119" t="s">
        <v>1453</v>
      </c>
      <c r="D31" s="125" t="s">
        <v>1990</v>
      </c>
      <c r="E31" s="121" t="s">
        <v>1468</v>
      </c>
      <c r="F31" s="119" t="s">
        <v>89</v>
      </c>
      <c r="G31" s="138">
        <v>2020.2035599999999</v>
      </c>
      <c r="H31" s="113" t="str">
        <f t="shared" si="1"/>
        <v>SO</v>
      </c>
      <c r="I31" s="113" t="str">
        <f>INDEX('IP Lookup'!$I:$I,MATCH(A31,'IP Lookup'!$A:$A,0))</f>
        <v>PTD</v>
      </c>
      <c r="J31" s="113" t="str">
        <f>IF('IP Jun22data'!$G31=0,"NO",IF(ISNA('IP Jun22data'!$I31),"YES",IF(_xlfn.ISFORMULA('IP Jun22data'!$I31),"NO","YES")))</f>
        <v>NO</v>
      </c>
      <c r="K31"/>
    </row>
    <row r="32" spans="1:11">
      <c r="A32" s="114" t="str">
        <f t="shared" si="0"/>
        <v>1010000ELEC PLANT IN SERV30323602002 GRID NET POWER COST MODELINGSO</v>
      </c>
      <c r="B32" s="125" t="s">
        <v>1809</v>
      </c>
      <c r="C32" s="119" t="s">
        <v>1453</v>
      </c>
      <c r="D32" s="125" t="s">
        <v>1991</v>
      </c>
      <c r="E32" s="121" t="s">
        <v>1469</v>
      </c>
      <c r="F32" s="119" t="s">
        <v>89</v>
      </c>
      <c r="G32" s="138">
        <v>8997.0410479166694</v>
      </c>
      <c r="H32" s="113" t="str">
        <f t="shared" si="1"/>
        <v>SO</v>
      </c>
      <c r="I32" s="113" t="str">
        <f>INDEX('IP Lookup'!$I:$I,MATCH(A32,'IP Lookup'!$A:$A,0))</f>
        <v>PTD</v>
      </c>
      <c r="J32" s="113" t="str">
        <f>IF('IP Jun22data'!$G32=0,"NO",IF(ISNA('IP Jun22data'!$I32),"YES",IF(_xlfn.ISFORMULA('IP Jun22data'!$I32),"NO","YES")))</f>
        <v>NO</v>
      </c>
      <c r="K32"/>
    </row>
    <row r="33" spans="1:11">
      <c r="A33" s="114" t="str">
        <f t="shared" si="0"/>
        <v>1010000ELEC PLANT IN SERV3032450MID OFFICE IMPROVEMENT PROJECTSO</v>
      </c>
      <c r="B33" s="125" t="s">
        <v>1809</v>
      </c>
      <c r="C33" s="119" t="s">
        <v>1453</v>
      </c>
      <c r="D33" s="125" t="s">
        <v>1992</v>
      </c>
      <c r="E33" s="121" t="s">
        <v>1470</v>
      </c>
      <c r="F33" s="119" t="s">
        <v>89</v>
      </c>
      <c r="G33" s="138">
        <v>10565.3259116667</v>
      </c>
      <c r="H33" s="113" t="str">
        <f t="shared" si="1"/>
        <v>SO</v>
      </c>
      <c r="I33" s="113" t="str">
        <f>INDEX('IP Lookup'!$I:$I,MATCH(A33,'IP Lookup'!$A:$A,0))</f>
        <v>P</v>
      </c>
      <c r="J33" s="113" t="str">
        <f>IF('IP Jun22data'!$G33=0,"NO",IF(ISNA('IP Jun22data'!$I33),"YES",IF(_xlfn.ISFORMULA('IP Jun22data'!$I33),"NO","YES")))</f>
        <v>NO</v>
      </c>
      <c r="K33"/>
    </row>
    <row r="34" spans="1:11">
      <c r="A34" s="114" t="str">
        <f t="shared" si="0"/>
        <v>1010000ELEC PLANT IN SERV3032510OPERATIONS MAPPING SYSTEMSO</v>
      </c>
      <c r="B34" s="125" t="s">
        <v>1809</v>
      </c>
      <c r="C34" s="119" t="s">
        <v>1453</v>
      </c>
      <c r="D34" s="125" t="s">
        <v>1993</v>
      </c>
      <c r="E34" s="121" t="s">
        <v>1472</v>
      </c>
      <c r="F34" s="119" t="s">
        <v>89</v>
      </c>
      <c r="G34" s="138">
        <v>10386.432650000001</v>
      </c>
      <c r="H34" s="113" t="str">
        <f t="shared" si="1"/>
        <v>SO</v>
      </c>
      <c r="I34" s="113" t="str">
        <f>INDEX('IP Lookup'!$I:$I,MATCH(A34,'IP Lookup'!$A:$A,0))</f>
        <v>TD</v>
      </c>
      <c r="J34" s="113" t="str">
        <f>IF('IP Jun22data'!$G34=0,"NO",IF(ISNA('IP Jun22data'!$I34),"YES",IF(_xlfn.ISFORMULA('IP Jun22data'!$I34),"NO","YES")))</f>
        <v>NO</v>
      </c>
      <c r="K34"/>
    </row>
    <row r="35" spans="1:11">
      <c r="A35" s="114" t="str">
        <f t="shared" si="0"/>
        <v>1010000ELEC PLANT IN SERV3032530POLE ATTACHMENT MGMT SYSTEMSO</v>
      </c>
      <c r="B35" s="125" t="s">
        <v>1809</v>
      </c>
      <c r="C35" s="119" t="s">
        <v>1453</v>
      </c>
      <c r="D35" s="125" t="s">
        <v>1994</v>
      </c>
      <c r="E35" s="121" t="s">
        <v>1473</v>
      </c>
      <c r="F35" s="119" t="s">
        <v>89</v>
      </c>
      <c r="G35" s="138">
        <v>1904.66289333333</v>
      </c>
      <c r="H35" s="113" t="str">
        <f t="shared" si="1"/>
        <v>SO</v>
      </c>
      <c r="I35" s="113" t="str">
        <f>INDEX('IP Lookup'!$I:$I,MATCH(A35,'IP Lookup'!$A:$A,0))</f>
        <v>DPW</v>
      </c>
      <c r="J35" s="113" t="str">
        <f>IF('IP Jun22data'!$G35=0,"NO",IF(ISNA('IP Jun22data'!$I35),"YES",IF(_xlfn.ISFORMULA('IP Jun22data'!$I35),"NO","YES")))</f>
        <v>NO</v>
      </c>
      <c r="K35"/>
    </row>
    <row r="36" spans="1:11">
      <c r="A36" s="114" t="str">
        <f t="shared" si="0"/>
        <v>1010000ELEC PLANT IN SERV3032590SUBSTATION/CIRCUIT HISTORY OF OPERATIONSSO</v>
      </c>
      <c r="B36" s="125" t="s">
        <v>1809</v>
      </c>
      <c r="C36" s="119" t="s">
        <v>1453</v>
      </c>
      <c r="D36" s="125" t="s">
        <v>1995</v>
      </c>
      <c r="E36" s="121" t="s">
        <v>1474</v>
      </c>
      <c r="F36" s="119" t="s">
        <v>89</v>
      </c>
      <c r="G36" s="138">
        <v>2415.8410899999999</v>
      </c>
      <c r="H36" s="113" t="str">
        <f t="shared" si="1"/>
        <v>SO</v>
      </c>
      <c r="I36" s="113" t="str">
        <f>INDEX('IP Lookup'!$I:$I,MATCH(A36,'IP Lookup'!$A:$A,0))</f>
        <v>TD</v>
      </c>
      <c r="J36" s="113" t="str">
        <f>IF('IP Jun22data'!$G36=0,"NO",IF(ISNA('IP Jun22data'!$I36),"YES",IF(_xlfn.ISFORMULA('IP Jun22data'!$I36),"NO","YES")))</f>
        <v>NO</v>
      </c>
      <c r="K36"/>
    </row>
    <row r="37" spans="1:11">
      <c r="A37" s="114" t="str">
        <f t="shared" si="0"/>
        <v>1010000ELEC PLANT IN SERV3032600SINGLE PERSON SCHEDULINGSO</v>
      </c>
      <c r="B37" s="125" t="s">
        <v>1809</v>
      </c>
      <c r="C37" s="119" t="s">
        <v>1453</v>
      </c>
      <c r="D37" s="125" t="s">
        <v>1996</v>
      </c>
      <c r="E37" s="121" t="s">
        <v>1475</v>
      </c>
      <c r="F37" s="119" t="s">
        <v>89</v>
      </c>
      <c r="G37" s="138">
        <v>13414.881045833299</v>
      </c>
      <c r="H37" s="113" t="str">
        <f t="shared" si="1"/>
        <v>SO</v>
      </c>
      <c r="I37" s="113" t="str">
        <f>INDEX('IP Lookup'!$I:$I,MATCH(A37,'IP Lookup'!$A:$A,0))</f>
        <v>DPW</v>
      </c>
      <c r="J37" s="113" t="str">
        <f>IF('IP Jun22data'!$G37=0,"NO",IF(ISNA('IP Jun22data'!$I37),"YES",IF(_xlfn.ISFORMULA('IP Jun22data'!$I37),"NO","YES")))</f>
        <v>NO</v>
      </c>
      <c r="K37"/>
    </row>
    <row r="38" spans="1:11">
      <c r="A38" s="114" t="str">
        <f t="shared" si="0"/>
        <v>1010000ELEC PLANT IN SERV3032640TIBCO SOFTWARESO</v>
      </c>
      <c r="B38" s="125" t="s">
        <v>1809</v>
      </c>
      <c r="C38" s="119" t="s">
        <v>1453</v>
      </c>
      <c r="D38" s="125" t="s">
        <v>1997</v>
      </c>
      <c r="E38" s="121" t="s">
        <v>1476</v>
      </c>
      <c r="F38" s="119" t="s">
        <v>89</v>
      </c>
      <c r="G38" s="138">
        <v>6474.4320600000001</v>
      </c>
      <c r="H38" s="113" t="str">
        <f t="shared" si="1"/>
        <v>SO</v>
      </c>
      <c r="I38" s="113" t="str">
        <f>INDEX('IP Lookup'!$I:$I,MATCH(A38,'IP Lookup'!$A:$A,0))</f>
        <v>PTD</v>
      </c>
      <c r="J38" s="113" t="str">
        <f>IF('IP Jun22data'!$G38=0,"NO",IF(ISNA('IP Jun22data'!$I38),"YES",IF(_xlfn.ISFORMULA('IP Jun22data'!$I38),"NO","YES")))</f>
        <v>NO</v>
      </c>
      <c r="K38"/>
    </row>
    <row r="39" spans="1:11">
      <c r="A39" s="114" t="str">
        <f t="shared" si="0"/>
        <v>1010000ELEC PLANT IN SERV3032680TRANSMISSION WHOLESALE BILLING SYSTEMSG</v>
      </c>
      <c r="B39" s="125" t="s">
        <v>1809</v>
      </c>
      <c r="C39" s="119" t="s">
        <v>1453</v>
      </c>
      <c r="D39" s="125" t="s">
        <v>1998</v>
      </c>
      <c r="E39" s="121" t="s">
        <v>1478</v>
      </c>
      <c r="F39" s="119" t="s">
        <v>87</v>
      </c>
      <c r="G39" s="138">
        <v>1599.6162899999999</v>
      </c>
      <c r="H39" s="113" t="str">
        <f t="shared" si="1"/>
        <v>SG</v>
      </c>
      <c r="I39" s="113" t="str">
        <f>INDEX('IP Lookup'!$I:$I,MATCH(A39,'IP Lookup'!$A:$A,0))</f>
        <v>T</v>
      </c>
      <c r="J39" s="113" t="str">
        <f>IF('IP Jun22data'!$G39=0,"NO",IF(ISNA('IP Jun22data'!$I39),"YES",IF(_xlfn.ISFORMULA('IP Jun22data'!$I39),"NO","YES")))</f>
        <v>NO</v>
      </c>
      <c r="K39"/>
    </row>
    <row r="40" spans="1:11">
      <c r="A40" s="114" t="str">
        <f t="shared" si="0"/>
        <v>1010000ELEC PLANT IN SERV3032690UTILITY INTERNATIONAL FORECASTING MODELSO</v>
      </c>
      <c r="B40" s="125" t="s">
        <v>1809</v>
      </c>
      <c r="C40" s="119" t="s">
        <v>1453</v>
      </c>
      <c r="D40" s="125" t="s">
        <v>1999</v>
      </c>
      <c r="E40" s="121" t="s">
        <v>1479</v>
      </c>
      <c r="F40" s="119" t="s">
        <v>89</v>
      </c>
      <c r="G40" s="138">
        <v>6851.0100033333301</v>
      </c>
      <c r="H40" s="113" t="str">
        <f t="shared" si="1"/>
        <v>SO</v>
      </c>
      <c r="I40" s="113" t="str">
        <f>INDEX('IP Lookup'!$I:$I,MATCH(A40,'IP Lookup'!$A:$A,0))</f>
        <v>PTD</v>
      </c>
      <c r="J40" s="113" t="str">
        <f>IF('IP Jun22data'!$G40=0,"NO",IF(ISNA('IP Jun22data'!$I40),"YES",IF(_xlfn.ISFORMULA('IP Jun22data'!$I40),"NO","YES")))</f>
        <v>NO</v>
      </c>
      <c r="K40"/>
    </row>
    <row r="41" spans="1:11">
      <c r="A41" s="114" t="str">
        <f t="shared" si="0"/>
        <v>1010000ELEC PLANT IN SERV3032710ROUGE RIVER HYDRO INTANGIBLESSG</v>
      </c>
      <c r="B41" s="125" t="s">
        <v>1809</v>
      </c>
      <c r="C41" s="119" t="s">
        <v>1453</v>
      </c>
      <c r="D41" s="125" t="s">
        <v>2000</v>
      </c>
      <c r="E41" s="121" t="s">
        <v>1480</v>
      </c>
      <c r="F41" s="119" t="s">
        <v>87</v>
      </c>
      <c r="G41" s="138">
        <v>206.85417000000001</v>
      </c>
      <c r="H41" s="113" t="str">
        <f t="shared" si="1"/>
        <v>SG</v>
      </c>
      <c r="I41" s="113" t="str">
        <f>INDEX('IP Lookup'!$I:$I,MATCH(A41,'IP Lookup'!$A:$A,0))</f>
        <v>P</v>
      </c>
      <c r="J41" s="113" t="str">
        <f>IF('IP Jun22data'!$G41=0,"NO",IF(ISNA('IP Jun22data'!$I41),"YES",IF(_xlfn.ISFORMULA('IP Jun22data'!$I41),"NO","YES")))</f>
        <v>NO</v>
      </c>
      <c r="K41"/>
    </row>
    <row r="42" spans="1:11">
      <c r="A42" s="114" t="str">
        <f t="shared" si="0"/>
        <v>1010000ELEC PLANT IN SERV3032740GADSBY INTANGIBLE ASSETSSG</v>
      </c>
      <c r="B42" s="125" t="s">
        <v>1809</v>
      </c>
      <c r="C42" s="119" t="s">
        <v>1453</v>
      </c>
      <c r="D42" s="125" t="s">
        <v>2001</v>
      </c>
      <c r="E42" s="121" t="s">
        <v>1681</v>
      </c>
      <c r="F42" s="119" t="s">
        <v>3106</v>
      </c>
      <c r="G42" s="138">
        <v>51</v>
      </c>
      <c r="H42" s="113" t="str">
        <f t="shared" si="1"/>
        <v>SG</v>
      </c>
      <c r="I42" s="113" t="str">
        <f>INDEX('IP Lookup'!$I:$I,MATCH(A42,'IP Lookup'!$A:$A,0))</f>
        <v>P</v>
      </c>
      <c r="J42" s="113" t="str">
        <f>IF('IP Jun22data'!$G42=0,"NO",IF(ISNA('IP Jun22data'!$I42),"YES",IF(_xlfn.ISFORMULA('IP Jun22data'!$I42),"NO","YES")))</f>
        <v>NO</v>
      </c>
      <c r="K42"/>
    </row>
    <row r="43" spans="1:11">
      <c r="A43" s="114" t="str">
        <f t="shared" si="0"/>
        <v>1010000ELEC PLANT IN SERV3032760SWIFT 2 IMPROVEMENTSSG</v>
      </c>
      <c r="B43" s="125" t="s">
        <v>1809</v>
      </c>
      <c r="C43" s="119" t="s">
        <v>1453</v>
      </c>
      <c r="D43" s="125" t="s">
        <v>2002</v>
      </c>
      <c r="E43" s="121" t="s">
        <v>1481</v>
      </c>
      <c r="F43" s="119" t="s">
        <v>87</v>
      </c>
      <c r="G43" s="138">
        <v>23200.203539999999</v>
      </c>
      <c r="H43" s="113" t="str">
        <f t="shared" si="1"/>
        <v>SG</v>
      </c>
      <c r="I43" s="113" t="str">
        <f>INDEX('IP Lookup'!$I:$I,MATCH(A43,'IP Lookup'!$A:$A,0))</f>
        <v>P</v>
      </c>
      <c r="J43" s="113" t="str">
        <f>IF('IP Jun22data'!$G43=0,"NO",IF(ISNA('IP Jun22data'!$I43),"YES",IF(_xlfn.ISFORMULA('IP Jun22data'!$I43),"NO","YES")))</f>
        <v>NO</v>
      </c>
      <c r="K43"/>
    </row>
    <row r="44" spans="1:11">
      <c r="A44" s="114" t="str">
        <f t="shared" si="0"/>
        <v>1010000ELEC PLANT IN SERV3032770NORTH UMPQUA - SETTLEMENT AGREEMENTSG</v>
      </c>
      <c r="B44" s="125" t="s">
        <v>1809</v>
      </c>
      <c r="C44" s="119" t="s">
        <v>1453</v>
      </c>
      <c r="D44" s="125" t="s">
        <v>2003</v>
      </c>
      <c r="E44" s="121" t="s">
        <v>1482</v>
      </c>
      <c r="F44" s="119" t="s">
        <v>87</v>
      </c>
      <c r="G44" s="138">
        <v>652.20663000000002</v>
      </c>
      <c r="H44" s="113" t="str">
        <f t="shared" si="1"/>
        <v>SG</v>
      </c>
      <c r="I44" s="113" t="str">
        <f>INDEX('IP Lookup'!$I:$I,MATCH(A44,'IP Lookup'!$A:$A,0))</f>
        <v>P</v>
      </c>
      <c r="J44" s="113" t="str">
        <f>IF('IP Jun22data'!$G44=0,"NO",IF(ISNA('IP Jun22data'!$I44),"YES",IF(_xlfn.ISFORMULA('IP Jun22data'!$I44),"NO","YES")))</f>
        <v>NO</v>
      </c>
      <c r="K44"/>
    </row>
    <row r="45" spans="1:11">
      <c r="A45" s="114" t="str">
        <f t="shared" si="0"/>
        <v>1010000ELEC PLANT IN SERV3032780BEAR RIVER-SETTLEMENT AGREEMENTSG</v>
      </c>
      <c r="B45" s="125" t="s">
        <v>1809</v>
      </c>
      <c r="C45" s="119" t="s">
        <v>1453</v>
      </c>
      <c r="D45" s="125" t="s">
        <v>2004</v>
      </c>
      <c r="E45" s="121" t="s">
        <v>1483</v>
      </c>
      <c r="F45" s="119" t="s">
        <v>87</v>
      </c>
      <c r="G45" s="138">
        <v>117.38714</v>
      </c>
      <c r="H45" s="113" t="str">
        <f t="shared" si="1"/>
        <v>SG</v>
      </c>
      <c r="I45" s="113" t="str">
        <f>INDEX('IP Lookup'!$I:$I,MATCH(A45,'IP Lookup'!$A:$A,0))</f>
        <v>P</v>
      </c>
      <c r="J45" s="113" t="str">
        <f>IF('IP Jun22data'!$G45=0,"NO",IF(ISNA('IP Jun22data'!$I45),"YES",IF(_xlfn.ISFORMULA('IP Jun22data'!$I45),"NO","YES")))</f>
        <v>NO</v>
      </c>
      <c r="K45"/>
    </row>
    <row r="46" spans="1:11">
      <c r="A46" s="114" t="str">
        <f t="shared" si="0"/>
        <v>1010000ELEC PLANT IN SERV3032830VCPRO - XEROX CUST STMT FRMTR ENHANCE -SO</v>
      </c>
      <c r="B46" s="125" t="s">
        <v>1809</v>
      </c>
      <c r="C46" s="119" t="s">
        <v>1453</v>
      </c>
      <c r="D46" s="125" t="s">
        <v>2005</v>
      </c>
      <c r="E46" s="121" t="s">
        <v>1484</v>
      </c>
      <c r="F46" s="119" t="s">
        <v>89</v>
      </c>
      <c r="G46" s="138">
        <v>2629.15326</v>
      </c>
      <c r="H46" s="113" t="str">
        <f t="shared" si="1"/>
        <v>SO</v>
      </c>
      <c r="I46" s="113" t="str">
        <f>INDEX('IP Lookup'!$I:$I,MATCH(A46,'IP Lookup'!$A:$A,0))</f>
        <v>CUST</v>
      </c>
      <c r="J46" s="113" t="str">
        <f>IF('IP Jun22data'!$G46=0,"NO",IF(ISNA('IP Jun22data'!$I46),"YES",IF(_xlfn.ISFORMULA('IP Jun22data'!$I46),"NO","YES")))</f>
        <v>NO</v>
      </c>
      <c r="K46"/>
    </row>
    <row r="47" spans="1:11">
      <c r="A47" s="114" t="str">
        <f t="shared" si="0"/>
        <v>1010000ELEC PLANT IN SERV3032860WEB SOFTWARESO</v>
      </c>
      <c r="B47" s="125" t="s">
        <v>1809</v>
      </c>
      <c r="C47" s="119" t="s">
        <v>1453</v>
      </c>
      <c r="D47" s="125" t="s">
        <v>2006</v>
      </c>
      <c r="E47" s="121" t="s">
        <v>1485</v>
      </c>
      <c r="F47" s="119" t="s">
        <v>89</v>
      </c>
      <c r="G47" s="138">
        <v>12006.471890000001</v>
      </c>
      <c r="H47" s="113" t="str">
        <f t="shared" si="1"/>
        <v>SO</v>
      </c>
      <c r="I47" s="113" t="str">
        <f>INDEX('IP Lookup'!$I:$I,MATCH(A47,'IP Lookup'!$A:$A,0))</f>
        <v>CUST</v>
      </c>
      <c r="J47" s="113" t="str">
        <f>IF('IP Jun22data'!$G47=0,"NO",IF(ISNA('IP Jun22data'!$I47),"YES",IF(_xlfn.ISFORMULA('IP Jun22data'!$I47),"NO","YES")))</f>
        <v>NO</v>
      </c>
      <c r="K47"/>
    </row>
    <row r="48" spans="1:11">
      <c r="A48" s="114" t="str">
        <f t="shared" si="0"/>
        <v>1010000ELEC PLANT IN SERV3032900IDAHO TRANSMISSION CUSTOMER-OWNED ASSETSSG</v>
      </c>
      <c r="B48" s="125" t="s">
        <v>1809</v>
      </c>
      <c r="C48" s="119" t="s">
        <v>1453</v>
      </c>
      <c r="D48" s="125" t="s">
        <v>2007</v>
      </c>
      <c r="E48" s="121" t="s">
        <v>1486</v>
      </c>
      <c r="F48" s="119" t="s">
        <v>3106</v>
      </c>
      <c r="G48" s="138">
        <v>616.64615000000003</v>
      </c>
      <c r="H48" s="113" t="str">
        <f t="shared" si="1"/>
        <v>SG</v>
      </c>
      <c r="I48" s="113" t="str">
        <f>INDEX('IP Lookup'!$I:$I,MATCH(A48,'IP Lookup'!$A:$A,0))</f>
        <v>T</v>
      </c>
      <c r="J48" s="113" t="str">
        <f>IF('IP Jun22data'!$G48=0,"NO",IF(ISNA('IP Jun22data'!$I48),"YES",IF(_xlfn.ISFORMULA('IP Jun22data'!$I48),"NO","YES")))</f>
        <v>NO</v>
      </c>
      <c r="K48"/>
    </row>
    <row r="49" spans="1:11">
      <c r="A49" s="114" t="str">
        <f t="shared" si="0"/>
        <v>1010000ELEC PLANT IN SERV3032900IDAHO TRANSMISSION CUSTOMER-OWNED ASSETSSG</v>
      </c>
      <c r="B49" s="125" t="s">
        <v>1809</v>
      </c>
      <c r="C49" s="119" t="s">
        <v>1453</v>
      </c>
      <c r="D49" s="125" t="s">
        <v>2007</v>
      </c>
      <c r="E49" s="121" t="s">
        <v>1486</v>
      </c>
      <c r="F49" s="119" t="s">
        <v>87</v>
      </c>
      <c r="G49" s="138">
        <v>8156.8585400000002</v>
      </c>
      <c r="H49" s="113" t="str">
        <f t="shared" si="1"/>
        <v>SG</v>
      </c>
      <c r="I49" s="113" t="str">
        <f>INDEX('IP Lookup'!$I:$I,MATCH(A49,'IP Lookup'!$A:$A,0))</f>
        <v>T</v>
      </c>
      <c r="J49" s="113" t="str">
        <f>IF('IP Jun22data'!$G49=0,"NO",IF(ISNA('IP Jun22data'!$I49),"YES",IF(_xlfn.ISFORMULA('IP Jun22data'!$I49),"NO","YES")))</f>
        <v>NO</v>
      </c>
      <c r="K49"/>
    </row>
    <row r="50" spans="1:11">
      <c r="A50" s="114" t="str">
        <f t="shared" si="0"/>
        <v>1010000ELEC PLANT IN SERV3032910WYOMING VHF (VPC) SPECTRUMSITUS</v>
      </c>
      <c r="B50" s="125" t="s">
        <v>1809</v>
      </c>
      <c r="C50" s="119" t="s">
        <v>1453</v>
      </c>
      <c r="D50" s="125" t="s">
        <v>2008</v>
      </c>
      <c r="E50" s="121" t="s">
        <v>1487</v>
      </c>
      <c r="F50" s="119" t="s">
        <v>386</v>
      </c>
      <c r="G50" s="138">
        <v>1039.08186</v>
      </c>
      <c r="H50" s="113" t="str">
        <f t="shared" si="1"/>
        <v>SITUS</v>
      </c>
      <c r="I50" s="113" t="str">
        <f>INDEX('IP Lookup'!$I:$I,MATCH(A50,'IP Lookup'!$A:$A,0))</f>
        <v>TD</v>
      </c>
      <c r="J50" s="113" t="str">
        <f>IF('IP Jun22data'!$G50=0,"NO",IF(ISNA('IP Jun22data'!$I50),"YES",IF(_xlfn.ISFORMULA('IP Jun22data'!$I50),"NO","YES")))</f>
        <v>NO</v>
      </c>
      <c r="K50"/>
    </row>
    <row r="51" spans="1:11">
      <c r="A51" s="114" t="str">
        <f t="shared" si="0"/>
        <v>1010000ELEC PLANT IN SERV3032920IDAHO VHF (VPC) SPECTRUMSITUS</v>
      </c>
      <c r="B51" s="125" t="s">
        <v>1809</v>
      </c>
      <c r="C51" s="119" t="s">
        <v>1453</v>
      </c>
      <c r="D51" s="125" t="s">
        <v>2009</v>
      </c>
      <c r="E51" s="121" t="s">
        <v>1488</v>
      </c>
      <c r="F51" s="119" t="s">
        <v>372</v>
      </c>
      <c r="G51" s="138">
        <v>3356.5908899999999</v>
      </c>
      <c r="H51" s="113" t="str">
        <f t="shared" si="1"/>
        <v>SITUS</v>
      </c>
      <c r="I51" s="113" t="str">
        <f>INDEX('IP Lookup'!$I:$I,MATCH(A51,'IP Lookup'!$A:$A,0))</f>
        <v>TD</v>
      </c>
      <c r="J51" s="113" t="str">
        <f>IF('IP Jun22data'!$G51=0,"NO",IF(ISNA('IP Jun22data'!$I51),"YES",IF(_xlfn.ISFORMULA('IP Jun22data'!$I51),"NO","YES")))</f>
        <v>NO</v>
      </c>
      <c r="K51"/>
    </row>
    <row r="52" spans="1:11">
      <c r="A52" s="114" t="str">
        <f t="shared" si="0"/>
        <v>1010000ELEC PLANT IN SERV3032930UTAH VHF (VPC) SPECTRUMSITUS</v>
      </c>
      <c r="B52" s="125" t="s">
        <v>1809</v>
      </c>
      <c r="C52" s="119" t="s">
        <v>1453</v>
      </c>
      <c r="D52" s="125" t="s">
        <v>2010</v>
      </c>
      <c r="E52" s="121" t="s">
        <v>1489</v>
      </c>
      <c r="F52" s="119" t="s">
        <v>370</v>
      </c>
      <c r="G52" s="138">
        <v>4287.2701699999998</v>
      </c>
      <c r="H52" s="113" t="str">
        <f t="shared" si="1"/>
        <v>SITUS</v>
      </c>
      <c r="I52" s="113" t="str">
        <f>INDEX('IP Lookup'!$I:$I,MATCH(A52,'IP Lookup'!$A:$A,0))</f>
        <v>TD</v>
      </c>
      <c r="J52" s="113" t="str">
        <f>IF('IP Jun22data'!$G52=0,"NO",IF(ISNA('IP Jun22data'!$I52),"YES",IF(_xlfn.ISFORMULA('IP Jun22data'!$I52),"NO","YES")))</f>
        <v>NO</v>
      </c>
      <c r="K52"/>
    </row>
    <row r="53" spans="1:11">
      <c r="A53" s="114" t="str">
        <f t="shared" si="0"/>
        <v>1010000ELEC PLANT IN SERV3032990P8DM - FILENET P8SO</v>
      </c>
      <c r="B53" s="125" t="s">
        <v>1809</v>
      </c>
      <c r="C53" s="119" t="s">
        <v>1453</v>
      </c>
      <c r="D53" s="125" t="s">
        <v>2011</v>
      </c>
      <c r="E53" s="121" t="s">
        <v>1490</v>
      </c>
      <c r="F53" s="119" t="s">
        <v>89</v>
      </c>
      <c r="G53" s="138">
        <v>7014.72962333333</v>
      </c>
      <c r="H53" s="113" t="str">
        <f t="shared" si="1"/>
        <v>SO</v>
      </c>
      <c r="I53" s="113" t="str">
        <f>INDEX('IP Lookup'!$I:$I,MATCH(A53,'IP Lookup'!$A:$A,0))</f>
        <v>PTD</v>
      </c>
      <c r="J53" s="113" t="str">
        <f>IF('IP Jun22data'!$G53=0,"NO",IF(ISNA('IP Jun22data'!$I53),"YES",IF(_xlfn.ISFORMULA('IP Jun22data'!$I53),"NO","YES")))</f>
        <v>NO</v>
      </c>
      <c r="K53"/>
    </row>
    <row r="54" spans="1:11">
      <c r="A54" s="114" t="str">
        <f t="shared" si="0"/>
        <v>1010000ELEC PLANT IN SERV3033090STEAM PLANT INTANGIBLE ASSETSSG</v>
      </c>
      <c r="B54" s="125" t="s">
        <v>1809</v>
      </c>
      <c r="C54" s="119" t="s">
        <v>1453</v>
      </c>
      <c r="D54" s="125" t="s">
        <v>2012</v>
      </c>
      <c r="E54" s="121" t="s">
        <v>1491</v>
      </c>
      <c r="F54" s="119" t="s">
        <v>3106</v>
      </c>
      <c r="G54" s="138">
        <v>61484.531739999999</v>
      </c>
      <c r="H54" s="113" t="str">
        <f t="shared" si="1"/>
        <v>SG</v>
      </c>
      <c r="I54" s="113" t="str">
        <f>INDEX('IP Lookup'!$I:$I,MATCH(A54,'IP Lookup'!$A:$A,0))</f>
        <v>P</v>
      </c>
      <c r="J54" s="113" t="str">
        <f>IF('IP Jun22data'!$G54=0,"NO",IF(ISNA('IP Jun22data'!$I54),"YES",IF(_xlfn.ISFORMULA('IP Jun22data'!$I54),"NO","YES")))</f>
        <v>NO</v>
      </c>
      <c r="K54"/>
    </row>
    <row r="55" spans="1:11">
      <c r="A55" s="114" t="str">
        <f t="shared" si="0"/>
        <v>1010000ELEC PLANT IN SERV3033090STEAM PLANT INTANGIBLE ASSETSSG</v>
      </c>
      <c r="B55" s="125" t="s">
        <v>1809</v>
      </c>
      <c r="C55" s="119" t="s">
        <v>1453</v>
      </c>
      <c r="D55" s="125" t="s">
        <v>2012</v>
      </c>
      <c r="E55" s="121" t="s">
        <v>1491</v>
      </c>
      <c r="F55" s="119" t="s">
        <v>3108</v>
      </c>
      <c r="G55" s="138">
        <v>15262.19454</v>
      </c>
      <c r="H55" s="113" t="str">
        <f t="shared" si="1"/>
        <v>SG</v>
      </c>
      <c r="I55" s="113" t="str">
        <f>INDEX('IP Lookup'!$I:$I,MATCH(A55,'IP Lookup'!$A:$A,0))</f>
        <v>P</v>
      </c>
      <c r="J55" s="113" t="str">
        <f>IF('IP Jun22data'!$G55=0,"NO",IF(ISNA('IP Jun22data'!$I55),"YES",IF(_xlfn.ISFORMULA('IP Jun22data'!$I55),"NO","YES")))</f>
        <v>NO</v>
      </c>
      <c r="K55"/>
    </row>
    <row r="56" spans="1:11">
      <c r="A56" s="114" t="str">
        <f t="shared" si="0"/>
        <v>1010000ELEC PLANT IN SERV3033090STEAM PLANT INTANGIBLE ASSETSSG</v>
      </c>
      <c r="B56" s="125" t="s">
        <v>1809</v>
      </c>
      <c r="C56" s="119" t="s">
        <v>1453</v>
      </c>
      <c r="D56" s="125" t="s">
        <v>2012</v>
      </c>
      <c r="E56" s="121" t="s">
        <v>1491</v>
      </c>
      <c r="F56" s="119" t="s">
        <v>3107</v>
      </c>
      <c r="G56" s="138">
        <v>1544.2269699999999</v>
      </c>
      <c r="H56" s="113" t="str">
        <f t="shared" si="1"/>
        <v>SG</v>
      </c>
      <c r="I56" s="113" t="str">
        <f>INDEX('IP Lookup'!$I:$I,MATCH(A56,'IP Lookup'!$A:$A,0))</f>
        <v>P</v>
      </c>
      <c r="J56" s="113" t="str">
        <f>IF('IP Jun22data'!$G56=0,"NO",IF(ISNA('IP Jun22data'!$I56),"YES",IF(_xlfn.ISFORMULA('IP Jun22data'!$I56),"NO","YES")))</f>
        <v>NO</v>
      </c>
      <c r="K56"/>
    </row>
    <row r="57" spans="1:11">
      <c r="A57" s="114" t="str">
        <f t="shared" si="0"/>
        <v>1010000ELEC PLANT IN SERV3033090STEAM PLANT INTANGIBLE ASSETSSG</v>
      </c>
      <c r="B57" s="125" t="s">
        <v>1809</v>
      </c>
      <c r="C57" s="119" t="s">
        <v>1453</v>
      </c>
      <c r="D57" s="125" t="s">
        <v>2012</v>
      </c>
      <c r="E57" s="121" t="s">
        <v>1491</v>
      </c>
      <c r="F57" s="119" t="s">
        <v>87</v>
      </c>
      <c r="G57" s="138">
        <v>10702.75598</v>
      </c>
      <c r="H57" s="113" t="str">
        <f t="shared" si="1"/>
        <v>SG</v>
      </c>
      <c r="I57" s="113" t="str">
        <f>INDEX('IP Lookup'!$I:$I,MATCH(A57,'IP Lookup'!$A:$A,0))</f>
        <v>P</v>
      </c>
      <c r="J57" s="113" t="str">
        <f>IF('IP Jun22data'!$G57=0,"NO",IF(ISNA('IP Jun22data'!$I57),"YES",IF(_xlfn.ISFORMULA('IP Jun22data'!$I57),"NO","YES")))</f>
        <v>NO</v>
      </c>
      <c r="K57"/>
    </row>
    <row r="58" spans="1:11">
      <c r="A58" s="114" t="str">
        <f t="shared" si="0"/>
        <v>1010000ELEC PLANT IN SERV3033170GTX VERSION 7 SOFTWARECN</v>
      </c>
      <c r="B58" s="125" t="s">
        <v>1809</v>
      </c>
      <c r="C58" s="119" t="s">
        <v>1453</v>
      </c>
      <c r="D58" s="125" t="s">
        <v>2013</v>
      </c>
      <c r="E58" s="121" t="s">
        <v>1493</v>
      </c>
      <c r="F58" s="119" t="s">
        <v>84</v>
      </c>
      <c r="G58" s="138">
        <v>3757.6068054242701</v>
      </c>
      <c r="H58" s="113" t="str">
        <f t="shared" si="1"/>
        <v>CN</v>
      </c>
      <c r="I58" s="113" t="str">
        <f>INDEX('IP Lookup'!$I:$I,MATCH(A58,'IP Lookup'!$A:$A,0))</f>
        <v>CUST</v>
      </c>
      <c r="J58" s="113" t="str">
        <f>IF('IP Jun22data'!$G58=0,"NO",IF(ISNA('IP Jun22data'!$I58),"YES",IF(_xlfn.ISFORMULA('IP Jun22data'!$I58),"NO","YES")))</f>
        <v>NO</v>
      </c>
      <c r="K58"/>
    </row>
    <row r="59" spans="1:11">
      <c r="A59" s="114" t="str">
        <f t="shared" si="0"/>
        <v>1010000ELEC PLANT IN SERV3033190ITRON METER READING SOFTWARECN</v>
      </c>
      <c r="B59" s="125" t="s">
        <v>1809</v>
      </c>
      <c r="C59" s="119" t="s">
        <v>1453</v>
      </c>
      <c r="D59" s="125" t="s">
        <v>2014</v>
      </c>
      <c r="E59" s="121" t="s">
        <v>1494</v>
      </c>
      <c r="F59" s="119" t="s">
        <v>84</v>
      </c>
      <c r="G59" s="138">
        <v>5868.3445858683399</v>
      </c>
      <c r="H59" s="113" t="str">
        <f t="shared" si="1"/>
        <v>CN</v>
      </c>
      <c r="I59" s="113" t="str">
        <f>INDEX('IP Lookup'!$I:$I,MATCH(A59,'IP Lookup'!$A:$A,0))</f>
        <v>CUST</v>
      </c>
      <c r="J59" s="113" t="str">
        <f>IF('IP Jun22data'!$G59=0,"NO",IF(ISNA('IP Jun22data'!$I59),"YES",IF(_xlfn.ISFORMULA('IP Jun22data'!$I59),"NO","YES")))</f>
        <v>NO</v>
      </c>
      <c r="K59"/>
    </row>
    <row r="60" spans="1:11">
      <c r="A60" s="114" t="str">
        <f t="shared" si="0"/>
        <v>1010000ELEC PLANT IN SERV3033210ArcFM SoftwareSO</v>
      </c>
      <c r="B60" s="125" t="s">
        <v>1809</v>
      </c>
      <c r="C60" s="119" t="s">
        <v>1453</v>
      </c>
      <c r="D60" s="125" t="s">
        <v>2015</v>
      </c>
      <c r="E60" s="121" t="s">
        <v>1495</v>
      </c>
      <c r="F60" s="119" t="s">
        <v>89</v>
      </c>
      <c r="G60" s="138">
        <v>3978.4801299999999</v>
      </c>
      <c r="H60" s="113" t="str">
        <f t="shared" si="1"/>
        <v>SO</v>
      </c>
      <c r="I60" s="113" t="str">
        <f>INDEX('IP Lookup'!$I:$I,MATCH(A60,'IP Lookup'!$A:$A,0))</f>
        <v>DPW</v>
      </c>
      <c r="J60" s="113" t="str">
        <f>IF('IP Jun22data'!$G60=0,"NO",IF(ISNA('IP Jun22data'!$I60),"YES",IF(_xlfn.ISFORMULA('IP Jun22data'!$I60),"NO","YES")))</f>
        <v>NO</v>
      </c>
      <c r="K60"/>
    </row>
    <row r="61" spans="1:11">
      <c r="A61" s="114" t="str">
        <f t="shared" si="0"/>
        <v>1010000ELEC PLANT IN SERV3033220MONARCH EMS/SCADASO</v>
      </c>
      <c r="B61" s="125" t="s">
        <v>1809</v>
      </c>
      <c r="C61" s="119" t="s">
        <v>1453</v>
      </c>
      <c r="D61" s="125" t="s">
        <v>2016</v>
      </c>
      <c r="E61" s="121" t="s">
        <v>1496</v>
      </c>
      <c r="F61" s="119" t="s">
        <v>89</v>
      </c>
      <c r="G61" s="138">
        <v>29410.590759999999</v>
      </c>
      <c r="H61" s="113" t="str">
        <f t="shared" si="1"/>
        <v>SO</v>
      </c>
      <c r="I61" s="113" t="str">
        <f>INDEX('IP Lookup'!$I:$I,MATCH(A61,'IP Lookup'!$A:$A,0))</f>
        <v>TD</v>
      </c>
      <c r="J61" s="113" t="str">
        <f>IF('IP Jun22data'!$G61=0,"NO",IF(ISNA('IP Jun22data'!$I61),"YES",IF(_xlfn.ISFORMULA('IP Jun22data'!$I61),"NO","YES")))</f>
        <v>NO</v>
      </c>
      <c r="K61"/>
    </row>
    <row r="62" spans="1:11">
      <c r="A62" s="114" t="str">
        <f t="shared" si="0"/>
        <v>1010000ELEC PLANT IN SERV3033240IEE - Itron Enterprise AdditionCN</v>
      </c>
      <c r="B62" s="125" t="s">
        <v>1809</v>
      </c>
      <c r="C62" s="119" t="s">
        <v>1453</v>
      </c>
      <c r="D62" s="125" t="s">
        <v>2017</v>
      </c>
      <c r="E62" s="121" t="s">
        <v>1498</v>
      </c>
      <c r="F62" s="119" t="s">
        <v>84</v>
      </c>
      <c r="G62" s="138">
        <v>4882.9041257162398</v>
      </c>
      <c r="H62" s="113" t="str">
        <f t="shared" si="1"/>
        <v>CN</v>
      </c>
      <c r="I62" s="113" t="str">
        <f>INDEX('IP Lookup'!$I:$I,MATCH(A62,'IP Lookup'!$A:$A,0))</f>
        <v>CUST</v>
      </c>
      <c r="J62" s="113" t="str">
        <f>IF('IP Jun22data'!$G62=0,"NO",IF(ISNA('IP Jun22data'!$I62),"YES",IF(_xlfn.ISFORMULA('IP Jun22data'!$I62),"NO","YES")))</f>
        <v>NO</v>
      </c>
      <c r="K62"/>
    </row>
    <row r="63" spans="1:11">
      <c r="A63" s="114" t="str">
        <f t="shared" si="0"/>
        <v>1010000ELEC PLANT IN SERV3033250AMI Metering SoftwareCN</v>
      </c>
      <c r="B63" s="125" t="s">
        <v>1809</v>
      </c>
      <c r="C63" s="119" t="s">
        <v>1453</v>
      </c>
      <c r="D63" s="125" t="s">
        <v>2018</v>
      </c>
      <c r="E63" s="121" t="s">
        <v>1682</v>
      </c>
      <c r="F63" s="119" t="s">
        <v>84</v>
      </c>
      <c r="G63" s="138">
        <v>41059.491353142803</v>
      </c>
      <c r="H63" s="113" t="str">
        <f t="shared" si="1"/>
        <v>CN</v>
      </c>
      <c r="I63" s="113" t="str">
        <f>INDEX('IP Lookup'!$I:$I,MATCH(A63,'IP Lookup'!$A:$A,0))</f>
        <v>CUST</v>
      </c>
      <c r="J63" s="113" t="str">
        <f>IF('IP Jun22data'!$G63=0,"NO",IF(ISNA('IP Jun22data'!$I63),"YES",IF(_xlfn.ISFORMULA('IP Jun22data'!$I63),"NO","YES")))</f>
        <v>NO</v>
      </c>
      <c r="K63"/>
    </row>
    <row r="64" spans="1:11">
      <c r="A64" s="114" t="str">
        <f t="shared" si="0"/>
        <v>1010000ELEC PLANT IN SERV3033260Big Data &amp; AnalyticsSO</v>
      </c>
      <c r="B64" s="125" t="s">
        <v>1809</v>
      </c>
      <c r="C64" s="119" t="s">
        <v>1453</v>
      </c>
      <c r="D64" s="125" t="s">
        <v>2019</v>
      </c>
      <c r="E64" s="121" t="s">
        <v>1761</v>
      </c>
      <c r="F64" s="119" t="s">
        <v>89</v>
      </c>
      <c r="G64" s="138">
        <v>4490.4273416666701</v>
      </c>
      <c r="H64" s="113" t="str">
        <f t="shared" si="1"/>
        <v>SO</v>
      </c>
      <c r="I64" s="113" t="str">
        <f>INDEX('IP Lookup'!$I:$I,MATCH(A64,'IP Lookup'!$A:$A,0))</f>
        <v>CUST</v>
      </c>
      <c r="J64" s="113" t="str">
        <f>IF('IP Jun22data'!$G64=0,"NO",IF(ISNA('IP Jun22data'!$I64),"YES",IF(_xlfn.ISFORMULA('IP Jun22data'!$I64),"NO","YES")))</f>
        <v>NO</v>
      </c>
      <c r="K64"/>
    </row>
    <row r="65" spans="1:11">
      <c r="A65" s="114" t="str">
        <f t="shared" si="0"/>
        <v>1010000ELEC PLANT IN SERV3033270CES - Customer Experience SystemCN</v>
      </c>
      <c r="B65" s="125" t="s">
        <v>1809</v>
      </c>
      <c r="C65" s="119" t="s">
        <v>1453</v>
      </c>
      <c r="D65" s="125" t="s">
        <v>2020</v>
      </c>
      <c r="E65" s="121" t="s">
        <v>2021</v>
      </c>
      <c r="F65" s="119" t="s">
        <v>84</v>
      </c>
      <c r="G65" s="138">
        <v>10471.085411304401</v>
      </c>
      <c r="H65" s="113" t="str">
        <f t="shared" si="1"/>
        <v>CN</v>
      </c>
      <c r="I65" s="113" t="str">
        <f>INDEX('IP Lookup'!$I:$I,MATCH(A65,'IP Lookup'!$A:$A,0))</f>
        <v>CUST</v>
      </c>
      <c r="J65" s="113" t="str">
        <f>IF('IP Jun22data'!$G65=0,"NO",IF(ISNA('IP Jun22data'!$I65),"YES",IF(_xlfn.ISFORMULA('IP Jun22data'!$I65),"NO","YES")))</f>
        <v>NO</v>
      </c>
      <c r="K65"/>
    </row>
    <row r="66" spans="1:11">
      <c r="A66" s="114" t="str">
        <f t="shared" si="0"/>
        <v>1010000ELEC PLANT IN SERV3033280MAPAPPS - Mapping Systems ApplicationSO</v>
      </c>
      <c r="B66" s="125" t="s">
        <v>1809</v>
      </c>
      <c r="C66" s="119" t="s">
        <v>1453</v>
      </c>
      <c r="D66" s="125" t="s">
        <v>2022</v>
      </c>
      <c r="E66" s="121" t="s">
        <v>2023</v>
      </c>
      <c r="F66" s="119" t="s">
        <v>89</v>
      </c>
      <c r="G66" s="138">
        <v>5288.0208233333296</v>
      </c>
      <c r="H66" s="113" t="str">
        <f t="shared" si="1"/>
        <v>SO</v>
      </c>
      <c r="I66" s="113" t="str">
        <f>INDEX('IP Lookup'!$I:$I,MATCH(A66,'IP Lookup'!$A:$A,0))</f>
        <v>PTD</v>
      </c>
      <c r="J66" s="113" t="str">
        <f>IF('IP Jun22data'!$G66=0,"NO",IF(ISNA('IP Jun22data'!$I66),"YES",IF(_xlfn.ISFORMULA('IP Jun22data'!$I66),"NO","YES")))</f>
        <v>NO</v>
      </c>
      <c r="K66"/>
    </row>
    <row r="67" spans="1:11">
      <c r="A67" s="114" t="str">
        <f t="shared" ref="A67:A96" si="2">CONCATENATE($B67,$C67,$D67,$E67,$H67)</f>
        <v>1010000ELEC PLANT IN SERV3033290CUSTOMER CONTACTSCN</v>
      </c>
      <c r="B67" s="125" t="s">
        <v>1809</v>
      </c>
      <c r="C67" s="119" t="s">
        <v>1453</v>
      </c>
      <c r="D67" s="125" t="s">
        <v>2024</v>
      </c>
      <c r="E67" s="121" t="s">
        <v>2025</v>
      </c>
      <c r="F67" s="119" t="s">
        <v>84</v>
      </c>
      <c r="G67" s="138">
        <v>3912.38950141239</v>
      </c>
      <c r="H67" s="113" t="str">
        <f t="shared" ref="H67:H96" si="3">IF(OR(F67="IDU",F67="OR",F67="UT",F67="WYU",F67="WYP",F67="CA",F67="WA"),"SITUS",IF(OR(F67="CAEE",F67="JBE"),"SE",IF(OR(F67="CAGE",F67="CAGW",F67="JBG"),"SG",F67)))</f>
        <v>CN</v>
      </c>
      <c r="I67" s="113" t="str">
        <f>INDEX('IP Lookup'!$I:$I,MATCH(A67,'IP Lookup'!$A:$A,0))</f>
        <v>CUST</v>
      </c>
      <c r="J67" s="113" t="str">
        <f>IF('IP Jun22data'!$G67=0,"NO",IF(ISNA('IP Jun22data'!$I67),"YES",IF(_xlfn.ISFORMULA('IP Jun22data'!$I67),"NO","YES")))</f>
        <v>NO</v>
      </c>
      <c r="K67"/>
    </row>
    <row r="68" spans="1:11">
      <c r="A68" s="114" t="str">
        <f t="shared" si="2"/>
        <v>1010000ELEC PLANT IN SERV3033300SECID - CUST SECURE WEB LOGINCN</v>
      </c>
      <c r="B68" s="125" t="s">
        <v>1809</v>
      </c>
      <c r="C68" s="119" t="s">
        <v>1453</v>
      </c>
      <c r="D68" s="125" t="s">
        <v>2026</v>
      </c>
      <c r="E68" s="121" t="s">
        <v>1499</v>
      </c>
      <c r="F68" s="119" t="s">
        <v>84</v>
      </c>
      <c r="G68" s="138">
        <v>1085.2564510852601</v>
      </c>
      <c r="H68" s="113" t="str">
        <f t="shared" si="3"/>
        <v>CN</v>
      </c>
      <c r="I68" s="113" t="str">
        <f>INDEX('IP Lookup'!$I:$I,MATCH(A68,'IP Lookup'!$A:$A,0))</f>
        <v>CUST</v>
      </c>
      <c r="J68" s="113" t="str">
        <f>IF('IP Jun22data'!$G68=0,"NO",IF(ISNA('IP Jun22data'!$I68),"YES",IF(_xlfn.ISFORMULA('IP Jun22data'!$I68),"NO","YES")))</f>
        <v>NO</v>
      </c>
      <c r="K68"/>
    </row>
    <row r="69" spans="1:11">
      <c r="A69" s="114" t="str">
        <f t="shared" si="2"/>
        <v>1010000ELEC PLANT IN SERV3033310C&amp;T - Energy Trading SystemSO</v>
      </c>
      <c r="B69" s="125" t="s">
        <v>1809</v>
      </c>
      <c r="C69" s="119" t="s">
        <v>1453</v>
      </c>
      <c r="D69" s="125" t="s">
        <v>2027</v>
      </c>
      <c r="E69" s="121" t="s">
        <v>1500</v>
      </c>
      <c r="F69" s="119" t="s">
        <v>89</v>
      </c>
      <c r="G69" s="138">
        <v>20653.1659279167</v>
      </c>
      <c r="H69" s="113" t="str">
        <f t="shared" si="3"/>
        <v>SO</v>
      </c>
      <c r="I69" s="113" t="str">
        <f>INDEX('IP Lookup'!$I:$I,MATCH(A69,'IP Lookup'!$A:$A,0))</f>
        <v>P</v>
      </c>
      <c r="J69" s="113" t="str">
        <f>IF('IP Jun22data'!$G69=0,"NO",IF(ISNA('IP Jun22data'!$I69),"YES",IF(_xlfn.ISFORMULA('IP Jun22data'!$I69),"NO","YES")))</f>
        <v>NO</v>
      </c>
      <c r="K69"/>
    </row>
    <row r="70" spans="1:11">
      <c r="A70" s="114" t="str">
        <f t="shared" si="2"/>
        <v>1010000ELEC PLANT IN SERV3033320CAS - CONTROL AREA SCHEDULING (TRANSM)SG</v>
      </c>
      <c r="B70" s="125" t="s">
        <v>1809</v>
      </c>
      <c r="C70" s="119" t="s">
        <v>1453</v>
      </c>
      <c r="D70" s="125" t="s">
        <v>2028</v>
      </c>
      <c r="E70" s="121" t="s">
        <v>1501</v>
      </c>
      <c r="F70" s="119" t="s">
        <v>3108</v>
      </c>
      <c r="G70" s="138">
        <v>10113.105867083301</v>
      </c>
      <c r="H70" s="113" t="str">
        <f t="shared" si="3"/>
        <v>SG</v>
      </c>
      <c r="I70" s="113" t="str">
        <f>INDEX('IP Lookup'!$I:$I,MATCH(A70,'IP Lookup'!$A:$A,0))</f>
        <v>T</v>
      </c>
      <c r="J70" s="113" t="str">
        <f>IF('IP Jun22data'!$G70=0,"NO",IF(ISNA('IP Jun22data'!$I70),"YES",IF(_xlfn.ISFORMULA('IP Jun22data'!$I70),"NO","YES")))</f>
        <v>NO</v>
      </c>
      <c r="K70"/>
    </row>
    <row r="71" spans="1:11">
      <c r="A71" s="114" t="str">
        <f t="shared" si="2"/>
        <v>1010000ELEC PLANT IN SERV3033330OR VHF (VPC) SPECTRUMSITUS</v>
      </c>
      <c r="B71" s="119" t="s">
        <v>1809</v>
      </c>
      <c r="C71" s="119" t="s">
        <v>1453</v>
      </c>
      <c r="D71" s="119" t="s">
        <v>2029</v>
      </c>
      <c r="E71" s="121" t="s">
        <v>1502</v>
      </c>
      <c r="F71" s="119" t="s">
        <v>343</v>
      </c>
      <c r="G71" s="139">
        <v>4070.90915</v>
      </c>
      <c r="H71" s="113" t="str">
        <f t="shared" si="3"/>
        <v>SITUS</v>
      </c>
      <c r="I71" s="113" t="str">
        <f>INDEX('IP Lookup'!$I:$I,MATCH(A71,'IP Lookup'!$A:$A,0))</f>
        <v>TD</v>
      </c>
      <c r="J71" s="113" t="str">
        <f>IF('IP Jun22data'!$G71=0,"NO",IF(ISNA('IP Jun22data'!$I71),"YES",IF(_xlfn.ISFORMULA('IP Jun22data'!$I71),"NO","YES")))</f>
        <v>NO</v>
      </c>
      <c r="K71" s="113"/>
    </row>
    <row r="72" spans="1:11">
      <c r="A72" s="114" t="str">
        <f t="shared" si="2"/>
        <v>1010000ELEC PLANT IN SERV3033340WA VHF (VPC) SPECTRUMSITUS</v>
      </c>
      <c r="B72" s="119" t="s">
        <v>1809</v>
      </c>
      <c r="C72" s="119" t="s">
        <v>1453</v>
      </c>
      <c r="D72" s="119" t="s">
        <v>2030</v>
      </c>
      <c r="E72" s="121" t="s">
        <v>1503</v>
      </c>
      <c r="F72" s="119" t="s">
        <v>367</v>
      </c>
      <c r="G72" s="138">
        <v>2021.2450899999999</v>
      </c>
      <c r="H72" s="113" t="str">
        <f t="shared" si="3"/>
        <v>SITUS</v>
      </c>
      <c r="I72" s="113" t="str">
        <f>INDEX('IP Lookup'!$I:$I,MATCH(A72,'IP Lookup'!$A:$A,0))</f>
        <v>TD</v>
      </c>
      <c r="J72" s="113" t="str">
        <f>IF('IP Jun22data'!$G72=0,"NO",IF(ISNA('IP Jun22data'!$I72),"YES",IF(_xlfn.ISFORMULA('IP Jun22data'!$I72),"NO","YES")))</f>
        <v>NO</v>
      </c>
    </row>
    <row r="73" spans="1:11">
      <c r="A73" s="114" t="str">
        <f t="shared" si="2"/>
        <v>1010000ELEC PLANT IN SERV3033350CA VHF (VPC) SPECTRUMSITUS</v>
      </c>
      <c r="B73" s="119" t="s">
        <v>1809</v>
      </c>
      <c r="C73" s="119" t="s">
        <v>1453</v>
      </c>
      <c r="D73" s="119" t="s">
        <v>2031</v>
      </c>
      <c r="E73" s="121" t="s">
        <v>1504</v>
      </c>
      <c r="F73" s="119" t="s">
        <v>387</v>
      </c>
      <c r="G73" s="138">
        <v>472.34097000000003</v>
      </c>
      <c r="H73" s="113" t="str">
        <f t="shared" si="3"/>
        <v>SITUS</v>
      </c>
      <c r="I73" s="113" t="str">
        <f>INDEX('IP Lookup'!$I:$I,MATCH(A73,'IP Lookup'!$A:$A,0))</f>
        <v>TD</v>
      </c>
      <c r="J73" s="113" t="str">
        <f>IF('IP Jun22data'!$G73=0,"NO",IF(ISNA('IP Jun22data'!$I73),"YES",IF(_xlfn.ISFORMULA('IP Jun22data'!$I73),"NO","YES")))</f>
        <v>NO</v>
      </c>
    </row>
    <row r="74" spans="1:11">
      <c r="A74" s="114" t="str">
        <f t="shared" si="2"/>
        <v>1010000ELEC PLANT IN SERV3033370DISTRIBUTION INTANGIBLESSITUS</v>
      </c>
      <c r="B74" s="119" t="s">
        <v>1809</v>
      </c>
      <c r="C74" s="119" t="s">
        <v>1453</v>
      </c>
      <c r="D74" s="119" t="s">
        <v>2032</v>
      </c>
      <c r="E74" s="121" t="s">
        <v>1505</v>
      </c>
      <c r="F74" s="119" t="s">
        <v>386</v>
      </c>
      <c r="G74" s="138">
        <v>157.66159999999999</v>
      </c>
      <c r="H74" s="113" t="str">
        <f t="shared" si="3"/>
        <v>SITUS</v>
      </c>
      <c r="I74" s="113" t="str">
        <f>INDEX('IP Lookup'!$I:$I,MATCH(A74,'IP Lookup'!$A:$A,0))</f>
        <v>DPW</v>
      </c>
      <c r="J74" s="113" t="str">
        <f>IF('IP Jun22data'!$G74=0,"NO",IF(ISNA('IP Jun22data'!$I74),"YES",IF(_xlfn.ISFORMULA('IP Jun22data'!$I74),"NO","YES")))</f>
        <v>NO</v>
      </c>
    </row>
    <row r="75" spans="1:11">
      <c r="A75" s="114" t="str">
        <f t="shared" si="2"/>
        <v>1010000ELEC PLANT IN SERV3033380GAS PLANT INTANGIBLESSG</v>
      </c>
      <c r="B75" s="119" t="s">
        <v>1809</v>
      </c>
      <c r="C75" s="119" t="s">
        <v>1453</v>
      </c>
      <c r="D75" s="119" t="s">
        <v>2033</v>
      </c>
      <c r="E75" s="121" t="s">
        <v>3123</v>
      </c>
      <c r="F75" s="119" t="s">
        <v>3106</v>
      </c>
      <c r="G75" s="138">
        <v>1601.05449</v>
      </c>
      <c r="H75" s="113" t="str">
        <f t="shared" si="3"/>
        <v>SG</v>
      </c>
      <c r="I75" s="113" t="e">
        <f>INDEX('IP Lookup'!$I:$I,MATCH(A75,'IP Lookup'!$A:$A,0))</f>
        <v>#N/A</v>
      </c>
      <c r="J75" s="113" t="str">
        <f>IF('IP Jun22data'!$G75=0,"NO",IF(ISNA('IP Jun22data'!$I75),"YES",IF(_xlfn.ISFORMULA('IP Jun22data'!$I75),"NO","YES")))</f>
        <v>YES</v>
      </c>
    </row>
    <row r="76" spans="1:11">
      <c r="A76" s="114" t="str">
        <f t="shared" si="2"/>
        <v>1010000ELEC PLANT IN SERV3033390CYME GATEWAYSO</v>
      </c>
      <c r="B76" s="119" t="s">
        <v>1809</v>
      </c>
      <c r="C76" s="119" t="s">
        <v>1453</v>
      </c>
      <c r="D76" s="119" t="s">
        <v>2034</v>
      </c>
      <c r="E76" s="121" t="s">
        <v>3124</v>
      </c>
      <c r="F76" s="119" t="s">
        <v>89</v>
      </c>
      <c r="G76" s="138">
        <v>923.24478999999997</v>
      </c>
      <c r="H76" s="113" t="str">
        <f t="shared" si="3"/>
        <v>SO</v>
      </c>
      <c r="I76" s="113" t="str">
        <f>INDEX('IP Lookup'!$I:$I,MATCH(A76,'IP Lookup'!$A:$A,0))</f>
        <v>PTD</v>
      </c>
      <c r="J76" s="113" t="str">
        <f>IF('IP Jun22data'!$G76=0,"NO",IF(ISNA('IP Jun22data'!$I76),"YES",IF(_xlfn.ISFORMULA('IP Jun22data'!$I76),"NO","YES")))</f>
        <v>NO</v>
      </c>
    </row>
    <row r="77" spans="1:11">
      <c r="A77" s="114" t="str">
        <f t="shared" si="2"/>
        <v>1010000ELEC PLANT IN SERV3033410M365SO</v>
      </c>
      <c r="B77" s="119" t="s">
        <v>1809</v>
      </c>
      <c r="C77" s="119" t="s">
        <v>1453</v>
      </c>
      <c r="D77" s="119" t="s">
        <v>2035</v>
      </c>
      <c r="E77" s="121" t="s">
        <v>2036</v>
      </c>
      <c r="F77" s="119" t="s">
        <v>89</v>
      </c>
      <c r="G77" s="138">
        <v>3710.6428362500001</v>
      </c>
      <c r="H77" s="113" t="str">
        <f t="shared" si="3"/>
        <v>SO</v>
      </c>
      <c r="I77" s="113" t="str">
        <f>INDEX('IP Lookup'!$I:$I,MATCH(A77,'IP Lookup'!$A:$A,0))</f>
        <v>PTD</v>
      </c>
      <c r="J77" s="113" t="str">
        <f>IF('IP Jun22data'!$G77=0,"NO",IF(ISNA('IP Jun22data'!$I77),"YES",IF(_xlfn.ISFORMULA('IP Jun22data'!$I77),"NO","YES")))</f>
        <v>NO</v>
      </c>
    </row>
    <row r="78" spans="1:11">
      <c r="A78" s="114" t="str">
        <f t="shared" si="2"/>
        <v>1010000ELEC PLANT IN SERV3033420SUBSTATION RELIABILITY SOFTWARESO</v>
      </c>
      <c r="B78" s="119" t="s">
        <v>1809</v>
      </c>
      <c r="C78" s="119" t="s">
        <v>1453</v>
      </c>
      <c r="D78" s="119" t="s">
        <v>3125</v>
      </c>
      <c r="E78" s="121" t="s">
        <v>3126</v>
      </c>
      <c r="F78" s="119" t="s">
        <v>89</v>
      </c>
      <c r="G78" s="138">
        <v>90.260108750000001</v>
      </c>
      <c r="H78" s="113" t="str">
        <f t="shared" si="3"/>
        <v>SO</v>
      </c>
      <c r="I78" s="113" t="str">
        <f>INDEX('IP Lookup'!$I:$I,MATCH(A78,'IP Lookup'!$A:$A,0))</f>
        <v>TD</v>
      </c>
      <c r="J78" s="113" t="str">
        <f>IF('IP Jun22data'!$G78=0,"NO",IF(ISNA('IP Jun22data'!$I78),"YES",IF(_xlfn.ISFORMULA('IP Jun22data'!$I78),"NO","YES")))</f>
        <v>NO</v>
      </c>
    </row>
    <row r="79" spans="1:11">
      <c r="A79" s="114" t="str">
        <f t="shared" si="2"/>
        <v>1010000ELEC PLANT IN SERV3033430DEPLOY DISTRIBUTION MGMT SYSTEMSO</v>
      </c>
      <c r="B79" s="119" t="s">
        <v>1809</v>
      </c>
      <c r="C79" s="119" t="s">
        <v>1453</v>
      </c>
      <c r="D79" s="119" t="s">
        <v>3127</v>
      </c>
      <c r="E79" s="121" t="s">
        <v>3128</v>
      </c>
      <c r="F79" s="119" t="s">
        <v>89</v>
      </c>
      <c r="G79" s="138">
        <v>448.62392208333301</v>
      </c>
      <c r="H79" s="113" t="str">
        <f t="shared" si="3"/>
        <v>SO</v>
      </c>
      <c r="I79" s="113" t="str">
        <f>INDEX('IP Lookup'!$I:$I,MATCH(A79,'IP Lookup'!$A:$A,0))</f>
        <v>DPW</v>
      </c>
      <c r="J79" s="113" t="str">
        <f>IF('IP Jun22data'!$G79=0,"NO",IF(ISNA('IP Jun22data'!$I79),"YES",IF(_xlfn.ISFORMULA('IP Jun22data'!$I79),"NO","YES")))</f>
        <v>NO</v>
      </c>
    </row>
    <row r="80" spans="1:11">
      <c r="A80" s="114" t="str">
        <f t="shared" si="2"/>
        <v>1010000ELEC PLANT IN SERV3033440DISTRIBUTION ENGINEERING COSTSSO</v>
      </c>
      <c r="B80" s="119" t="s">
        <v>1809</v>
      </c>
      <c r="C80" s="119" t="s">
        <v>1453</v>
      </c>
      <c r="D80" s="119" t="s">
        <v>3129</v>
      </c>
      <c r="E80" s="121" t="s">
        <v>3130</v>
      </c>
      <c r="F80" s="119" t="s">
        <v>89</v>
      </c>
      <c r="G80" s="138">
        <v>491.20522208333301</v>
      </c>
      <c r="H80" s="113" t="str">
        <f t="shared" si="3"/>
        <v>SO</v>
      </c>
      <c r="I80" s="113" t="str">
        <f>INDEX('IP Lookup'!$I:$I,MATCH(A80,'IP Lookup'!$A:$A,0))</f>
        <v>DPW</v>
      </c>
      <c r="J80" s="113" t="str">
        <f>IF('IP Jun22data'!$G80=0,"NO",IF(ISNA('IP Jun22data'!$I80),"YES",IF(_xlfn.ISFORMULA('IP Jun22data'!$I80),"NO","YES")))</f>
        <v>NO</v>
      </c>
    </row>
    <row r="81" spans="1:10">
      <c r="A81" s="114" t="str">
        <f t="shared" si="2"/>
        <v>1010000ELEC PLANT IN SERV3034900MISC - MISCELLANEOUSSITUS</v>
      </c>
      <c r="B81" s="119" t="s">
        <v>1809</v>
      </c>
      <c r="C81" s="119" t="s">
        <v>1453</v>
      </c>
      <c r="D81" s="119" t="s">
        <v>2037</v>
      </c>
      <c r="E81" s="121" t="s">
        <v>1508</v>
      </c>
      <c r="F81" s="119" t="s">
        <v>387</v>
      </c>
      <c r="G81" s="138">
        <v>8.8260900000000007</v>
      </c>
      <c r="H81" s="113" t="str">
        <f t="shared" si="3"/>
        <v>SITUS</v>
      </c>
      <c r="I81" s="113" t="str">
        <f>INDEX('IP Lookup'!$I:$I,MATCH(A81,'IP Lookup'!$A:$A,0))</f>
        <v>TD</v>
      </c>
      <c r="J81" s="113" t="str">
        <f>IF('IP Jun22data'!$G81=0,"NO",IF(ISNA('IP Jun22data'!$I81),"YES",IF(_xlfn.ISFORMULA('IP Jun22data'!$I81),"NO","YES")))</f>
        <v>NO</v>
      </c>
    </row>
    <row r="82" spans="1:10">
      <c r="A82" s="114" t="str">
        <f t="shared" si="2"/>
        <v>1010000ELEC PLANT IN SERV3034900MISC - MISCELLANEOUSSE</v>
      </c>
      <c r="B82" s="119" t="s">
        <v>1809</v>
      </c>
      <c r="C82" s="119" t="s">
        <v>1453</v>
      </c>
      <c r="D82" s="119" t="s">
        <v>2037</v>
      </c>
      <c r="E82" s="121" t="s">
        <v>1508</v>
      </c>
      <c r="F82" s="119" t="s">
        <v>3110</v>
      </c>
      <c r="G82" s="138">
        <v>9.1057799999999993</v>
      </c>
      <c r="H82" s="113" t="str">
        <f t="shared" si="3"/>
        <v>SE</v>
      </c>
      <c r="I82" s="113" t="str">
        <f>INDEX('IP Lookup'!$I:$I,MATCH(A82,'IP Lookup'!$A:$A,0))</f>
        <v>P</v>
      </c>
      <c r="J82" s="113" t="str">
        <f>IF('IP Jun22data'!$G82=0,"NO",IF(ISNA('IP Jun22data'!$I82),"YES",IF(_xlfn.ISFORMULA('IP Jun22data'!$I82),"NO","YES")))</f>
        <v>NO</v>
      </c>
    </row>
    <row r="83" spans="1:10">
      <c r="A83" s="114" t="str">
        <f t="shared" si="2"/>
        <v>1010000ELEC PLANT IN SERV3034900MISC - MISCELLANEOUSSG</v>
      </c>
      <c r="B83" s="119" t="s">
        <v>1809</v>
      </c>
      <c r="C83" s="119" t="s">
        <v>1453</v>
      </c>
      <c r="D83" s="119" t="s">
        <v>2037</v>
      </c>
      <c r="E83" s="121" t="s">
        <v>1508</v>
      </c>
      <c r="F83" s="119" t="s">
        <v>3106</v>
      </c>
      <c r="G83" s="138">
        <v>5460.7192391666704</v>
      </c>
      <c r="H83" s="113" t="str">
        <f t="shared" si="3"/>
        <v>SG</v>
      </c>
      <c r="I83" s="113" t="str">
        <f>INDEX('IP Lookup'!$I:$I,MATCH(A83,'IP Lookup'!$A:$A,0))</f>
        <v>P</v>
      </c>
      <c r="J83" s="113" t="str">
        <f>IF('IP Jun22data'!$G83=0,"NO",IF(ISNA('IP Jun22data'!$I83),"YES",IF(_xlfn.ISFORMULA('IP Jun22data'!$I83),"NO","YES")))</f>
        <v>NO</v>
      </c>
    </row>
    <row r="84" spans="1:10">
      <c r="A84" s="114" t="str">
        <f t="shared" si="2"/>
        <v>1010000ELEC PLANT IN SERV3034900MISC - MISCELLANEOUSSG</v>
      </c>
      <c r="B84" s="119" t="s">
        <v>1809</v>
      </c>
      <c r="C84" s="119" t="s">
        <v>1453</v>
      </c>
      <c r="D84" s="119" t="s">
        <v>2037</v>
      </c>
      <c r="E84" s="121" t="s">
        <v>1508</v>
      </c>
      <c r="F84" s="119" t="s">
        <v>3108</v>
      </c>
      <c r="G84" s="138">
        <v>502.64816791666698</v>
      </c>
      <c r="H84" s="113" t="str">
        <f t="shared" si="3"/>
        <v>SG</v>
      </c>
      <c r="I84" s="113" t="str">
        <f>INDEX('IP Lookup'!$I:$I,MATCH(A84,'IP Lookup'!$A:$A,0))</f>
        <v>P</v>
      </c>
      <c r="J84" s="113" t="str">
        <f>IF('IP Jun22data'!$G84=0,"NO",IF(ISNA('IP Jun22data'!$I84),"YES",IF(_xlfn.ISFORMULA('IP Jun22data'!$I84),"NO","YES")))</f>
        <v>NO</v>
      </c>
    </row>
    <row r="85" spans="1:10">
      <c r="A85" s="114" t="str">
        <f t="shared" si="2"/>
        <v>1010000ELEC PLANT IN SERV3034900MISC - MISCELLANEOUSCN</v>
      </c>
      <c r="B85" s="119" t="s">
        <v>1809</v>
      </c>
      <c r="C85" s="119" t="s">
        <v>1453</v>
      </c>
      <c r="D85" s="119" t="s">
        <v>2037</v>
      </c>
      <c r="E85" s="121" t="s">
        <v>1508</v>
      </c>
      <c r="F85" s="119" t="s">
        <v>84</v>
      </c>
      <c r="G85" s="138">
        <v>1.0937475010937501</v>
      </c>
      <c r="H85" s="113" t="str">
        <f t="shared" si="3"/>
        <v>CN</v>
      </c>
      <c r="I85" s="113" t="str">
        <f>INDEX('IP Lookup'!$I:$I,MATCH(A85,'IP Lookup'!$A:$A,0))</f>
        <v>CUST</v>
      </c>
      <c r="J85" s="113" t="str">
        <f>IF('IP Jun22data'!$G85=0,"NO",IF(ISNA('IP Jun22data'!$I85),"YES",IF(_xlfn.ISFORMULA('IP Jun22data'!$I85),"NO","YES")))</f>
        <v>NO</v>
      </c>
    </row>
    <row r="86" spans="1:10">
      <c r="A86" s="114" t="str">
        <f t="shared" si="2"/>
        <v>1010000ELEC PLANT IN SERV3034900MISC - MISCELLANEOUSSITUS</v>
      </c>
      <c r="B86" s="119" t="s">
        <v>1809</v>
      </c>
      <c r="C86" s="119" t="s">
        <v>1453</v>
      </c>
      <c r="D86" s="119" t="s">
        <v>2037</v>
      </c>
      <c r="E86" s="121" t="s">
        <v>1508</v>
      </c>
      <c r="F86" s="119" t="s">
        <v>372</v>
      </c>
      <c r="G86" s="138">
        <v>14.0505329166667</v>
      </c>
      <c r="H86" s="113" t="str">
        <f t="shared" si="3"/>
        <v>SITUS</v>
      </c>
      <c r="I86" s="113" t="str">
        <f>INDEX('IP Lookup'!$I:$I,MATCH(A86,'IP Lookup'!$A:$A,0))</f>
        <v>TD</v>
      </c>
      <c r="J86" s="113" t="str">
        <f>IF('IP Jun22data'!$G86=0,"NO",IF(ISNA('IP Jun22data'!$I86),"YES",IF(_xlfn.ISFORMULA('IP Jun22data'!$I86),"NO","YES")))</f>
        <v>NO</v>
      </c>
    </row>
    <row r="87" spans="1:10">
      <c r="A87" s="114" t="str">
        <f t="shared" si="2"/>
        <v>1010000ELEC PLANT IN SERV3034900MISC - MISCELLANEOUSSG</v>
      </c>
      <c r="B87" s="119" t="s">
        <v>1809</v>
      </c>
      <c r="C87" s="119" t="s">
        <v>1453</v>
      </c>
      <c r="D87" s="119" t="s">
        <v>2037</v>
      </c>
      <c r="E87" s="121" t="s">
        <v>1508</v>
      </c>
      <c r="F87" s="119" t="s">
        <v>3107</v>
      </c>
      <c r="G87" s="138">
        <v>1090.1322600000001</v>
      </c>
      <c r="H87" s="113" t="str">
        <f t="shared" si="3"/>
        <v>SG</v>
      </c>
      <c r="I87" s="113" t="str">
        <f>INDEX('IP Lookup'!$I:$I,MATCH(A87,'IP Lookup'!$A:$A,0))</f>
        <v>P</v>
      </c>
      <c r="J87" s="113" t="str">
        <f>IF('IP Jun22data'!$G87=0,"NO",IF(ISNA('IP Jun22data'!$I87),"YES",IF(_xlfn.ISFORMULA('IP Jun22data'!$I87),"NO","YES")))</f>
        <v>NO</v>
      </c>
    </row>
    <row r="88" spans="1:10">
      <c r="A88" s="114" t="str">
        <f t="shared" si="2"/>
        <v>1010000ELEC PLANT IN SERV3034900MISC - MISCELLANEOUSSITUS</v>
      </c>
      <c r="B88" s="119" t="s">
        <v>1809</v>
      </c>
      <c r="C88" s="119" t="s">
        <v>1453</v>
      </c>
      <c r="D88" s="119" t="s">
        <v>2037</v>
      </c>
      <c r="E88" s="121" t="s">
        <v>1508</v>
      </c>
      <c r="F88" s="119" t="s">
        <v>343</v>
      </c>
      <c r="G88" s="138">
        <v>14.112727083333301</v>
      </c>
      <c r="H88" s="113" t="str">
        <f t="shared" si="3"/>
        <v>SITUS</v>
      </c>
      <c r="I88" s="113" t="str">
        <f>INDEX('IP Lookup'!$I:$I,MATCH(A88,'IP Lookup'!$A:$A,0))</f>
        <v>TD</v>
      </c>
      <c r="J88" s="113" t="str">
        <f>IF('IP Jun22data'!$G88=0,"NO",IF(ISNA('IP Jun22data'!$I88),"YES",IF(_xlfn.ISFORMULA('IP Jun22data'!$I88),"NO","YES")))</f>
        <v>NO</v>
      </c>
    </row>
    <row r="89" spans="1:10">
      <c r="A89" s="114" t="str">
        <f t="shared" si="2"/>
        <v>1010000ELEC PLANT IN SERV3034900MISC - MISCELLANEOUSSG</v>
      </c>
      <c r="B89" s="119" t="s">
        <v>1809</v>
      </c>
      <c r="C89" s="119" t="s">
        <v>1453</v>
      </c>
      <c r="D89" s="119" t="s">
        <v>2037</v>
      </c>
      <c r="E89" s="121" t="s">
        <v>1508</v>
      </c>
      <c r="F89" s="119" t="s">
        <v>87</v>
      </c>
      <c r="G89" s="138">
        <v>482.75106791666701</v>
      </c>
      <c r="H89" s="113" t="str">
        <f t="shared" si="3"/>
        <v>SG</v>
      </c>
      <c r="I89" s="113" t="str">
        <f>INDEX('IP Lookup'!$I:$I,MATCH(A89,'IP Lookup'!$A:$A,0))</f>
        <v>P</v>
      </c>
      <c r="J89" s="113" t="str">
        <f>IF('IP Jun22data'!$G89=0,"NO",IF(ISNA('IP Jun22data'!$I89),"YES",IF(_xlfn.ISFORMULA('IP Jun22data'!$I89),"NO","YES")))</f>
        <v>NO</v>
      </c>
    </row>
    <row r="90" spans="1:10">
      <c r="A90" s="114" t="str">
        <f t="shared" si="2"/>
        <v>1010000ELEC PLANT IN SERV3034900MISC - MISCELLANEOUSSO</v>
      </c>
      <c r="B90" s="119" t="s">
        <v>1809</v>
      </c>
      <c r="C90" s="119" t="s">
        <v>1453</v>
      </c>
      <c r="D90" s="119" t="s">
        <v>2037</v>
      </c>
      <c r="E90" s="121" t="s">
        <v>1508</v>
      </c>
      <c r="F90" s="119" t="s">
        <v>89</v>
      </c>
      <c r="G90" s="138">
        <v>43530.078977916703</v>
      </c>
      <c r="H90" s="113" t="str">
        <f t="shared" si="3"/>
        <v>SO</v>
      </c>
      <c r="I90" s="113" t="str">
        <f>INDEX('IP Lookup'!$I:$I,MATCH(A90,'IP Lookup'!$A:$A,0))</f>
        <v>PTD</v>
      </c>
      <c r="J90" s="113" t="str">
        <f>IF('IP Jun22data'!$G90=0,"NO",IF(ISNA('IP Jun22data'!$I90),"YES",IF(_xlfn.ISFORMULA('IP Jun22data'!$I90),"NO","YES")))</f>
        <v>NO</v>
      </c>
    </row>
    <row r="91" spans="1:10">
      <c r="A91" s="114" t="str">
        <f t="shared" si="2"/>
        <v>1010000ELEC PLANT IN SERV3034900MISC - MISCELLANEOUSSITUS</v>
      </c>
      <c r="B91" s="119" t="s">
        <v>1809</v>
      </c>
      <c r="C91" s="119" t="s">
        <v>1453</v>
      </c>
      <c r="D91" s="119" t="s">
        <v>2037</v>
      </c>
      <c r="E91" s="121" t="s">
        <v>1508</v>
      </c>
      <c r="F91" s="119" t="s">
        <v>370</v>
      </c>
      <c r="G91" s="138">
        <v>8.4391895833333308</v>
      </c>
      <c r="H91" s="113" t="str">
        <f t="shared" si="3"/>
        <v>SITUS</v>
      </c>
      <c r="I91" s="113" t="str">
        <f>INDEX('IP Lookup'!$I:$I,MATCH(A91,'IP Lookup'!$A:$A,0))</f>
        <v>TD</v>
      </c>
      <c r="J91" s="113" t="str">
        <f>IF('IP Jun22data'!$G91=0,"NO",IF(ISNA('IP Jun22data'!$I91),"YES",IF(_xlfn.ISFORMULA('IP Jun22data'!$I91),"NO","YES")))</f>
        <v>NO</v>
      </c>
    </row>
    <row r="92" spans="1:10">
      <c r="A92" s="114" t="str">
        <f t="shared" si="2"/>
        <v>1010000ELEC PLANT IN SERV3034900MISC - MISCELLANEOUSSITUS</v>
      </c>
      <c r="B92" s="119" t="s">
        <v>1809</v>
      </c>
      <c r="C92" s="119" t="s">
        <v>1453</v>
      </c>
      <c r="D92" s="119" t="s">
        <v>2037</v>
      </c>
      <c r="E92" s="121" t="s">
        <v>1508</v>
      </c>
      <c r="F92" s="119" t="s">
        <v>367</v>
      </c>
      <c r="G92" s="138">
        <v>15.74133</v>
      </c>
      <c r="H92" s="113" t="str">
        <f t="shared" si="3"/>
        <v>SITUS</v>
      </c>
      <c r="I92" s="113" t="str">
        <f>INDEX('IP Lookup'!$I:$I,MATCH(A92,'IP Lookup'!$A:$A,0))</f>
        <v>TD</v>
      </c>
      <c r="J92" s="113" t="str">
        <f>IF('IP Jun22data'!$G92=0,"NO",IF(ISNA('IP Jun22data'!$I92),"YES",IF(_xlfn.ISFORMULA('IP Jun22data'!$I92),"NO","YES")))</f>
        <v>NO</v>
      </c>
    </row>
    <row r="93" spans="1:10">
      <c r="A93" s="114" t="str">
        <f t="shared" si="2"/>
        <v>1010000ELEC PLANT IN SERV3034900MISC - MISCELLANEOUSSITUS</v>
      </c>
      <c r="B93" s="119" t="s">
        <v>1809</v>
      </c>
      <c r="C93" s="119" t="s">
        <v>1453</v>
      </c>
      <c r="D93" s="119" t="s">
        <v>2037</v>
      </c>
      <c r="E93" s="121" t="s">
        <v>1508</v>
      </c>
      <c r="F93" s="119" t="s">
        <v>386</v>
      </c>
      <c r="G93" s="138">
        <v>246.31055291666701</v>
      </c>
      <c r="H93" s="113" t="str">
        <f t="shared" si="3"/>
        <v>SITUS</v>
      </c>
      <c r="I93" s="113" t="str">
        <f>INDEX('IP Lookup'!$I:$I,MATCH(A93,'IP Lookup'!$A:$A,0))</f>
        <v>TD</v>
      </c>
      <c r="J93" s="113" t="str">
        <f>IF('IP Jun22data'!$G93=0,"NO",IF(ISNA('IP Jun22data'!$I93),"YES",IF(_xlfn.ISFORMULA('IP Jun22data'!$I93),"NO","YES")))</f>
        <v>NO</v>
      </c>
    </row>
    <row r="94" spans="1:10">
      <c r="A94" s="114" t="str">
        <f t="shared" si="2"/>
        <v>1010000ELEC PLANT IN SERV3035320HYDRO PLANT INTANGIBLESSG</v>
      </c>
      <c r="B94" s="119" t="s">
        <v>1809</v>
      </c>
      <c r="C94" s="119" t="s">
        <v>1453</v>
      </c>
      <c r="D94" s="119" t="s">
        <v>2038</v>
      </c>
      <c r="E94" s="121" t="s">
        <v>1509</v>
      </c>
      <c r="F94" s="119" t="s">
        <v>87</v>
      </c>
      <c r="G94" s="138">
        <v>1744.63453</v>
      </c>
      <c r="H94" s="113" t="str">
        <f t="shared" si="3"/>
        <v>SG</v>
      </c>
      <c r="I94" s="113" t="str">
        <f>INDEX('IP Lookup'!$I:$I,MATCH(A94,'IP Lookup'!$A:$A,0))</f>
        <v>P</v>
      </c>
      <c r="J94" s="113" t="str">
        <f>IF('IP Jun22data'!$G94=0,"NO",IF(ISNA('IP Jun22data'!$I94),"YES",IF(_xlfn.ISFORMULA('IP Jun22data'!$I94),"NO","YES")))</f>
        <v>NO</v>
      </c>
    </row>
    <row r="95" spans="1:10">
      <c r="A95" s="114" t="str">
        <f t="shared" si="2"/>
        <v>1010000ELEC PLANT IN SERV3035322ACD–Call Center Automated Call DistributCN</v>
      </c>
      <c r="B95" s="119" t="s">
        <v>1809</v>
      </c>
      <c r="C95" s="119" t="s">
        <v>1453</v>
      </c>
      <c r="D95" s="119" t="s">
        <v>2039</v>
      </c>
      <c r="E95" s="121" t="s">
        <v>1510</v>
      </c>
      <c r="F95" s="119" t="s">
        <v>84</v>
      </c>
      <c r="G95" s="138">
        <v>4132.1965541321997</v>
      </c>
      <c r="H95" s="113" t="str">
        <f t="shared" si="3"/>
        <v>CN</v>
      </c>
      <c r="I95" s="113" t="str">
        <f>INDEX('IP Lookup'!$I:$I,MATCH(A95,'IP Lookup'!$A:$A,0))</f>
        <v>CUST</v>
      </c>
      <c r="J95" s="113" t="str">
        <f>IF('IP Jun22data'!$G95=0,"NO",IF(ISNA('IP Jun22data'!$I95),"YES",IF(_xlfn.ISFORMULA('IP Jun22data'!$I95),"NO","YES")))</f>
        <v>NO</v>
      </c>
    </row>
    <row r="96" spans="1:10">
      <c r="A96" s="114" t="str">
        <f t="shared" si="2"/>
        <v>1010000ELEC PLANT IN SERV3035330OATI-OASIS INTERFACESO</v>
      </c>
      <c r="B96" s="119" t="s">
        <v>1809</v>
      </c>
      <c r="C96" s="119" t="s">
        <v>1453</v>
      </c>
      <c r="D96" s="119" t="s">
        <v>2040</v>
      </c>
      <c r="E96" s="121" t="s">
        <v>1511</v>
      </c>
      <c r="F96" s="119" t="s">
        <v>89</v>
      </c>
      <c r="G96" s="138">
        <v>1351.8157370833301</v>
      </c>
      <c r="H96" s="113" t="str">
        <f t="shared" si="3"/>
        <v>SO</v>
      </c>
      <c r="I96" s="113" t="str">
        <f>INDEX('IP Lookup'!$I:$I,MATCH(A96,'IP Lookup'!$A:$A,0))</f>
        <v>T</v>
      </c>
      <c r="J96" s="113" t="str">
        <f>IF('IP Jun22data'!$G96=0,"NO",IF(ISNA('IP Jun22data'!$I96),"YES",IF(_xlfn.ISFORMULA('IP Jun22data'!$I96),"NO","YES")))</f>
        <v>NO</v>
      </c>
    </row>
  </sheetData>
  <conditionalFormatting sqref="K71:K1048576 J1:J70">
    <cfRule type="cellIs" dxfId="12" priority="4" operator="equal">
      <formula>"YES"</formula>
    </cfRule>
  </conditionalFormatting>
  <conditionalFormatting sqref="J71:J84">
    <cfRule type="cellIs" dxfId="11" priority="2" operator="equal">
      <formula>"YES"</formula>
    </cfRule>
  </conditionalFormatting>
  <conditionalFormatting sqref="J85:J96">
    <cfRule type="cellIs" dxfId="10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16"/>
  <sheetViews>
    <sheetView zoomScale="85" zoomScaleNormal="85" workbookViewId="0"/>
  </sheetViews>
  <sheetFormatPr defaultRowHeight="12.75"/>
  <cols>
    <col min="1" max="1" width="18.7109375" style="114" customWidth="1"/>
    <col min="2" max="4" width="18.7109375" style="120" customWidth="1"/>
    <col min="5" max="5" width="38.85546875" style="278" customWidth="1"/>
    <col min="6" max="6" width="18.7109375" style="120" customWidth="1"/>
    <col min="7" max="7" width="18.7109375" style="123" customWidth="1"/>
    <col min="8" max="8" width="18.7109375" style="115" customWidth="1"/>
    <col min="9" max="9" width="18.7109375" style="113" customWidth="1"/>
    <col min="10" max="10" width="18.7109375" style="115" customWidth="1"/>
    <col min="11" max="13" width="18.7109375" customWidth="1"/>
  </cols>
  <sheetData>
    <row r="1" spans="1:10">
      <c r="A1" s="114" t="s">
        <v>1672</v>
      </c>
      <c r="B1" s="119" t="s">
        <v>345</v>
      </c>
      <c r="C1" s="119" t="s">
        <v>346</v>
      </c>
      <c r="D1" s="119" t="s">
        <v>347</v>
      </c>
      <c r="E1" s="278" t="s">
        <v>348</v>
      </c>
      <c r="F1" s="119" t="s">
        <v>349</v>
      </c>
      <c r="G1" s="119" t="s">
        <v>1676</v>
      </c>
      <c r="H1" s="113" t="s">
        <v>351</v>
      </c>
      <c r="I1" s="113" t="s">
        <v>352</v>
      </c>
      <c r="J1"/>
    </row>
    <row r="2" spans="1:10">
      <c r="A2" s="114" t="str">
        <f>CONCATENATE($B2,$C2,$D2,$E2,$H2)</f>
        <v>1010000ELEC PLANT IN SERV3035322ACD–Call Center Automated Call DistributCN</v>
      </c>
      <c r="B2" s="119">
        <v>1010000</v>
      </c>
      <c r="C2" s="119" t="s">
        <v>1453</v>
      </c>
      <c r="D2" s="119">
        <v>3035322</v>
      </c>
      <c r="E2" s="278" t="s">
        <v>1510</v>
      </c>
      <c r="F2" s="119" t="s">
        <v>84</v>
      </c>
      <c r="G2" s="122"/>
      <c r="H2" s="113" t="str">
        <f>IF(OR(F2="IDU",F2="OR",F2="UT",F2="WYU",F2="WYP",F2="CA",F2="WA"),"SITUS",F2)</f>
        <v>CN</v>
      </c>
      <c r="I2" s="113" t="s">
        <v>73</v>
      </c>
      <c r="J2"/>
    </row>
    <row r="3" spans="1:10">
      <c r="A3" s="114" t="str">
        <f t="shared" ref="A3:A66" si="0">CONCATENATE($B3,$C3,$D3,$E3,$H3)</f>
        <v>1010000ELEC PLANT IN SERV3033250AMI Metering SoftwareCN</v>
      </c>
      <c r="B3" s="119">
        <v>1010000</v>
      </c>
      <c r="C3" s="119" t="s">
        <v>1453</v>
      </c>
      <c r="D3" s="119">
        <v>3033250</v>
      </c>
      <c r="E3" s="278" t="s">
        <v>1682</v>
      </c>
      <c r="F3" s="119" t="s">
        <v>84</v>
      </c>
      <c r="G3" s="122"/>
      <c r="H3" s="113" t="str">
        <f t="shared" ref="H3:H66" si="1">IF(OR(F3="IDU",F3="OR",F3="UT",F3="WYU",F3="WYP",F3="CA",F3="WA"),"SITUS",F3)</f>
        <v>CN</v>
      </c>
      <c r="I3" s="113" t="s">
        <v>73</v>
      </c>
      <c r="J3"/>
    </row>
    <row r="4" spans="1:10">
      <c r="A4" s="114" t="str">
        <f t="shared" si="0"/>
        <v>1010000ELEC PLANT IN SERV3031830CUSTOMER SERVICE SYSTEM (CSS)CN</v>
      </c>
      <c r="B4" s="119">
        <v>1010000</v>
      </c>
      <c r="C4" s="119" t="s">
        <v>1453</v>
      </c>
      <c r="D4" s="119">
        <v>3031830</v>
      </c>
      <c r="E4" s="278" t="s">
        <v>1462</v>
      </c>
      <c r="F4" s="119" t="s">
        <v>84</v>
      </c>
      <c r="G4" s="122"/>
      <c r="H4" s="113" t="str">
        <f t="shared" si="1"/>
        <v>CN</v>
      </c>
      <c r="I4" s="113" t="s">
        <v>73</v>
      </c>
      <c r="J4"/>
    </row>
    <row r="5" spans="1:10">
      <c r="A5" s="114" t="str">
        <f t="shared" si="0"/>
        <v>1010000ELEC PLANT IN SERV3033170GTX VERSION 7 SOFTWARECN</v>
      </c>
      <c r="B5" s="119">
        <v>1010000</v>
      </c>
      <c r="C5" s="119" t="s">
        <v>1453</v>
      </c>
      <c r="D5" s="119">
        <v>3033170</v>
      </c>
      <c r="E5" s="278" t="s">
        <v>1493</v>
      </c>
      <c r="F5" s="119" t="s">
        <v>84</v>
      </c>
      <c r="G5" s="122"/>
      <c r="H5" s="113" t="str">
        <f t="shared" si="1"/>
        <v>CN</v>
      </c>
      <c r="I5" s="113" t="s">
        <v>73</v>
      </c>
      <c r="J5"/>
    </row>
    <row r="6" spans="1:10">
      <c r="A6" s="114" t="str">
        <f t="shared" si="0"/>
        <v>1010000ELEC PLANT IN SERV3033240IEE - Itron Enterprise AdditionCN</v>
      </c>
      <c r="B6" s="119">
        <v>1010000</v>
      </c>
      <c r="C6" s="119" t="s">
        <v>1453</v>
      </c>
      <c r="D6" s="119">
        <v>3033240</v>
      </c>
      <c r="E6" s="278" t="s">
        <v>1498</v>
      </c>
      <c r="F6" s="119" t="s">
        <v>84</v>
      </c>
      <c r="G6" s="122"/>
      <c r="H6" s="113" t="str">
        <f t="shared" si="1"/>
        <v>CN</v>
      </c>
      <c r="I6" s="113" t="s">
        <v>73</v>
      </c>
      <c r="J6"/>
    </row>
    <row r="7" spans="1:10">
      <c r="A7" s="114" t="str">
        <f t="shared" si="0"/>
        <v>1010000ELEC PLANT IN SERV3033190ITRON METER READING SOFTWARECN</v>
      </c>
      <c r="B7" s="119">
        <v>1010000</v>
      </c>
      <c r="C7" s="119" t="s">
        <v>1453</v>
      </c>
      <c r="D7" s="119">
        <v>3033190</v>
      </c>
      <c r="E7" s="278" t="s">
        <v>1494</v>
      </c>
      <c r="F7" s="119" t="s">
        <v>84</v>
      </c>
      <c r="G7" s="122"/>
      <c r="H7" s="113" t="str">
        <f t="shared" si="1"/>
        <v>CN</v>
      </c>
      <c r="I7" s="113" t="s">
        <v>73</v>
      </c>
      <c r="J7"/>
    </row>
    <row r="8" spans="1:10">
      <c r="A8" s="114" t="str">
        <f t="shared" si="0"/>
        <v>1010000ELEC PLANT IN SERV3034900MISC - MISCELLANEOUSCN</v>
      </c>
      <c r="B8" s="119">
        <v>1010000</v>
      </c>
      <c r="C8" s="119" t="s">
        <v>1453</v>
      </c>
      <c r="D8" s="119">
        <v>3034900</v>
      </c>
      <c r="E8" s="278" t="s">
        <v>1508</v>
      </c>
      <c r="F8" s="119" t="s">
        <v>84</v>
      </c>
      <c r="G8" s="122"/>
      <c r="H8" s="113" t="str">
        <f t="shared" si="1"/>
        <v>CN</v>
      </c>
      <c r="I8" s="113" t="s">
        <v>73</v>
      </c>
      <c r="J8"/>
    </row>
    <row r="9" spans="1:10">
      <c r="A9" s="114" t="str">
        <f t="shared" si="0"/>
        <v>1010000ELEC PLANT IN SERV3032480OUTAGE CALL HANDLING INTEGRATIONCN</v>
      </c>
      <c r="B9" s="119">
        <v>1010000</v>
      </c>
      <c r="C9" s="119" t="s">
        <v>1453</v>
      </c>
      <c r="D9" s="119">
        <v>3032480</v>
      </c>
      <c r="E9" s="278" t="s">
        <v>1471</v>
      </c>
      <c r="F9" s="119" t="s">
        <v>84</v>
      </c>
      <c r="G9" s="122"/>
      <c r="H9" s="113" t="str">
        <f t="shared" si="1"/>
        <v>CN</v>
      </c>
      <c r="I9" s="113" t="s">
        <v>73</v>
      </c>
      <c r="J9"/>
    </row>
    <row r="10" spans="1:10">
      <c r="A10" s="114" t="str">
        <f t="shared" si="0"/>
        <v>1010000ELEC PLANT IN SERV3033300SECID - CUST SECURE WEB LOGINCN</v>
      </c>
      <c r="B10" s="119">
        <v>1010000</v>
      </c>
      <c r="C10" s="119" t="s">
        <v>1453</v>
      </c>
      <c r="D10" s="119">
        <v>3033300</v>
      </c>
      <c r="E10" s="278" t="s">
        <v>1499</v>
      </c>
      <c r="F10" s="119" t="s">
        <v>84</v>
      </c>
      <c r="G10" s="122"/>
      <c r="H10" s="113" t="str">
        <f t="shared" si="1"/>
        <v>CN</v>
      </c>
      <c r="I10" s="113" t="s">
        <v>73</v>
      </c>
      <c r="J10"/>
    </row>
    <row r="11" spans="1:10">
      <c r="A11" s="114" t="str">
        <f t="shared" si="0"/>
        <v>1010000ELEC PLANT IN SERV3034900MISC - MISCELLANEOUSSE</v>
      </c>
      <c r="B11" s="119">
        <v>1010000</v>
      </c>
      <c r="C11" s="119" t="s">
        <v>1453</v>
      </c>
      <c r="D11" s="119">
        <v>3034900</v>
      </c>
      <c r="E11" s="278" t="s">
        <v>1508</v>
      </c>
      <c r="F11" s="119" t="s">
        <v>85</v>
      </c>
      <c r="G11" s="122"/>
      <c r="H11" s="113" t="str">
        <f t="shared" si="1"/>
        <v>SE</v>
      </c>
      <c r="I11" s="113" t="s">
        <v>68</v>
      </c>
      <c r="J11"/>
    </row>
    <row r="12" spans="1:10">
      <c r="A12" s="114" t="str">
        <f t="shared" si="0"/>
        <v>1010000ELEC PLANT IN SERV3032780BEAR RIVER-SETTLEMENT AGREEMENTSG</v>
      </c>
      <c r="B12" s="119">
        <v>1010000</v>
      </c>
      <c r="C12" s="119" t="s">
        <v>1453</v>
      </c>
      <c r="D12" s="119">
        <v>3032780</v>
      </c>
      <c r="E12" s="278" t="s">
        <v>1483</v>
      </c>
      <c r="F12" s="119" t="s">
        <v>87</v>
      </c>
      <c r="G12" s="122"/>
      <c r="H12" s="113" t="str">
        <f t="shared" si="1"/>
        <v>SG</v>
      </c>
      <c r="I12" s="113" t="s">
        <v>68</v>
      </c>
      <c r="J12"/>
    </row>
    <row r="13" spans="1:10">
      <c r="A13" s="114" t="str">
        <f t="shared" si="0"/>
        <v>1010000ELEC PLANT IN SERV3033320CAS - CONTROL AREA SCHEDULING (TRANSM)SG</v>
      </c>
      <c r="B13" s="119">
        <v>1010000</v>
      </c>
      <c r="C13" s="119" t="s">
        <v>1453</v>
      </c>
      <c r="D13" s="119">
        <v>3033320</v>
      </c>
      <c r="E13" s="278" t="s">
        <v>1501</v>
      </c>
      <c r="F13" s="119" t="s">
        <v>87</v>
      </c>
      <c r="G13" s="122"/>
      <c r="H13" s="113" t="str">
        <f t="shared" si="1"/>
        <v>SG</v>
      </c>
      <c r="I13" s="113" t="s">
        <v>69</v>
      </c>
      <c r="J13"/>
    </row>
    <row r="14" spans="1:10">
      <c r="A14" s="114" t="str">
        <f t="shared" si="0"/>
        <v>1010000ELEC PLANT IN SERV3020000FRANCHISES AND CONSENTSSG</v>
      </c>
      <c r="B14" s="119">
        <v>1010000</v>
      </c>
      <c r="C14" s="119" t="s">
        <v>1453</v>
      </c>
      <c r="D14" s="119">
        <v>3020000</v>
      </c>
      <c r="E14" s="278" t="s">
        <v>1454</v>
      </c>
      <c r="F14" s="119" t="s">
        <v>87</v>
      </c>
      <c r="G14" s="122"/>
      <c r="H14" s="113" t="str">
        <f t="shared" si="1"/>
        <v>SG</v>
      </c>
      <c r="I14" s="113" t="s">
        <v>68</v>
      </c>
      <c r="J14"/>
    </row>
    <row r="15" spans="1:10">
      <c r="A15" s="114" t="str">
        <f t="shared" si="0"/>
        <v>1010000ELEC PLANT IN SERV3032740GADSBY INTANGIBLE ASSETSSG</v>
      </c>
      <c r="B15" s="119">
        <v>1010000</v>
      </c>
      <c r="C15" s="119" t="s">
        <v>1453</v>
      </c>
      <c r="D15" s="119">
        <v>3032740</v>
      </c>
      <c r="E15" s="278" t="s">
        <v>1681</v>
      </c>
      <c r="F15" s="119" t="s">
        <v>87</v>
      </c>
      <c r="G15" s="122"/>
      <c r="H15" s="113" t="str">
        <f t="shared" si="1"/>
        <v>SG</v>
      </c>
      <c r="I15" s="113" t="s">
        <v>68</v>
      </c>
      <c r="J15"/>
    </row>
    <row r="16" spans="1:10">
      <c r="A16" s="114" t="str">
        <f t="shared" si="0"/>
        <v>1010000ELEC PLANT IN SERV3035320HYDRO PLANT INTANGIBLESSG</v>
      </c>
      <c r="B16" s="119">
        <v>1010000</v>
      </c>
      <c r="C16" s="119" t="s">
        <v>1453</v>
      </c>
      <c r="D16" s="119">
        <v>3035320</v>
      </c>
      <c r="E16" s="278" t="s">
        <v>1509</v>
      </c>
      <c r="F16" s="119" t="s">
        <v>87</v>
      </c>
      <c r="G16" s="122"/>
      <c r="H16" s="113" t="str">
        <f t="shared" si="1"/>
        <v>SG</v>
      </c>
      <c r="I16" s="113" t="s">
        <v>68</v>
      </c>
      <c r="J16"/>
    </row>
    <row r="17" spans="1:10">
      <c r="A17" s="114" t="str">
        <f t="shared" si="0"/>
        <v>1010000ELEC PLANT IN SERV3032900IDAHO TRANSMISSION CUSTOMER-OWNED ASSETSSG</v>
      </c>
      <c r="B17" s="119">
        <v>1010000</v>
      </c>
      <c r="C17" s="119" t="s">
        <v>1453</v>
      </c>
      <c r="D17" s="119">
        <v>3032900</v>
      </c>
      <c r="E17" s="278" t="s">
        <v>1486</v>
      </c>
      <c r="F17" s="119" t="s">
        <v>87</v>
      </c>
      <c r="G17" s="122"/>
      <c r="H17" s="113" t="str">
        <f t="shared" si="1"/>
        <v>SG</v>
      </c>
      <c r="I17" s="113" t="s">
        <v>69</v>
      </c>
      <c r="J17"/>
    </row>
    <row r="18" spans="1:10">
      <c r="A18" s="114" t="str">
        <f t="shared" si="0"/>
        <v>1010000ELEC PLANT IN SERV3034900MISC - MISCELLANEOUSSG</v>
      </c>
      <c r="B18" s="119">
        <v>1010000</v>
      </c>
      <c r="C18" s="119" t="s">
        <v>1453</v>
      </c>
      <c r="D18" s="119">
        <v>3034900</v>
      </c>
      <c r="E18" s="278" t="s">
        <v>1508</v>
      </c>
      <c r="F18" s="119" t="s">
        <v>87</v>
      </c>
      <c r="G18" s="122"/>
      <c r="H18" s="113" t="str">
        <f t="shared" si="1"/>
        <v>SG</v>
      </c>
      <c r="I18" s="113" t="s">
        <v>68</v>
      </c>
      <c r="J18"/>
    </row>
    <row r="19" spans="1:10">
      <c r="A19" s="114" t="str">
        <f t="shared" si="0"/>
        <v>1010000ELEC PLANT IN SERV3033380MISCELLANEOUS SMALL SOFTWARE PACKAGESSG</v>
      </c>
      <c r="B19" s="119">
        <v>1010000</v>
      </c>
      <c r="C19" s="119" t="s">
        <v>1453</v>
      </c>
      <c r="D19" s="119">
        <v>3033380</v>
      </c>
      <c r="E19" s="278" t="s">
        <v>1506</v>
      </c>
      <c r="F19" s="119" t="s">
        <v>87</v>
      </c>
      <c r="G19" s="122"/>
      <c r="H19" s="113" t="str">
        <f t="shared" si="1"/>
        <v>SG</v>
      </c>
      <c r="I19" s="113" t="s">
        <v>68</v>
      </c>
      <c r="J19"/>
    </row>
    <row r="20" spans="1:10">
      <c r="A20" s="114" t="str">
        <f t="shared" si="0"/>
        <v>1010000ELEC PLANT IN SERV3032770NORTH UMPQUA - SETTLEMENT AGREEMENTSG</v>
      </c>
      <c r="B20" s="119">
        <v>1010000</v>
      </c>
      <c r="C20" s="119" t="s">
        <v>1453</v>
      </c>
      <c r="D20" s="119">
        <v>3032770</v>
      </c>
      <c r="E20" s="278" t="s">
        <v>1482</v>
      </c>
      <c r="F20" s="119" t="s">
        <v>87</v>
      </c>
      <c r="G20" s="122"/>
      <c r="H20" s="113" t="str">
        <f t="shared" si="1"/>
        <v>SG</v>
      </c>
      <c r="I20" s="113" t="s">
        <v>68</v>
      </c>
      <c r="J20"/>
    </row>
    <row r="21" spans="1:10">
      <c r="A21" s="114" t="str">
        <f t="shared" si="0"/>
        <v>1010000ELEC PLANT IN SERV3033120RANGER EMS/SCADA SYSTEMSG</v>
      </c>
      <c r="B21" s="119">
        <v>1010000</v>
      </c>
      <c r="C21" s="119" t="s">
        <v>1453</v>
      </c>
      <c r="D21" s="119">
        <v>3033120</v>
      </c>
      <c r="E21" s="278" t="s">
        <v>1492</v>
      </c>
      <c r="F21" s="119" t="s">
        <v>87</v>
      </c>
      <c r="G21" s="122"/>
      <c r="H21" s="113" t="str">
        <f t="shared" si="1"/>
        <v>SG</v>
      </c>
      <c r="I21" s="113" t="s">
        <v>96</v>
      </c>
      <c r="J21"/>
    </row>
    <row r="22" spans="1:10">
      <c r="A22" s="114" t="str">
        <f t="shared" si="0"/>
        <v>1010000ELEC PLANT IN SERV3032710ROUGE RIVER HYDRO INTANGIBLESSG</v>
      </c>
      <c r="B22" s="119">
        <v>1010000</v>
      </c>
      <c r="C22" s="119" t="s">
        <v>1453</v>
      </c>
      <c r="D22" s="119">
        <v>3032710</v>
      </c>
      <c r="E22" s="278" t="s">
        <v>1480</v>
      </c>
      <c r="F22" s="119" t="s">
        <v>87</v>
      </c>
      <c r="G22" s="122"/>
      <c r="H22" s="113" t="str">
        <f t="shared" si="1"/>
        <v>SG</v>
      </c>
      <c r="I22" s="113" t="s">
        <v>68</v>
      </c>
      <c r="J22"/>
    </row>
    <row r="23" spans="1:10">
      <c r="A23" s="114" t="str">
        <f t="shared" si="0"/>
        <v>1010000ELEC PLANT IN SERV3033090STEAM PLANT INTANGIBLE ASSETSSG</v>
      </c>
      <c r="B23" s="119">
        <v>1010000</v>
      </c>
      <c r="C23" s="119" t="s">
        <v>1453</v>
      </c>
      <c r="D23" s="119">
        <v>3033090</v>
      </c>
      <c r="E23" s="278" t="s">
        <v>1491</v>
      </c>
      <c r="F23" s="119" t="s">
        <v>87</v>
      </c>
      <c r="G23" s="122"/>
      <c r="H23" s="113" t="str">
        <f t="shared" si="1"/>
        <v>SG</v>
      </c>
      <c r="I23" s="113" t="s">
        <v>68</v>
      </c>
      <c r="J23"/>
    </row>
    <row r="24" spans="1:10">
      <c r="A24" s="114" t="str">
        <f t="shared" si="0"/>
        <v>1010000ELEC PLANT IN SERV3032760SWIFT 2 IMPROVEMENTSSG</v>
      </c>
      <c r="B24" s="119">
        <v>1010000</v>
      </c>
      <c r="C24" s="119" t="s">
        <v>1453</v>
      </c>
      <c r="D24" s="119">
        <v>3032760</v>
      </c>
      <c r="E24" s="278" t="s">
        <v>1481</v>
      </c>
      <c r="F24" s="119" t="s">
        <v>87</v>
      </c>
      <c r="G24" s="122"/>
      <c r="H24" s="113" t="str">
        <f t="shared" si="1"/>
        <v>SG</v>
      </c>
      <c r="I24" s="113" t="s">
        <v>68</v>
      </c>
      <c r="J24"/>
    </row>
    <row r="25" spans="1:10">
      <c r="A25" s="114" t="str">
        <f t="shared" si="0"/>
        <v>1010000ELEC PLANT IN SERV3031040TRANSMISSION INTANGIBLE ASSETSSG</v>
      </c>
      <c r="B25" s="119">
        <v>1010000</v>
      </c>
      <c r="C25" s="119" t="s">
        <v>1453</v>
      </c>
      <c r="D25" s="119">
        <v>3031040</v>
      </c>
      <c r="E25" s="278" t="s">
        <v>1456</v>
      </c>
      <c r="F25" s="119" t="s">
        <v>87</v>
      </c>
      <c r="G25" s="122"/>
      <c r="H25" s="113" t="str">
        <f t="shared" si="1"/>
        <v>SG</v>
      </c>
      <c r="I25" s="113" t="s">
        <v>69</v>
      </c>
      <c r="J25"/>
    </row>
    <row r="26" spans="1:10">
      <c r="A26" s="114" t="str">
        <f t="shared" si="0"/>
        <v>1010000ELEC PLANT IN SERV3032680TRANSMISSION WHOLESALE BILLING SYSTEMSG</v>
      </c>
      <c r="B26" s="119">
        <v>1010000</v>
      </c>
      <c r="C26" s="119" t="s">
        <v>1453</v>
      </c>
      <c r="D26" s="119">
        <v>3032680</v>
      </c>
      <c r="E26" s="278" t="s">
        <v>1478</v>
      </c>
      <c r="F26" s="119" t="s">
        <v>87</v>
      </c>
      <c r="G26" s="122"/>
      <c r="H26" s="113" t="str">
        <f t="shared" si="1"/>
        <v>SG</v>
      </c>
      <c r="I26" s="113" t="s">
        <v>69</v>
      </c>
      <c r="J26"/>
    </row>
    <row r="27" spans="1:10">
      <c r="A27" s="114" t="str">
        <f t="shared" si="0"/>
        <v>1010000ELEC PLANT IN SERV3020000FRANCHISES AND CONSENTSSG-P</v>
      </c>
      <c r="B27" s="119">
        <v>1010000</v>
      </c>
      <c r="C27" s="119" t="s">
        <v>1453</v>
      </c>
      <c r="D27" s="119">
        <v>3020000</v>
      </c>
      <c r="E27" s="278" t="s">
        <v>1454</v>
      </c>
      <c r="F27" s="119" t="s">
        <v>280</v>
      </c>
      <c r="G27" s="122"/>
      <c r="H27" s="113" t="str">
        <f t="shared" si="1"/>
        <v>SG-P</v>
      </c>
      <c r="I27" s="113" t="s">
        <v>68</v>
      </c>
      <c r="J27"/>
    </row>
    <row r="28" spans="1:10">
      <c r="A28" s="114" t="str">
        <f t="shared" si="0"/>
        <v>1010000ELEC PLANT IN SERV3020000FRANCHISES AND CONSENTSSG-U</v>
      </c>
      <c r="B28" s="119">
        <v>1010000</v>
      </c>
      <c r="C28" s="119" t="s">
        <v>1453</v>
      </c>
      <c r="D28" s="119">
        <v>3020000</v>
      </c>
      <c r="E28" s="278" t="s">
        <v>1454</v>
      </c>
      <c r="F28" s="119" t="s">
        <v>1455</v>
      </c>
      <c r="G28" s="122"/>
      <c r="H28" s="113" t="str">
        <f t="shared" si="1"/>
        <v>SG-U</v>
      </c>
      <c r="I28" s="113" t="s">
        <v>68</v>
      </c>
      <c r="J28"/>
    </row>
    <row r="29" spans="1:10">
      <c r="A29" s="114" t="str">
        <f t="shared" si="0"/>
        <v>1010000ELEC PLANT IN SERV3033350CA VHF (VPC) SPECTRUMSITUS</v>
      </c>
      <c r="B29" s="119">
        <v>1010000</v>
      </c>
      <c r="C29" s="119" t="s">
        <v>1453</v>
      </c>
      <c r="D29" s="119">
        <v>3033350</v>
      </c>
      <c r="E29" s="278" t="s">
        <v>1504</v>
      </c>
      <c r="F29" s="119" t="s">
        <v>12</v>
      </c>
      <c r="G29" s="122"/>
      <c r="H29" s="113" t="str">
        <f t="shared" si="1"/>
        <v>SITUS</v>
      </c>
      <c r="I29" s="113" t="s">
        <v>96</v>
      </c>
      <c r="J29"/>
    </row>
    <row r="30" spans="1:10">
      <c r="A30" s="114" t="str">
        <f t="shared" si="0"/>
        <v>1010000ELEC PLANT IN SERV3033370DISTRIBUTION INTANGIBLESSITUS</v>
      </c>
      <c r="B30" s="119">
        <v>1010000</v>
      </c>
      <c r="C30" s="119" t="s">
        <v>1453</v>
      </c>
      <c r="D30" s="119">
        <v>3033370</v>
      </c>
      <c r="E30" s="278" t="s">
        <v>1505</v>
      </c>
      <c r="F30" s="119" t="s">
        <v>12</v>
      </c>
      <c r="G30" s="122"/>
      <c r="H30" s="113" t="str">
        <f t="shared" si="1"/>
        <v>SITUS</v>
      </c>
      <c r="I30" s="113" t="s">
        <v>70</v>
      </c>
      <c r="J30"/>
    </row>
    <row r="31" spans="1:10">
      <c r="A31" s="114" t="str">
        <f t="shared" si="0"/>
        <v>1010000ELEC PLANT IN SERV3020000FRANCHISES AND CONSENTSSITUS</v>
      </c>
      <c r="B31" s="119">
        <v>1010000</v>
      </c>
      <c r="C31" s="119" t="s">
        <v>1453</v>
      </c>
      <c r="D31" s="119">
        <v>3020000</v>
      </c>
      <c r="E31" s="278" t="s">
        <v>1454</v>
      </c>
      <c r="F31" s="119" t="s">
        <v>12</v>
      </c>
      <c r="G31" s="122"/>
      <c r="H31" s="113" t="str">
        <f t="shared" si="1"/>
        <v>SITUS</v>
      </c>
      <c r="I31" s="113" t="s">
        <v>96</v>
      </c>
      <c r="J31"/>
    </row>
    <row r="32" spans="1:10">
      <c r="A32" s="114" t="str">
        <f t="shared" si="0"/>
        <v>1010000XELEC PLANT IN SERV3020000FRANCHISES AND CONSENTSSITUS</v>
      </c>
      <c r="B32" s="119" t="s">
        <v>1673</v>
      </c>
      <c r="C32" s="119" t="s">
        <v>1453</v>
      </c>
      <c r="D32" s="119">
        <v>3020000</v>
      </c>
      <c r="E32" s="278" t="s">
        <v>1454</v>
      </c>
      <c r="F32" s="119" t="s">
        <v>12</v>
      </c>
      <c r="G32" s="122"/>
      <c r="H32" s="113" t="str">
        <f t="shared" si="1"/>
        <v>SITUS</v>
      </c>
      <c r="I32" s="113" t="s">
        <v>68</v>
      </c>
      <c r="J32"/>
    </row>
    <row r="33" spans="1:10">
      <c r="A33" s="114" t="str">
        <f t="shared" si="0"/>
        <v>1010000ELEC PLANT IN SERV3032920IDAHO VHF (VPC) SPECTRUMSITUS</v>
      </c>
      <c r="B33" s="119">
        <v>1010000</v>
      </c>
      <c r="C33" s="119" t="s">
        <v>1453</v>
      </c>
      <c r="D33" s="119">
        <v>3032920</v>
      </c>
      <c r="E33" s="278" t="s">
        <v>1488</v>
      </c>
      <c r="F33" s="119" t="s">
        <v>12</v>
      </c>
      <c r="G33" s="122"/>
      <c r="H33" s="113" t="str">
        <f t="shared" si="1"/>
        <v>SITUS</v>
      </c>
      <c r="I33" s="113" t="s">
        <v>96</v>
      </c>
      <c r="J33"/>
    </row>
    <row r="34" spans="1:10">
      <c r="A34" s="114" t="str">
        <f t="shared" si="0"/>
        <v>1010000ELEC PLANT IN SERV3034900MISC - MISCELLANEOUSSITUS</v>
      </c>
      <c r="B34" s="119">
        <v>1010000</v>
      </c>
      <c r="C34" s="119" t="s">
        <v>1453</v>
      </c>
      <c r="D34" s="119">
        <v>3034900</v>
      </c>
      <c r="E34" s="278" t="s">
        <v>1508</v>
      </c>
      <c r="F34" s="119" t="s">
        <v>12</v>
      </c>
      <c r="G34" s="122"/>
      <c r="H34" s="113" t="str">
        <f t="shared" si="1"/>
        <v>SITUS</v>
      </c>
      <c r="I34" s="113" t="s">
        <v>96</v>
      </c>
      <c r="J34"/>
    </row>
    <row r="35" spans="1:10">
      <c r="A35" s="114" t="str">
        <f t="shared" si="0"/>
        <v>1010000ELEC PLANT IN SERV3034900MISC - MISCELLANEOUSSITUS</v>
      </c>
      <c r="B35" s="119">
        <v>1010000</v>
      </c>
      <c r="C35" s="119" t="s">
        <v>1453</v>
      </c>
      <c r="D35" s="119">
        <v>3034900</v>
      </c>
      <c r="E35" s="278" t="s">
        <v>1508</v>
      </c>
      <c r="F35" s="119" t="s">
        <v>12</v>
      </c>
      <c r="G35" s="122"/>
      <c r="H35" s="113" t="str">
        <f t="shared" si="1"/>
        <v>SITUS</v>
      </c>
      <c r="I35" s="113" t="s">
        <v>96</v>
      </c>
      <c r="J35"/>
    </row>
    <row r="36" spans="1:10">
      <c r="A36" s="114" t="str">
        <f t="shared" si="0"/>
        <v>1010000ELEC PLANT IN SERV3034900MISC - MISCELLANEOUSSITUS</v>
      </c>
      <c r="B36" s="119">
        <v>1010000</v>
      </c>
      <c r="C36" s="119" t="s">
        <v>1453</v>
      </c>
      <c r="D36" s="119">
        <v>3034900</v>
      </c>
      <c r="E36" s="278" t="s">
        <v>1508</v>
      </c>
      <c r="F36" s="119" t="s">
        <v>12</v>
      </c>
      <c r="G36" s="122"/>
      <c r="H36" s="113" t="str">
        <f t="shared" si="1"/>
        <v>SITUS</v>
      </c>
      <c r="I36" s="113" t="s">
        <v>96</v>
      </c>
      <c r="J36"/>
    </row>
    <row r="37" spans="1:10">
      <c r="A37" s="114" t="str">
        <f t="shared" si="0"/>
        <v>1010000ELEC PLANT IN SERV3034900MISC - MISCELLANEOUSSITUS</v>
      </c>
      <c r="B37" s="119">
        <v>1010000</v>
      </c>
      <c r="C37" s="119" t="s">
        <v>1453</v>
      </c>
      <c r="D37" s="119">
        <v>3034900</v>
      </c>
      <c r="E37" s="278" t="s">
        <v>1508</v>
      </c>
      <c r="F37" s="119" t="s">
        <v>12</v>
      </c>
      <c r="G37" s="122"/>
      <c r="H37" s="113" t="str">
        <f t="shared" si="1"/>
        <v>SITUS</v>
      </c>
      <c r="I37" s="113" t="s">
        <v>96</v>
      </c>
      <c r="J37"/>
    </row>
    <row r="38" spans="1:10">
      <c r="A38" s="114" t="str">
        <f t="shared" si="0"/>
        <v>1010000ELEC PLANT IN SERV3033330OR VHF (VPC) SPECTRUMSITUS</v>
      </c>
      <c r="B38" s="119">
        <v>1010000</v>
      </c>
      <c r="C38" s="119" t="s">
        <v>1453</v>
      </c>
      <c r="D38" s="119">
        <v>3033330</v>
      </c>
      <c r="E38" s="278" t="s">
        <v>1502</v>
      </c>
      <c r="F38" s="119" t="s">
        <v>12</v>
      </c>
      <c r="G38" s="122"/>
      <c r="H38" s="113" t="str">
        <f t="shared" si="1"/>
        <v>SITUS</v>
      </c>
      <c r="I38" s="113" t="s">
        <v>96</v>
      </c>
      <c r="J38"/>
    </row>
    <row r="39" spans="1:10">
      <c r="A39" s="114" t="str">
        <f t="shared" si="0"/>
        <v>1010000ELEC PLANT IN SERV3033120RANGER EMS/SCADA SYSTEMSITUS</v>
      </c>
      <c r="B39" s="119">
        <v>1010000</v>
      </c>
      <c r="C39" s="119" t="s">
        <v>1453</v>
      </c>
      <c r="D39" s="119">
        <v>3033120</v>
      </c>
      <c r="E39" s="278" t="s">
        <v>1492</v>
      </c>
      <c r="F39" s="119" t="s">
        <v>12</v>
      </c>
      <c r="G39" s="122"/>
      <c r="H39" s="113" t="str">
        <f t="shared" si="1"/>
        <v>SITUS</v>
      </c>
      <c r="I39" s="113" t="s">
        <v>96</v>
      </c>
      <c r="J39"/>
    </row>
    <row r="40" spans="1:10">
      <c r="A40" s="114" t="str">
        <f t="shared" si="0"/>
        <v>1010000ELEC PLANT IN SERV3033090STEAM PLANT INTANGIBLE ASSETSSITUS</v>
      </c>
      <c r="B40" s="119">
        <v>1010000</v>
      </c>
      <c r="C40" s="119" t="s">
        <v>1453</v>
      </c>
      <c r="D40" s="119">
        <v>3033090</v>
      </c>
      <c r="E40" s="278" t="s">
        <v>1491</v>
      </c>
      <c r="F40" s="119" t="s">
        <v>12</v>
      </c>
      <c r="G40" s="122"/>
      <c r="H40" s="113" t="str">
        <f t="shared" si="1"/>
        <v>SITUS</v>
      </c>
      <c r="I40" s="113" t="s">
        <v>68</v>
      </c>
      <c r="J40"/>
    </row>
    <row r="41" spans="1:10">
      <c r="A41" s="114" t="str">
        <f t="shared" si="0"/>
        <v>1010000ELEC PLANT IN SERV3031040TRANSMISSION INTANGIBLE ASSETSSITUS</v>
      </c>
      <c r="B41" s="119">
        <v>1010000</v>
      </c>
      <c r="C41" s="119" t="s">
        <v>1453</v>
      </c>
      <c r="D41" s="119">
        <v>3031040</v>
      </c>
      <c r="E41" s="278" t="s">
        <v>1456</v>
      </c>
      <c r="F41" s="119" t="s">
        <v>12</v>
      </c>
      <c r="G41" s="122"/>
      <c r="H41" s="113" t="str">
        <f t="shared" si="1"/>
        <v>SITUS</v>
      </c>
      <c r="I41" s="113" t="s">
        <v>69</v>
      </c>
      <c r="J41"/>
    </row>
    <row r="42" spans="1:10">
      <c r="A42" s="114" t="str">
        <f t="shared" si="0"/>
        <v>1010000ELEC PLANT IN SERV3032930UTAH VHF (VPC) SPECTRUMSITUS</v>
      </c>
      <c r="B42" s="119">
        <v>1010000</v>
      </c>
      <c r="C42" s="119" t="s">
        <v>1453</v>
      </c>
      <c r="D42" s="119">
        <v>3032930</v>
      </c>
      <c r="E42" s="278" t="s">
        <v>1489</v>
      </c>
      <c r="F42" s="119" t="s">
        <v>12</v>
      </c>
      <c r="G42" s="122"/>
      <c r="H42" s="113" t="str">
        <f t="shared" si="1"/>
        <v>SITUS</v>
      </c>
      <c r="I42" s="113" t="s">
        <v>96</v>
      </c>
      <c r="J42"/>
    </row>
    <row r="43" spans="1:10">
      <c r="A43" s="114" t="str">
        <f t="shared" si="0"/>
        <v>1010000ELEC PLANT IN SERV3033340WA VHF (VPC) SPECTRUMSITUS</v>
      </c>
      <c r="B43" s="119">
        <v>1010000</v>
      </c>
      <c r="C43" s="119" t="s">
        <v>1453</v>
      </c>
      <c r="D43" s="119">
        <v>3033340</v>
      </c>
      <c r="E43" s="278" t="s">
        <v>1503</v>
      </c>
      <c r="F43" s="119" t="s">
        <v>12</v>
      </c>
      <c r="G43" s="122"/>
      <c r="H43" s="113" t="str">
        <f t="shared" si="1"/>
        <v>SITUS</v>
      </c>
      <c r="I43" s="113" t="s">
        <v>96</v>
      </c>
      <c r="J43"/>
    </row>
    <row r="44" spans="1:10">
      <c r="A44" s="114" t="str">
        <f t="shared" si="0"/>
        <v>1010000ELEC PLANT IN SERV3032910WYOMING VHF (VPC) SPECTRUMSITUS</v>
      </c>
      <c r="B44" s="119">
        <v>1010000</v>
      </c>
      <c r="C44" s="119" t="s">
        <v>1453</v>
      </c>
      <c r="D44" s="119">
        <v>3032910</v>
      </c>
      <c r="E44" s="278" t="s">
        <v>1487</v>
      </c>
      <c r="F44" s="119" t="s">
        <v>12</v>
      </c>
      <c r="G44" s="122"/>
      <c r="H44" s="113" t="str">
        <f t="shared" si="1"/>
        <v>SITUS</v>
      </c>
      <c r="I44" s="113" t="s">
        <v>96</v>
      </c>
      <c r="J44"/>
    </row>
    <row r="45" spans="1:10">
      <c r="A45" s="114" t="str">
        <f t="shared" si="0"/>
        <v>1010000ELEC PLANT IN SERV30323602002 GRID NET POWER COST MODELINGSO</v>
      </c>
      <c r="B45" s="119">
        <v>1010000</v>
      </c>
      <c r="C45" s="119" t="s">
        <v>1453</v>
      </c>
      <c r="D45" s="119">
        <v>3032360</v>
      </c>
      <c r="E45" s="278" t="s">
        <v>1469</v>
      </c>
      <c r="F45" s="119" t="s">
        <v>89</v>
      </c>
      <c r="G45" s="122"/>
      <c r="H45" s="113" t="str">
        <f t="shared" si="1"/>
        <v>SO</v>
      </c>
      <c r="I45" s="113" t="s">
        <v>92</v>
      </c>
      <c r="J45"/>
    </row>
    <row r="46" spans="1:10">
      <c r="A46" s="114" t="str">
        <f t="shared" si="0"/>
        <v>1010000ELEC PLANT IN SERV3033210ArcFM SoftwareSO</v>
      </c>
      <c r="B46" s="119">
        <v>1010000</v>
      </c>
      <c r="C46" s="119" t="s">
        <v>1453</v>
      </c>
      <c r="D46" s="119">
        <v>3033210</v>
      </c>
      <c r="E46" s="278" t="s">
        <v>1495</v>
      </c>
      <c r="F46" s="119" t="s">
        <v>89</v>
      </c>
      <c r="G46" s="122"/>
      <c r="H46" s="113" t="str">
        <f t="shared" si="1"/>
        <v>SO</v>
      </c>
      <c r="I46" s="113" t="s">
        <v>70</v>
      </c>
      <c r="J46"/>
    </row>
    <row r="47" spans="1:10">
      <c r="A47" s="114" t="str">
        <f t="shared" si="0"/>
        <v>1010000ELEC PLANT IN SERV3031230AUTOMATE POLE CARD SYSTEMSO</v>
      </c>
      <c r="B47" s="119">
        <v>1010000</v>
      </c>
      <c r="C47" s="119" t="s">
        <v>1453</v>
      </c>
      <c r="D47" s="119">
        <v>3031230</v>
      </c>
      <c r="E47" s="278" t="s">
        <v>1459</v>
      </c>
      <c r="F47" s="119" t="s">
        <v>89</v>
      </c>
      <c r="G47" s="122"/>
      <c r="H47" s="113" t="str">
        <f t="shared" si="1"/>
        <v>SO</v>
      </c>
      <c r="I47" s="113" t="s">
        <v>92</v>
      </c>
      <c r="J47"/>
    </row>
    <row r="48" spans="1:10">
      <c r="A48" s="114" t="str">
        <f t="shared" si="0"/>
        <v>1010000ELEC PLANT IN SERV3033310C&amp;T - Energy Trading SystemSO</v>
      </c>
      <c r="B48" s="119">
        <v>1010000</v>
      </c>
      <c r="C48" s="119" t="s">
        <v>1453</v>
      </c>
      <c r="D48" s="119">
        <v>3033310</v>
      </c>
      <c r="E48" s="278" t="s">
        <v>1500</v>
      </c>
      <c r="F48" s="119" t="s">
        <v>89</v>
      </c>
      <c r="G48" s="122"/>
      <c r="H48" s="113" t="str">
        <f t="shared" si="1"/>
        <v>SO</v>
      </c>
      <c r="I48" s="113" t="s">
        <v>68</v>
      </c>
      <c r="J48"/>
    </row>
    <row r="49" spans="1:10">
      <c r="A49" s="114" t="str">
        <f t="shared" si="0"/>
        <v>1010000ELEC PLANT IN SERV3032670C&amp;T OFFICIAL RECORD INFO SYSTEMSO</v>
      </c>
      <c r="B49" s="119">
        <v>1010000</v>
      </c>
      <c r="C49" s="119" t="s">
        <v>1453</v>
      </c>
      <c r="D49" s="119">
        <v>3032670</v>
      </c>
      <c r="E49" s="278" t="s">
        <v>1477</v>
      </c>
      <c r="F49" s="119" t="s">
        <v>89</v>
      </c>
      <c r="G49" s="122"/>
      <c r="H49" s="113" t="str">
        <f t="shared" si="1"/>
        <v>SO</v>
      </c>
      <c r="I49" s="113" t="s">
        <v>68</v>
      </c>
      <c r="J49"/>
    </row>
    <row r="50" spans="1:10">
      <c r="A50" s="114" t="str">
        <f t="shared" si="0"/>
        <v>1010000ELEC PLANT IN SERV3031680DISTRIBUTION AUTOMATION PILOT PROJECTSO</v>
      </c>
      <c r="B50" s="119">
        <v>1010000</v>
      </c>
      <c r="C50" s="119" t="s">
        <v>1453</v>
      </c>
      <c r="D50" s="119">
        <v>3031680</v>
      </c>
      <c r="E50" s="278" t="s">
        <v>1460</v>
      </c>
      <c r="F50" s="119" t="s">
        <v>89</v>
      </c>
      <c r="G50" s="122"/>
      <c r="H50" s="113" t="str">
        <f t="shared" si="1"/>
        <v>SO</v>
      </c>
      <c r="I50" s="113" t="s">
        <v>70</v>
      </c>
      <c r="J50"/>
    </row>
    <row r="51" spans="1:10">
      <c r="A51" s="114" t="str">
        <f t="shared" si="0"/>
        <v>1010000ELEC PLANT IN SERV3032260DWHS - DATA WAREHOUSESO</v>
      </c>
      <c r="B51" s="119">
        <v>1010000</v>
      </c>
      <c r="C51" s="119" t="s">
        <v>1453</v>
      </c>
      <c r="D51" s="119">
        <v>3032260</v>
      </c>
      <c r="E51" s="278" t="s">
        <v>1465</v>
      </c>
      <c r="F51" s="119" t="s">
        <v>89</v>
      </c>
      <c r="G51" s="122"/>
      <c r="H51" s="113" t="str">
        <f t="shared" si="1"/>
        <v>SO</v>
      </c>
      <c r="I51" s="113" t="s">
        <v>92</v>
      </c>
      <c r="J51"/>
    </row>
    <row r="52" spans="1:10">
      <c r="A52" s="114" t="str">
        <f t="shared" si="0"/>
        <v>1010000ELEC PLANT IN SERV3032270ENTERPRISE DATA WAREHOUSESO</v>
      </c>
      <c r="B52" s="119">
        <v>1010000</v>
      </c>
      <c r="C52" s="119" t="s">
        <v>1453</v>
      </c>
      <c r="D52" s="119">
        <v>3032270</v>
      </c>
      <c r="E52" s="278" t="s">
        <v>1466</v>
      </c>
      <c r="F52" s="119" t="s">
        <v>89</v>
      </c>
      <c r="G52" s="122"/>
      <c r="H52" s="113" t="str">
        <f t="shared" si="1"/>
        <v>SO</v>
      </c>
      <c r="I52" s="113" t="s">
        <v>92</v>
      </c>
      <c r="J52"/>
    </row>
    <row r="53" spans="1:10">
      <c r="A53" s="114" t="str">
        <f t="shared" si="0"/>
        <v>1010000ELEC PLANT IN SERV3032220ENTERPRISE DATA WRHSE - BI RPTG TOOLSO</v>
      </c>
      <c r="B53" s="119">
        <v>1010000</v>
      </c>
      <c r="C53" s="119" t="s">
        <v>1453</v>
      </c>
      <c r="D53" s="119">
        <v>3032220</v>
      </c>
      <c r="E53" s="278" t="s">
        <v>1464</v>
      </c>
      <c r="F53" s="119" t="s">
        <v>89</v>
      </c>
      <c r="G53" s="122"/>
      <c r="H53" s="113" t="str">
        <f t="shared" si="1"/>
        <v>SO</v>
      </c>
      <c r="I53" s="113" t="s">
        <v>92</v>
      </c>
      <c r="J53"/>
    </row>
    <row r="54" spans="1:10">
      <c r="A54" s="114" t="str">
        <f t="shared" si="0"/>
        <v>1010000ELEC PLANT IN SERV3032340FACILITY INSPECTION REPORTING SYSTEMSO</v>
      </c>
      <c r="B54" s="119">
        <v>1010000</v>
      </c>
      <c r="C54" s="119" t="s">
        <v>1453</v>
      </c>
      <c r="D54" s="119">
        <v>3032340</v>
      </c>
      <c r="E54" s="278" t="s">
        <v>1468</v>
      </c>
      <c r="F54" s="119" t="s">
        <v>89</v>
      </c>
      <c r="G54" s="122"/>
      <c r="H54" s="113" t="str">
        <f t="shared" si="1"/>
        <v>SO</v>
      </c>
      <c r="I54" s="113" t="s">
        <v>92</v>
      </c>
      <c r="J54"/>
    </row>
    <row r="55" spans="1:10">
      <c r="A55" s="114" t="str">
        <f t="shared" si="0"/>
        <v>1010000ELEC PLANT IN SERV3032330FIELDNET PRO METER READING SYST -HRP REPSO</v>
      </c>
      <c r="B55" s="119">
        <v>1010000</v>
      </c>
      <c r="C55" s="119" t="s">
        <v>1453</v>
      </c>
      <c r="D55" s="119">
        <v>3032330</v>
      </c>
      <c r="E55" s="278" t="s">
        <v>1467</v>
      </c>
      <c r="F55" s="119" t="s">
        <v>89</v>
      </c>
      <c r="G55" s="122"/>
      <c r="H55" s="113" t="str">
        <f t="shared" si="1"/>
        <v>SO</v>
      </c>
      <c r="I55" s="113" t="s">
        <v>73</v>
      </c>
      <c r="J55"/>
    </row>
    <row r="56" spans="1:10">
      <c r="A56" s="114" t="str">
        <f t="shared" si="0"/>
        <v>1010000ELEC PLANT IN SERV3031080FUEL MANAGEMENT SYSTEMSO</v>
      </c>
      <c r="B56" s="119">
        <v>1010000</v>
      </c>
      <c r="C56" s="119" t="s">
        <v>1453</v>
      </c>
      <c r="D56" s="119">
        <v>3031080</v>
      </c>
      <c r="E56" s="278" t="s">
        <v>1458</v>
      </c>
      <c r="F56" s="119" t="s">
        <v>89</v>
      </c>
      <c r="G56" s="122"/>
      <c r="H56" s="113" t="str">
        <f t="shared" si="1"/>
        <v>SO</v>
      </c>
      <c r="I56" s="113" t="s">
        <v>92</v>
      </c>
      <c r="J56"/>
    </row>
    <row r="57" spans="1:10">
      <c r="A57" s="114" t="str">
        <f t="shared" si="0"/>
        <v>1010000ELEC PLANT IN SERV3032450MID OFFICE IMPROVEMENT PROJECTSO</v>
      </c>
      <c r="B57" s="119">
        <v>1010000</v>
      </c>
      <c r="C57" s="119" t="s">
        <v>1453</v>
      </c>
      <c r="D57" s="119">
        <v>3032450</v>
      </c>
      <c r="E57" s="278" t="s">
        <v>1470</v>
      </c>
      <c r="F57" s="119" t="s">
        <v>89</v>
      </c>
      <c r="G57" s="122"/>
      <c r="H57" s="113" t="str">
        <f t="shared" si="1"/>
        <v>SO</v>
      </c>
      <c r="I57" s="113" t="s">
        <v>68</v>
      </c>
      <c r="J57"/>
    </row>
    <row r="58" spans="1:10">
      <c r="A58" s="114" t="str">
        <f t="shared" si="0"/>
        <v>1010000ELEC PLANT IN SERV3034900MISC - MISCELLANEOUSSO</v>
      </c>
      <c r="B58" s="119">
        <v>1010000</v>
      </c>
      <c r="C58" s="119" t="s">
        <v>1453</v>
      </c>
      <c r="D58" s="119">
        <v>3034900</v>
      </c>
      <c r="E58" s="278" t="s">
        <v>1508</v>
      </c>
      <c r="F58" s="119" t="s">
        <v>89</v>
      </c>
      <c r="G58" s="122"/>
      <c r="H58" s="113" t="str">
        <f t="shared" si="1"/>
        <v>SO</v>
      </c>
      <c r="I58" s="113" t="s">
        <v>92</v>
      </c>
      <c r="J58"/>
    </row>
    <row r="59" spans="1:10">
      <c r="A59" s="114" t="str">
        <f t="shared" si="0"/>
        <v>1010000ELEC PLANT IN SERV3033220MONARCH EMS/SCADASO</v>
      </c>
      <c r="B59" s="119">
        <v>1010000</v>
      </c>
      <c r="C59" s="119" t="s">
        <v>1453</v>
      </c>
      <c r="D59" s="119">
        <v>3033220</v>
      </c>
      <c r="E59" s="278" t="s">
        <v>1496</v>
      </c>
      <c r="F59" s="119" t="s">
        <v>89</v>
      </c>
      <c r="G59" s="122"/>
      <c r="H59" s="113" t="str">
        <f t="shared" si="1"/>
        <v>SO</v>
      </c>
      <c r="I59" s="113" t="s">
        <v>96</v>
      </c>
      <c r="J59"/>
    </row>
    <row r="60" spans="1:10">
      <c r="A60" s="114" t="str">
        <f t="shared" si="0"/>
        <v>1010000ELEC PLANT IN SERV3035330OATI-OASIS INTERFACESO</v>
      </c>
      <c r="B60" s="119">
        <v>1010000</v>
      </c>
      <c r="C60" s="119" t="s">
        <v>1453</v>
      </c>
      <c r="D60" s="119">
        <v>3035330</v>
      </c>
      <c r="E60" s="278" t="s">
        <v>1511</v>
      </c>
      <c r="F60" s="119" t="s">
        <v>89</v>
      </c>
      <c r="G60" s="122"/>
      <c r="H60" s="113" t="str">
        <f t="shared" si="1"/>
        <v>SO</v>
      </c>
      <c r="I60" s="113" t="s">
        <v>69</v>
      </c>
      <c r="J60"/>
    </row>
    <row r="61" spans="1:10">
      <c r="A61" s="114" t="str">
        <f t="shared" si="0"/>
        <v>1010000ELEC PLANT IN SERV3032510OPERATIONS MAPPING SYSTEMSO</v>
      </c>
      <c r="B61" s="119">
        <v>1010000</v>
      </c>
      <c r="C61" s="119" t="s">
        <v>1453</v>
      </c>
      <c r="D61" s="119">
        <v>3032510</v>
      </c>
      <c r="E61" s="278" t="s">
        <v>1472</v>
      </c>
      <c r="F61" s="119" t="s">
        <v>89</v>
      </c>
      <c r="G61" s="122"/>
      <c r="H61" s="113" t="str">
        <f t="shared" si="1"/>
        <v>SO</v>
      </c>
      <c r="I61" s="113" t="s">
        <v>96</v>
      </c>
      <c r="J61"/>
    </row>
    <row r="62" spans="1:10">
      <c r="A62" s="114" t="str">
        <f t="shared" si="0"/>
        <v>1010000ELEC PLANT IN SERV3032990P8DM - FILENET P8SO</v>
      </c>
      <c r="B62" s="119">
        <v>1010000</v>
      </c>
      <c r="C62" s="119" t="s">
        <v>1453</v>
      </c>
      <c r="D62" s="119">
        <v>3032990</v>
      </c>
      <c r="E62" s="278" t="s">
        <v>1490</v>
      </c>
      <c r="F62" s="119" t="s">
        <v>89</v>
      </c>
      <c r="G62" s="122"/>
      <c r="H62" s="113" t="str">
        <f t="shared" si="1"/>
        <v>SO</v>
      </c>
      <c r="I62" s="113" t="s">
        <v>92</v>
      </c>
      <c r="J62"/>
    </row>
    <row r="63" spans="1:10">
      <c r="A63" s="114" t="str">
        <f t="shared" si="0"/>
        <v>1010000ELEC PLANT IN SERV3032530POLE ATTACHMENT MGMT SYSTEMSO</v>
      </c>
      <c r="B63" s="119">
        <v>1010000</v>
      </c>
      <c r="C63" s="119" t="s">
        <v>1453</v>
      </c>
      <c r="D63" s="119">
        <v>3032530</v>
      </c>
      <c r="E63" s="278" t="s">
        <v>1473</v>
      </c>
      <c r="F63" s="119" t="s">
        <v>89</v>
      </c>
      <c r="G63" s="122"/>
      <c r="H63" s="113" t="str">
        <f t="shared" si="1"/>
        <v>SO</v>
      </c>
      <c r="I63" s="113" t="s">
        <v>70</v>
      </c>
      <c r="J63"/>
    </row>
    <row r="64" spans="1:10">
      <c r="A64" s="114" t="str">
        <f t="shared" si="0"/>
        <v>1010000ELEC PLANT IN SERV3033120RANGER EMS/SCADA SYSTEMSO</v>
      </c>
      <c r="B64" s="119">
        <v>1010000</v>
      </c>
      <c r="C64" s="119" t="s">
        <v>1453</v>
      </c>
      <c r="D64" s="119">
        <v>3033120</v>
      </c>
      <c r="E64" s="278" t="s">
        <v>1492</v>
      </c>
      <c r="F64" s="119" t="s">
        <v>89</v>
      </c>
      <c r="G64" s="122"/>
      <c r="H64" s="113" t="str">
        <f t="shared" si="1"/>
        <v>SO</v>
      </c>
      <c r="I64" s="113" t="s">
        <v>96</v>
      </c>
      <c r="J64"/>
    </row>
    <row r="65" spans="1:10">
      <c r="A65" s="114" t="str">
        <f t="shared" si="0"/>
        <v>1010000ELEC PLANT IN SERV3031050RCMS - REGION CONSTRUCTION MGMT SYSTEMSO</v>
      </c>
      <c r="B65" s="119">
        <v>1010000</v>
      </c>
      <c r="C65" s="119" t="s">
        <v>1453</v>
      </c>
      <c r="D65" s="119">
        <v>3031050</v>
      </c>
      <c r="E65" s="278" t="s">
        <v>1457</v>
      </c>
      <c r="F65" s="119" t="s">
        <v>89</v>
      </c>
      <c r="G65" s="122"/>
      <c r="H65" s="113" t="str">
        <f t="shared" si="1"/>
        <v>SO</v>
      </c>
      <c r="I65" s="113" t="s">
        <v>92</v>
      </c>
      <c r="J65"/>
    </row>
    <row r="66" spans="1:10">
      <c r="A66" s="114" t="str">
        <f t="shared" si="0"/>
        <v>1010000ELEC PLANT IN SERV3031760RECORD CENTER MANAGEMENT SOFTWARESO</v>
      </c>
      <c r="B66" s="119">
        <v>1010000</v>
      </c>
      <c r="C66" s="119" t="s">
        <v>1453</v>
      </c>
      <c r="D66" s="119">
        <v>3031760</v>
      </c>
      <c r="E66" s="278" t="s">
        <v>1461</v>
      </c>
      <c r="F66" s="119" t="s">
        <v>89</v>
      </c>
      <c r="G66" s="122"/>
      <c r="H66" s="113" t="str">
        <f t="shared" si="1"/>
        <v>SO</v>
      </c>
      <c r="I66" s="113" t="s">
        <v>92</v>
      </c>
      <c r="J66"/>
    </row>
    <row r="67" spans="1:10">
      <c r="A67" s="114" t="str">
        <f t="shared" ref="A67:A116" si="2">CONCATENATE($B67,$C67,$D67,$E67,$H67)</f>
        <v>1010000ELEC PLANT IN SERV3033390RMT TRADE SYSTEMSO</v>
      </c>
      <c r="B67" s="119">
        <v>1010000</v>
      </c>
      <c r="C67" s="119" t="s">
        <v>1453</v>
      </c>
      <c r="D67" s="119">
        <v>3033390</v>
      </c>
      <c r="E67" s="278" t="s">
        <v>1507</v>
      </c>
      <c r="F67" s="119" t="s">
        <v>89</v>
      </c>
      <c r="G67" s="122"/>
      <c r="H67" s="113" t="str">
        <f t="shared" ref="H67:H116" si="3">IF(OR(F67="IDU",F67="OR",F67="UT",F67="WYU",F67="WYP",F67="CA",F67="WA"),"SITUS",F67)</f>
        <v>SO</v>
      </c>
      <c r="I67" s="113" t="s">
        <v>92</v>
      </c>
      <c r="J67"/>
    </row>
    <row r="68" spans="1:10">
      <c r="A68" s="114" t="str">
        <f t="shared" si="2"/>
        <v>1010000ELEC PLANT IN SERV3032040S A PSO</v>
      </c>
      <c r="B68" s="119">
        <v>1010000</v>
      </c>
      <c r="C68" s="119" t="s">
        <v>1453</v>
      </c>
      <c r="D68" s="119">
        <v>3032040</v>
      </c>
      <c r="E68" s="278" t="s">
        <v>1463</v>
      </c>
      <c r="F68" s="119" t="s">
        <v>89</v>
      </c>
      <c r="G68" s="122"/>
      <c r="H68" s="113" t="str">
        <f t="shared" si="3"/>
        <v>SO</v>
      </c>
      <c r="I68" s="113" t="s">
        <v>92</v>
      </c>
      <c r="J68"/>
    </row>
    <row r="69" spans="1:10">
      <c r="A69" s="114" t="str">
        <f t="shared" si="2"/>
        <v>1010000ELEC PLANT IN SERV3032600SINGLE PERSON SCHEDULINGSO</v>
      </c>
      <c r="B69" s="119">
        <v>1010000</v>
      </c>
      <c r="C69" s="119" t="s">
        <v>1453</v>
      </c>
      <c r="D69" s="119">
        <v>3032600</v>
      </c>
      <c r="E69" s="278" t="s">
        <v>1475</v>
      </c>
      <c r="F69" s="119" t="s">
        <v>89</v>
      </c>
      <c r="G69" s="122"/>
      <c r="H69" s="113" t="str">
        <f t="shared" si="3"/>
        <v>SO</v>
      </c>
      <c r="I69" s="113" t="s">
        <v>70</v>
      </c>
      <c r="J69"/>
    </row>
    <row r="70" spans="1:10">
      <c r="A70" s="114" t="str">
        <f t="shared" si="2"/>
        <v>1010000ELEC PLANT IN SERV3032590SUBSTATION/CIRCUIT HISTORY OF OPERATIONSSO</v>
      </c>
      <c r="B70" s="119">
        <v>1010000</v>
      </c>
      <c r="C70" s="119" t="s">
        <v>1453</v>
      </c>
      <c r="D70" s="119">
        <v>3032590</v>
      </c>
      <c r="E70" s="278" t="s">
        <v>1474</v>
      </c>
      <c r="F70" s="119" t="s">
        <v>89</v>
      </c>
      <c r="G70" s="122"/>
      <c r="H70" s="113" t="str">
        <f t="shared" si="3"/>
        <v>SO</v>
      </c>
      <c r="I70" s="113" t="s">
        <v>96</v>
      </c>
      <c r="J70"/>
    </row>
    <row r="71" spans="1:10">
      <c r="A71" s="114" t="str">
        <f t="shared" si="2"/>
        <v>1010000ELEC PLANT IN SERV3032640TIBCO SOFTWARESO</v>
      </c>
      <c r="B71" s="119">
        <v>1010000</v>
      </c>
      <c r="C71" s="119" t="s">
        <v>1453</v>
      </c>
      <c r="D71" s="119">
        <v>3032640</v>
      </c>
      <c r="E71" s="278" t="s">
        <v>1476</v>
      </c>
      <c r="F71" s="119" t="s">
        <v>89</v>
      </c>
      <c r="G71" s="122"/>
      <c r="H71" s="113" t="str">
        <f t="shared" si="3"/>
        <v>SO</v>
      </c>
      <c r="I71" s="113" t="s">
        <v>92</v>
      </c>
      <c r="J71"/>
    </row>
    <row r="72" spans="1:10">
      <c r="A72" s="114" t="str">
        <f t="shared" si="2"/>
        <v>1010000ELEC PLANT IN SERV3032690UTILITY INTERNATIONAL FORECASTING MODELSO</v>
      </c>
      <c r="B72" s="119">
        <v>1010000</v>
      </c>
      <c r="C72" s="119" t="s">
        <v>1453</v>
      </c>
      <c r="D72" s="119">
        <v>3032690</v>
      </c>
      <c r="E72" s="278" t="s">
        <v>1479</v>
      </c>
      <c r="F72" s="119" t="s">
        <v>89</v>
      </c>
      <c r="G72" s="122"/>
      <c r="H72" s="113" t="str">
        <f t="shared" si="3"/>
        <v>SO</v>
      </c>
      <c r="I72" s="113" t="s">
        <v>92</v>
      </c>
      <c r="J72"/>
    </row>
    <row r="73" spans="1:10">
      <c r="A73" s="114" t="str">
        <f t="shared" si="2"/>
        <v>1010000ELEC PLANT IN SERV3032830VCPRO - XEROX CUST STMT FRMTR ENHANCE -SO</v>
      </c>
      <c r="B73" s="119">
        <v>1010000</v>
      </c>
      <c r="C73" s="119" t="s">
        <v>1453</v>
      </c>
      <c r="D73" s="119">
        <v>3032830</v>
      </c>
      <c r="E73" s="278" t="s">
        <v>1484</v>
      </c>
      <c r="F73" s="119" t="s">
        <v>89</v>
      </c>
      <c r="G73" s="122"/>
      <c r="H73" s="113" t="str">
        <f t="shared" si="3"/>
        <v>SO</v>
      </c>
      <c r="I73" s="113" t="s">
        <v>73</v>
      </c>
      <c r="J73"/>
    </row>
    <row r="74" spans="1:10">
      <c r="A74" s="114" t="str">
        <f t="shared" si="2"/>
        <v>1010000ELEC PLANT IN SERV3033230VREALIZE VMWARE - SHAREDSO</v>
      </c>
      <c r="B74" s="119">
        <v>1010000</v>
      </c>
      <c r="C74" s="119" t="s">
        <v>1453</v>
      </c>
      <c r="D74" s="119">
        <v>3033230</v>
      </c>
      <c r="E74" s="278" t="s">
        <v>1497</v>
      </c>
      <c r="F74" s="119" t="s">
        <v>89</v>
      </c>
      <c r="G74" s="122"/>
      <c r="H74" s="113" t="str">
        <f t="shared" si="3"/>
        <v>SO</v>
      </c>
      <c r="I74" s="113" t="s">
        <v>92</v>
      </c>
      <c r="J74"/>
    </row>
    <row r="75" spans="1:10">
      <c r="A75" s="114" t="str">
        <f t="shared" si="2"/>
        <v>1010000ELEC PLANT IN SERV3032860WEB SOFTWARESO</v>
      </c>
      <c r="B75" s="119">
        <v>1010000</v>
      </c>
      <c r="C75" s="119" t="s">
        <v>1453</v>
      </c>
      <c r="D75" s="119">
        <v>3032860</v>
      </c>
      <c r="E75" s="278" t="s">
        <v>1485</v>
      </c>
      <c r="F75" s="119" t="s">
        <v>89</v>
      </c>
      <c r="G75" s="122"/>
      <c r="H75" s="113" t="str">
        <f t="shared" si="3"/>
        <v>SO</v>
      </c>
      <c r="I75" s="113" t="s">
        <v>73</v>
      </c>
      <c r="J75"/>
    </row>
    <row r="76" spans="1:10">
      <c r="A76" s="114" t="str">
        <f t="shared" si="2"/>
        <v>1010000ELEC PLANT IN SERV3033260Big Data &amp; AnalyticsSO</v>
      </c>
      <c r="B76" s="126">
        <v>1010000</v>
      </c>
      <c r="C76" s="127" t="s">
        <v>1453</v>
      </c>
      <c r="D76" s="126">
        <v>3033260</v>
      </c>
      <c r="E76" s="279" t="s">
        <v>1761</v>
      </c>
      <c r="F76" s="127" t="s">
        <v>89</v>
      </c>
      <c r="G76" s="129"/>
      <c r="H76" s="113" t="str">
        <f t="shared" si="3"/>
        <v>SO</v>
      </c>
      <c r="I76" s="117" t="s">
        <v>73</v>
      </c>
      <c r="J76"/>
    </row>
    <row r="77" spans="1:10">
      <c r="A77" s="114" t="str">
        <f t="shared" si="2"/>
        <v>1010000ELEC PLANT IN SERV3032130PROD &amp; TRANS PLANTSG</v>
      </c>
      <c r="B77" s="119" t="s">
        <v>1809</v>
      </c>
      <c r="C77" s="119" t="s">
        <v>1453</v>
      </c>
      <c r="D77" s="119" t="s">
        <v>1971</v>
      </c>
      <c r="E77" s="278" t="s">
        <v>1972</v>
      </c>
      <c r="F77" s="119" t="s">
        <v>87</v>
      </c>
      <c r="G77" s="124"/>
      <c r="H77" s="113" t="str">
        <f t="shared" si="3"/>
        <v>SG</v>
      </c>
      <c r="I77" s="117" t="s">
        <v>68</v>
      </c>
      <c r="J77"/>
    </row>
    <row r="78" spans="1:10">
      <c r="A78" s="114" t="str">
        <f t="shared" si="2"/>
        <v>1010000ELEC PLANT IN SERV3032140MINING PLANTSO</v>
      </c>
      <c r="B78" s="119" t="s">
        <v>1809</v>
      </c>
      <c r="C78" s="119" t="s">
        <v>1453</v>
      </c>
      <c r="D78" s="119" t="s">
        <v>1973</v>
      </c>
      <c r="E78" s="278" t="s">
        <v>1974</v>
      </c>
      <c r="F78" s="119" t="s">
        <v>89</v>
      </c>
      <c r="H78" s="113" t="str">
        <f t="shared" si="3"/>
        <v>SO</v>
      </c>
      <c r="I78" s="117" t="s">
        <v>68</v>
      </c>
    </row>
    <row r="79" spans="1:10">
      <c r="A79" s="114" t="str">
        <f t="shared" si="2"/>
        <v>1010000ELEC PLANT IN SERV3032150HYDRO PLANTSO</v>
      </c>
      <c r="B79" s="119" t="s">
        <v>1809</v>
      </c>
      <c r="C79" s="119" t="s">
        <v>1453</v>
      </c>
      <c r="D79" s="119" t="s">
        <v>1975</v>
      </c>
      <c r="E79" s="278" t="s">
        <v>1976</v>
      </c>
      <c r="F79" s="119" t="s">
        <v>89</v>
      </c>
      <c r="H79" s="113" t="str">
        <f t="shared" si="3"/>
        <v>SO</v>
      </c>
      <c r="I79" s="117" t="s">
        <v>68</v>
      </c>
    </row>
    <row r="80" spans="1:10">
      <c r="A80" s="114" t="str">
        <f t="shared" si="2"/>
        <v>1010000ELEC PLANT IN SERV3032160ENGINEERING SMALL SOFTWARESO</v>
      </c>
      <c r="B80" s="119" t="s">
        <v>1809</v>
      </c>
      <c r="C80" s="119" t="s">
        <v>1453</v>
      </c>
      <c r="D80" s="119" t="s">
        <v>1977</v>
      </c>
      <c r="E80" s="278" t="s">
        <v>1978</v>
      </c>
      <c r="F80" s="119" t="s">
        <v>89</v>
      </c>
      <c r="H80" s="113" t="str">
        <f t="shared" si="3"/>
        <v>SO</v>
      </c>
      <c r="I80" s="117" t="s">
        <v>92</v>
      </c>
    </row>
    <row r="81" spans="1:9">
      <c r="A81" s="114" t="str">
        <f t="shared" si="2"/>
        <v>1010000ELEC PLANT IN SERV3032170EDMS SOFTWARE ACCT 141140SO</v>
      </c>
      <c r="B81" s="119" t="s">
        <v>1809</v>
      </c>
      <c r="C81" s="119" t="s">
        <v>1453</v>
      </c>
      <c r="D81" s="119" t="s">
        <v>1979</v>
      </c>
      <c r="E81" s="278" t="s">
        <v>1980</v>
      </c>
      <c r="F81" s="119" t="s">
        <v>89</v>
      </c>
      <c r="H81" s="113" t="str">
        <f t="shared" si="3"/>
        <v>SO</v>
      </c>
      <c r="I81" s="117" t="s">
        <v>92</v>
      </c>
    </row>
    <row r="82" spans="1:9">
      <c r="A82" s="114" t="str">
        <f t="shared" si="2"/>
        <v>1010000ELEC PLANT IN SERV3032180AUTOMATED MAPPING PROJECTSO</v>
      </c>
      <c r="B82" s="119" t="s">
        <v>1809</v>
      </c>
      <c r="C82" s="119" t="s">
        <v>1453</v>
      </c>
      <c r="D82" s="119" t="s">
        <v>1981</v>
      </c>
      <c r="E82" s="278" t="s">
        <v>1982</v>
      </c>
      <c r="F82" s="119" t="s">
        <v>89</v>
      </c>
      <c r="H82" s="113" t="str">
        <f t="shared" si="3"/>
        <v>SO</v>
      </c>
      <c r="I82" s="117" t="s">
        <v>92</v>
      </c>
    </row>
    <row r="83" spans="1:9">
      <c r="A83" s="114" t="str">
        <f t="shared" si="2"/>
        <v>1010000ELEC PLANT IN SERV3032190PCI GenTraderSO</v>
      </c>
      <c r="B83" s="119" t="s">
        <v>1809</v>
      </c>
      <c r="C83" s="119" t="s">
        <v>1453</v>
      </c>
      <c r="D83" s="119" t="s">
        <v>1983</v>
      </c>
      <c r="E83" s="278" t="s">
        <v>1984</v>
      </c>
      <c r="F83" s="119" t="s">
        <v>89</v>
      </c>
      <c r="H83" s="113" t="str">
        <f t="shared" si="3"/>
        <v>SO</v>
      </c>
      <c r="I83" s="117" t="s">
        <v>68</v>
      </c>
    </row>
    <row r="84" spans="1:9">
      <c r="A84" s="114" t="str">
        <f t="shared" si="2"/>
        <v>1010000ELEC PLANT IN SERV3032200OUTAGE MANAGEMENT SYSTEMSO</v>
      </c>
      <c r="B84" s="119" t="s">
        <v>1809</v>
      </c>
      <c r="C84" s="119" t="s">
        <v>1453</v>
      </c>
      <c r="D84" s="119" t="s">
        <v>1985</v>
      </c>
      <c r="E84" s="278" t="s">
        <v>1986</v>
      </c>
      <c r="F84" s="119" t="s">
        <v>89</v>
      </c>
      <c r="H84" s="113" t="str">
        <f t="shared" si="3"/>
        <v>SO</v>
      </c>
      <c r="I84" s="117" t="s">
        <v>96</v>
      </c>
    </row>
    <row r="85" spans="1:9">
      <c r="A85" s="114" t="str">
        <f t="shared" si="2"/>
        <v>1010000ELEC PLANT IN SERV3033270CES - Customer Experience SystemCN</v>
      </c>
      <c r="B85" s="119" t="s">
        <v>1809</v>
      </c>
      <c r="C85" s="119" t="s">
        <v>1453</v>
      </c>
      <c r="D85" s="119" t="s">
        <v>2020</v>
      </c>
      <c r="E85" s="278" t="s">
        <v>2021</v>
      </c>
      <c r="F85" s="119" t="s">
        <v>84</v>
      </c>
      <c r="H85" s="113" t="str">
        <f t="shared" si="3"/>
        <v>CN</v>
      </c>
      <c r="I85" s="117" t="s">
        <v>73</v>
      </c>
    </row>
    <row r="86" spans="1:9">
      <c r="A86" s="114" t="str">
        <f t="shared" si="2"/>
        <v>1010000ELEC PLANT IN SERV3033280MAPAPPS - Mapping Systems ApplicationSO</v>
      </c>
      <c r="B86" s="119" t="s">
        <v>1809</v>
      </c>
      <c r="C86" s="119" t="s">
        <v>1453</v>
      </c>
      <c r="D86" s="119" t="s">
        <v>2022</v>
      </c>
      <c r="E86" s="278" t="s">
        <v>2023</v>
      </c>
      <c r="F86" s="119" t="s">
        <v>89</v>
      </c>
      <c r="H86" s="113" t="str">
        <f t="shared" si="3"/>
        <v>SO</v>
      </c>
      <c r="I86" s="117" t="s">
        <v>92</v>
      </c>
    </row>
    <row r="87" spans="1:9">
      <c r="A87" s="114" t="str">
        <f t="shared" si="2"/>
        <v>1010000ELEC PLANT IN SERV3033290CUSTOMER CONTACTSCN</v>
      </c>
      <c r="B87" s="119" t="s">
        <v>1809</v>
      </c>
      <c r="C87" s="119" t="s">
        <v>1453</v>
      </c>
      <c r="D87" s="119" t="s">
        <v>2024</v>
      </c>
      <c r="E87" s="278" t="s">
        <v>2025</v>
      </c>
      <c r="F87" s="119" t="s">
        <v>84</v>
      </c>
      <c r="H87" s="113" t="str">
        <f t="shared" si="3"/>
        <v>CN</v>
      </c>
      <c r="I87" s="117" t="s">
        <v>73</v>
      </c>
    </row>
    <row r="88" spans="1:9">
      <c r="A88" s="114" t="str">
        <f t="shared" si="2"/>
        <v>1010000ELEC PLANT IN SERV3033410M365SO</v>
      </c>
      <c r="B88" s="119" t="s">
        <v>1809</v>
      </c>
      <c r="C88" s="119" t="s">
        <v>1453</v>
      </c>
      <c r="D88" s="119" t="s">
        <v>2035</v>
      </c>
      <c r="E88" s="278" t="s">
        <v>2036</v>
      </c>
      <c r="F88" s="119" t="s">
        <v>89</v>
      </c>
      <c r="H88" s="113" t="str">
        <f t="shared" si="3"/>
        <v>SO</v>
      </c>
      <c r="I88" s="117" t="s">
        <v>92</v>
      </c>
    </row>
    <row r="89" spans="1:9">
      <c r="A89" s="114" t="str">
        <f t="shared" si="2"/>
        <v>1010000ELEC PLANT IN SERV3031040TRANSMISSION INTANGIBLE ASSETSCAGE</v>
      </c>
      <c r="B89" s="125" t="s">
        <v>1809</v>
      </c>
      <c r="C89" s="119" t="s">
        <v>1453</v>
      </c>
      <c r="D89" s="125" t="s">
        <v>1964</v>
      </c>
      <c r="E89" s="278" t="s">
        <v>1456</v>
      </c>
      <c r="F89" s="119" t="s">
        <v>3106</v>
      </c>
      <c r="H89" s="113" t="str">
        <f t="shared" si="3"/>
        <v>CAGE</v>
      </c>
      <c r="I89" s="117" t="s">
        <v>69</v>
      </c>
    </row>
    <row r="90" spans="1:9">
      <c r="A90" s="114" t="str">
        <f t="shared" si="2"/>
        <v>1010000ELEC PLANT IN SERV3031040TRANSMISSION INTANGIBLE ASSETSCAGW</v>
      </c>
      <c r="B90" s="125" t="s">
        <v>1809</v>
      </c>
      <c r="C90" s="119" t="s">
        <v>1453</v>
      </c>
      <c r="D90" s="125" t="s">
        <v>1964</v>
      </c>
      <c r="E90" s="278" t="s">
        <v>1456</v>
      </c>
      <c r="F90" s="119" t="s">
        <v>3108</v>
      </c>
      <c r="H90" s="113" t="str">
        <f t="shared" si="3"/>
        <v>CAGW</v>
      </c>
      <c r="I90" s="117" t="s">
        <v>69</v>
      </c>
    </row>
    <row r="91" spans="1:9">
      <c r="A91" s="114" t="str">
        <f t="shared" si="2"/>
        <v>1010000ELEC PLANT IN SERV3031230AFPR - AUTOMATED FACILITY POINT RECORDSSO</v>
      </c>
      <c r="B91" s="125" t="s">
        <v>1809</v>
      </c>
      <c r="C91" s="119" t="s">
        <v>1453</v>
      </c>
      <c r="D91" s="125" t="s">
        <v>1967</v>
      </c>
      <c r="E91" s="278" t="s">
        <v>3111</v>
      </c>
      <c r="F91" s="119" t="s">
        <v>89</v>
      </c>
      <c r="G91" s="138"/>
      <c r="H91" s="113" t="str">
        <f t="shared" si="3"/>
        <v>SO</v>
      </c>
      <c r="I91" s="117" t="s">
        <v>96</v>
      </c>
    </row>
    <row r="92" spans="1:9">
      <c r="A92" s="114" t="str">
        <f t="shared" si="2"/>
        <v>1010000ELEC PLANT IN SERV3031680CADOPS - COMPUTER-ASSISTED DISTRIBUTIONSO</v>
      </c>
      <c r="B92" s="125" t="s">
        <v>1809</v>
      </c>
      <c r="C92" s="119" t="s">
        <v>1453</v>
      </c>
      <c r="D92" s="125" t="s">
        <v>1968</v>
      </c>
      <c r="E92" s="278" t="s">
        <v>3112</v>
      </c>
      <c r="F92" s="119" t="s">
        <v>89</v>
      </c>
      <c r="G92" s="138"/>
      <c r="H92" s="113" t="str">
        <f t="shared" si="3"/>
        <v>SO</v>
      </c>
      <c r="I92" s="117" t="s">
        <v>70</v>
      </c>
    </row>
    <row r="93" spans="1:9">
      <c r="A93" s="114" t="str">
        <f t="shared" si="2"/>
        <v>1010000ELEC PLANT IN SERV3032130NODAL PRICING SOFTWARESG</v>
      </c>
      <c r="B93" s="125" t="s">
        <v>1809</v>
      </c>
      <c r="C93" s="119" t="s">
        <v>1453</v>
      </c>
      <c r="D93" s="125" t="s">
        <v>1971</v>
      </c>
      <c r="E93" s="278" t="s">
        <v>3113</v>
      </c>
      <c r="F93" s="119" t="s">
        <v>87</v>
      </c>
      <c r="H93" s="113" t="str">
        <f t="shared" si="3"/>
        <v>SG</v>
      </c>
      <c r="I93" s="117" t="s">
        <v>68</v>
      </c>
    </row>
    <row r="94" spans="1:9">
      <c r="A94" s="114" t="str">
        <f t="shared" si="2"/>
        <v>1010000ELEC PLANT IN SERV3032140ESM-IRPSO</v>
      </c>
      <c r="B94" s="125" t="s">
        <v>1809</v>
      </c>
      <c r="C94" s="119" t="s">
        <v>1453</v>
      </c>
      <c r="D94" s="125" t="s">
        <v>1973</v>
      </c>
      <c r="E94" s="278" t="s">
        <v>3114</v>
      </c>
      <c r="F94" s="119" t="s">
        <v>89</v>
      </c>
      <c r="H94" s="113" t="str">
        <f t="shared" si="3"/>
        <v>SO</v>
      </c>
      <c r="I94" s="117" t="s">
        <v>68</v>
      </c>
    </row>
    <row r="95" spans="1:9">
      <c r="A95" s="114" t="str">
        <f t="shared" si="2"/>
        <v>1010000ELEC PLANT IN SERV3032150CELONISSO</v>
      </c>
      <c r="B95" s="125" t="s">
        <v>1809</v>
      </c>
      <c r="C95" s="119" t="s">
        <v>1453</v>
      </c>
      <c r="D95" s="125" t="s">
        <v>1975</v>
      </c>
      <c r="E95" s="278" t="s">
        <v>3115</v>
      </c>
      <c r="F95" s="119" t="s">
        <v>89</v>
      </c>
      <c r="H95" s="113" t="str">
        <f t="shared" si="3"/>
        <v>SO</v>
      </c>
      <c r="I95" s="117" t="s">
        <v>92</v>
      </c>
    </row>
    <row r="96" spans="1:9">
      <c r="A96" s="114" t="str">
        <f t="shared" si="2"/>
        <v>1010000ELEC PLANT IN SERV3032160ARCOSSO</v>
      </c>
      <c r="B96" s="125" t="s">
        <v>1809</v>
      </c>
      <c r="C96" s="119" t="s">
        <v>1453</v>
      </c>
      <c r="D96" s="125" t="s">
        <v>1977</v>
      </c>
      <c r="E96" s="278" t="s">
        <v>3116</v>
      </c>
      <c r="F96" s="119" t="s">
        <v>89</v>
      </c>
      <c r="H96" s="113" t="str">
        <f t="shared" si="3"/>
        <v>SO</v>
      </c>
      <c r="I96" s="117" t="s">
        <v>96</v>
      </c>
    </row>
    <row r="97" spans="1:9">
      <c r="A97" s="114" t="str">
        <f t="shared" si="2"/>
        <v>1010000ELEC PLANT IN SERV3032170AZURE B2C - IDENTITY MGTSO</v>
      </c>
      <c r="B97" s="125" t="s">
        <v>1809</v>
      </c>
      <c r="C97" s="119" t="s">
        <v>1453</v>
      </c>
      <c r="D97" s="125" t="s">
        <v>1979</v>
      </c>
      <c r="E97" s="278" t="s">
        <v>3117</v>
      </c>
      <c r="F97" s="119" t="s">
        <v>89</v>
      </c>
      <c r="H97" s="113" t="str">
        <f t="shared" si="3"/>
        <v>SO</v>
      </c>
      <c r="I97" s="117" t="s">
        <v>92</v>
      </c>
    </row>
    <row r="98" spans="1:9">
      <c r="A98" s="114" t="str">
        <f t="shared" si="2"/>
        <v>1010000ELEC PLANT IN SERV3032180IAM - SCHEDULING/TAGGING SYSTEMSO</v>
      </c>
      <c r="B98" s="125" t="s">
        <v>1809</v>
      </c>
      <c r="C98" s="119" t="s">
        <v>1453</v>
      </c>
      <c r="D98" s="125" t="s">
        <v>1981</v>
      </c>
      <c r="E98" s="278" t="s">
        <v>3118</v>
      </c>
      <c r="F98" s="119" t="s">
        <v>89</v>
      </c>
      <c r="H98" s="113" t="str">
        <f t="shared" si="3"/>
        <v>SO</v>
      </c>
      <c r="I98" s="117" t="s">
        <v>96</v>
      </c>
    </row>
    <row r="99" spans="1:9">
      <c r="A99" s="114" t="str">
        <f t="shared" si="2"/>
        <v>1010000ELEC PLANT IN SERV3032200ITOASO</v>
      </c>
      <c r="B99" s="119" t="s">
        <v>1809</v>
      </c>
      <c r="C99" s="119" t="s">
        <v>1453</v>
      </c>
      <c r="D99" s="119" t="s">
        <v>1985</v>
      </c>
      <c r="E99" s="278" t="s">
        <v>3119</v>
      </c>
      <c r="F99" s="119" t="s">
        <v>89</v>
      </c>
      <c r="H99" s="113" t="str">
        <f t="shared" si="3"/>
        <v>SO</v>
      </c>
      <c r="I99" s="117" t="s">
        <v>69</v>
      </c>
    </row>
    <row r="100" spans="1:9">
      <c r="A100" s="114" t="str">
        <f t="shared" si="2"/>
        <v>1010000ELEC PLANT IN SERV3032210TSSA - TrueSight Server AutomationSO</v>
      </c>
      <c r="B100" s="119" t="s">
        <v>1809</v>
      </c>
      <c r="C100" s="119" t="s">
        <v>1453</v>
      </c>
      <c r="D100" s="119" t="s">
        <v>3120</v>
      </c>
      <c r="E100" s="278" t="s">
        <v>3121</v>
      </c>
      <c r="F100" s="119" t="s">
        <v>89</v>
      </c>
      <c r="H100" s="113" t="str">
        <f t="shared" si="3"/>
        <v>SO</v>
      </c>
      <c r="I100" s="117" t="s">
        <v>92</v>
      </c>
    </row>
    <row r="101" spans="1:9">
      <c r="A101" s="114" t="str">
        <f t="shared" si="2"/>
        <v>1010000ELEC PLANT IN SERV3032220COGNOS - EDW REPORTING TOOLSO</v>
      </c>
      <c r="B101" s="119" t="s">
        <v>1809</v>
      </c>
      <c r="C101" s="119" t="s">
        <v>1453</v>
      </c>
      <c r="D101" s="119" t="s">
        <v>1987</v>
      </c>
      <c r="E101" s="278" t="s">
        <v>3122</v>
      </c>
      <c r="F101" s="119" t="s">
        <v>89</v>
      </c>
      <c r="H101" s="113" t="str">
        <f t="shared" si="3"/>
        <v>SO</v>
      </c>
      <c r="I101" s="117" t="s">
        <v>92</v>
      </c>
    </row>
    <row r="102" spans="1:9">
      <c r="A102" s="114" t="str">
        <f t="shared" si="2"/>
        <v>1010000ELEC PLANT IN SERV3032740GADSBY INTANGIBLE ASSETSCAGE</v>
      </c>
      <c r="B102" s="119" t="s">
        <v>1809</v>
      </c>
      <c r="C102" s="119" t="s">
        <v>1453</v>
      </c>
      <c r="D102" s="119" t="s">
        <v>2001</v>
      </c>
      <c r="E102" s="278" t="s">
        <v>1681</v>
      </c>
      <c r="F102" s="119" t="s">
        <v>3106</v>
      </c>
      <c r="H102" s="113" t="str">
        <f t="shared" si="3"/>
        <v>CAGE</v>
      </c>
      <c r="I102" s="117" t="s">
        <v>68</v>
      </c>
    </row>
    <row r="103" spans="1:9">
      <c r="A103" s="114" t="str">
        <f t="shared" si="2"/>
        <v>1010000ELEC PLANT IN SERV3032900IDAHO TRANSMISSION CUSTOMER-OWNED ASSETSCAGE</v>
      </c>
      <c r="B103" s="125" t="s">
        <v>1809</v>
      </c>
      <c r="C103" s="119" t="s">
        <v>1453</v>
      </c>
      <c r="D103" s="125" t="s">
        <v>2007</v>
      </c>
      <c r="E103" s="278" t="s">
        <v>1486</v>
      </c>
      <c r="F103" s="119" t="s">
        <v>3106</v>
      </c>
      <c r="H103" s="113" t="str">
        <f t="shared" si="3"/>
        <v>CAGE</v>
      </c>
      <c r="I103" s="117" t="s">
        <v>69</v>
      </c>
    </row>
    <row r="104" spans="1:9">
      <c r="A104" s="114" t="str">
        <f t="shared" si="2"/>
        <v>1010000ELEC PLANT IN SERV3033090STEAM PLANT INTANGIBLE ASSETSCAGE</v>
      </c>
      <c r="B104" s="125" t="s">
        <v>1809</v>
      </c>
      <c r="C104" s="119" t="s">
        <v>1453</v>
      </c>
      <c r="D104" s="125" t="s">
        <v>2012</v>
      </c>
      <c r="E104" s="121" t="s">
        <v>1491</v>
      </c>
      <c r="F104" s="119" t="s">
        <v>3106</v>
      </c>
      <c r="G104" s="138"/>
      <c r="H104" s="113" t="str">
        <f t="shared" si="3"/>
        <v>CAGE</v>
      </c>
      <c r="I104" s="117" t="s">
        <v>68</v>
      </c>
    </row>
    <row r="105" spans="1:9">
      <c r="A105" s="114" t="str">
        <f t="shared" si="2"/>
        <v>1010000ELEC PLANT IN SERV3033090STEAM PLANT INTANGIBLE ASSETSCAGW</v>
      </c>
      <c r="B105" s="125" t="s">
        <v>1809</v>
      </c>
      <c r="C105" s="119" t="s">
        <v>1453</v>
      </c>
      <c r="D105" s="125" t="s">
        <v>2012</v>
      </c>
      <c r="E105" s="121" t="s">
        <v>1491</v>
      </c>
      <c r="F105" s="119" t="s">
        <v>3108</v>
      </c>
      <c r="G105" s="138"/>
      <c r="H105" s="113" t="str">
        <f t="shared" si="3"/>
        <v>CAGW</v>
      </c>
      <c r="I105" s="117" t="s">
        <v>68</v>
      </c>
    </row>
    <row r="106" spans="1:9">
      <c r="A106" s="114" t="str">
        <f t="shared" si="2"/>
        <v>1010000ELEC PLANT IN SERV3033090STEAM PLANT INTANGIBLE ASSETSJBG</v>
      </c>
      <c r="B106" s="125" t="s">
        <v>1809</v>
      </c>
      <c r="C106" s="119" t="s">
        <v>1453</v>
      </c>
      <c r="D106" s="125" t="s">
        <v>2012</v>
      </c>
      <c r="E106" s="121" t="s">
        <v>1491</v>
      </c>
      <c r="F106" s="119" t="s">
        <v>3107</v>
      </c>
      <c r="G106" s="138"/>
      <c r="H106" s="113" t="str">
        <f t="shared" si="3"/>
        <v>JBG</v>
      </c>
      <c r="I106" s="117" t="s">
        <v>68</v>
      </c>
    </row>
    <row r="107" spans="1:9">
      <c r="A107" s="114" t="str">
        <f t="shared" si="2"/>
        <v>1010000ELEC PLANT IN SERV3033320CAS - CONTROL AREA SCHEDULING (TRANSM)CAGW</v>
      </c>
      <c r="B107" s="125" t="s">
        <v>1809</v>
      </c>
      <c r="C107" s="119" t="s">
        <v>1453</v>
      </c>
      <c r="D107" s="125" t="s">
        <v>2028</v>
      </c>
      <c r="E107" s="121" t="s">
        <v>1501</v>
      </c>
      <c r="F107" s="119" t="s">
        <v>3108</v>
      </c>
      <c r="G107" s="138"/>
      <c r="H107" s="113" t="str">
        <f t="shared" si="3"/>
        <v>CAGW</v>
      </c>
      <c r="I107" s="117" t="s">
        <v>69</v>
      </c>
    </row>
    <row r="108" spans="1:9">
      <c r="A108" s="114" t="str">
        <f t="shared" si="2"/>
        <v>1010000ELEC PLANT IN SERV3033380GAS PLANT INTANGIBLESCAGE</v>
      </c>
      <c r="B108" s="119" t="s">
        <v>1809</v>
      </c>
      <c r="C108" s="119" t="s">
        <v>1453</v>
      </c>
      <c r="D108" s="119" t="s">
        <v>2033</v>
      </c>
      <c r="E108" s="121" t="s">
        <v>3123</v>
      </c>
      <c r="F108" s="119" t="s">
        <v>3106</v>
      </c>
      <c r="H108" s="113" t="str">
        <f t="shared" si="3"/>
        <v>CAGE</v>
      </c>
      <c r="I108" s="117" t="s">
        <v>69</v>
      </c>
    </row>
    <row r="109" spans="1:9">
      <c r="A109" s="114" t="str">
        <f t="shared" si="2"/>
        <v>1010000ELEC PLANT IN SERV3033390CYME GATEWAYSO</v>
      </c>
      <c r="B109" s="119" t="s">
        <v>1809</v>
      </c>
      <c r="C109" s="119" t="s">
        <v>1453</v>
      </c>
      <c r="D109" s="119" t="s">
        <v>2034</v>
      </c>
      <c r="E109" s="121" t="s">
        <v>3124</v>
      </c>
      <c r="F109" s="119" t="s">
        <v>89</v>
      </c>
      <c r="H109" s="113" t="str">
        <f t="shared" si="3"/>
        <v>SO</v>
      </c>
      <c r="I109" s="117" t="s">
        <v>92</v>
      </c>
    </row>
    <row r="110" spans="1:9">
      <c r="A110" s="114" t="str">
        <f t="shared" si="2"/>
        <v>1010000ELEC PLANT IN SERV3033420SUBSTATION RELIABILITY SOFTWARESO</v>
      </c>
      <c r="B110" s="119" t="s">
        <v>1809</v>
      </c>
      <c r="C110" s="119" t="s">
        <v>1453</v>
      </c>
      <c r="D110" s="119" t="s">
        <v>3125</v>
      </c>
      <c r="E110" s="121" t="s">
        <v>3126</v>
      </c>
      <c r="F110" s="119" t="s">
        <v>89</v>
      </c>
      <c r="H110" s="113" t="str">
        <f t="shared" si="3"/>
        <v>SO</v>
      </c>
      <c r="I110" s="117" t="s">
        <v>96</v>
      </c>
    </row>
    <row r="111" spans="1:9">
      <c r="A111" s="114" t="str">
        <f t="shared" si="2"/>
        <v>1010000ELEC PLANT IN SERV3033430DEPLOY DISTRIBUTION MGMT SYSTEMSO</v>
      </c>
      <c r="B111" s="119" t="s">
        <v>1809</v>
      </c>
      <c r="C111" s="119" t="s">
        <v>1453</v>
      </c>
      <c r="D111" s="119" t="s">
        <v>3127</v>
      </c>
      <c r="E111" s="121" t="s">
        <v>3128</v>
      </c>
      <c r="F111" s="119" t="s">
        <v>89</v>
      </c>
      <c r="H111" s="113" t="str">
        <f t="shared" si="3"/>
        <v>SO</v>
      </c>
      <c r="I111" s="117" t="s">
        <v>70</v>
      </c>
    </row>
    <row r="112" spans="1:9">
      <c r="A112" s="114" t="str">
        <f t="shared" si="2"/>
        <v>1010000ELEC PLANT IN SERV3033440DISTRIBUTION ENGINEERING COSTSSO</v>
      </c>
      <c r="B112" s="119" t="s">
        <v>1809</v>
      </c>
      <c r="C112" s="119" t="s">
        <v>1453</v>
      </c>
      <c r="D112" s="119" t="s">
        <v>3129</v>
      </c>
      <c r="E112" s="121" t="s">
        <v>3130</v>
      </c>
      <c r="F112" s="119" t="s">
        <v>89</v>
      </c>
      <c r="H112" s="113" t="str">
        <f t="shared" si="3"/>
        <v>SO</v>
      </c>
      <c r="I112" s="113" t="s">
        <v>70</v>
      </c>
    </row>
    <row r="113" spans="1:9">
      <c r="A113" s="114" t="str">
        <f t="shared" si="2"/>
        <v>1010000ELEC PLANT IN SERV3034900MISC - MISCELLANEOUSCAEE</v>
      </c>
      <c r="B113" s="119" t="s">
        <v>1809</v>
      </c>
      <c r="C113" s="119" t="s">
        <v>1453</v>
      </c>
      <c r="D113" s="119" t="s">
        <v>2037</v>
      </c>
      <c r="E113" s="121" t="s">
        <v>1508</v>
      </c>
      <c r="F113" s="119" t="s">
        <v>3110</v>
      </c>
      <c r="G113" s="138"/>
      <c r="H113" s="113" t="str">
        <f t="shared" si="3"/>
        <v>CAEE</v>
      </c>
      <c r="I113" s="113" t="s">
        <v>68</v>
      </c>
    </row>
    <row r="114" spans="1:9">
      <c r="A114" s="114" t="str">
        <f t="shared" si="2"/>
        <v>1010000ELEC PLANT IN SERV3034900MISC - MISCELLANEOUSCAGE</v>
      </c>
      <c r="B114" s="119" t="s">
        <v>1809</v>
      </c>
      <c r="C114" s="119" t="s">
        <v>1453</v>
      </c>
      <c r="D114" s="119" t="s">
        <v>2037</v>
      </c>
      <c r="E114" s="121" t="s">
        <v>1508</v>
      </c>
      <c r="F114" s="119" t="s">
        <v>3106</v>
      </c>
      <c r="G114" s="138"/>
      <c r="H114" s="113" t="str">
        <f t="shared" si="3"/>
        <v>CAGE</v>
      </c>
      <c r="I114" s="113" t="s">
        <v>68</v>
      </c>
    </row>
    <row r="115" spans="1:9">
      <c r="A115" s="114" t="str">
        <f t="shared" si="2"/>
        <v>1010000ELEC PLANT IN SERV3034900MISC - MISCELLANEOUSCAGW</v>
      </c>
      <c r="B115" s="119" t="s">
        <v>1809</v>
      </c>
      <c r="C115" s="119" t="s">
        <v>1453</v>
      </c>
      <c r="D115" s="119" t="s">
        <v>2037</v>
      </c>
      <c r="E115" s="121" t="s">
        <v>1508</v>
      </c>
      <c r="F115" s="119" t="s">
        <v>3108</v>
      </c>
      <c r="G115" s="138"/>
      <c r="H115" s="113" t="str">
        <f t="shared" si="3"/>
        <v>CAGW</v>
      </c>
      <c r="I115" s="113" t="s">
        <v>68</v>
      </c>
    </row>
    <row r="116" spans="1:9">
      <c r="A116" s="114" t="str">
        <f t="shared" si="2"/>
        <v>1010000ELEC PLANT IN SERV3034900MISC - MISCELLANEOUSJBG</v>
      </c>
      <c r="B116" s="119" t="s">
        <v>1809</v>
      </c>
      <c r="C116" s="119" t="s">
        <v>1453</v>
      </c>
      <c r="D116" s="119" t="s">
        <v>2037</v>
      </c>
      <c r="E116" s="121" t="s">
        <v>1508</v>
      </c>
      <c r="F116" s="119" t="s">
        <v>3107</v>
      </c>
      <c r="G116" s="138"/>
      <c r="H116" s="113" t="str">
        <f t="shared" si="3"/>
        <v>JBG</v>
      </c>
      <c r="I116" s="113" t="s">
        <v>68</v>
      </c>
    </row>
  </sheetData>
  <autoFilter ref="A1:I84" xr:uid="{00000000-0001-0000-1100-000000000000}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FFFF"/>
  </sheetPr>
  <dimension ref="A1:K533"/>
  <sheetViews>
    <sheetView zoomScale="80" zoomScaleNormal="80" workbookViewId="0"/>
  </sheetViews>
  <sheetFormatPr defaultRowHeight="12.75"/>
  <cols>
    <col min="1" max="1" width="18.7109375" style="114" customWidth="1"/>
    <col min="2" max="2" width="18.7109375" style="119" customWidth="1"/>
    <col min="3" max="3" width="18.7109375" style="115" customWidth="1"/>
    <col min="4" max="4" width="18.7109375" style="119" customWidth="1"/>
    <col min="5" max="5" width="38.85546875" style="121" customWidth="1"/>
    <col min="6" max="6" width="18.7109375" style="119" customWidth="1"/>
    <col min="7" max="7" width="18.7109375" style="138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19" t="s">
        <v>345</v>
      </c>
      <c r="C1" s="113" t="s">
        <v>346</v>
      </c>
      <c r="D1" s="119" t="s">
        <v>347</v>
      </c>
      <c r="E1" s="121" t="s">
        <v>348</v>
      </c>
      <c r="F1" s="119" t="s">
        <v>349</v>
      </c>
      <c r="G1" s="135" t="s">
        <v>350</v>
      </c>
      <c r="H1" s="113" t="s">
        <v>351</v>
      </c>
      <c r="I1" s="113" t="s">
        <v>352</v>
      </c>
      <c r="J1" s="113" t="s">
        <v>353</v>
      </c>
      <c r="K1"/>
    </row>
    <row r="2" spans="1:11">
      <c r="A2" s="118" t="str">
        <f>CONCATENATE($B2,$C2,$D2,$E2,$H2)</f>
        <v>4098200SCHMAP10510530% Capitalized labor costs for PowerTaxSO</v>
      </c>
      <c r="B2" s="126">
        <v>4098200</v>
      </c>
      <c r="C2" s="117" t="str">
        <f>IF(B2=4098200,"SCHMAP",IF(B2=4098300,"SCHMAT",IF(B2=4099200,"SCHMDP",IF(B2=4099300,"SCHMDT"))))</f>
        <v>SCHMAP</v>
      </c>
      <c r="D2" s="126">
        <v>105105</v>
      </c>
      <c r="E2" s="128" t="s">
        <v>3131</v>
      </c>
      <c r="F2" s="127" t="s">
        <v>89</v>
      </c>
      <c r="G2" s="136">
        <v>0</v>
      </c>
      <c r="H2" s="113" t="str">
        <f t="shared" ref="H2:H65" si="0">IF(OR(F2="IDU",F2="OR",F2="UT",F2="WYU",F2="WYP",F2="CA",F2="WA"),"SITUS",IF(OR(F2="CAEE",F2="JBE"),"SE",IF(OR(F2="CAGE",F2="CAGW",F2="JBG"),"SG",F2)))</f>
        <v>SO</v>
      </c>
      <c r="I2" s="113" t="e">
        <f>INDEX('SCH M Lookup'!$I:$I,MATCH($A2,'SCH M Lookup'!$A:$A,0))</f>
        <v>#N/A</v>
      </c>
      <c r="J2" s="113" t="str">
        <f>IF('SCH M Jun22data'!$G2=0,"NO",IF(ISNA('SCH M Jun22data'!$I2),"YES",IF(_xlfn.ISFORMULA('SCH M Jun22data'!$I2),"NO","YES")))</f>
        <v>NO</v>
      </c>
      <c r="K2"/>
    </row>
    <row r="3" spans="1:11">
      <c r="A3" s="118" t="str">
        <f t="shared" ref="A3:A66" si="1">CONCATENATE($B3,$C3,$D3,$E3,$H3)</f>
        <v>4098200SCHMAP105127Book Depr Allocated to Medicare and M&amp;ESCHMDEXP</v>
      </c>
      <c r="B3" s="126">
        <v>4098200</v>
      </c>
      <c r="C3" s="117" t="str">
        <f t="shared" ref="C3:C66" si="2">IF(B3=4098200,"SCHMAP",IF(B3=4098300,"SCHMAT",IF(B3=4099200,"SCHMDP",IF(B3=4099300,"SCHMDT"))))</f>
        <v>SCHMAP</v>
      </c>
      <c r="D3" s="126">
        <v>105127</v>
      </c>
      <c r="E3" s="128" t="s">
        <v>354</v>
      </c>
      <c r="F3" s="127" t="s">
        <v>10</v>
      </c>
      <c r="G3" s="136">
        <v>107.49874</v>
      </c>
      <c r="H3" s="113" t="str">
        <f t="shared" si="0"/>
        <v>SCHMDEXP</v>
      </c>
      <c r="I3" s="113" t="str">
        <f>INDEX('SCH M Lookup'!$I:$I,MATCH($A3,'SCH M Lookup'!$A:$A,0))</f>
        <v>LABOR</v>
      </c>
      <c r="J3" s="113" t="str">
        <f>IF('SCH M Jun22data'!$G3=0,"NO",IF(ISNA('SCH M Jun22data'!$I3),"YES",IF(_xlfn.ISFORMULA('SCH M Jun22data'!$I3),"NO","YES")))</f>
        <v>NO</v>
      </c>
      <c r="K3"/>
    </row>
    <row r="4" spans="1:11">
      <c r="A4" s="118" t="str">
        <f t="shared" si="1"/>
        <v>4098200SCHMAP110200Tax Percentage Depletion - Deer CreekSE</v>
      </c>
      <c r="B4" s="126">
        <v>4098200</v>
      </c>
      <c r="C4" s="117" t="str">
        <f t="shared" si="2"/>
        <v>SCHMAP</v>
      </c>
      <c r="D4" s="126">
        <v>110200</v>
      </c>
      <c r="E4" s="128" t="s">
        <v>3132</v>
      </c>
      <c r="F4" s="127" t="s">
        <v>3110</v>
      </c>
      <c r="G4" s="136">
        <v>0</v>
      </c>
      <c r="H4" s="113" t="str">
        <f t="shared" si="0"/>
        <v>SE</v>
      </c>
      <c r="I4" s="113" t="e">
        <f>INDEX('SCH M Lookup'!$I:$I,MATCH($A4,'SCH M Lookup'!$A:$A,0))</f>
        <v>#N/A</v>
      </c>
      <c r="J4" s="113" t="str">
        <f>IF('SCH M Jun22data'!$G4=0,"NO",IF(ISNA('SCH M Jun22data'!$I4),"YES",IF(_xlfn.ISFORMULA('SCH M Jun22data'!$I4),"NO","YES")))</f>
        <v>NO</v>
      </c>
      <c r="K4"/>
    </row>
    <row r="5" spans="1:11">
      <c r="A5" s="118" t="str">
        <f t="shared" si="1"/>
        <v>4098200SCHMAP120101Other A/R Bad Debt Write-offsBADDEBT</v>
      </c>
      <c r="B5" s="126">
        <v>4098200</v>
      </c>
      <c r="C5" s="117" t="str">
        <f t="shared" si="2"/>
        <v>SCHMAP</v>
      </c>
      <c r="D5" s="126">
        <v>120101</v>
      </c>
      <c r="E5" s="128" t="s">
        <v>3133</v>
      </c>
      <c r="F5" s="127" t="s">
        <v>8</v>
      </c>
      <c r="G5" s="136">
        <v>0</v>
      </c>
      <c r="H5" s="113" t="str">
        <f t="shared" si="0"/>
        <v>BADDEBT</v>
      </c>
      <c r="I5" s="113" t="e">
        <f>INDEX('SCH M Lookup'!$I:$I,MATCH($A5,'SCH M Lookup'!$A:$A,0))</f>
        <v>#N/A</v>
      </c>
      <c r="J5" s="113" t="str">
        <f>IF('SCH M Jun22data'!$G5=0,"NO",IF(ISNA('SCH M Jun22data'!$I5),"YES",IF(_xlfn.ISFORMULA('SCH M Jun22data'!$I5),"NO","YES")))</f>
        <v>NO</v>
      </c>
      <c r="K5"/>
    </row>
    <row r="6" spans="1:11">
      <c r="A6" s="118" t="str">
        <f t="shared" si="1"/>
        <v>4098200SCHMAP130100Non - Deductible ExpensesSO</v>
      </c>
      <c r="B6" s="126">
        <v>4098200</v>
      </c>
      <c r="C6" s="117" t="str">
        <f t="shared" si="2"/>
        <v>SCHMAP</v>
      </c>
      <c r="D6" s="126">
        <v>130100</v>
      </c>
      <c r="E6" s="128" t="s">
        <v>355</v>
      </c>
      <c r="F6" s="127" t="s">
        <v>89</v>
      </c>
      <c r="G6" s="136">
        <v>-28.299130000000002</v>
      </c>
      <c r="H6" s="113" t="str">
        <f t="shared" si="0"/>
        <v>SO</v>
      </c>
      <c r="I6" s="113" t="str">
        <f>INDEX('SCH M Lookup'!$I:$I,MATCH($A6,'SCH M Lookup'!$A:$A,0))</f>
        <v>P</v>
      </c>
      <c r="J6" s="113" t="str">
        <f>IF('SCH M Jun22data'!$G6=0,"NO",IF(ISNA('SCH M Jun22data'!$I6),"YES",IF(_xlfn.ISFORMULA('SCH M Jun22data'!$I6),"NO","YES")))</f>
        <v>NO</v>
      </c>
      <c r="K6"/>
    </row>
    <row r="7" spans="1:11">
      <c r="A7" s="118" t="str">
        <f t="shared" si="1"/>
        <v>4098200SCHMAP130400PMINondeductible ExpSE</v>
      </c>
      <c r="B7" s="126">
        <v>4098200</v>
      </c>
      <c r="C7" s="117" t="str">
        <f t="shared" si="2"/>
        <v>SCHMAP</v>
      </c>
      <c r="D7" s="126">
        <v>130400</v>
      </c>
      <c r="E7" s="128" t="s">
        <v>356</v>
      </c>
      <c r="F7" s="127" t="s">
        <v>3134</v>
      </c>
      <c r="G7" s="136">
        <v>-1.13069</v>
      </c>
      <c r="H7" s="113" t="str">
        <f t="shared" si="0"/>
        <v>SE</v>
      </c>
      <c r="I7" s="113" t="str">
        <f>INDEX('SCH M Lookup'!$I:$I,MATCH($A7,'SCH M Lookup'!$A:$A,0))</f>
        <v>P</v>
      </c>
      <c r="J7" s="113" t="str">
        <f>IF('SCH M Jun22data'!$G7=0,"NO",IF(ISNA('SCH M Jun22data'!$I7),"YES",IF(_xlfn.ISFORMULA('SCH M Jun22data'!$I7),"NO","YES")))</f>
        <v>NO</v>
      </c>
      <c r="K7"/>
    </row>
    <row r="8" spans="1:11">
      <c r="A8" s="118" t="str">
        <f t="shared" si="1"/>
        <v>4098200SCHMAP130505Executive Compensation 162(m)SO</v>
      </c>
      <c r="B8" s="126">
        <v>4098200</v>
      </c>
      <c r="C8" s="117" t="str">
        <f t="shared" si="2"/>
        <v>SCHMAP</v>
      </c>
      <c r="D8" s="126">
        <v>130505</v>
      </c>
      <c r="E8" s="128" t="s">
        <v>1872</v>
      </c>
      <c r="F8" s="127" t="s">
        <v>89</v>
      </c>
      <c r="G8" s="136">
        <v>673.07899999999995</v>
      </c>
      <c r="H8" s="113" t="str">
        <f t="shared" si="0"/>
        <v>SO</v>
      </c>
      <c r="I8" s="113" t="str">
        <f>INDEX('SCH M Lookup'!$I:$I,MATCH($A8,'SCH M Lookup'!$A:$A,0))</f>
        <v>LABOR</v>
      </c>
      <c r="J8" s="113" t="str">
        <f>IF('SCH M Jun22data'!$G8=0,"NO",IF(ISNA('SCH M Jun22data'!$I8),"YES",IF(_xlfn.ISFORMULA('SCH M Jun22data'!$I8),"NO","YES")))</f>
        <v>NO</v>
      </c>
      <c r="K8"/>
    </row>
    <row r="9" spans="1:11">
      <c r="A9" s="118" t="str">
        <f t="shared" si="1"/>
        <v>4098200SCHMAP130550MEHC Insurance Services-PremiumSO</v>
      </c>
      <c r="B9" s="126">
        <v>4098200</v>
      </c>
      <c r="C9" s="117" t="str">
        <f t="shared" si="2"/>
        <v>SCHMAP</v>
      </c>
      <c r="D9" s="126">
        <v>130550</v>
      </c>
      <c r="E9" s="128" t="s">
        <v>3135</v>
      </c>
      <c r="F9" s="127" t="s">
        <v>89</v>
      </c>
      <c r="G9" s="136">
        <v>0</v>
      </c>
      <c r="H9" s="113" t="str">
        <f t="shared" si="0"/>
        <v>SO</v>
      </c>
      <c r="I9" s="113" t="e">
        <f>INDEX('SCH M Lookup'!$I:$I,MATCH($A9,'SCH M Lookup'!$A:$A,0))</f>
        <v>#N/A</v>
      </c>
      <c r="J9" s="113" t="str">
        <f>IF('SCH M Jun22data'!$G9=0,"NO",IF(ISNA('SCH M Jun22data'!$I9),"YES",IF(_xlfn.ISFORMULA('SCH M Jun22data'!$I9),"NO","YES")))</f>
        <v>NO</v>
      </c>
      <c r="K9"/>
    </row>
    <row r="10" spans="1:11">
      <c r="A10" s="118" t="str">
        <f t="shared" si="1"/>
        <v>4098200SCHMAP130700Mining Rescue Training Credit AddbackSE</v>
      </c>
      <c r="B10" s="126">
        <v>4098200</v>
      </c>
      <c r="C10" s="117" t="str">
        <f t="shared" si="2"/>
        <v>SCHMAP</v>
      </c>
      <c r="D10" s="126">
        <v>130700</v>
      </c>
      <c r="E10" s="128" t="s">
        <v>3136</v>
      </c>
      <c r="F10" s="127" t="s">
        <v>3110</v>
      </c>
      <c r="G10" s="136">
        <v>0</v>
      </c>
      <c r="H10" s="113" t="str">
        <f t="shared" si="0"/>
        <v>SE</v>
      </c>
      <c r="I10" s="113" t="e">
        <f>INDEX('SCH M Lookup'!$I:$I,MATCH($A10,'SCH M Lookup'!$A:$A,0))</f>
        <v>#N/A</v>
      </c>
      <c r="J10" s="113" t="str">
        <f>IF('SCH M Jun22data'!$G10=0,"NO",IF(ISNA('SCH M Jun22data'!$I10),"YES",IF(_xlfn.ISFORMULA('SCH M Jun22data'!$I10),"NO","YES")))</f>
        <v>NO</v>
      </c>
      <c r="K10"/>
    </row>
    <row r="11" spans="1:11">
      <c r="A11" s="118" t="str">
        <f t="shared" si="1"/>
        <v>4098200SCHMAP130750Nondeductible Fringe BenefitsSO</v>
      </c>
      <c r="B11" s="126">
        <v>4098200</v>
      </c>
      <c r="C11" s="117" t="str">
        <f t="shared" si="2"/>
        <v>SCHMAP</v>
      </c>
      <c r="D11" s="126">
        <v>130750</v>
      </c>
      <c r="E11" s="128" t="s">
        <v>1683</v>
      </c>
      <c r="F11" s="127" t="s">
        <v>89</v>
      </c>
      <c r="G11" s="136">
        <v>93.798730000000006</v>
      </c>
      <c r="H11" s="113" t="str">
        <f t="shared" si="0"/>
        <v>SO</v>
      </c>
      <c r="I11" s="113" t="str">
        <f>INDEX('SCH M Lookup'!$I:$I,MATCH($A11,'SCH M Lookup'!$A:$A,0))</f>
        <v>LABOR</v>
      </c>
      <c r="J11" s="113" t="str">
        <f>IF('SCH M Jun22data'!$G11=0,"NO",IF(ISNA('SCH M Jun22data'!$I11),"YES",IF(_xlfn.ISFORMULA('SCH M Jun22data'!$I11),"NO","YES")))</f>
        <v>NO</v>
      </c>
      <c r="K11"/>
    </row>
    <row r="12" spans="1:11">
      <c r="A12" s="118" t="str">
        <f t="shared" si="1"/>
        <v>4098200SCHMAP130755Nondeductible Parking CostsSO</v>
      </c>
      <c r="B12" s="126">
        <v>4098200</v>
      </c>
      <c r="C12" s="117" t="str">
        <f t="shared" si="2"/>
        <v>SCHMAP</v>
      </c>
      <c r="D12" s="126">
        <v>130755</v>
      </c>
      <c r="E12" s="128" t="s">
        <v>1756</v>
      </c>
      <c r="F12" s="127" t="s">
        <v>89</v>
      </c>
      <c r="G12" s="136">
        <v>236.77551</v>
      </c>
      <c r="H12" s="113" t="str">
        <f t="shared" si="0"/>
        <v>SO</v>
      </c>
      <c r="I12" s="113" t="str">
        <f>INDEX('SCH M Lookup'!$I:$I,MATCH($A12,'SCH M Lookup'!$A:$A,0))</f>
        <v>LABOR</v>
      </c>
      <c r="J12" s="113" t="str">
        <f>IF('SCH M Jun22data'!$G12=0,"NO",IF(ISNA('SCH M Jun22data'!$I12),"YES",IF(_xlfn.ISFORMULA('SCH M Jun22data'!$I12),"NO","YES")))</f>
        <v>NO</v>
      </c>
      <c r="K12"/>
    </row>
    <row r="13" spans="1:11">
      <c r="A13" s="118" t="str">
        <f t="shared" si="1"/>
        <v>4098200SCHMAP130900Non - Deductible Executive CompSO</v>
      </c>
      <c r="B13" s="126">
        <v>4098200</v>
      </c>
      <c r="C13" s="117" t="str">
        <f t="shared" si="2"/>
        <v>SCHMAP</v>
      </c>
      <c r="D13" s="126">
        <v>130900</v>
      </c>
      <c r="E13" s="128" t="s">
        <v>3137</v>
      </c>
      <c r="F13" s="127" t="s">
        <v>89</v>
      </c>
      <c r="G13" s="136">
        <v>0</v>
      </c>
      <c r="H13" s="113" t="str">
        <f t="shared" si="0"/>
        <v>SO</v>
      </c>
      <c r="I13" s="113" t="e">
        <f>INDEX('SCH M Lookup'!$I:$I,MATCH($A13,'SCH M Lookup'!$A:$A,0))</f>
        <v>#N/A</v>
      </c>
      <c r="J13" s="113" t="str">
        <f>IF('SCH M Jun22data'!$G13=0,"NO",IF(ISNA('SCH M Jun22data'!$I13),"YES",IF(_xlfn.ISFORMULA('SCH M Jun22data'!$I13),"NO","YES")))</f>
        <v>NO</v>
      </c>
      <c r="K13"/>
    </row>
    <row r="14" spans="1:11">
      <c r="A14" s="118" t="str">
        <f t="shared" si="1"/>
        <v>4098200SCHMAP505505Income Tax InterestSO</v>
      </c>
      <c r="B14" s="126">
        <v>4098200</v>
      </c>
      <c r="C14" s="117" t="str">
        <f t="shared" si="2"/>
        <v>SCHMAP</v>
      </c>
      <c r="D14" s="126">
        <v>505505</v>
      </c>
      <c r="E14" s="128" t="s">
        <v>357</v>
      </c>
      <c r="F14" s="127" t="s">
        <v>89</v>
      </c>
      <c r="G14" s="136">
        <v>6.0581100000000001</v>
      </c>
      <c r="H14" s="113" t="str">
        <f t="shared" si="0"/>
        <v>SO</v>
      </c>
      <c r="I14" s="113" t="str">
        <f>INDEX('SCH M Lookup'!$I:$I,MATCH($A14,'SCH M Lookup'!$A:$A,0))</f>
        <v>P</v>
      </c>
      <c r="J14" s="113" t="str">
        <f>IF('SCH M Jun22data'!$G14=0,"NO",IF(ISNA('SCH M Jun22data'!$I14),"YES",IF(_xlfn.ISFORMULA('SCH M Jun22data'!$I14),"NO","YES")))</f>
        <v>NO</v>
      </c>
      <c r="K14"/>
    </row>
    <row r="15" spans="1:11">
      <c r="A15" s="118" t="str">
        <f t="shared" si="1"/>
        <v>4098200SCHMAP610106PMIFuel Tax CrSE</v>
      </c>
      <c r="B15" s="126">
        <v>4098200</v>
      </c>
      <c r="C15" s="117" t="str">
        <f t="shared" si="2"/>
        <v>SCHMAP</v>
      </c>
      <c r="D15" s="126">
        <v>610106</v>
      </c>
      <c r="E15" s="128" t="s">
        <v>358</v>
      </c>
      <c r="F15" s="127" t="s">
        <v>3134</v>
      </c>
      <c r="G15" s="136">
        <v>26.322929999999999</v>
      </c>
      <c r="H15" s="113" t="str">
        <f t="shared" si="0"/>
        <v>SE</v>
      </c>
      <c r="I15" s="113" t="str">
        <f>INDEX('SCH M Lookup'!$I:$I,MATCH($A15,'SCH M Lookup'!$A:$A,0))</f>
        <v>P</v>
      </c>
      <c r="J15" s="113" t="str">
        <f>IF('SCH M Jun22data'!$G15=0,"NO",IF(ISNA('SCH M Jun22data'!$I15),"YES",IF(_xlfn.ISFORMULA('SCH M Jun22data'!$I15),"NO","YES")))</f>
        <v>NO</v>
      </c>
      <c r="K15"/>
    </row>
    <row r="16" spans="1:11">
      <c r="A16" s="118" t="str">
        <f t="shared" si="1"/>
        <v>4098200SCHMAP610107PMI Dividend Gross Up for Foreign Tax CrSO</v>
      </c>
      <c r="B16" s="126">
        <v>4098200</v>
      </c>
      <c r="C16" s="117" t="str">
        <f t="shared" si="2"/>
        <v>SCHMAP</v>
      </c>
      <c r="D16" s="126">
        <v>610107</v>
      </c>
      <c r="E16" s="128" t="s">
        <v>359</v>
      </c>
      <c r="F16" s="127" t="s">
        <v>89</v>
      </c>
      <c r="G16" s="136">
        <v>1.7589999999999999</v>
      </c>
      <c r="H16" s="113" t="str">
        <f t="shared" si="0"/>
        <v>SO</v>
      </c>
      <c r="I16" s="113" t="str">
        <f>INDEX('SCH M Lookup'!$I:$I,MATCH($A16,'SCH M Lookup'!$A:$A,0))</f>
        <v>P</v>
      </c>
      <c r="J16" s="113" t="str">
        <f>IF('SCH M Jun22data'!$G16=0,"NO",IF(ISNA('SCH M Jun22data'!$I16),"YES",IF(_xlfn.ISFORMULA('SCH M Jun22data'!$I16),"NO","YES")))</f>
        <v>NO</v>
      </c>
      <c r="K16"/>
    </row>
    <row r="17" spans="1:11">
      <c r="A17" s="118" t="str">
        <f t="shared" si="1"/>
        <v>4098200SCHMAP7201051Contra Medicare SubsidySO</v>
      </c>
      <c r="B17" s="126">
        <v>4098200</v>
      </c>
      <c r="C17" s="117" t="str">
        <f t="shared" si="2"/>
        <v>SCHMAP</v>
      </c>
      <c r="D17" s="126">
        <v>7201051</v>
      </c>
      <c r="E17" s="128" t="s">
        <v>3138</v>
      </c>
      <c r="F17" s="127" t="s">
        <v>89</v>
      </c>
      <c r="G17" s="136">
        <v>0</v>
      </c>
      <c r="H17" s="113" t="str">
        <f t="shared" si="0"/>
        <v>SO</v>
      </c>
      <c r="I17" s="113" t="e">
        <f>INDEX('SCH M Lookup'!$I:$I,MATCH($A17,'SCH M Lookup'!$A:$A,0))</f>
        <v>#N/A</v>
      </c>
      <c r="J17" s="113" t="str">
        <f>IF('SCH M Jun22data'!$G17=0,"NO",IF(ISNA('SCH M Jun22data'!$I17),"YES",IF(_xlfn.ISFORMULA('SCH M Jun22data'!$I17),"NO","YES")))</f>
        <v>NO</v>
      </c>
      <c r="K17"/>
    </row>
    <row r="18" spans="1:11">
      <c r="A18" s="118" t="str">
        <f t="shared" si="1"/>
        <v>4098200SCHMAP920145PMI Mining Rescue Training Credit AddbacSE</v>
      </c>
      <c r="B18" s="126">
        <v>4098200</v>
      </c>
      <c r="C18" s="117" t="str">
        <f t="shared" si="2"/>
        <v>SCHMAP</v>
      </c>
      <c r="D18" s="126">
        <v>920145</v>
      </c>
      <c r="E18" s="128" t="s">
        <v>360</v>
      </c>
      <c r="F18" s="127" t="s">
        <v>3134</v>
      </c>
      <c r="G18" s="136">
        <v>83.591999999999999</v>
      </c>
      <c r="H18" s="113" t="str">
        <f t="shared" si="0"/>
        <v>SE</v>
      </c>
      <c r="I18" s="113" t="str">
        <f>INDEX('SCH M Lookup'!$I:$I,MATCH($A18,'SCH M Lookup'!$A:$A,0))</f>
        <v>P</v>
      </c>
      <c r="J18" s="113" t="str">
        <f>IF('SCH M Jun22data'!$G18=0,"NO",IF(ISNA('SCH M Jun22data'!$I18),"YES",IF(_xlfn.ISFORMULA('SCH M Jun22data'!$I18),"NO","YES")))</f>
        <v>NO</v>
      </c>
      <c r="K18"/>
    </row>
    <row r="19" spans="1:11">
      <c r="A19" s="118" t="str">
        <f t="shared" si="1"/>
        <v>4098300SCHMAT105100Capitalized Labor CostsSO</v>
      </c>
      <c r="B19" s="126">
        <v>4098300</v>
      </c>
      <c r="C19" s="117" t="str">
        <f t="shared" si="2"/>
        <v>SCHMAT</v>
      </c>
      <c r="D19" s="126">
        <v>105100</v>
      </c>
      <c r="E19" s="128" t="s">
        <v>361</v>
      </c>
      <c r="F19" s="127" t="s">
        <v>89</v>
      </c>
      <c r="G19" s="136">
        <v>7341.2094500000003</v>
      </c>
      <c r="H19" s="113" t="str">
        <f t="shared" si="0"/>
        <v>SO</v>
      </c>
      <c r="I19" s="113" t="str">
        <f>INDEX('SCH M Lookup'!$I:$I,MATCH($A19,'SCH M Lookup'!$A:$A,0))</f>
        <v>LABOR</v>
      </c>
      <c r="J19" s="113" t="str">
        <f>IF('SCH M Jun22data'!$G19=0,"NO",IF(ISNA('SCH M Jun22data'!$I19),"YES",IF(_xlfn.ISFORMULA('SCH M Jun22data'!$I19),"NO","YES")))</f>
        <v>NO</v>
      </c>
      <c r="K19"/>
    </row>
    <row r="20" spans="1:11">
      <c r="A20" s="118" t="str">
        <f t="shared" si="1"/>
        <v>4098300SCHMAT105120Book DepreciationSCHMDEXP</v>
      </c>
      <c r="B20" s="126">
        <v>4098300</v>
      </c>
      <c r="C20" s="117" t="str">
        <f t="shared" si="2"/>
        <v>SCHMAT</v>
      </c>
      <c r="D20" s="126">
        <v>105120</v>
      </c>
      <c r="E20" s="128" t="s">
        <v>94</v>
      </c>
      <c r="F20" s="127" t="s">
        <v>10</v>
      </c>
      <c r="G20" s="136">
        <v>1071417.2038</v>
      </c>
      <c r="H20" s="113" t="str">
        <f t="shared" si="0"/>
        <v>SCHMDEXP</v>
      </c>
      <c r="I20" s="113" t="str">
        <f>INDEX('SCH M Lookup'!$I:$I,MATCH($A20,'SCH M Lookup'!$A:$A,0))</f>
        <v>GP</v>
      </c>
      <c r="J20" s="113" t="str">
        <f>IF('SCH M Jun22data'!$G20=0,"NO",IF(ISNA('SCH M Jun22data'!$I20),"YES",IF(_xlfn.ISFORMULA('SCH M Jun22data'!$I20),"NO","YES")))</f>
        <v>NO</v>
      </c>
      <c r="K20"/>
    </row>
    <row r="21" spans="1:11">
      <c r="A21" s="118" t="str">
        <f t="shared" si="1"/>
        <v>4098300SCHMAT105121PMIBook DepreciationSE</v>
      </c>
      <c r="B21" s="126">
        <v>4098300</v>
      </c>
      <c r="C21" s="117" t="str">
        <f t="shared" si="2"/>
        <v>SCHMAT</v>
      </c>
      <c r="D21" s="126">
        <v>105121</v>
      </c>
      <c r="E21" s="128" t="s">
        <v>362</v>
      </c>
      <c r="F21" s="127" t="s">
        <v>3134</v>
      </c>
      <c r="G21" s="136">
        <v>15648.058999999999</v>
      </c>
      <c r="H21" s="113" t="str">
        <f t="shared" si="0"/>
        <v>SE</v>
      </c>
      <c r="I21" s="113" t="str">
        <f>INDEX('SCH M Lookup'!$I:$I,MATCH($A21,'SCH M Lookup'!$A:$A,0))</f>
        <v>P</v>
      </c>
      <c r="J21" s="113" t="str">
        <f>IF('SCH M Jun22data'!$G21=0,"NO",IF(ISNA('SCH M Jun22data'!$I21),"YES",IF(_xlfn.ISFORMULA('SCH M Jun22data'!$I21),"NO","YES")))</f>
        <v>NO</v>
      </c>
      <c r="K21"/>
    </row>
    <row r="22" spans="1:11">
      <c r="A22" s="118" t="str">
        <f t="shared" si="1"/>
        <v>4098300SCHMAT105123Sec. 481a Adj - Repair DeductionSG</v>
      </c>
      <c r="B22" s="126">
        <v>4098300</v>
      </c>
      <c r="C22" s="117" t="str">
        <f t="shared" si="2"/>
        <v>SCHMAT</v>
      </c>
      <c r="D22" s="126">
        <v>105123</v>
      </c>
      <c r="E22" s="128" t="s">
        <v>3139</v>
      </c>
      <c r="F22" s="127" t="s">
        <v>87</v>
      </c>
      <c r="G22" s="136">
        <v>0</v>
      </c>
      <c r="H22" s="113" t="str">
        <f t="shared" si="0"/>
        <v>SG</v>
      </c>
      <c r="I22" s="113" t="e">
        <f>INDEX('SCH M Lookup'!$I:$I,MATCH($A22,'SCH M Lookup'!$A:$A,0))</f>
        <v>#N/A</v>
      </c>
      <c r="J22" s="113" t="str">
        <f>IF('SCH M Jun22data'!$G22=0,"NO",IF(ISNA('SCH M Jun22data'!$I22),"YES",IF(_xlfn.ISFORMULA('SCH M Jun22data'!$I22),"NO","YES")))</f>
        <v>NO</v>
      </c>
      <c r="K22"/>
    </row>
    <row r="23" spans="1:11">
      <c r="A23" s="118" t="str">
        <f t="shared" si="1"/>
        <v>4098300SCHMAT105130CIACCIAC</v>
      </c>
      <c r="B23" s="126">
        <v>4098300</v>
      </c>
      <c r="C23" s="117" t="str">
        <f t="shared" si="2"/>
        <v>SCHMAT</v>
      </c>
      <c r="D23" s="126">
        <v>105130</v>
      </c>
      <c r="E23" s="128" t="s">
        <v>152</v>
      </c>
      <c r="F23" s="127" t="s">
        <v>152</v>
      </c>
      <c r="G23" s="136">
        <v>109875.809609876</v>
      </c>
      <c r="H23" s="113" t="str">
        <f t="shared" si="0"/>
        <v>CIAC</v>
      </c>
      <c r="I23" s="113" t="str">
        <f>INDEX('SCH M Lookup'!$I:$I,MATCH($A23,'SCH M Lookup'!$A:$A,0))</f>
        <v>DPW</v>
      </c>
      <c r="J23" s="113" t="str">
        <f>IF('SCH M Jun22data'!$G23=0,"NO",IF(ISNA('SCH M Jun22data'!$I23),"YES",IF(_xlfn.ISFORMULA('SCH M Jun22data'!$I23),"NO","YES")))</f>
        <v>NO</v>
      </c>
      <c r="K23"/>
    </row>
    <row r="24" spans="1:11">
      <c r="A24" s="118" t="str">
        <f t="shared" si="1"/>
        <v>4098300SCHMAT105137Auto DepreciationSO</v>
      </c>
      <c r="B24" s="126">
        <v>4098300</v>
      </c>
      <c r="C24" s="117" t="str">
        <f t="shared" si="2"/>
        <v>SCHMAT</v>
      </c>
      <c r="D24" s="126">
        <v>105137</v>
      </c>
      <c r="E24" s="128" t="s">
        <v>3140</v>
      </c>
      <c r="F24" s="127" t="s">
        <v>89</v>
      </c>
      <c r="G24" s="136">
        <v>0</v>
      </c>
      <c r="H24" s="113" t="str">
        <f t="shared" si="0"/>
        <v>SO</v>
      </c>
      <c r="I24" s="113" t="e">
        <f>INDEX('SCH M Lookup'!$I:$I,MATCH($A24,'SCH M Lookup'!$A:$A,0))</f>
        <v>#N/A</v>
      </c>
      <c r="J24" s="113" t="str">
        <f>IF('SCH M Jun22data'!$G24=0,"NO",IF(ISNA('SCH M Jun22data'!$I24),"YES",IF(_xlfn.ISFORMULA('SCH M Jun22data'!$I24),"NO","YES")))</f>
        <v>NO</v>
      </c>
      <c r="K24"/>
    </row>
    <row r="25" spans="1:11">
      <c r="A25" s="118" t="str">
        <f t="shared" si="1"/>
        <v>4098300SCHMAT105140Highway relocationSNPD</v>
      </c>
      <c r="B25" s="126">
        <v>4098300</v>
      </c>
      <c r="C25" s="117" t="str">
        <f t="shared" si="2"/>
        <v>SCHMAT</v>
      </c>
      <c r="D25" s="126">
        <v>105140</v>
      </c>
      <c r="E25" s="128" t="s">
        <v>363</v>
      </c>
      <c r="F25" s="127" t="s">
        <v>11</v>
      </c>
      <c r="G25" s="136">
        <v>3969.5650039695602</v>
      </c>
      <c r="H25" s="113" t="str">
        <f t="shared" si="0"/>
        <v>SNPD</v>
      </c>
      <c r="I25" s="113" t="str">
        <f>INDEX('SCH M Lookup'!$I:$I,MATCH($A25,'SCH M Lookup'!$A:$A,0))</f>
        <v>DPW</v>
      </c>
      <c r="J25" s="113" t="str">
        <f>IF('SCH M Jun22data'!$G25=0,"NO",IF(ISNA('SCH M Jun22data'!$I25),"YES",IF(_xlfn.ISFORMULA('SCH M Jun22data'!$I25),"NO","YES")))</f>
        <v>NO</v>
      </c>
      <c r="K25"/>
    </row>
    <row r="26" spans="1:11">
      <c r="A26" s="118" t="str">
        <f t="shared" si="1"/>
        <v>4098300SCHMAT105142Avoided CostsSNP</v>
      </c>
      <c r="B26" s="126">
        <v>4098300</v>
      </c>
      <c r="C26" s="117" t="str">
        <f t="shared" si="2"/>
        <v>SCHMAT</v>
      </c>
      <c r="D26" s="126">
        <v>105142</v>
      </c>
      <c r="E26" s="128" t="s">
        <v>364</v>
      </c>
      <c r="F26" s="127" t="s">
        <v>7</v>
      </c>
      <c r="G26" s="136">
        <v>42241.109409999997</v>
      </c>
      <c r="H26" s="113" t="str">
        <f t="shared" si="0"/>
        <v>SNP</v>
      </c>
      <c r="I26" s="113" t="str">
        <f>INDEX('SCH M Lookup'!$I:$I,MATCH($A26,'SCH M Lookup'!$A:$A,0))</f>
        <v>PTD</v>
      </c>
      <c r="J26" s="113" t="str">
        <f>IF('SCH M Jun22data'!$G26=0,"NO",IF(ISNA('SCH M Jun22data'!$I26),"YES",IF(_xlfn.ISFORMULA('SCH M Jun22data'!$I26),"NO","YES")))</f>
        <v>NO</v>
      </c>
      <c r="K26"/>
    </row>
    <row r="27" spans="1:11">
      <c r="A27" s="118" t="str">
        <f t="shared" si="1"/>
        <v>4098300SCHMAT105145Acquisition Adjustment AmortSG</v>
      </c>
      <c r="B27" s="126">
        <v>4098300</v>
      </c>
      <c r="C27" s="117" t="str">
        <f t="shared" si="2"/>
        <v>SCHMAT</v>
      </c>
      <c r="D27" s="126">
        <v>105145</v>
      </c>
      <c r="E27" s="128" t="s">
        <v>3141</v>
      </c>
      <c r="F27" s="127" t="s">
        <v>3106</v>
      </c>
      <c r="G27" s="136">
        <v>0</v>
      </c>
      <c r="H27" s="113" t="str">
        <f t="shared" si="0"/>
        <v>SG</v>
      </c>
      <c r="I27" s="113" t="e">
        <f>INDEX('SCH M Lookup'!$I:$I,MATCH($A27,'SCH M Lookup'!$A:$A,0))</f>
        <v>#N/A</v>
      </c>
      <c r="J27" s="113" t="str">
        <f>IF('SCH M Jun22data'!$G27=0,"NO",IF(ISNA('SCH M Jun22data'!$I27),"YES",IF(_xlfn.ISFORMULA('SCH M Jun22data'!$I27),"NO","YES")))</f>
        <v>NO</v>
      </c>
      <c r="K27"/>
    </row>
    <row r="28" spans="1:11">
      <c r="A28" s="118" t="str">
        <f t="shared" si="1"/>
        <v>4098300SCHMAT105146Capitalization of Test EnergySG</v>
      </c>
      <c r="B28" s="126">
        <v>4098300</v>
      </c>
      <c r="C28" s="117" t="str">
        <f t="shared" si="2"/>
        <v>SCHMAT</v>
      </c>
      <c r="D28" s="126">
        <v>105146</v>
      </c>
      <c r="E28" s="128" t="s">
        <v>365</v>
      </c>
      <c r="F28" s="127" t="s">
        <v>87</v>
      </c>
      <c r="G28" s="136">
        <v>2294.761</v>
      </c>
      <c r="H28" s="113" t="str">
        <f t="shared" si="0"/>
        <v>SG</v>
      </c>
      <c r="I28" s="113" t="str">
        <f>INDEX('SCH M Lookup'!$I:$I,MATCH($A28,'SCH M Lookup'!$A:$A,0))</f>
        <v>P</v>
      </c>
      <c r="J28" s="113" t="str">
        <f>IF('SCH M Jun22data'!$G28=0,"NO",IF(ISNA('SCH M Jun22data'!$I28),"YES",IF(_xlfn.ISFORMULA('SCH M Jun22data'!$I28),"NO","YES")))</f>
        <v>NO</v>
      </c>
      <c r="K28"/>
    </row>
    <row r="29" spans="1:11">
      <c r="A29" s="118" t="str">
        <f t="shared" si="1"/>
        <v>4098300SCHMAT105147Sec 1031 Like Kind ExchangeSO</v>
      </c>
      <c r="B29" s="126">
        <v>4098300</v>
      </c>
      <c r="C29" s="117" t="str">
        <f t="shared" si="2"/>
        <v>SCHMAT</v>
      </c>
      <c r="D29" s="126">
        <v>105147</v>
      </c>
      <c r="E29" s="128" t="s">
        <v>3142</v>
      </c>
      <c r="F29" s="127" t="s">
        <v>89</v>
      </c>
      <c r="G29" s="136">
        <v>0</v>
      </c>
      <c r="H29" s="113" t="str">
        <f t="shared" si="0"/>
        <v>SO</v>
      </c>
      <c r="I29" s="113" t="e">
        <f>INDEX('SCH M Lookup'!$I:$I,MATCH($A29,'SCH M Lookup'!$A:$A,0))</f>
        <v>#N/A</v>
      </c>
      <c r="J29" s="113" t="str">
        <f>IF('SCH M Jun22data'!$G29=0,"NO",IF(ISNA('SCH M Jun22data'!$I29),"YES",IF(_xlfn.ISFORMULA('SCH M Jun22data'!$I29),"NO","YES")))</f>
        <v>NO</v>
      </c>
      <c r="K29"/>
    </row>
    <row r="30" spans="1:11">
      <c r="A30" s="118" t="str">
        <f t="shared" si="1"/>
        <v>4098300SCHMAT105165Coal Mine DevelopmentSE</v>
      </c>
      <c r="B30" s="126">
        <v>4098300</v>
      </c>
      <c r="C30" s="117" t="str">
        <f t="shared" si="2"/>
        <v>SCHMAT</v>
      </c>
      <c r="D30" s="126">
        <v>105165</v>
      </c>
      <c r="E30" s="128" t="s">
        <v>3143</v>
      </c>
      <c r="F30" s="127" t="s">
        <v>85</v>
      </c>
      <c r="G30" s="136">
        <v>0</v>
      </c>
      <c r="H30" s="113" t="str">
        <f t="shared" si="0"/>
        <v>SE</v>
      </c>
      <c r="I30" s="113" t="e">
        <f>INDEX('SCH M Lookup'!$I:$I,MATCH($A30,'SCH M Lookup'!$A:$A,0))</f>
        <v>#N/A</v>
      </c>
      <c r="J30" s="113" t="str">
        <f>IF('SCH M Jun22data'!$G30=0,"NO",IF(ISNA('SCH M Jun22data'!$I30),"YES",IF(_xlfn.ISFORMULA('SCH M Jun22data'!$I30),"NO","YES")))</f>
        <v>NO</v>
      </c>
      <c r="K30"/>
    </row>
    <row r="31" spans="1:11">
      <c r="A31" s="118" t="str">
        <f t="shared" si="1"/>
        <v>4098300SCHMAT105170Coal Mine Receding Face (Extension)SE</v>
      </c>
      <c r="B31" s="126">
        <v>4098300</v>
      </c>
      <c r="C31" s="117" t="str">
        <f t="shared" si="2"/>
        <v>SCHMAT</v>
      </c>
      <c r="D31" s="126">
        <v>105170</v>
      </c>
      <c r="E31" s="128" t="s">
        <v>3144</v>
      </c>
      <c r="F31" s="127" t="s">
        <v>85</v>
      </c>
      <c r="G31" s="136">
        <v>0</v>
      </c>
      <c r="H31" s="113" t="str">
        <f t="shared" si="0"/>
        <v>SE</v>
      </c>
      <c r="I31" s="113" t="e">
        <f>INDEX('SCH M Lookup'!$I:$I,MATCH($A31,'SCH M Lookup'!$A:$A,0))</f>
        <v>#N/A</v>
      </c>
      <c r="J31" s="113" t="str">
        <f>IF('SCH M Jun22data'!$G31=0,"NO",IF(ISNA('SCH M Jun22data'!$I31),"YES",IF(_xlfn.ISFORMULA('SCH M Jun22data'!$I31),"NO","YES")))</f>
        <v>NO</v>
      </c>
      <c r="K31"/>
    </row>
    <row r="32" spans="1:11">
      <c r="A32" s="118" t="str">
        <f t="shared" si="1"/>
        <v>4098300SCHMAT105180Steam Rts Blundell Geothml Bk DeprSG</v>
      </c>
      <c r="B32" s="126">
        <v>4098300</v>
      </c>
      <c r="C32" s="117" t="str">
        <f t="shared" si="2"/>
        <v>SCHMAT</v>
      </c>
      <c r="D32" s="126">
        <v>105180</v>
      </c>
      <c r="E32" s="128" t="s">
        <v>3145</v>
      </c>
      <c r="F32" s="127" t="s">
        <v>87</v>
      </c>
      <c r="G32" s="136">
        <v>0</v>
      </c>
      <c r="H32" s="113" t="str">
        <f t="shared" si="0"/>
        <v>SG</v>
      </c>
      <c r="I32" s="113" t="e">
        <f>INDEX('SCH M Lookup'!$I:$I,MATCH($A32,'SCH M Lookup'!$A:$A,0))</f>
        <v>#N/A</v>
      </c>
      <c r="J32" s="113" t="str">
        <f>IF('SCH M Jun22data'!$G32=0,"NO",IF(ISNA('SCH M Jun22data'!$I32),"YES",IF(_xlfn.ISFORMULA('SCH M Jun22data'!$I32),"NO","YES")))</f>
        <v>NO</v>
      </c>
      <c r="K32"/>
    </row>
    <row r="33" spans="1:11">
      <c r="A33" s="118" t="str">
        <f t="shared" si="1"/>
        <v>4098300SCHMAT105205Coal Mine Development-30%AmortSE</v>
      </c>
      <c r="B33" s="126">
        <v>4098300</v>
      </c>
      <c r="C33" s="117" t="str">
        <f t="shared" si="2"/>
        <v>SCHMAT</v>
      </c>
      <c r="D33" s="126">
        <v>105205</v>
      </c>
      <c r="E33" s="128" t="s">
        <v>3146</v>
      </c>
      <c r="F33" s="127" t="s">
        <v>85</v>
      </c>
      <c r="G33" s="136">
        <v>0</v>
      </c>
      <c r="H33" s="113" t="str">
        <f t="shared" si="0"/>
        <v>SE</v>
      </c>
      <c r="I33" s="113" t="e">
        <f>INDEX('SCH M Lookup'!$I:$I,MATCH($A33,'SCH M Lookup'!$A:$A,0))</f>
        <v>#N/A</v>
      </c>
      <c r="J33" s="113" t="str">
        <f>IF('SCH M Jun22data'!$G33=0,"NO",IF(ISNA('SCH M Jun22data'!$I33),"YES",IF(_xlfn.ISFORMULA('SCH M Jun22data'!$I33),"NO","YES")))</f>
        <v>NO</v>
      </c>
      <c r="K33"/>
    </row>
    <row r="34" spans="1:11">
      <c r="A34" s="118" t="str">
        <f t="shared" si="1"/>
        <v>4098300SCHMAT105471UT Kalamath Relicensing CostsOTHER</v>
      </c>
      <c r="B34" s="126">
        <v>4098300</v>
      </c>
      <c r="C34" s="117" t="str">
        <f t="shared" si="2"/>
        <v>SCHMAT</v>
      </c>
      <c r="D34" s="126">
        <v>105471</v>
      </c>
      <c r="E34" s="128" t="s">
        <v>366</v>
      </c>
      <c r="F34" s="127" t="s">
        <v>306</v>
      </c>
      <c r="G34" s="136">
        <v>0</v>
      </c>
      <c r="H34" s="113" t="str">
        <f t="shared" si="0"/>
        <v>OTHER</v>
      </c>
      <c r="I34" s="113" t="e">
        <f>INDEX('SCH M Lookup'!$I:$I,MATCH($A34,'SCH M Lookup'!$A:$A,0))</f>
        <v>#N/A</v>
      </c>
      <c r="J34" s="113" t="str">
        <f>IF('SCH M Jun22data'!$G34=0,"NO",IF(ISNA('SCH M Jun22data'!$I34),"YES",IF(_xlfn.ISFORMULA('SCH M Jun22data'!$I34),"NO","YES")))</f>
        <v>NO</v>
      </c>
      <c r="K34"/>
    </row>
    <row r="35" spans="1:11">
      <c r="A35" s="118" t="str">
        <f t="shared" si="1"/>
        <v>4098300SCHMAT110100Book Cost DepletionSE</v>
      </c>
      <c r="B35" s="126">
        <v>4098300</v>
      </c>
      <c r="C35" s="117" t="str">
        <f t="shared" si="2"/>
        <v>SCHMAT</v>
      </c>
      <c r="D35" s="126">
        <v>110100</v>
      </c>
      <c r="E35" s="128" t="s">
        <v>3147</v>
      </c>
      <c r="F35" s="127" t="s">
        <v>3110</v>
      </c>
      <c r="G35" s="136">
        <v>0</v>
      </c>
      <c r="H35" s="113" t="str">
        <f t="shared" si="0"/>
        <v>SE</v>
      </c>
      <c r="I35" s="113" t="e">
        <f>INDEX('SCH M Lookup'!$I:$I,MATCH($A35,'SCH M Lookup'!$A:$A,0))</f>
        <v>#N/A</v>
      </c>
      <c r="J35" s="113" t="str">
        <f>IF('SCH M Jun22data'!$G35=0,"NO",IF(ISNA('SCH M Jun22data'!$I35),"YES",IF(_xlfn.ISFORMULA('SCH M Jun22data'!$I35),"NO","YES")))</f>
        <v>NO</v>
      </c>
      <c r="K35"/>
    </row>
    <row r="36" spans="1:11">
      <c r="A36" s="118" t="str">
        <f t="shared" si="1"/>
        <v>4098300SCHMAT110105SRC Book Depletion step up basis adjSG</v>
      </c>
      <c r="B36" s="126">
        <v>4098300</v>
      </c>
      <c r="C36" s="117" t="str">
        <f t="shared" si="2"/>
        <v>SCHMAT</v>
      </c>
      <c r="D36" s="126">
        <v>110105</v>
      </c>
      <c r="E36" s="128" t="s">
        <v>3148</v>
      </c>
      <c r="F36" s="127" t="s">
        <v>87</v>
      </c>
      <c r="G36" s="136">
        <v>0</v>
      </c>
      <c r="H36" s="113" t="str">
        <f t="shared" si="0"/>
        <v>SG</v>
      </c>
      <c r="I36" s="113" t="e">
        <f>INDEX('SCH M Lookup'!$I:$I,MATCH($A36,'SCH M Lookup'!$A:$A,0))</f>
        <v>#N/A</v>
      </c>
      <c r="J36" s="113" t="str">
        <f>IF('SCH M Jun22data'!$G36=0,"NO",IF(ISNA('SCH M Jun22data'!$I36),"YES",IF(_xlfn.ISFORMULA('SCH M Jun22data'!$I36),"NO","YES")))</f>
        <v>NO</v>
      </c>
      <c r="K36"/>
    </row>
    <row r="37" spans="1:11">
      <c r="A37" s="118" t="str">
        <f t="shared" si="1"/>
        <v>4098300SCHMAT1101051SRC Book Cost DepletionSG</v>
      </c>
      <c r="B37" s="126">
        <v>4098300</v>
      </c>
      <c r="C37" s="117" t="str">
        <f t="shared" si="2"/>
        <v>SCHMAT</v>
      </c>
      <c r="D37" s="126">
        <v>1101051</v>
      </c>
      <c r="E37" s="128" t="s">
        <v>3149</v>
      </c>
      <c r="F37" s="127" t="s">
        <v>87</v>
      </c>
      <c r="G37" s="136">
        <v>0</v>
      </c>
      <c r="H37" s="113" t="str">
        <f t="shared" si="0"/>
        <v>SG</v>
      </c>
      <c r="I37" s="113" t="e">
        <f>INDEX('SCH M Lookup'!$I:$I,MATCH($A37,'SCH M Lookup'!$A:$A,0))</f>
        <v>#N/A</v>
      </c>
      <c r="J37" s="113" t="str">
        <f>IF('SCH M Jun22data'!$G37=0,"NO",IF(ISNA('SCH M Jun22data'!$I37),"YES",IF(_xlfn.ISFORMULA('SCH M Jun22data'!$I37),"NO","YES")))</f>
        <v>NO</v>
      </c>
      <c r="K37"/>
    </row>
    <row r="38" spans="1:11">
      <c r="A38" s="118" t="str">
        <f t="shared" si="1"/>
        <v>4098300SCHMAT120105Willow Wind Account ReceivableSITUS</v>
      </c>
      <c r="B38" s="126">
        <v>4098300</v>
      </c>
      <c r="C38" s="117" t="str">
        <f t="shared" si="2"/>
        <v>SCHMAT</v>
      </c>
      <c r="D38" s="126">
        <v>120105</v>
      </c>
      <c r="E38" s="128" t="s">
        <v>3150</v>
      </c>
      <c r="F38" s="127" t="s">
        <v>367</v>
      </c>
      <c r="G38" s="136">
        <v>0</v>
      </c>
      <c r="H38" s="113" t="str">
        <f t="shared" si="0"/>
        <v>SITUS</v>
      </c>
      <c r="I38" s="113" t="e">
        <f>INDEX('SCH M Lookup'!$I:$I,MATCH($A38,'SCH M Lookup'!$A:$A,0))</f>
        <v>#N/A</v>
      </c>
      <c r="J38" s="113" t="str">
        <f>IF('SCH M Jun22data'!$G38=0,"NO",IF(ISNA('SCH M Jun22data'!$I38),"YES",IF(_xlfn.ISFORMULA('SCH M Jun22data'!$I38),"NO","YES")))</f>
        <v>NO</v>
      </c>
      <c r="K38"/>
    </row>
    <row r="39" spans="1:11">
      <c r="A39" s="118" t="str">
        <f t="shared" si="1"/>
        <v>4098300SCHMAT205100Coal Pile Inventory AdjustmentSE</v>
      </c>
      <c r="B39" s="126">
        <v>4098300</v>
      </c>
      <c r="C39" s="117" t="str">
        <f t="shared" si="2"/>
        <v>SCHMAT</v>
      </c>
      <c r="D39" s="126">
        <v>205100</v>
      </c>
      <c r="E39" s="128" t="s">
        <v>368</v>
      </c>
      <c r="F39" s="127" t="s">
        <v>3110</v>
      </c>
      <c r="G39" s="136">
        <v>0</v>
      </c>
      <c r="H39" s="113" t="str">
        <f t="shared" si="0"/>
        <v>SE</v>
      </c>
      <c r="I39" s="113" t="str">
        <f>INDEX('SCH M Lookup'!$I:$I,MATCH($A39,'SCH M Lookup'!$A:$A,0))</f>
        <v>P</v>
      </c>
      <c r="J39" s="113" t="str">
        <f>IF('SCH M Jun22data'!$G39=0,"NO",IF(ISNA('SCH M Jun22data'!$I39),"YES",IF(_xlfn.ISFORMULA('SCH M Jun22data'!$I39),"NO","YES")))</f>
        <v>NO</v>
      </c>
      <c r="K39"/>
    </row>
    <row r="40" spans="1:11">
      <c r="A40" s="118" t="str">
        <f t="shared" si="1"/>
        <v>4098300SCHMAT205210ERC (Emission Reduction Credit) ImpairmeSE</v>
      </c>
      <c r="B40" s="126">
        <v>4098300</v>
      </c>
      <c r="C40" s="117" t="str">
        <f t="shared" si="2"/>
        <v>SCHMAT</v>
      </c>
      <c r="D40" s="126">
        <v>205210</v>
      </c>
      <c r="E40" s="128" t="s">
        <v>3151</v>
      </c>
      <c r="F40" s="127" t="s">
        <v>3110</v>
      </c>
      <c r="G40" s="136">
        <v>0</v>
      </c>
      <c r="H40" s="113" t="str">
        <f t="shared" si="0"/>
        <v>SE</v>
      </c>
      <c r="I40" s="113" t="e">
        <f>INDEX('SCH M Lookup'!$I:$I,MATCH($A40,'SCH M Lookup'!$A:$A,0))</f>
        <v>#N/A</v>
      </c>
      <c r="J40" s="113" t="str">
        <f>IF('SCH M Jun22data'!$G40=0,"NO",IF(ISNA('SCH M Jun22data'!$I40),"YES",IF(_xlfn.ISFORMULA('SCH M Jun22data'!$I40),"NO","YES")))</f>
        <v>NO</v>
      </c>
      <c r="K40"/>
    </row>
    <row r="41" spans="1:11">
      <c r="A41" s="118" t="str">
        <f t="shared" si="1"/>
        <v>4098300SCHMAT205411PMI Sec 263A AdjustmentSE</v>
      </c>
      <c r="B41" s="126">
        <v>4098300</v>
      </c>
      <c r="C41" s="117" t="str">
        <f t="shared" si="2"/>
        <v>SCHMAT</v>
      </c>
      <c r="D41" s="126">
        <v>205411</v>
      </c>
      <c r="E41" s="128" t="s">
        <v>3152</v>
      </c>
      <c r="F41" s="127" t="s">
        <v>3134</v>
      </c>
      <c r="G41" s="136">
        <v>0</v>
      </c>
      <c r="H41" s="113" t="str">
        <f t="shared" si="0"/>
        <v>SE</v>
      </c>
      <c r="I41" s="113" t="e">
        <f>INDEX('SCH M Lookup'!$I:$I,MATCH($A41,'SCH M Lookup'!$A:$A,0))</f>
        <v>#N/A</v>
      </c>
      <c r="J41" s="113" t="str">
        <f>IF('SCH M Jun22data'!$G41=0,"NO",IF(ISNA('SCH M Jun22data'!$I41),"YES",IF(_xlfn.ISFORMULA('SCH M Jun22data'!$I41),"NO","YES")))</f>
        <v>NO</v>
      </c>
      <c r="K41"/>
    </row>
    <row r="42" spans="1:11">
      <c r="A42" s="118" t="str">
        <f t="shared" si="1"/>
        <v>4098300SCHMAT210105Self Insured Health BenefitSO</v>
      </c>
      <c r="B42" s="126">
        <v>4098300</v>
      </c>
      <c r="C42" s="117" t="str">
        <f t="shared" si="2"/>
        <v>SCHMAT</v>
      </c>
      <c r="D42" s="126">
        <v>210105</v>
      </c>
      <c r="E42" s="128" t="s">
        <v>3153</v>
      </c>
      <c r="F42" s="127" t="s">
        <v>89</v>
      </c>
      <c r="G42" s="136">
        <v>0</v>
      </c>
      <c r="H42" s="113" t="str">
        <f t="shared" si="0"/>
        <v>SO</v>
      </c>
      <c r="I42" s="113" t="e">
        <f>INDEX('SCH M Lookup'!$I:$I,MATCH($A42,'SCH M Lookup'!$A:$A,0))</f>
        <v>#N/A</v>
      </c>
      <c r="J42" s="113" t="str">
        <f>IF('SCH M Jun22data'!$G42=0,"NO",IF(ISNA('SCH M Jun22data'!$I42),"YES",IF(_xlfn.ISFORMULA('SCH M Jun22data'!$I42),"NO","YES")))</f>
        <v>NO</v>
      </c>
      <c r="K42"/>
    </row>
    <row r="43" spans="1:11">
      <c r="A43" s="118" t="str">
        <f t="shared" si="1"/>
        <v>4098300SCHMAT210120Prepaid Taxes-UT PUCSITUS</v>
      </c>
      <c r="B43" s="126">
        <v>4098300</v>
      </c>
      <c r="C43" s="117" t="str">
        <f t="shared" si="2"/>
        <v>SCHMAT</v>
      </c>
      <c r="D43" s="126">
        <v>210120</v>
      </c>
      <c r="E43" s="128" t="s">
        <v>369</v>
      </c>
      <c r="F43" s="127" t="s">
        <v>370</v>
      </c>
      <c r="G43" s="136">
        <v>0</v>
      </c>
      <c r="H43" s="113" t="str">
        <f t="shared" si="0"/>
        <v>SITUS</v>
      </c>
      <c r="I43" s="113" t="e">
        <f>INDEX('SCH M Lookup'!$I:$I,MATCH($A43,'SCH M Lookup'!$A:$A,0))</f>
        <v>#N/A</v>
      </c>
      <c r="J43" s="113" t="str">
        <f>IF('SCH M Jun22data'!$G43=0,"NO",IF(ISNA('SCH M Jun22data'!$I43),"YES",IF(_xlfn.ISFORMULA('SCH M Jun22data'!$I43),"NO","YES")))</f>
        <v>NO</v>
      </c>
      <c r="K43"/>
    </row>
    <row r="44" spans="1:11">
      <c r="A44" s="118" t="str">
        <f t="shared" si="1"/>
        <v>4098300SCHMAT210130Prepaid Taxes-ID PUCSITUS</v>
      </c>
      <c r="B44" s="126">
        <v>4098300</v>
      </c>
      <c r="C44" s="117" t="str">
        <f t="shared" si="2"/>
        <v>SCHMAT</v>
      </c>
      <c r="D44" s="126">
        <v>210130</v>
      </c>
      <c r="E44" s="128" t="s">
        <v>371</v>
      </c>
      <c r="F44" s="127" t="s">
        <v>372</v>
      </c>
      <c r="G44" s="136">
        <v>0</v>
      </c>
      <c r="H44" s="113" t="str">
        <f t="shared" si="0"/>
        <v>SITUS</v>
      </c>
      <c r="I44" s="113" t="e">
        <f>INDEX('SCH M Lookup'!$I:$I,MATCH($A44,'SCH M Lookup'!$A:$A,0))</f>
        <v>#N/A</v>
      </c>
      <c r="J44" s="113" t="str">
        <f>IF('SCH M Jun22data'!$G44=0,"NO",IF(ISNA('SCH M Jun22data'!$I44),"YES",IF(_xlfn.ISFORMULA('SCH M Jun22data'!$I44),"NO","YES")))</f>
        <v>NO</v>
      </c>
      <c r="K44"/>
    </row>
    <row r="45" spans="1:11">
      <c r="A45" s="118" t="str">
        <f t="shared" si="1"/>
        <v>4098300SCHMAT210200Prepaid Taxes-property taxesGPS</v>
      </c>
      <c r="B45" s="126">
        <v>4098300</v>
      </c>
      <c r="C45" s="117" t="str">
        <f t="shared" si="2"/>
        <v>SCHMAT</v>
      </c>
      <c r="D45" s="126">
        <v>210200</v>
      </c>
      <c r="E45" s="128" t="s">
        <v>373</v>
      </c>
      <c r="F45" s="127" t="s">
        <v>9</v>
      </c>
      <c r="G45" s="136">
        <v>-2297.2985199999998</v>
      </c>
      <c r="H45" s="113" t="str">
        <f t="shared" si="0"/>
        <v>GPS</v>
      </c>
      <c r="I45" s="113" t="str">
        <f>INDEX('SCH M Lookup'!$I:$I,MATCH($A45,'SCH M Lookup'!$A:$A,0))</f>
        <v>GP</v>
      </c>
      <c r="J45" s="113" t="str">
        <f>IF('SCH M Jun22data'!$G45=0,"NO",IF(ISNA('SCH M Jun22data'!$I45),"YES",IF(_xlfn.ISFORMULA('SCH M Jun22data'!$I45),"NO","YES")))</f>
        <v>NO</v>
      </c>
      <c r="K45"/>
    </row>
    <row r="46" spans="1:11">
      <c r="A46" s="118" t="str">
        <f t="shared" si="1"/>
        <v>4098300SCHMAT220100Bad Debts Allowance - Cash BasisBADDEBT</v>
      </c>
      <c r="B46" s="126">
        <v>4098300</v>
      </c>
      <c r="C46" s="117" t="str">
        <f t="shared" si="2"/>
        <v>SCHMAT</v>
      </c>
      <c r="D46" s="126">
        <v>220100</v>
      </c>
      <c r="E46" s="128" t="s">
        <v>374</v>
      </c>
      <c r="F46" s="127" t="s">
        <v>8</v>
      </c>
      <c r="G46" s="136">
        <v>941.97832000000005</v>
      </c>
      <c r="H46" s="113" t="str">
        <f t="shared" si="0"/>
        <v>BADDEBT</v>
      </c>
      <c r="I46" s="113" t="str">
        <f>INDEX('SCH M Lookup'!$I:$I,MATCH($A46,'SCH M Lookup'!$A:$A,0))</f>
        <v>CUST</v>
      </c>
      <c r="J46" s="113" t="str">
        <f>IF('SCH M Jun22data'!$G46=0,"NO",IF(ISNA('SCH M Jun22data'!$I46),"YES",IF(_xlfn.ISFORMULA('SCH M Jun22data'!$I46),"NO","YES")))</f>
        <v>NO</v>
      </c>
      <c r="K46"/>
    </row>
    <row r="47" spans="1:11">
      <c r="A47" s="118" t="str">
        <f t="shared" si="1"/>
        <v>4098300SCHMAT320110Transition Team Costs-UTSITUS</v>
      </c>
      <c r="B47" s="126">
        <v>4098300</v>
      </c>
      <c r="C47" s="117" t="str">
        <f t="shared" si="2"/>
        <v>SCHMAT</v>
      </c>
      <c r="D47" s="126">
        <v>320110</v>
      </c>
      <c r="E47" s="128" t="s">
        <v>3154</v>
      </c>
      <c r="F47" s="127" t="s">
        <v>370</v>
      </c>
      <c r="G47" s="136">
        <v>0</v>
      </c>
      <c r="H47" s="113" t="str">
        <f t="shared" si="0"/>
        <v>SITUS</v>
      </c>
      <c r="I47" s="113" t="e">
        <f>INDEX('SCH M Lookup'!$I:$I,MATCH($A47,'SCH M Lookup'!$A:$A,0))</f>
        <v>#N/A</v>
      </c>
      <c r="J47" s="113" t="str">
        <f>IF('SCH M Jun22data'!$G47=0,"NO",IF(ISNA('SCH M Jun22data'!$I47),"YES",IF(_xlfn.ISFORMULA('SCH M Jun22data'!$I47),"NO","YES")))</f>
        <v>NO</v>
      </c>
      <c r="K47"/>
    </row>
    <row r="48" spans="1:11">
      <c r="A48" s="118" t="str">
        <f t="shared" si="1"/>
        <v>4098300SCHMAT320115Misc - Reg Assets/Reg Liab-TotalOTHER</v>
      </c>
      <c r="B48" s="126">
        <v>4098300</v>
      </c>
      <c r="C48" s="117" t="str">
        <f t="shared" si="2"/>
        <v>SCHMAT</v>
      </c>
      <c r="D48" s="126">
        <v>320115</v>
      </c>
      <c r="E48" s="128" t="s">
        <v>3155</v>
      </c>
      <c r="F48" s="127" t="s">
        <v>306</v>
      </c>
      <c r="G48" s="136">
        <v>0</v>
      </c>
      <c r="H48" s="113" t="str">
        <f t="shared" si="0"/>
        <v>OTHER</v>
      </c>
      <c r="I48" s="113" t="e">
        <f>INDEX('SCH M Lookup'!$I:$I,MATCH($A48,'SCH M Lookup'!$A:$A,0))</f>
        <v>#N/A</v>
      </c>
      <c r="J48" s="113" t="str">
        <f>IF('SCH M Jun22data'!$G48=0,"NO",IF(ISNA('SCH M Jun22data'!$I48),"YES",IF(_xlfn.ISFORMULA('SCH M Jun22data'!$I48),"NO","YES")))</f>
        <v>NO</v>
      </c>
      <c r="K48"/>
    </row>
    <row r="49" spans="1:11">
      <c r="A49" s="118" t="str">
        <f t="shared" si="1"/>
        <v>4098300SCHMAT320140May 2000 Transition Plan Costs-ORSITUS</v>
      </c>
      <c r="B49" s="126">
        <v>4098300</v>
      </c>
      <c r="C49" s="117" t="str">
        <f t="shared" si="2"/>
        <v>SCHMAT</v>
      </c>
      <c r="D49" s="126">
        <v>320140</v>
      </c>
      <c r="E49" s="128" t="s">
        <v>3156</v>
      </c>
      <c r="F49" s="127" t="s">
        <v>343</v>
      </c>
      <c r="G49" s="136">
        <v>0</v>
      </c>
      <c r="H49" s="113" t="str">
        <f t="shared" si="0"/>
        <v>SITUS</v>
      </c>
      <c r="I49" s="113" t="e">
        <f>INDEX('SCH M Lookup'!$I:$I,MATCH($A49,'SCH M Lookup'!$A:$A,0))</f>
        <v>#N/A</v>
      </c>
      <c r="J49" s="113" t="str">
        <f>IF('SCH M Jun22data'!$G49=0,"NO",IF(ISNA('SCH M Jun22data'!$I49),"YES",IF(_xlfn.ISFORMULA('SCH M Jun22data'!$I49),"NO","YES")))</f>
        <v>NO</v>
      </c>
      <c r="K49"/>
    </row>
    <row r="50" spans="1:11">
      <c r="A50" s="118" t="str">
        <f t="shared" si="1"/>
        <v>4098300SCHMAT320210Research &amp; Exper. Sec. 174 Amort.SO</v>
      </c>
      <c r="B50" s="126">
        <v>4098300</v>
      </c>
      <c r="C50" s="117" t="str">
        <f t="shared" si="2"/>
        <v>SCHMAT</v>
      </c>
      <c r="D50" s="126">
        <v>320210</v>
      </c>
      <c r="E50" s="128" t="s">
        <v>3157</v>
      </c>
      <c r="F50" s="127" t="s">
        <v>89</v>
      </c>
      <c r="G50" s="136">
        <v>0</v>
      </c>
      <c r="H50" s="113" t="str">
        <f t="shared" si="0"/>
        <v>SO</v>
      </c>
      <c r="I50" s="113" t="e">
        <f>INDEX('SCH M Lookup'!$I:$I,MATCH($A50,'SCH M Lookup'!$A:$A,0))</f>
        <v>#N/A</v>
      </c>
      <c r="J50" s="113" t="str">
        <f>IF('SCH M Jun22data'!$G50=0,"NO",IF(ISNA('SCH M Jun22data'!$I50),"YES",IF(_xlfn.ISFORMULA('SCH M Jun22data'!$I50),"NO","YES")))</f>
        <v>NO</v>
      </c>
      <c r="K50"/>
    </row>
    <row r="51" spans="1:11">
      <c r="A51" s="118" t="str">
        <f t="shared" si="1"/>
        <v>4098300SCHMAT320220Glenrock Excluding Reclamation-UT rate oSITUS</v>
      </c>
      <c r="B51" s="126">
        <v>4098300</v>
      </c>
      <c r="C51" s="117" t="str">
        <f t="shared" si="2"/>
        <v>SCHMAT</v>
      </c>
      <c r="D51" s="126">
        <v>320220</v>
      </c>
      <c r="E51" s="128" t="s">
        <v>3158</v>
      </c>
      <c r="F51" s="127" t="s">
        <v>370</v>
      </c>
      <c r="G51" s="136">
        <v>0</v>
      </c>
      <c r="H51" s="113" t="str">
        <f t="shared" si="0"/>
        <v>SITUS</v>
      </c>
      <c r="I51" s="113" t="e">
        <f>INDEX('SCH M Lookup'!$I:$I,MATCH($A51,'SCH M Lookup'!$A:$A,0))</f>
        <v>#N/A</v>
      </c>
      <c r="J51" s="113" t="str">
        <f>IF('SCH M Jun22data'!$G51=0,"NO",IF(ISNA('SCH M Jun22data'!$I51),"YES",IF(_xlfn.ISFORMULA('SCH M Jun22data'!$I51),"NO","YES")))</f>
        <v>NO</v>
      </c>
      <c r="K51"/>
    </row>
    <row r="52" spans="1:11">
      <c r="A52" s="118" t="str">
        <f t="shared" si="1"/>
        <v>4098300SCHMAT320230FAS 87/88 Writeoff-UT rate orderSITUS</v>
      </c>
      <c r="B52" s="126">
        <v>4098300</v>
      </c>
      <c r="C52" s="117" t="str">
        <f t="shared" si="2"/>
        <v>SCHMAT</v>
      </c>
      <c r="D52" s="126">
        <v>320230</v>
      </c>
      <c r="E52" s="128" t="s">
        <v>3159</v>
      </c>
      <c r="F52" s="127" t="s">
        <v>370</v>
      </c>
      <c r="G52" s="136">
        <v>0</v>
      </c>
      <c r="H52" s="113" t="str">
        <f t="shared" si="0"/>
        <v>SITUS</v>
      </c>
      <c r="I52" s="113" t="e">
        <f>INDEX('SCH M Lookup'!$I:$I,MATCH($A52,'SCH M Lookup'!$A:$A,0))</f>
        <v>#N/A</v>
      </c>
      <c r="J52" s="113" t="str">
        <f>IF('SCH M Jun22data'!$G52=0,"NO",IF(ISNA('SCH M Jun22data'!$I52),"YES",IF(_xlfn.ISFORMULA('SCH M Jun22data'!$I52),"NO","YES")))</f>
        <v>NO</v>
      </c>
      <c r="K52"/>
    </row>
    <row r="53" spans="1:11">
      <c r="A53" s="118" t="str">
        <f t="shared" si="1"/>
        <v>4098300SCHMAT320282Reg Asset - Post-Retirement Settlement LSITUS</v>
      </c>
      <c r="B53" s="126">
        <v>4098300</v>
      </c>
      <c r="C53" s="117" t="str">
        <f t="shared" si="2"/>
        <v>SCHMAT</v>
      </c>
      <c r="D53" s="126">
        <v>320282</v>
      </c>
      <c r="E53" s="128" t="s">
        <v>377</v>
      </c>
      <c r="F53" s="127" t="s">
        <v>370</v>
      </c>
      <c r="G53" s="136">
        <v>0</v>
      </c>
      <c r="H53" s="113" t="str">
        <f t="shared" si="0"/>
        <v>SITUS</v>
      </c>
      <c r="I53" s="113" t="str">
        <f>INDEX('SCH M Lookup'!$I:$I,MATCH($A53,'SCH M Lookup'!$A:$A,0))</f>
        <v>LABOR</v>
      </c>
      <c r="J53" s="113" t="str">
        <f>IF('SCH M Jun22data'!$G53=0,"NO",IF(ISNA('SCH M Jun22data'!$I53),"YES",IF(_xlfn.ISFORMULA('SCH M Jun22data'!$I53),"NO","YES")))</f>
        <v>NO</v>
      </c>
      <c r="K53"/>
    </row>
    <row r="54" spans="1:11">
      <c r="A54" s="118" t="str">
        <f t="shared" si="1"/>
        <v>4098300SCHMAT320283Reg Asset - Post-Retirement Settlement LSITUS</v>
      </c>
      <c r="B54" s="126">
        <v>4098300</v>
      </c>
      <c r="C54" s="117" t="str">
        <f t="shared" si="2"/>
        <v>SCHMAT</v>
      </c>
      <c r="D54" s="126">
        <v>320283</v>
      </c>
      <c r="E54" s="128" t="s">
        <v>377</v>
      </c>
      <c r="F54" s="127" t="s">
        <v>378</v>
      </c>
      <c r="G54" s="136">
        <v>0</v>
      </c>
      <c r="H54" s="113" t="str">
        <f t="shared" si="0"/>
        <v>SITUS</v>
      </c>
      <c r="I54" s="113" t="str">
        <f>INDEX('SCH M Lookup'!$I:$I,MATCH($A54,'SCH M Lookup'!$A:$A,0))</f>
        <v>LABOR</v>
      </c>
      <c r="J54" s="113" t="str">
        <f>IF('SCH M Jun22data'!$G54=0,"NO",IF(ISNA('SCH M Jun22data'!$I54),"YES",IF(_xlfn.ISFORMULA('SCH M Jun22data'!$I54),"NO","YES")))</f>
        <v>NO</v>
      </c>
      <c r="K54"/>
    </row>
    <row r="55" spans="1:11">
      <c r="A55" s="118" t="str">
        <f t="shared" si="1"/>
        <v>4098300SCHMAT330100Amort. Pollution Control FacilitySG</v>
      </c>
      <c r="B55" s="126">
        <v>4098300</v>
      </c>
      <c r="C55" s="117" t="str">
        <f t="shared" si="2"/>
        <v>SCHMAT</v>
      </c>
      <c r="D55" s="126">
        <v>330100</v>
      </c>
      <c r="E55" s="128" t="s">
        <v>3160</v>
      </c>
      <c r="F55" s="127" t="s">
        <v>87</v>
      </c>
      <c r="G55" s="136">
        <v>0</v>
      </c>
      <c r="H55" s="113" t="str">
        <f t="shared" si="0"/>
        <v>SG</v>
      </c>
      <c r="I55" s="113" t="e">
        <f>INDEX('SCH M Lookup'!$I:$I,MATCH($A55,'SCH M Lookup'!$A:$A,0))</f>
        <v>#N/A</v>
      </c>
      <c r="J55" s="113" t="str">
        <f>IF('SCH M Jun22data'!$G55=0,"NO",IF(ISNA('SCH M Jun22data'!$I55),"YES",IF(_xlfn.ISFORMULA('SCH M Jun22data'!$I55),"NO","YES")))</f>
        <v>NO</v>
      </c>
      <c r="K55"/>
    </row>
    <row r="56" spans="1:11">
      <c r="A56" s="118" t="str">
        <f t="shared" si="1"/>
        <v>4098300SCHMAT415110Def Reg Asset-Transmission Srvc DepositSG</v>
      </c>
      <c r="B56" s="126">
        <v>4098300</v>
      </c>
      <c r="C56" s="117" t="str">
        <f t="shared" si="2"/>
        <v>SCHMAT</v>
      </c>
      <c r="D56" s="126">
        <v>415110</v>
      </c>
      <c r="E56" s="128" t="s">
        <v>379</v>
      </c>
      <c r="F56" s="127" t="s">
        <v>87</v>
      </c>
      <c r="G56" s="136">
        <v>0</v>
      </c>
      <c r="H56" s="113" t="str">
        <f t="shared" si="0"/>
        <v>SG</v>
      </c>
      <c r="I56" s="113" t="e">
        <f>INDEX('SCH M Lookup'!$I:$I,MATCH($A56,'SCH M Lookup'!$A:$A,0))</f>
        <v>#N/A</v>
      </c>
      <c r="J56" s="113" t="str">
        <f>IF('SCH M Jun22data'!$G56=0,"NO",IF(ISNA('SCH M Jun22data'!$I56),"YES",IF(_xlfn.ISFORMULA('SCH M Jun22data'!$I56),"NO","YES")))</f>
        <v>NO</v>
      </c>
      <c r="K56"/>
    </row>
    <row r="57" spans="1:11">
      <c r="A57" s="118" t="str">
        <f t="shared" si="1"/>
        <v>4098300SCHMAT415115Reg Asset - UT STEP Pilot Programs BalanOTHER</v>
      </c>
      <c r="B57" s="126">
        <v>4098300</v>
      </c>
      <c r="C57" s="117" t="str">
        <f t="shared" si="2"/>
        <v>SCHMAT</v>
      </c>
      <c r="D57" s="126">
        <v>415115</v>
      </c>
      <c r="E57" s="128" t="s">
        <v>380</v>
      </c>
      <c r="F57" s="127" t="s">
        <v>306</v>
      </c>
      <c r="G57" s="136">
        <v>-6619.56538</v>
      </c>
      <c r="H57" s="113" t="str">
        <f t="shared" si="0"/>
        <v>OTHER</v>
      </c>
      <c r="I57" s="113" t="str">
        <f>INDEX('SCH M Lookup'!$I:$I,MATCH($A57,'SCH M Lookup'!$A:$A,0))</f>
        <v>PTD</v>
      </c>
      <c r="J57" s="113" t="str">
        <f>IF('SCH M Jun22data'!$G57=0,"NO",IF(ISNA('SCH M Jun22data'!$I57),"YES",IF(_xlfn.ISFORMULA('SCH M Jun22data'!$I57),"NO","YES")))</f>
        <v>NO</v>
      </c>
      <c r="K57"/>
    </row>
    <row r="58" spans="1:11">
      <c r="A58" s="118" t="str">
        <f t="shared" si="1"/>
        <v>4098300SCHMAT415120Def Reg Asset-Foote Creek ContractSG</v>
      </c>
      <c r="B58" s="126">
        <v>4098300</v>
      </c>
      <c r="C58" s="117" t="str">
        <f t="shared" si="2"/>
        <v>SCHMAT</v>
      </c>
      <c r="D58" s="126">
        <v>415120</v>
      </c>
      <c r="E58" s="128" t="s">
        <v>3161</v>
      </c>
      <c r="F58" s="127" t="s">
        <v>87</v>
      </c>
      <c r="G58" s="136">
        <v>0</v>
      </c>
      <c r="H58" s="113" t="str">
        <f t="shared" si="0"/>
        <v>SG</v>
      </c>
      <c r="I58" s="113" t="e">
        <f>INDEX('SCH M Lookup'!$I:$I,MATCH($A58,'SCH M Lookup'!$A:$A,0))</f>
        <v>#N/A</v>
      </c>
      <c r="J58" s="113" t="str">
        <f>IF('SCH M Jun22data'!$G58=0,"NO",IF(ISNA('SCH M Jun22data'!$I58),"YES",IF(_xlfn.ISFORMULA('SCH M Jun22data'!$I58),"NO","YES")))</f>
        <v>NO</v>
      </c>
      <c r="K58"/>
    </row>
    <row r="59" spans="1:11">
      <c r="A59" s="118" t="str">
        <f t="shared" si="1"/>
        <v>4098300SCHMAT415251Reg Asset - Low Carbon Energy StandardsOTHER</v>
      </c>
      <c r="B59" s="126">
        <v>4098300</v>
      </c>
      <c r="C59" s="117" t="str">
        <f t="shared" si="2"/>
        <v>SCHMAT</v>
      </c>
      <c r="D59" s="126">
        <v>415251</v>
      </c>
      <c r="E59" s="128" t="s">
        <v>3163</v>
      </c>
      <c r="F59" s="127" t="s">
        <v>306</v>
      </c>
      <c r="G59" s="136">
        <v>-327.72915</v>
      </c>
      <c r="H59" s="113" t="str">
        <f t="shared" si="0"/>
        <v>OTHER</v>
      </c>
      <c r="I59" s="113" t="str">
        <f>INDEX('SCH M Lookup'!$I:$I,MATCH($A59,'SCH M Lookup'!$A:$A,0))</f>
        <v>P</v>
      </c>
      <c r="J59" s="113" t="str">
        <f>IF('SCH M Jun22data'!$G59=0,"NO",IF(ISNA('SCH M Jun22data'!$I59),"YES",IF(_xlfn.ISFORMULA('SCH M Jun22data'!$I59),"NO","YES")))</f>
        <v>NO</v>
      </c>
      <c r="K59"/>
    </row>
    <row r="60" spans="1:11">
      <c r="A60" s="118" t="str">
        <f t="shared" si="1"/>
        <v>4098300SCHMAT415261Reg Asset-UT Wildland Fire ProtectionOTHER</v>
      </c>
      <c r="B60" s="126">
        <v>4098300</v>
      </c>
      <c r="C60" s="117" t="str">
        <f t="shared" si="2"/>
        <v>SCHMAT</v>
      </c>
      <c r="D60" s="126">
        <v>415261</v>
      </c>
      <c r="E60" s="128" t="s">
        <v>2046</v>
      </c>
      <c r="F60" s="127" t="s">
        <v>306</v>
      </c>
      <c r="G60" s="136">
        <v>1352.29222</v>
      </c>
      <c r="H60" s="113" t="str">
        <f t="shared" si="0"/>
        <v>OTHER</v>
      </c>
      <c r="I60" s="113" t="str">
        <f>INDEX('SCH M Lookup'!$I:$I,MATCH($A60,'SCH M Lookup'!$A:$A,0))</f>
        <v>DPW</v>
      </c>
      <c r="J60" s="113" t="str">
        <f>IF('SCH M Jun22data'!$G60=0,"NO",IF(ISNA('SCH M Jun22data'!$I60),"YES",IF(_xlfn.ISFORMULA('SCH M Jun22data'!$I60),"NO","YES")))</f>
        <v>NO</v>
      </c>
      <c r="K60"/>
    </row>
    <row r="61" spans="1:11">
      <c r="A61" s="118" t="str">
        <f t="shared" si="1"/>
        <v>4098300SCHMAT415262Reg Asset -Wildfire Mitigation Account -OTHER</v>
      </c>
      <c r="B61" s="126">
        <v>4098300</v>
      </c>
      <c r="C61" s="117" t="str">
        <f t="shared" si="2"/>
        <v>SCHMAT</v>
      </c>
      <c r="D61" s="126">
        <v>415262</v>
      </c>
      <c r="E61" s="128" t="s">
        <v>3165</v>
      </c>
      <c r="F61" s="127" t="s">
        <v>306</v>
      </c>
      <c r="G61" s="136">
        <v>-10844.60024</v>
      </c>
      <c r="H61" s="113" t="str">
        <f t="shared" si="0"/>
        <v>OTHER</v>
      </c>
      <c r="I61" s="113" t="str">
        <f>INDEX('SCH M Lookup'!$I:$I,MATCH($A61,'SCH M Lookup'!$A:$A,0))</f>
        <v>TD</v>
      </c>
      <c r="J61" s="113" t="str">
        <f>IF('SCH M Jun22data'!$G61=0,"NO",IF(ISNA('SCH M Jun22data'!$I61),"YES",IF(_xlfn.ISFORMULA('SCH M Jun22data'!$I61),"NO","YES")))</f>
        <v>NO</v>
      </c>
      <c r="K61"/>
    </row>
    <row r="62" spans="1:11">
      <c r="A62" s="118" t="str">
        <f t="shared" si="1"/>
        <v>4098300SCHMAT415270Reg Asset - Electric Vehicle Charging InOTHER</v>
      </c>
      <c r="B62" s="126">
        <v>4098300</v>
      </c>
      <c r="C62" s="117" t="str">
        <f t="shared" si="2"/>
        <v>SCHMAT</v>
      </c>
      <c r="D62" s="126">
        <v>415270</v>
      </c>
      <c r="E62" s="128" t="s">
        <v>3167</v>
      </c>
      <c r="F62" s="127" t="s">
        <v>306</v>
      </c>
      <c r="G62" s="136">
        <v>2125.2726899999998</v>
      </c>
      <c r="H62" s="113" t="str">
        <f t="shared" si="0"/>
        <v>OTHER</v>
      </c>
      <c r="I62" s="113" t="str">
        <f>INDEX('SCH M Lookup'!$I:$I,MATCH($A62,'SCH M Lookup'!$A:$A,0))</f>
        <v>DMSC</v>
      </c>
      <c r="J62" s="113" t="str">
        <f>IF('SCH M Jun22data'!$G62=0,"NO",IF(ISNA('SCH M Jun22data'!$I62),"YES",IF(_xlfn.ISFORMULA('SCH M Jun22data'!$I62),"NO","YES")))</f>
        <v>NO</v>
      </c>
      <c r="K62"/>
    </row>
    <row r="63" spans="1:11">
      <c r="A63" s="118" t="str">
        <f t="shared" si="1"/>
        <v>4098300SCHMAT415300Environmental Cleanup AccrualSO</v>
      </c>
      <c r="B63" s="126">
        <v>4098300</v>
      </c>
      <c r="C63" s="117" t="str">
        <f t="shared" si="2"/>
        <v>SCHMAT</v>
      </c>
      <c r="D63" s="126">
        <v>415300</v>
      </c>
      <c r="E63" s="128" t="s">
        <v>3168</v>
      </c>
      <c r="F63" s="127" t="s">
        <v>89</v>
      </c>
      <c r="G63" s="136">
        <v>0</v>
      </c>
      <c r="H63" s="113" t="str">
        <f t="shared" si="0"/>
        <v>SO</v>
      </c>
      <c r="I63" s="113" t="e">
        <f>INDEX('SCH M Lookup'!$I:$I,MATCH($A63,'SCH M Lookup'!$A:$A,0))</f>
        <v>#N/A</v>
      </c>
      <c r="J63" s="113" t="str">
        <f>IF('SCH M Jun22data'!$G63=0,"NO",IF(ISNA('SCH M Jun22data'!$I63),"YES",IF(_xlfn.ISFORMULA('SCH M Jun22data'!$I63),"NO","YES")))</f>
        <v>NO</v>
      </c>
      <c r="K63"/>
    </row>
    <row r="64" spans="1:11">
      <c r="A64" s="118" t="str">
        <f t="shared" si="1"/>
        <v>4098300SCHMAT415301Environmental Costs WASITUS</v>
      </c>
      <c r="B64" s="126">
        <v>4098300</v>
      </c>
      <c r="C64" s="117" t="str">
        <f t="shared" si="2"/>
        <v>SCHMAT</v>
      </c>
      <c r="D64" s="126">
        <v>415301</v>
      </c>
      <c r="E64" s="128" t="s">
        <v>381</v>
      </c>
      <c r="F64" s="127" t="s">
        <v>367</v>
      </c>
      <c r="G64" s="136">
        <v>770.94716000000005</v>
      </c>
      <c r="H64" s="113" t="str">
        <f t="shared" si="0"/>
        <v>SITUS</v>
      </c>
      <c r="I64" s="113" t="str">
        <f>INDEX('SCH M Lookup'!$I:$I,MATCH($A64,'SCH M Lookup'!$A:$A,0))</f>
        <v>ESD</v>
      </c>
      <c r="J64" s="113" t="str">
        <f>IF('SCH M Jun22data'!$G64=0,"NO",IF(ISNA('SCH M Jun22data'!$I64),"YES",IF(_xlfn.ISFORMULA('SCH M Jun22data'!$I64),"NO","YES")))</f>
        <v>NO</v>
      </c>
      <c r="K64"/>
    </row>
    <row r="65" spans="1:11">
      <c r="A65" s="118" t="str">
        <f t="shared" si="1"/>
        <v>4098300SCHMAT415406Reg Asset Utah ECAMOTHER</v>
      </c>
      <c r="B65" s="126">
        <v>4098300</v>
      </c>
      <c r="C65" s="117" t="str">
        <f t="shared" si="2"/>
        <v>SCHMAT</v>
      </c>
      <c r="D65" s="126">
        <v>415406</v>
      </c>
      <c r="E65" s="128" t="s">
        <v>3169</v>
      </c>
      <c r="F65" s="127" t="s">
        <v>306</v>
      </c>
      <c r="G65" s="136">
        <v>0</v>
      </c>
      <c r="H65" s="113" t="str">
        <f t="shared" si="0"/>
        <v>OTHER</v>
      </c>
      <c r="I65" s="113" t="e">
        <f>INDEX('SCH M Lookup'!$I:$I,MATCH($A65,'SCH M Lookup'!$A:$A,0))</f>
        <v>#N/A</v>
      </c>
      <c r="J65" s="113" t="str">
        <f>IF('SCH M Jun22data'!$G65=0,"NO",IF(ISNA('SCH M Jun22data'!$I65),"YES",IF(_xlfn.ISFORMULA('SCH M Jun22data'!$I65),"NO","YES")))</f>
        <v>NO</v>
      </c>
      <c r="K65"/>
    </row>
    <row r="66" spans="1:11">
      <c r="A66" s="118" t="str">
        <f t="shared" si="1"/>
        <v>4098300SCHMAT415423Contra PP&amp;E Deer CreekSE</v>
      </c>
      <c r="B66" s="126">
        <v>4098300</v>
      </c>
      <c r="C66" s="117" t="str">
        <f t="shared" si="2"/>
        <v>SCHMAT</v>
      </c>
      <c r="D66" s="126">
        <v>415423</v>
      </c>
      <c r="E66" s="128" t="s">
        <v>3170</v>
      </c>
      <c r="F66" s="127" t="s">
        <v>3110</v>
      </c>
      <c r="G66" s="136">
        <v>0</v>
      </c>
      <c r="H66" s="113" t="str">
        <f t="shared" ref="H66:H129" si="3">IF(OR(F66="IDU",F66="OR",F66="UT",F66="WYU",F66="WYP",F66="CA",F66="WA"),"SITUS",IF(OR(F66="CAEE",F66="JBE"),"SE",IF(OR(F66="CAGE",F66="CAGW",F66="JBG"),"SG",F66)))</f>
        <v>SE</v>
      </c>
      <c r="I66" s="113" t="e">
        <f>INDEX('SCH M Lookup'!$I:$I,MATCH($A66,'SCH M Lookup'!$A:$A,0))</f>
        <v>#N/A</v>
      </c>
      <c r="J66" s="113" t="str">
        <f>IF('SCH M Jun22data'!$G66=0,"NO",IF(ISNA('SCH M Jun22data'!$I66),"YES",IF(_xlfn.ISFORMULA('SCH M Jun22data'!$I66),"NO","YES")))</f>
        <v>NO</v>
      </c>
      <c r="K66"/>
    </row>
    <row r="67" spans="1:11">
      <c r="A67" s="118" t="str">
        <f t="shared" ref="A67:A130" si="4">CONCATENATE($B67,$C67,$D67,$E67,$H67)</f>
        <v>4098300SCHMAT415424Contra Reg Asset - Deer Creek AbandonmenSE</v>
      </c>
      <c r="B67" s="126">
        <v>4098300</v>
      </c>
      <c r="C67" s="117" t="str">
        <f t="shared" ref="C67:C130" si="5">IF(B67=4098200,"SCHMAP",IF(B67=4098300,"SCHMAT",IF(B67=4099200,"SCHMDP",IF(B67=4099300,"SCHMDT"))))</f>
        <v>SCHMAT</v>
      </c>
      <c r="D67" s="126">
        <v>415424</v>
      </c>
      <c r="E67" s="128" t="s">
        <v>382</v>
      </c>
      <c r="F67" s="127" t="s">
        <v>3110</v>
      </c>
      <c r="G67" s="136">
        <v>-72694.302809999994</v>
      </c>
      <c r="H67" s="113" t="str">
        <f t="shared" si="3"/>
        <v>SE</v>
      </c>
      <c r="I67" s="113" t="str">
        <f>INDEX('SCH M Lookup'!$I:$I,MATCH($A67,'SCH M Lookup'!$A:$A,0))</f>
        <v>P</v>
      </c>
      <c r="J67" s="113" t="str">
        <f>IF('SCH M Jun22data'!$G67=0,"NO",IF(ISNA('SCH M Jun22data'!$I67),"YES",IF(_xlfn.ISFORMULA('SCH M Jun22data'!$I67),"NO","YES")))</f>
        <v>NO</v>
      </c>
      <c r="K67"/>
    </row>
    <row r="68" spans="1:11">
      <c r="A68" s="118" t="str">
        <f t="shared" si="4"/>
        <v>4098300SCHMAT415425Contra Reg Asset - UMWA PensionOTHER</v>
      </c>
      <c r="B68" s="126">
        <v>4098300</v>
      </c>
      <c r="C68" s="117" t="str">
        <f t="shared" si="5"/>
        <v>SCHMAT</v>
      </c>
      <c r="D68" s="126">
        <v>415425</v>
      </c>
      <c r="E68" s="128" t="s">
        <v>383</v>
      </c>
      <c r="F68" s="127" t="s">
        <v>306</v>
      </c>
      <c r="G68" s="136">
        <v>0</v>
      </c>
      <c r="H68" s="113" t="str">
        <f t="shared" si="3"/>
        <v>OTHER</v>
      </c>
      <c r="I68" s="113" t="str">
        <f>INDEX('SCH M Lookup'!$I:$I,MATCH($A68,'SCH M Lookup'!$A:$A,0))</f>
        <v>P</v>
      </c>
      <c r="J68" s="113" t="str">
        <f>IF('SCH M Jun22data'!$G68=0,"NO",IF(ISNA('SCH M Jun22data'!$I68),"YES",IF(_xlfn.ISFORMULA('SCH M Jun22data'!$I68),"NO","YES")))</f>
        <v>NO</v>
      </c>
      <c r="K68"/>
    </row>
    <row r="69" spans="1:11">
      <c r="A69" s="118" t="str">
        <f t="shared" si="4"/>
        <v>4098300SCHMAT415426Reg Asset - 2020 GRC - Meters Replaced bOTHER</v>
      </c>
      <c r="B69" s="126">
        <v>4098300</v>
      </c>
      <c r="C69" s="117" t="str">
        <f t="shared" si="5"/>
        <v>SCHMAT</v>
      </c>
      <c r="D69" s="126">
        <v>415426</v>
      </c>
      <c r="E69" s="128" t="s">
        <v>2049</v>
      </c>
      <c r="F69" s="127" t="s">
        <v>306</v>
      </c>
      <c r="G69" s="136">
        <v>3213.7951699999999</v>
      </c>
      <c r="H69" s="113" t="str">
        <f t="shared" si="3"/>
        <v>OTHER</v>
      </c>
      <c r="I69" s="113" t="str">
        <f>INDEX('SCH M Lookup'!$I:$I,MATCH($A69,'SCH M Lookup'!$A:$A,0))</f>
        <v>DPW</v>
      </c>
      <c r="J69" s="113" t="str">
        <f>IF('SCH M Jun22data'!$G69=0,"NO",IF(ISNA('SCH M Jun22data'!$I69),"YES",IF(_xlfn.ISFORMULA('SCH M Jun22data'!$I69),"NO","YES")))</f>
        <v>NO</v>
      </c>
      <c r="K69"/>
    </row>
    <row r="70" spans="1:11">
      <c r="A70" s="118" t="str">
        <f t="shared" si="4"/>
        <v>4098300SCHMAT415430Reg Asset - CA - Transportation  ElectriOTHER</v>
      </c>
      <c r="B70" s="126">
        <v>4098300</v>
      </c>
      <c r="C70" s="117" t="str">
        <f t="shared" si="5"/>
        <v>SCHMAT</v>
      </c>
      <c r="D70" s="126">
        <v>415430</v>
      </c>
      <c r="E70" s="128" t="s">
        <v>1757</v>
      </c>
      <c r="F70" s="127" t="s">
        <v>306</v>
      </c>
      <c r="G70" s="136">
        <v>-3.6855199999999999</v>
      </c>
      <c r="H70" s="113" t="str">
        <f t="shared" si="3"/>
        <v>OTHER</v>
      </c>
      <c r="I70" s="113" t="str">
        <f>INDEX('SCH M Lookup'!$I:$I,MATCH($A70,'SCH M Lookup'!$A:$A,0))</f>
        <v>PTD</v>
      </c>
      <c r="J70" s="113" t="str">
        <f>IF('SCH M Jun22data'!$G70=0,"NO",IF(ISNA('SCH M Jun22data'!$I70),"YES",IF(_xlfn.ISFORMULA('SCH M Jun22data'!$I70),"NO","YES")))</f>
        <v>NO</v>
      </c>
      <c r="K70"/>
    </row>
    <row r="71" spans="1:11">
      <c r="A71" s="118" t="str">
        <f t="shared" si="4"/>
        <v>4098300SCHMAT415500Cholla Plt Transact Costs-APS AmortSG</v>
      </c>
      <c r="B71" s="126">
        <v>4098300</v>
      </c>
      <c r="C71" s="117" t="str">
        <f t="shared" si="5"/>
        <v>SCHMAT</v>
      </c>
      <c r="D71" s="126">
        <v>415500</v>
      </c>
      <c r="E71" s="128" t="s">
        <v>384</v>
      </c>
      <c r="F71" s="127" t="s">
        <v>3106</v>
      </c>
      <c r="G71" s="136">
        <v>0</v>
      </c>
      <c r="H71" s="113" t="str">
        <f t="shared" si="3"/>
        <v>SG</v>
      </c>
      <c r="I71" s="113" t="e">
        <f>INDEX('SCH M Lookup'!$I:$I,MATCH($A71,'SCH M Lookup'!$A:$A,0))</f>
        <v>#N/A</v>
      </c>
      <c r="J71" s="113" t="str">
        <f>IF('SCH M Jun22data'!$G71=0,"NO",IF(ISNA('SCH M Jun22data'!$I71),"YES",IF(_xlfn.ISFORMULA('SCH M Jun22data'!$I71),"NO","YES")))</f>
        <v>NO</v>
      </c>
      <c r="K71"/>
    </row>
    <row r="72" spans="1:11">
      <c r="A72" s="118" t="str">
        <f t="shared" si="4"/>
        <v>4098300SCHMAT415510WA Disallowed Colstrip #3 Write-offSITUS</v>
      </c>
      <c r="B72" s="126">
        <v>4098300</v>
      </c>
      <c r="C72" s="117" t="str">
        <f t="shared" si="5"/>
        <v>SCHMAT</v>
      </c>
      <c r="D72" s="126">
        <v>415510</v>
      </c>
      <c r="E72" s="128" t="s">
        <v>385</v>
      </c>
      <c r="F72" s="127" t="s">
        <v>367</v>
      </c>
      <c r="G72" s="136">
        <v>0</v>
      </c>
      <c r="H72" s="113" t="str">
        <f t="shared" si="3"/>
        <v>SITUS</v>
      </c>
      <c r="I72" s="113" t="str">
        <f>INDEX('SCH M Lookup'!$I:$I,MATCH($A72,'SCH M Lookup'!$A:$A,0))</f>
        <v>P</v>
      </c>
      <c r="J72" s="113" t="str">
        <f>IF('SCH M Jun22data'!$G72=0,"NO",IF(ISNA('SCH M Jun22data'!$I72),"YES",IF(_xlfn.ISFORMULA('SCH M Jun22data'!$I72),"NO","YES")))</f>
        <v>NO</v>
      </c>
      <c r="K72"/>
    </row>
    <row r="73" spans="1:11">
      <c r="A73" s="118" t="str">
        <f t="shared" si="4"/>
        <v>4098300SCHMAT415555WY PCAM Def Net Power CostsSITUS</v>
      </c>
      <c r="B73" s="126">
        <v>4098300</v>
      </c>
      <c r="C73" s="117" t="str">
        <f t="shared" si="5"/>
        <v>SCHMAT</v>
      </c>
      <c r="D73" s="126">
        <v>415555</v>
      </c>
      <c r="E73" s="128" t="s">
        <v>3171</v>
      </c>
      <c r="F73" s="127" t="s">
        <v>386</v>
      </c>
      <c r="G73" s="136">
        <v>0</v>
      </c>
      <c r="H73" s="113" t="str">
        <f t="shared" si="3"/>
        <v>SITUS</v>
      </c>
      <c r="I73" s="113" t="e">
        <f>INDEX('SCH M Lookup'!$I:$I,MATCH($A73,'SCH M Lookup'!$A:$A,0))</f>
        <v>#N/A</v>
      </c>
      <c r="J73" s="113" t="str">
        <f>IF('SCH M Jun22data'!$G73=0,"NO",IF(ISNA('SCH M Jun22data'!$I73),"YES",IF(_xlfn.ISFORMULA('SCH M Jun22data'!$I73),"NO","YES")))</f>
        <v>NO</v>
      </c>
      <c r="K73"/>
    </row>
    <row r="74" spans="1:11">
      <c r="A74" s="118" t="str">
        <f t="shared" si="4"/>
        <v>4098300SCHMAT415640IDAI Costs-Direct Access-CASITUS</v>
      </c>
      <c r="B74" s="126">
        <v>4098300</v>
      </c>
      <c r="C74" s="117" t="str">
        <f t="shared" si="5"/>
        <v>SCHMAT</v>
      </c>
      <c r="D74" s="126">
        <v>415640</v>
      </c>
      <c r="E74" s="128" t="s">
        <v>3172</v>
      </c>
      <c r="F74" s="127" t="s">
        <v>387</v>
      </c>
      <c r="G74" s="136">
        <v>0</v>
      </c>
      <c r="H74" s="113" t="str">
        <f t="shared" si="3"/>
        <v>SITUS</v>
      </c>
      <c r="I74" s="113" t="e">
        <f>INDEX('SCH M Lookup'!$I:$I,MATCH($A74,'SCH M Lookup'!$A:$A,0))</f>
        <v>#N/A</v>
      </c>
      <c r="J74" s="113" t="str">
        <f>IF('SCH M Jun22data'!$G74=0,"NO",IF(ISNA('SCH M Jun22data'!$I74),"YES",IF(_xlfn.ISFORMULA('SCH M Jun22data'!$I74),"NO","YES")))</f>
        <v>NO</v>
      </c>
      <c r="K74"/>
    </row>
    <row r="75" spans="1:11">
      <c r="A75" s="118" t="str">
        <f t="shared" si="4"/>
        <v>4098300SCHMAT415650SB 1149-Related Reg Assets-OROTHER</v>
      </c>
      <c r="B75" s="126">
        <v>4098300</v>
      </c>
      <c r="C75" s="117" t="str">
        <f t="shared" si="5"/>
        <v>SCHMAT</v>
      </c>
      <c r="D75" s="126">
        <v>415650</v>
      </c>
      <c r="E75" s="128" t="s">
        <v>3173</v>
      </c>
      <c r="F75" s="127" t="s">
        <v>306</v>
      </c>
      <c r="G75" s="136">
        <v>0</v>
      </c>
      <c r="H75" s="113" t="str">
        <f t="shared" si="3"/>
        <v>OTHER</v>
      </c>
      <c r="I75" s="113" t="e">
        <f>INDEX('SCH M Lookup'!$I:$I,MATCH($A75,'SCH M Lookup'!$A:$A,0))</f>
        <v>#N/A</v>
      </c>
      <c r="J75" s="113" t="str">
        <f>IF('SCH M Jun22data'!$G75=0,"NO",IF(ISNA('SCH M Jun22data'!$I75),"YES",IF(_xlfn.ISFORMULA('SCH M Jun22data'!$I75),"NO","YES")))</f>
        <v>NO</v>
      </c>
      <c r="K75"/>
    </row>
    <row r="76" spans="1:11">
      <c r="A76" s="118" t="str">
        <f t="shared" si="4"/>
        <v>4098300SCHMAT415680OR Deferred Intevenor Funding GrantsSITUS</v>
      </c>
      <c r="B76" s="126">
        <v>4098300</v>
      </c>
      <c r="C76" s="117" t="str">
        <f t="shared" si="5"/>
        <v>SCHMAT</v>
      </c>
      <c r="D76" s="126">
        <v>415680</v>
      </c>
      <c r="E76" s="128" t="s">
        <v>3174</v>
      </c>
      <c r="F76" s="127" t="s">
        <v>343</v>
      </c>
      <c r="G76" s="136">
        <v>0</v>
      </c>
      <c r="H76" s="113" t="str">
        <f t="shared" si="3"/>
        <v>SITUS</v>
      </c>
      <c r="I76" s="113" t="e">
        <f>INDEX('SCH M Lookup'!$I:$I,MATCH($A76,'SCH M Lookup'!$A:$A,0))</f>
        <v>#N/A</v>
      </c>
      <c r="J76" s="113" t="str">
        <f>IF('SCH M Jun22data'!$G76=0,"NO",IF(ISNA('SCH M Jun22data'!$I76),"YES",IF(_xlfn.ISFORMULA('SCH M Jun22data'!$I76),"NO","YES")))</f>
        <v>NO</v>
      </c>
      <c r="K76"/>
    </row>
    <row r="77" spans="1:11">
      <c r="A77" s="118" t="str">
        <f t="shared" si="4"/>
        <v>4098300SCHMAT415700Reg Liability BPA balancing accounts-OROTHER</v>
      </c>
      <c r="B77" s="126">
        <v>4098300</v>
      </c>
      <c r="C77" s="117" t="str">
        <f t="shared" si="5"/>
        <v>SCHMAT</v>
      </c>
      <c r="D77" s="126">
        <v>415700</v>
      </c>
      <c r="E77" s="128" t="s">
        <v>3175</v>
      </c>
      <c r="F77" s="127" t="s">
        <v>306</v>
      </c>
      <c r="G77" s="136">
        <v>0</v>
      </c>
      <c r="H77" s="113" t="str">
        <f t="shared" si="3"/>
        <v>OTHER</v>
      </c>
      <c r="I77" s="113" t="e">
        <f>INDEX('SCH M Lookup'!$I:$I,MATCH($A77,'SCH M Lookup'!$A:$A,0))</f>
        <v>#N/A</v>
      </c>
      <c r="J77" s="113" t="str">
        <f>IF('SCH M Jun22data'!$G77=0,"NO",IF(ISNA('SCH M Jun22data'!$I77),"YES",IF(_xlfn.ISFORMULA('SCH M Jun22data'!$I77),"NO","YES")))</f>
        <v>NO</v>
      </c>
      <c r="K77"/>
    </row>
    <row r="78" spans="1:11">
      <c r="A78" s="118" t="str">
        <f t="shared" si="4"/>
        <v>4098300SCHMAT415701CA Deferred Intervenor FundingSITUS</v>
      </c>
      <c r="B78" s="126">
        <v>4098300</v>
      </c>
      <c r="C78" s="117" t="str">
        <f t="shared" si="5"/>
        <v>SCHMAT</v>
      </c>
      <c r="D78" s="126">
        <v>415701</v>
      </c>
      <c r="E78" s="128" t="s">
        <v>388</v>
      </c>
      <c r="F78" s="127" t="s">
        <v>387</v>
      </c>
      <c r="G78" s="136">
        <v>0</v>
      </c>
      <c r="H78" s="113" t="str">
        <f t="shared" si="3"/>
        <v>SITUS</v>
      </c>
      <c r="I78" s="113" t="e">
        <f>INDEX('SCH M Lookup'!$I:$I,MATCH($A78,'SCH M Lookup'!$A:$A,0))</f>
        <v>#N/A</v>
      </c>
      <c r="J78" s="113" t="str">
        <f>IF('SCH M Jun22data'!$G78=0,"NO",IF(ISNA('SCH M Jun22data'!$I78),"YES",IF(_xlfn.ISFORMULA('SCH M Jun22data'!$I78),"NO","YES")))</f>
        <v>NO</v>
      </c>
      <c r="K78"/>
    </row>
    <row r="79" spans="1:11">
      <c r="A79" s="118" t="str">
        <f t="shared" si="4"/>
        <v>4098300SCHMAT415702Reg Asset - Lake Side Liq.SITUS</v>
      </c>
      <c r="B79" s="126">
        <v>4098300</v>
      </c>
      <c r="C79" s="117" t="str">
        <f t="shared" si="5"/>
        <v>SCHMAT</v>
      </c>
      <c r="D79" s="126">
        <v>415702</v>
      </c>
      <c r="E79" s="128" t="s">
        <v>389</v>
      </c>
      <c r="F79" s="127" t="s">
        <v>386</v>
      </c>
      <c r="G79" s="136">
        <v>27.330839999999998</v>
      </c>
      <c r="H79" s="113" t="str">
        <f t="shared" si="3"/>
        <v>SITUS</v>
      </c>
      <c r="I79" s="113" t="str">
        <f>INDEX('SCH M Lookup'!$I:$I,MATCH($A79,'SCH M Lookup'!$A:$A,0))</f>
        <v>P</v>
      </c>
      <c r="J79" s="113" t="str">
        <f>IF('SCH M Jun22data'!$G79=0,"NO",IF(ISNA('SCH M Jun22data'!$I79),"YES",IF(_xlfn.ISFORMULA('SCH M Jun22data'!$I79),"NO","YES")))</f>
        <v>NO</v>
      </c>
      <c r="K79"/>
    </row>
    <row r="80" spans="1:11">
      <c r="A80" s="118" t="str">
        <f t="shared" si="4"/>
        <v>4098300SCHMAT415703Goodnoe Hills Liquidation Damages - WYSITUS</v>
      </c>
      <c r="B80" s="126">
        <v>4098300</v>
      </c>
      <c r="C80" s="117" t="str">
        <f t="shared" si="5"/>
        <v>SCHMAT</v>
      </c>
      <c r="D80" s="126">
        <v>415703</v>
      </c>
      <c r="E80" s="128" t="s">
        <v>390</v>
      </c>
      <c r="F80" s="127" t="s">
        <v>386</v>
      </c>
      <c r="G80" s="136">
        <v>21.25</v>
      </c>
      <c r="H80" s="113" t="str">
        <f t="shared" si="3"/>
        <v>SITUS</v>
      </c>
      <c r="I80" s="113" t="str">
        <f>INDEX('SCH M Lookup'!$I:$I,MATCH($A80,'SCH M Lookup'!$A:$A,0))</f>
        <v>P</v>
      </c>
      <c r="J80" s="113" t="str">
        <f>IF('SCH M Jun22data'!$G80=0,"NO",IF(ISNA('SCH M Jun22data'!$I80),"YES",IF(_xlfn.ISFORMULA('SCH M Jun22data'!$I80),"NO","YES")))</f>
        <v>NO</v>
      </c>
      <c r="K80"/>
    </row>
    <row r="81" spans="1:11">
      <c r="A81" s="118" t="str">
        <f t="shared" si="4"/>
        <v>4098300SCHMAT415704Reg Liability - Tax Revenue Adjustment -SITUS</v>
      </c>
      <c r="B81" s="126">
        <v>4098300</v>
      </c>
      <c r="C81" s="117" t="str">
        <f t="shared" si="5"/>
        <v>SCHMAT</v>
      </c>
      <c r="D81" s="126">
        <v>415704</v>
      </c>
      <c r="E81" s="128" t="s">
        <v>391</v>
      </c>
      <c r="F81" s="127" t="s">
        <v>370</v>
      </c>
      <c r="G81" s="136">
        <v>0</v>
      </c>
      <c r="H81" s="113" t="str">
        <f t="shared" si="3"/>
        <v>SITUS</v>
      </c>
      <c r="I81" s="113" t="e">
        <f>INDEX('SCH M Lookup'!$I:$I,MATCH($A81,'SCH M Lookup'!$A:$A,0))</f>
        <v>#N/A</v>
      </c>
      <c r="J81" s="113" t="str">
        <f>IF('SCH M Jun22data'!$G81=0,"NO",IF(ISNA('SCH M Jun22data'!$I81),"YES",IF(_xlfn.ISFORMULA('SCH M Jun22data'!$I81),"NO","YES")))</f>
        <v>NO</v>
      </c>
      <c r="K81"/>
    </row>
    <row r="82" spans="1:11">
      <c r="A82" s="118" t="str">
        <f t="shared" si="4"/>
        <v>4098300SCHMAT415705Reg Liability - Tax Revenue Adjustment -SITUS</v>
      </c>
      <c r="B82" s="126">
        <v>4098300</v>
      </c>
      <c r="C82" s="117" t="str">
        <f t="shared" si="5"/>
        <v>SCHMAT</v>
      </c>
      <c r="D82" s="126">
        <v>415705</v>
      </c>
      <c r="E82" s="128" t="s">
        <v>391</v>
      </c>
      <c r="F82" s="127" t="s">
        <v>386</v>
      </c>
      <c r="G82" s="136">
        <v>0</v>
      </c>
      <c r="H82" s="113" t="str">
        <f t="shared" si="3"/>
        <v>SITUS</v>
      </c>
      <c r="I82" s="113" t="str">
        <f>INDEX('SCH M Lookup'!$I:$I,MATCH($A82,'SCH M Lookup'!$A:$A,0))</f>
        <v>PTD</v>
      </c>
      <c r="J82" s="113" t="str">
        <f>IF('SCH M Jun22data'!$G82=0,"NO",IF(ISNA('SCH M Jun22data'!$I82),"YES",IF(_xlfn.ISFORMULA('SCH M Jun22data'!$I82),"NO","YES")))</f>
        <v>NO</v>
      </c>
      <c r="K82"/>
    </row>
    <row r="83" spans="1:11">
      <c r="A83" s="118" t="str">
        <f t="shared" si="4"/>
        <v>4098300SCHMAT415710Reg Liability - WA - Accelerated DepreciSITUS</v>
      </c>
      <c r="B83" s="126">
        <v>4098300</v>
      </c>
      <c r="C83" s="117" t="str">
        <f t="shared" si="5"/>
        <v>SCHMAT</v>
      </c>
      <c r="D83" s="126">
        <v>415710</v>
      </c>
      <c r="E83" s="128" t="s">
        <v>392</v>
      </c>
      <c r="F83" s="127" t="s">
        <v>367</v>
      </c>
      <c r="G83" s="136">
        <v>-17418.111239999998</v>
      </c>
      <c r="H83" s="113" t="str">
        <f t="shared" si="3"/>
        <v>SITUS</v>
      </c>
      <c r="I83" s="113" t="str">
        <f>INDEX('SCH M Lookup'!$I:$I,MATCH($A83,'SCH M Lookup'!$A:$A,0))</f>
        <v>P</v>
      </c>
      <c r="J83" s="113" t="str">
        <f>IF('SCH M Jun22data'!$G83=0,"NO",IF(ISNA('SCH M Jun22data'!$I83),"YES",IF(_xlfn.ISFORMULA('SCH M Jun22data'!$I83),"NO","YES")))</f>
        <v>NO</v>
      </c>
      <c r="K83"/>
    </row>
    <row r="84" spans="1:11">
      <c r="A84" s="118" t="str">
        <f t="shared" si="4"/>
        <v>4098300SCHMAT415723Reg Asset - Cholla U4 - O&amp;M DepreciationSITUS</v>
      </c>
      <c r="B84" s="126">
        <v>4098300</v>
      </c>
      <c r="C84" s="117" t="str">
        <f t="shared" si="5"/>
        <v>SCHMAT</v>
      </c>
      <c r="D84" s="126">
        <v>415723</v>
      </c>
      <c r="E84" s="128" t="s">
        <v>3177</v>
      </c>
      <c r="F84" s="127" t="s">
        <v>372</v>
      </c>
      <c r="G84" s="136">
        <v>-805.88058000000001</v>
      </c>
      <c r="H84" s="113" t="str">
        <f t="shared" si="3"/>
        <v>SITUS</v>
      </c>
      <c r="I84" s="113" t="str">
        <f>INDEX('SCH M Lookup'!$I:$I,MATCH($A84,'SCH M Lookup'!$A:$A,0))</f>
        <v>P</v>
      </c>
      <c r="J84" s="113" t="str">
        <f>IF('SCH M Jun22data'!$G84=0,"NO",IF(ISNA('SCH M Jun22data'!$I84),"YES",IF(_xlfn.ISFORMULA('SCH M Jun22data'!$I84),"NO","YES")))</f>
        <v>NO</v>
      </c>
      <c r="K84"/>
    </row>
    <row r="85" spans="1:11">
      <c r="A85" s="118" t="str">
        <f t="shared" si="4"/>
        <v>4098300SCHMAT415728Contra Reg Asset - Cholla U4 Closure - OSITUS</v>
      </c>
      <c r="B85" s="126">
        <v>4098300</v>
      </c>
      <c r="C85" s="117" t="str">
        <f t="shared" si="5"/>
        <v>SCHMAT</v>
      </c>
      <c r="D85" s="126">
        <v>415728</v>
      </c>
      <c r="E85" s="128" t="s">
        <v>1873</v>
      </c>
      <c r="F85" s="127" t="s">
        <v>343</v>
      </c>
      <c r="G85" s="136">
        <v>-521.87125000000003</v>
      </c>
      <c r="H85" s="113" t="str">
        <f t="shared" si="3"/>
        <v>SITUS</v>
      </c>
      <c r="I85" s="113" t="str">
        <f>INDEX('SCH M Lookup'!$I:$I,MATCH($A85,'SCH M Lookup'!$A:$A,0))</f>
        <v>P</v>
      </c>
      <c r="J85" s="113" t="str">
        <f>IF('SCH M Jun22data'!$G85=0,"NO",IF(ISNA('SCH M Jun22data'!$I85),"YES",IF(_xlfn.ISFORMULA('SCH M Jun22data'!$I85),"NO","YES")))</f>
        <v>NO</v>
      </c>
      <c r="K85"/>
    </row>
    <row r="86" spans="1:11">
      <c r="A86" s="118" t="str">
        <f t="shared" si="4"/>
        <v>4098300SCHMAT415729Contra Reg Asset - Cholla U4 Closure - USITUS</v>
      </c>
      <c r="B86" s="126">
        <v>4098300</v>
      </c>
      <c r="C86" s="117" t="str">
        <f t="shared" si="5"/>
        <v>SCHMAT</v>
      </c>
      <c r="D86" s="126">
        <v>415729</v>
      </c>
      <c r="E86" s="128" t="s">
        <v>1874</v>
      </c>
      <c r="F86" s="127" t="s">
        <v>370</v>
      </c>
      <c r="G86" s="136">
        <v>-317.95891999999998</v>
      </c>
      <c r="H86" s="113" t="str">
        <f t="shared" si="3"/>
        <v>SITUS</v>
      </c>
      <c r="I86" s="113" t="str">
        <f>INDEX('SCH M Lookup'!$I:$I,MATCH($A86,'SCH M Lookup'!$A:$A,0))</f>
        <v>P</v>
      </c>
      <c r="J86" s="113" t="str">
        <f>IF('SCH M Jun22data'!$G86=0,"NO",IF(ISNA('SCH M Jun22data'!$I86),"YES",IF(_xlfn.ISFORMULA('SCH M Jun22data'!$I86),"NO","YES")))</f>
        <v>NO</v>
      </c>
      <c r="K86"/>
    </row>
    <row r="87" spans="1:11">
      <c r="A87" s="118" t="str">
        <f t="shared" si="4"/>
        <v>4098300SCHMAT415730Contra Reg Asset - Cholla U4 Closure - WSITUS</v>
      </c>
      <c r="B87" s="126">
        <v>4098300</v>
      </c>
      <c r="C87" s="117" t="str">
        <f t="shared" si="5"/>
        <v>SCHMAT</v>
      </c>
      <c r="D87" s="126">
        <v>415730</v>
      </c>
      <c r="E87" s="128" t="s">
        <v>1875</v>
      </c>
      <c r="F87" s="127" t="s">
        <v>386</v>
      </c>
      <c r="G87" s="136">
        <v>-105.69302</v>
      </c>
      <c r="H87" s="113" t="str">
        <f t="shared" si="3"/>
        <v>SITUS</v>
      </c>
      <c r="I87" s="113" t="str">
        <f>INDEX('SCH M Lookup'!$I:$I,MATCH($A87,'SCH M Lookup'!$A:$A,0))</f>
        <v>P</v>
      </c>
      <c r="J87" s="113" t="str">
        <f>IF('SCH M Jun22data'!$G87=0,"NO",IF(ISNA('SCH M Jun22data'!$I87),"YES",IF(_xlfn.ISFORMULA('SCH M Jun22data'!$I87),"NO","YES")))</f>
        <v>NO</v>
      </c>
      <c r="K87"/>
    </row>
    <row r="88" spans="1:11">
      <c r="A88" s="118" t="str">
        <f t="shared" si="4"/>
        <v>4098300SCHMAT415734Reg Asset - Cholla Unrecovered Plant - CSITUS</v>
      </c>
      <c r="B88" s="126">
        <v>4098300</v>
      </c>
      <c r="C88" s="117" t="str">
        <f t="shared" si="5"/>
        <v>SCHMAT</v>
      </c>
      <c r="D88" s="126">
        <v>415734</v>
      </c>
      <c r="E88" s="128" t="s">
        <v>2051</v>
      </c>
      <c r="F88" s="127" t="s">
        <v>387</v>
      </c>
      <c r="G88" s="136">
        <v>241.18147999999999</v>
      </c>
      <c r="H88" s="113" t="str">
        <f t="shared" si="3"/>
        <v>SITUS</v>
      </c>
      <c r="I88" s="113" t="str">
        <f>INDEX('SCH M Lookup'!$I:$I,MATCH($A88,'SCH M Lookup'!$A:$A,0))</f>
        <v>P</v>
      </c>
      <c r="J88" s="113" t="str">
        <f>IF('SCH M Jun22data'!$G88=0,"NO",IF(ISNA('SCH M Jun22data'!$I88),"YES",IF(_xlfn.ISFORMULA('SCH M Jun22data'!$I88),"NO","YES")))</f>
        <v>NO</v>
      </c>
      <c r="K88"/>
    </row>
    <row r="89" spans="1:11">
      <c r="A89" s="118" t="str">
        <f t="shared" si="4"/>
        <v>4098300SCHMAT415736Reg Asset - Cholla Unrecovered Plant - WSITUS</v>
      </c>
      <c r="B89" s="126">
        <v>4098300</v>
      </c>
      <c r="C89" s="117" t="str">
        <f t="shared" si="5"/>
        <v>SCHMAT</v>
      </c>
      <c r="D89" s="126">
        <v>415736</v>
      </c>
      <c r="E89" s="128" t="s">
        <v>2053</v>
      </c>
      <c r="F89" s="127" t="s">
        <v>386</v>
      </c>
      <c r="G89" s="136">
        <v>3809.8688000000002</v>
      </c>
      <c r="H89" s="113" t="str">
        <f t="shared" si="3"/>
        <v>SITUS</v>
      </c>
      <c r="I89" s="113" t="str">
        <f>INDEX('SCH M Lookup'!$I:$I,MATCH($A89,'SCH M Lookup'!$A:$A,0))</f>
        <v>P</v>
      </c>
      <c r="J89" s="113" t="str">
        <f>IF('SCH M Jun22data'!$G89=0,"NO",IF(ISNA('SCH M Jun22data'!$I89),"YES",IF(_xlfn.ISFORMULA('SCH M Jun22data'!$I89),"NO","YES")))</f>
        <v>NO</v>
      </c>
      <c r="K89"/>
    </row>
    <row r="90" spans="1:11">
      <c r="A90" s="118" t="str">
        <f t="shared" si="4"/>
        <v>4098300SCHMAT415801Contra RTO Grid West N/R AllowanceSG</v>
      </c>
      <c r="B90" s="126">
        <v>4098300</v>
      </c>
      <c r="C90" s="117" t="str">
        <f t="shared" si="5"/>
        <v>SCHMAT</v>
      </c>
      <c r="D90" s="126">
        <v>415801</v>
      </c>
      <c r="E90" s="128" t="s">
        <v>3178</v>
      </c>
      <c r="F90" s="127" t="s">
        <v>87</v>
      </c>
      <c r="G90" s="136">
        <v>0</v>
      </c>
      <c r="H90" s="113" t="str">
        <f t="shared" si="3"/>
        <v>SG</v>
      </c>
      <c r="I90" s="113" t="e">
        <f>INDEX('SCH M Lookup'!$I:$I,MATCH($A90,'SCH M Lookup'!$A:$A,0))</f>
        <v>#N/A</v>
      </c>
      <c r="J90" s="113" t="str">
        <f>IF('SCH M Jun22data'!$G90=0,"NO",IF(ISNA('SCH M Jun22data'!$I90),"YES",IF(_xlfn.ISFORMULA('SCH M Jun22data'!$I90),"NO","YES")))</f>
        <v>NO</v>
      </c>
      <c r="K90"/>
    </row>
    <row r="91" spans="1:11">
      <c r="A91" s="118" t="str">
        <f t="shared" si="4"/>
        <v>4098300SCHMAT415802Contra RTO Grid West N/R w/o-WASITUS</v>
      </c>
      <c r="B91" s="126">
        <v>4098300</v>
      </c>
      <c r="C91" s="117" t="str">
        <f t="shared" si="5"/>
        <v>SCHMAT</v>
      </c>
      <c r="D91" s="126">
        <v>415802</v>
      </c>
      <c r="E91" s="128" t="s">
        <v>3179</v>
      </c>
      <c r="F91" s="127" t="s">
        <v>367</v>
      </c>
      <c r="G91" s="136">
        <v>0</v>
      </c>
      <c r="H91" s="113" t="str">
        <f t="shared" si="3"/>
        <v>SITUS</v>
      </c>
      <c r="I91" s="113" t="e">
        <f>INDEX('SCH M Lookup'!$I:$I,MATCH($A91,'SCH M Lookup'!$A:$A,0))</f>
        <v>#N/A</v>
      </c>
      <c r="J91" s="113" t="str">
        <f>IF('SCH M Jun22data'!$G91=0,"NO",IF(ISNA('SCH M Jun22data'!$I91),"YES",IF(_xlfn.ISFORMULA('SCH M Jun22data'!$I91),"NO","YES")))</f>
        <v>NO</v>
      </c>
      <c r="K91"/>
    </row>
    <row r="92" spans="1:11">
      <c r="A92" s="118" t="str">
        <f t="shared" si="4"/>
        <v>4098300SCHMAT415803WA RTO Grid West N/R w/oSITUS</v>
      </c>
      <c r="B92" s="126">
        <v>4098300</v>
      </c>
      <c r="C92" s="117" t="str">
        <f t="shared" si="5"/>
        <v>SCHMAT</v>
      </c>
      <c r="D92" s="126">
        <v>415803</v>
      </c>
      <c r="E92" s="128" t="s">
        <v>3180</v>
      </c>
      <c r="F92" s="127" t="s">
        <v>367</v>
      </c>
      <c r="G92" s="136">
        <v>0</v>
      </c>
      <c r="H92" s="113" t="str">
        <f t="shared" si="3"/>
        <v>SITUS</v>
      </c>
      <c r="I92" s="113" t="e">
        <f>INDEX('SCH M Lookup'!$I:$I,MATCH($A92,'SCH M Lookup'!$A:$A,0))</f>
        <v>#N/A</v>
      </c>
      <c r="J92" s="113" t="str">
        <f>IF('SCH M Jun22data'!$G92=0,"NO",IF(ISNA('SCH M Jun22data'!$I92),"YES",IF(_xlfn.ISFORMULA('SCH M Jun22data'!$I92),"NO","YES")))</f>
        <v>NO</v>
      </c>
      <c r="K92"/>
    </row>
    <row r="93" spans="1:11">
      <c r="A93" s="118" t="str">
        <f t="shared" si="4"/>
        <v>4098300SCHMAT415804RTO Grid West Notes Receivable-ORSITUS</v>
      </c>
      <c r="B93" s="126">
        <v>4098300</v>
      </c>
      <c r="C93" s="117" t="str">
        <f t="shared" si="5"/>
        <v>SCHMAT</v>
      </c>
      <c r="D93" s="126">
        <v>415804</v>
      </c>
      <c r="E93" s="128" t="s">
        <v>3181</v>
      </c>
      <c r="F93" s="127" t="s">
        <v>343</v>
      </c>
      <c r="G93" s="136">
        <v>0</v>
      </c>
      <c r="H93" s="113" t="str">
        <f t="shared" si="3"/>
        <v>SITUS</v>
      </c>
      <c r="I93" s="113" t="e">
        <f>INDEX('SCH M Lookup'!$I:$I,MATCH($A93,'SCH M Lookup'!$A:$A,0))</f>
        <v>#N/A</v>
      </c>
      <c r="J93" s="113" t="str">
        <f>IF('SCH M Jun22data'!$G93=0,"NO",IF(ISNA('SCH M Jun22data'!$I93),"YES",IF(_xlfn.ISFORMULA('SCH M Jun22data'!$I93),"NO","YES")))</f>
        <v>NO</v>
      </c>
      <c r="K93"/>
    </row>
    <row r="94" spans="1:11">
      <c r="A94" s="118" t="str">
        <f t="shared" si="4"/>
        <v>4098300SCHMAT415805RTO Grid West Notes Receivable-WYSITUS</v>
      </c>
      <c r="B94" s="126">
        <v>4098300</v>
      </c>
      <c r="C94" s="117" t="str">
        <f t="shared" si="5"/>
        <v>SCHMAT</v>
      </c>
      <c r="D94" s="126">
        <v>415805</v>
      </c>
      <c r="E94" s="128" t="s">
        <v>3182</v>
      </c>
      <c r="F94" s="127" t="s">
        <v>386</v>
      </c>
      <c r="G94" s="136">
        <v>0</v>
      </c>
      <c r="H94" s="113" t="str">
        <f t="shared" si="3"/>
        <v>SITUS</v>
      </c>
      <c r="I94" s="113" t="e">
        <f>INDEX('SCH M Lookup'!$I:$I,MATCH($A94,'SCH M Lookup'!$A:$A,0))</f>
        <v>#N/A</v>
      </c>
      <c r="J94" s="113" t="str">
        <f>IF('SCH M Jun22data'!$G94=0,"NO",IF(ISNA('SCH M Jun22data'!$I94),"YES",IF(_xlfn.ISFORMULA('SCH M Jun22data'!$I94),"NO","YES")))</f>
        <v>NO</v>
      </c>
      <c r="K94"/>
    </row>
    <row r="95" spans="1:11">
      <c r="A95" s="118" t="str">
        <f t="shared" si="4"/>
        <v>4098300SCHMAT415806ID RTO Grid West N/RSITUS</v>
      </c>
      <c r="B95" s="126">
        <v>4098300</v>
      </c>
      <c r="C95" s="117" t="str">
        <f t="shared" si="5"/>
        <v>SCHMAT</v>
      </c>
      <c r="D95" s="126">
        <v>415806</v>
      </c>
      <c r="E95" s="128" t="s">
        <v>3183</v>
      </c>
      <c r="F95" s="127" t="s">
        <v>372</v>
      </c>
      <c r="G95" s="136">
        <v>0</v>
      </c>
      <c r="H95" s="113" t="str">
        <f t="shared" si="3"/>
        <v>SITUS</v>
      </c>
      <c r="I95" s="113" t="e">
        <f>INDEX('SCH M Lookup'!$I:$I,MATCH($A95,'SCH M Lookup'!$A:$A,0))</f>
        <v>#N/A</v>
      </c>
      <c r="J95" s="113" t="str">
        <f>IF('SCH M Jun22data'!$G95=0,"NO",IF(ISNA('SCH M Jun22data'!$I95),"YES",IF(_xlfn.ISFORMULA('SCH M Jun22data'!$I95),"NO","YES")))</f>
        <v>NO</v>
      </c>
      <c r="K95"/>
    </row>
    <row r="96" spans="1:11">
      <c r="A96" s="118" t="str">
        <f t="shared" si="4"/>
        <v>4098300SCHMAT415822Reg Asset _ Pension MMT -UTSITUS</v>
      </c>
      <c r="B96" s="126">
        <v>4098300</v>
      </c>
      <c r="C96" s="117" t="str">
        <f t="shared" si="5"/>
        <v>SCHMAT</v>
      </c>
      <c r="D96" s="126">
        <v>415822</v>
      </c>
      <c r="E96" s="128" t="s">
        <v>393</v>
      </c>
      <c r="F96" s="127" t="s">
        <v>370</v>
      </c>
      <c r="G96" s="136">
        <v>0</v>
      </c>
      <c r="H96" s="113" t="str">
        <f t="shared" si="3"/>
        <v>SITUS</v>
      </c>
      <c r="I96" s="113" t="str">
        <f>INDEX('SCH M Lookup'!$I:$I,MATCH($A96,'SCH M Lookup'!$A:$A,0))</f>
        <v>LABOR</v>
      </c>
      <c r="J96" s="113" t="str">
        <f>IF('SCH M Jun22data'!$G96=0,"NO",IF(ISNA('SCH M Jun22data'!$I96),"YES",IF(_xlfn.ISFORMULA('SCH M Jun22data'!$I96),"NO","YES")))</f>
        <v>NO</v>
      </c>
      <c r="K96"/>
    </row>
    <row r="97" spans="1:11">
      <c r="A97" s="118" t="str">
        <f t="shared" si="4"/>
        <v>4098300SCHMAT415828Regulatory Asset - Post -Ret MMT -WYSITUS</v>
      </c>
      <c r="B97" s="126">
        <v>4098300</v>
      </c>
      <c r="C97" s="117" t="str">
        <f t="shared" si="5"/>
        <v>SCHMAT</v>
      </c>
      <c r="D97" s="126">
        <v>415828</v>
      </c>
      <c r="E97" s="128" t="s">
        <v>3184</v>
      </c>
      <c r="F97" s="127" t="s">
        <v>386</v>
      </c>
      <c r="G97" s="136">
        <v>0</v>
      </c>
      <c r="H97" s="113" t="str">
        <f t="shared" si="3"/>
        <v>SITUS</v>
      </c>
      <c r="I97" s="113" t="e">
        <f>INDEX('SCH M Lookup'!$I:$I,MATCH($A97,'SCH M Lookup'!$A:$A,0))</f>
        <v>#N/A</v>
      </c>
      <c r="J97" s="113" t="str">
        <f>IF('SCH M Jun22data'!$G97=0,"NO",IF(ISNA('SCH M Jun22data'!$I97),"YES",IF(_xlfn.ISFORMULA('SCH M Jun22data'!$I97),"NO","YES")))</f>
        <v>NO</v>
      </c>
      <c r="K97"/>
    </row>
    <row r="98" spans="1:11">
      <c r="A98" s="118" t="str">
        <f t="shared" si="4"/>
        <v>4098300SCHMAT415829Reg Asset - Post - Ret MMT -UTSITUS</v>
      </c>
      <c r="B98" s="126">
        <v>4098300</v>
      </c>
      <c r="C98" s="117" t="str">
        <f t="shared" si="5"/>
        <v>SCHMAT</v>
      </c>
      <c r="D98" s="126">
        <v>415829</v>
      </c>
      <c r="E98" s="128" t="s">
        <v>395</v>
      </c>
      <c r="F98" s="127" t="s">
        <v>370</v>
      </c>
      <c r="G98" s="136">
        <v>0</v>
      </c>
      <c r="H98" s="113" t="str">
        <f t="shared" si="3"/>
        <v>SITUS</v>
      </c>
      <c r="I98" s="113" t="str">
        <f>INDEX('SCH M Lookup'!$I:$I,MATCH($A98,'SCH M Lookup'!$A:$A,0))</f>
        <v>LABOR</v>
      </c>
      <c r="J98" s="113" t="str">
        <f>IF('SCH M Jun22data'!$G98=0,"NO",IF(ISNA('SCH M Jun22data'!$I98),"YES",IF(_xlfn.ISFORMULA('SCH M Jun22data'!$I98),"NO","YES")))</f>
        <v>NO</v>
      </c>
      <c r="K98"/>
    </row>
    <row r="99" spans="1:11">
      <c r="A99" s="118" t="str">
        <f t="shared" si="4"/>
        <v>4098300SCHMAT415840Reg Asset-Deferred OR Independent EvaluaOTHER</v>
      </c>
      <c r="B99" s="126">
        <v>4098300</v>
      </c>
      <c r="C99" s="117" t="str">
        <f t="shared" si="5"/>
        <v>SCHMAT</v>
      </c>
      <c r="D99" s="126">
        <v>415840</v>
      </c>
      <c r="E99" s="128" t="s">
        <v>397</v>
      </c>
      <c r="F99" s="127" t="s">
        <v>306</v>
      </c>
      <c r="G99" s="136">
        <v>-0.58984999999999999</v>
      </c>
      <c r="H99" s="113" t="str">
        <f t="shared" si="3"/>
        <v>OTHER</v>
      </c>
      <c r="I99" s="113" t="str">
        <f>INDEX('SCH M Lookup'!$I:$I,MATCH($A99,'SCH M Lookup'!$A:$A,0))</f>
        <v>GP</v>
      </c>
      <c r="J99" s="113" t="str">
        <f>IF('SCH M Jun22data'!$G99=0,"NO",IF(ISNA('SCH M Jun22data'!$I99),"YES",IF(_xlfn.ISFORMULA('SCH M Jun22data'!$I99),"NO","YES")))</f>
        <v>NO</v>
      </c>
      <c r="K99"/>
    </row>
    <row r="100" spans="1:11">
      <c r="A100" s="118" t="str">
        <f t="shared" si="4"/>
        <v>4098300SCHMAT415841Reg Asset - Emergency Service Programs -OTHER</v>
      </c>
      <c r="B100" s="126">
        <v>4098300</v>
      </c>
      <c r="C100" s="117" t="str">
        <f t="shared" si="5"/>
        <v>SCHMAT</v>
      </c>
      <c r="D100" s="126">
        <v>415841</v>
      </c>
      <c r="E100" s="128" t="s">
        <v>1876</v>
      </c>
      <c r="F100" s="127" t="s">
        <v>306</v>
      </c>
      <c r="G100" s="136">
        <v>-202.73886999999999</v>
      </c>
      <c r="H100" s="113" t="str">
        <f t="shared" si="3"/>
        <v>OTHER</v>
      </c>
      <c r="I100" s="113" t="str">
        <f>INDEX('SCH M Lookup'!$I:$I,MATCH($A100,'SCH M Lookup'!$A:$A,0))</f>
        <v>PTD</v>
      </c>
      <c r="J100" s="113" t="str">
        <f>IF('SCH M Jun22data'!$G100=0,"NO",IF(ISNA('SCH M Jun22data'!$I100),"YES",IF(_xlfn.ISFORMULA('SCH M Jun22data'!$I100),"NO","YES")))</f>
        <v>NO</v>
      </c>
      <c r="K100"/>
    </row>
    <row r="101" spans="1:11">
      <c r="A101" s="118" t="str">
        <f t="shared" si="4"/>
        <v>4098300SCHMAT415850UNRECOVERED PLANT-POWERDALESG</v>
      </c>
      <c r="B101" s="126">
        <v>4098300</v>
      </c>
      <c r="C101" s="117" t="str">
        <f t="shared" si="5"/>
        <v>SCHMAT</v>
      </c>
      <c r="D101" s="126">
        <v>415850</v>
      </c>
      <c r="E101" s="128" t="s">
        <v>3185</v>
      </c>
      <c r="F101" s="127" t="s">
        <v>87</v>
      </c>
      <c r="G101" s="136">
        <v>0</v>
      </c>
      <c r="H101" s="113" t="str">
        <f t="shared" si="3"/>
        <v>SG</v>
      </c>
      <c r="I101" s="113" t="e">
        <f>INDEX('SCH M Lookup'!$I:$I,MATCH($A101,'SCH M Lookup'!$A:$A,0))</f>
        <v>#N/A</v>
      </c>
      <c r="J101" s="113" t="str">
        <f>IF('SCH M Jun22data'!$G101=0,"NO",IF(ISNA('SCH M Jun22data'!$I101),"YES",IF(_xlfn.ISFORMULA('SCH M Jun22data'!$I101),"NO","YES")))</f>
        <v>NO</v>
      </c>
      <c r="K101"/>
    </row>
    <row r="102" spans="1:11">
      <c r="A102" s="118" t="str">
        <f t="shared" si="4"/>
        <v>4098300SCHMAT415852Powerdale Decommissioning Reg Asset - IDSITUS</v>
      </c>
      <c r="B102" s="126">
        <v>4098300</v>
      </c>
      <c r="C102" s="117" t="str">
        <f t="shared" si="5"/>
        <v>SCHMAT</v>
      </c>
      <c r="D102" s="126">
        <v>415852</v>
      </c>
      <c r="E102" s="128" t="s">
        <v>398</v>
      </c>
      <c r="F102" s="127" t="s">
        <v>372</v>
      </c>
      <c r="G102" s="136">
        <v>5.6720800000000002</v>
      </c>
      <c r="H102" s="113" t="str">
        <f t="shared" si="3"/>
        <v>SITUS</v>
      </c>
      <c r="I102" s="113" t="str">
        <f>INDEX('SCH M Lookup'!$I:$I,MATCH($A102,'SCH M Lookup'!$A:$A,0))</f>
        <v>P</v>
      </c>
      <c r="J102" s="113" t="str">
        <f>IF('SCH M Jun22data'!$G102=0,"NO",IF(ISNA('SCH M Jun22data'!$I102),"YES",IF(_xlfn.ISFORMULA('SCH M Jun22data'!$I102),"NO","YES")))</f>
        <v>NO</v>
      </c>
      <c r="K102"/>
    </row>
    <row r="103" spans="1:11">
      <c r="A103" s="118" t="str">
        <f t="shared" si="4"/>
        <v>4098300SCHMAT415853Powerdale Decommissioning Reg Asset - ORSITUS</v>
      </c>
      <c r="B103" s="126">
        <v>4098300</v>
      </c>
      <c r="C103" s="117" t="str">
        <f t="shared" si="5"/>
        <v>SCHMAT</v>
      </c>
      <c r="D103" s="126">
        <v>415853</v>
      </c>
      <c r="E103" s="128" t="s">
        <v>3186</v>
      </c>
      <c r="F103" s="127" t="s">
        <v>343</v>
      </c>
      <c r="G103" s="136">
        <v>0</v>
      </c>
      <c r="H103" s="113" t="str">
        <f t="shared" si="3"/>
        <v>SITUS</v>
      </c>
      <c r="I103" s="113" t="e">
        <f>INDEX('SCH M Lookup'!$I:$I,MATCH($A103,'SCH M Lookup'!$A:$A,0))</f>
        <v>#N/A</v>
      </c>
      <c r="J103" s="113" t="str">
        <f>IF('SCH M Jun22data'!$G103=0,"NO",IF(ISNA('SCH M Jun22data'!$I103),"YES",IF(_xlfn.ISFORMULA('SCH M Jun22data'!$I103),"NO","YES")))</f>
        <v>NO</v>
      </c>
      <c r="K103"/>
    </row>
    <row r="104" spans="1:11">
      <c r="A104" s="118" t="str">
        <f t="shared" si="4"/>
        <v>4098300SCHMAT415854Powerdale Decommissioning Reg Asset - WASITUS</v>
      </c>
      <c r="B104" s="126">
        <v>4098300</v>
      </c>
      <c r="C104" s="117" t="str">
        <f t="shared" si="5"/>
        <v>SCHMAT</v>
      </c>
      <c r="D104" s="126">
        <v>415854</v>
      </c>
      <c r="E104" s="128" t="s">
        <v>3187</v>
      </c>
      <c r="F104" s="127" t="s">
        <v>367</v>
      </c>
      <c r="G104" s="136">
        <v>0</v>
      </c>
      <c r="H104" s="113" t="str">
        <f t="shared" si="3"/>
        <v>SITUS</v>
      </c>
      <c r="I104" s="113" t="e">
        <f>INDEX('SCH M Lookup'!$I:$I,MATCH($A104,'SCH M Lookup'!$A:$A,0))</f>
        <v>#N/A</v>
      </c>
      <c r="J104" s="113" t="str">
        <f>IF('SCH M Jun22data'!$G104=0,"NO",IF(ISNA('SCH M Jun22data'!$I104),"YES",IF(_xlfn.ISFORMULA('SCH M Jun22data'!$I104),"NO","YES")))</f>
        <v>NO</v>
      </c>
      <c r="K104"/>
    </row>
    <row r="105" spans="1:11">
      <c r="A105" s="118" t="str">
        <f t="shared" si="4"/>
        <v>4098300SCHMAT415855CA - January 2010 Storm CostsOTHER</v>
      </c>
      <c r="B105" s="126">
        <v>4098300</v>
      </c>
      <c r="C105" s="117" t="str">
        <f t="shared" si="5"/>
        <v>SCHMAT</v>
      </c>
      <c r="D105" s="126">
        <v>415855</v>
      </c>
      <c r="E105" s="128" t="s">
        <v>399</v>
      </c>
      <c r="F105" s="127" t="s">
        <v>306</v>
      </c>
      <c r="G105" s="136">
        <v>87.84178</v>
      </c>
      <c r="H105" s="113" t="str">
        <f t="shared" si="3"/>
        <v>OTHER</v>
      </c>
      <c r="I105" s="113" t="str">
        <f>INDEX('SCH M Lookup'!$I:$I,MATCH($A105,'SCH M Lookup'!$A:$A,0))</f>
        <v>P</v>
      </c>
      <c r="J105" s="113" t="str">
        <f>IF('SCH M Jun22data'!$G105=0,"NO",IF(ISNA('SCH M Jun22data'!$I105),"YES",IF(_xlfn.ISFORMULA('SCH M Jun22data'!$I105),"NO","YES")))</f>
        <v>NO</v>
      </c>
      <c r="K105"/>
    </row>
    <row r="106" spans="1:11">
      <c r="A106" s="118" t="str">
        <f t="shared" si="4"/>
        <v>4098300SCHMAT415856Powerdale Decommissioning Reg Asset - WYSITUS</v>
      </c>
      <c r="B106" s="126">
        <v>4098300</v>
      </c>
      <c r="C106" s="117" t="str">
        <f t="shared" si="5"/>
        <v>SCHMAT</v>
      </c>
      <c r="D106" s="126">
        <v>415856</v>
      </c>
      <c r="E106" s="128" t="s">
        <v>3188</v>
      </c>
      <c r="F106" s="127" t="s">
        <v>386</v>
      </c>
      <c r="G106" s="136">
        <v>0</v>
      </c>
      <c r="H106" s="113" t="str">
        <f t="shared" si="3"/>
        <v>SITUS</v>
      </c>
      <c r="I106" s="113" t="e">
        <f>INDEX('SCH M Lookup'!$I:$I,MATCH($A106,'SCH M Lookup'!$A:$A,0))</f>
        <v>#N/A</v>
      </c>
      <c r="J106" s="113" t="str">
        <f>IF('SCH M Jun22data'!$G106=0,"NO",IF(ISNA('SCH M Jun22data'!$I106),"YES",IF(_xlfn.ISFORMULA('SCH M Jun22data'!$I106),"NO","YES")))</f>
        <v>NO</v>
      </c>
      <c r="K106"/>
    </row>
    <row r="107" spans="1:11">
      <c r="A107" s="118" t="str">
        <f t="shared" si="4"/>
        <v>4098300SCHMAT415857ID - Deferred Overburden CostsOTHER</v>
      </c>
      <c r="B107" s="126">
        <v>4098300</v>
      </c>
      <c r="C107" s="117" t="str">
        <f t="shared" si="5"/>
        <v>SCHMAT</v>
      </c>
      <c r="D107" s="126">
        <v>415857</v>
      </c>
      <c r="E107" s="128" t="s">
        <v>400</v>
      </c>
      <c r="F107" s="127" t="s">
        <v>306</v>
      </c>
      <c r="G107" s="136">
        <v>-304.40962999999999</v>
      </c>
      <c r="H107" s="113" t="str">
        <f t="shared" si="3"/>
        <v>OTHER</v>
      </c>
      <c r="I107" s="113" t="str">
        <f>INDEX('SCH M Lookup'!$I:$I,MATCH($A107,'SCH M Lookup'!$A:$A,0))</f>
        <v>P</v>
      </c>
      <c r="J107" s="113" t="str">
        <f>IF('SCH M Jun22data'!$G107=0,"NO",IF(ISNA('SCH M Jun22data'!$I107),"YES",IF(_xlfn.ISFORMULA('SCH M Jun22data'!$I107),"NO","YES")))</f>
        <v>NO</v>
      </c>
      <c r="K107"/>
    </row>
    <row r="108" spans="1:11">
      <c r="A108" s="118" t="str">
        <f t="shared" si="4"/>
        <v>4098300SCHMAT415858WY - Deferred Overburden CostsSITUS</v>
      </c>
      <c r="B108" s="126">
        <v>4098300</v>
      </c>
      <c r="C108" s="117" t="str">
        <f t="shared" si="5"/>
        <v>SCHMAT</v>
      </c>
      <c r="D108" s="126">
        <v>415858</v>
      </c>
      <c r="E108" s="128" t="s">
        <v>401</v>
      </c>
      <c r="F108" s="127" t="s">
        <v>386</v>
      </c>
      <c r="G108" s="136">
        <v>-614.52877999999998</v>
      </c>
      <c r="H108" s="113" t="str">
        <f t="shared" si="3"/>
        <v>SITUS</v>
      </c>
      <c r="I108" s="113" t="str">
        <f>INDEX('SCH M Lookup'!$I:$I,MATCH($A108,'SCH M Lookup'!$A:$A,0))</f>
        <v>P</v>
      </c>
      <c r="J108" s="113" t="str">
        <f>IF('SCH M Jun22data'!$G108=0,"NO",IF(ISNA('SCH M Jun22data'!$I108),"YES",IF(_xlfn.ISFORMULA('SCH M Jun22data'!$I108),"NO","YES")))</f>
        <v>NO</v>
      </c>
      <c r="K108"/>
    </row>
    <row r="109" spans="1:11">
      <c r="A109" s="118" t="str">
        <f t="shared" si="4"/>
        <v>4098300SCHMAT415859WY - Deferred Advertising CostsSITUS</v>
      </c>
      <c r="B109" s="126">
        <v>4098300</v>
      </c>
      <c r="C109" s="117" t="str">
        <f t="shared" si="5"/>
        <v>SCHMAT</v>
      </c>
      <c r="D109" s="126">
        <v>415859</v>
      </c>
      <c r="E109" s="128" t="s">
        <v>3189</v>
      </c>
      <c r="F109" s="127" t="s">
        <v>386</v>
      </c>
      <c r="G109" s="136">
        <v>0</v>
      </c>
      <c r="H109" s="113" t="str">
        <f t="shared" si="3"/>
        <v>SITUS</v>
      </c>
      <c r="I109" s="113" t="e">
        <f>INDEX('SCH M Lookup'!$I:$I,MATCH($A109,'SCH M Lookup'!$A:$A,0))</f>
        <v>#N/A</v>
      </c>
      <c r="J109" s="113" t="str">
        <f>IF('SCH M Jun22data'!$G109=0,"NO",IF(ISNA('SCH M Jun22data'!$I109),"YES",IF(_xlfn.ISFORMULA('SCH M Jun22data'!$I109),"NO","YES")))</f>
        <v>NO</v>
      </c>
      <c r="K109"/>
    </row>
    <row r="110" spans="1:11">
      <c r="A110" s="118" t="str">
        <f t="shared" si="4"/>
        <v>4098300SCHMAT415865Reg Asset - UT MPAOTHER</v>
      </c>
      <c r="B110" s="126">
        <v>4098300</v>
      </c>
      <c r="C110" s="117" t="str">
        <f t="shared" si="5"/>
        <v>SCHMAT</v>
      </c>
      <c r="D110" s="126">
        <v>415865</v>
      </c>
      <c r="E110" s="128" t="s">
        <v>3190</v>
      </c>
      <c r="F110" s="127" t="s">
        <v>306</v>
      </c>
      <c r="G110" s="136">
        <v>0</v>
      </c>
      <c r="H110" s="113" t="str">
        <f t="shared" si="3"/>
        <v>OTHER</v>
      </c>
      <c r="I110" s="113" t="e">
        <f>INDEX('SCH M Lookup'!$I:$I,MATCH($A110,'SCH M Lookup'!$A:$A,0))</f>
        <v>#N/A</v>
      </c>
      <c r="J110" s="113" t="str">
        <f>IF('SCH M Jun22data'!$G110=0,"NO",IF(ISNA('SCH M Jun22data'!$I110),"YES",IF(_xlfn.ISFORMULA('SCH M Jun22data'!$I110),"NO","YES")))</f>
        <v>NO</v>
      </c>
      <c r="K110"/>
    </row>
    <row r="111" spans="1:11">
      <c r="A111" s="118" t="str">
        <f t="shared" si="4"/>
        <v>4098300SCHMAT415867Reg Asset - CA Solar Feed-in TariffOTHER</v>
      </c>
      <c r="B111" s="126">
        <v>4098300</v>
      </c>
      <c r="C111" s="117" t="str">
        <f t="shared" si="5"/>
        <v>SCHMAT</v>
      </c>
      <c r="D111" s="126">
        <v>415867</v>
      </c>
      <c r="E111" s="128" t="s">
        <v>3191</v>
      </c>
      <c r="F111" s="127" t="s">
        <v>306</v>
      </c>
      <c r="G111" s="136">
        <v>0</v>
      </c>
      <c r="H111" s="113" t="str">
        <f t="shared" si="3"/>
        <v>OTHER</v>
      </c>
      <c r="I111" s="113" t="e">
        <f>INDEX('SCH M Lookup'!$I:$I,MATCH($A111,'SCH M Lookup'!$A:$A,0))</f>
        <v>#N/A</v>
      </c>
      <c r="J111" s="113" t="str">
        <f>IF('SCH M Jun22data'!$G111=0,"NO",IF(ISNA('SCH M Jun22data'!$I111),"YES",IF(_xlfn.ISFORMULA('SCH M Jun22data'!$I111),"NO","YES")))</f>
        <v>NO</v>
      </c>
      <c r="K111"/>
    </row>
    <row r="112" spans="1:11">
      <c r="A112" s="118" t="str">
        <f t="shared" si="4"/>
        <v>4098300SCHMAT415868Reg Asset - UT - Solar Incentive ProgramOTHER</v>
      </c>
      <c r="B112" s="126">
        <v>4098300</v>
      </c>
      <c r="C112" s="117" t="str">
        <f t="shared" si="5"/>
        <v>SCHMAT</v>
      </c>
      <c r="D112" s="126">
        <v>415868</v>
      </c>
      <c r="E112" s="128" t="s">
        <v>402</v>
      </c>
      <c r="F112" s="127" t="s">
        <v>306</v>
      </c>
      <c r="G112" s="136">
        <v>6619.56538</v>
      </c>
      <c r="H112" s="113" t="str">
        <f t="shared" si="3"/>
        <v>OTHER</v>
      </c>
      <c r="I112" s="113" t="str">
        <f>INDEX('SCH M Lookup'!$I:$I,MATCH($A112,'SCH M Lookup'!$A:$A,0))</f>
        <v>DMSC</v>
      </c>
      <c r="J112" s="113" t="str">
        <f>IF('SCH M Jun22data'!$G112=0,"NO",IF(ISNA('SCH M Jun22data'!$I112),"YES",IF(_xlfn.ISFORMULA('SCH M Jun22data'!$I112),"NO","YES")))</f>
        <v>NO</v>
      </c>
      <c r="K112"/>
    </row>
    <row r="113" spans="1:11">
      <c r="A113" s="118" t="str">
        <f t="shared" si="4"/>
        <v>4098300SCHMAT415870Deferred Excess Net Power Costs-CAOTHER</v>
      </c>
      <c r="B113" s="126">
        <v>4098300</v>
      </c>
      <c r="C113" s="117" t="str">
        <f t="shared" si="5"/>
        <v>SCHMAT</v>
      </c>
      <c r="D113" s="126">
        <v>415870</v>
      </c>
      <c r="E113" s="128" t="s">
        <v>3192</v>
      </c>
      <c r="F113" s="127" t="s">
        <v>306</v>
      </c>
      <c r="G113" s="136">
        <v>0</v>
      </c>
      <c r="H113" s="113" t="str">
        <f t="shared" si="3"/>
        <v>OTHER</v>
      </c>
      <c r="I113" s="113" t="e">
        <f>INDEX('SCH M Lookup'!$I:$I,MATCH($A113,'SCH M Lookup'!$A:$A,0))</f>
        <v>#N/A</v>
      </c>
      <c r="J113" s="113" t="str">
        <f>IF('SCH M Jun22data'!$G113=0,"NO",IF(ISNA('SCH M Jun22data'!$I113),"YES",IF(_xlfn.ISFORMULA('SCH M Jun22data'!$I113),"NO","YES")))</f>
        <v>NO</v>
      </c>
      <c r="K113"/>
    </row>
    <row r="114" spans="1:11">
      <c r="A114" s="118" t="str">
        <f t="shared" si="4"/>
        <v>4098300SCHMAT415871Deferred Excess Net Power Costs-WYSITUS</v>
      </c>
      <c r="B114" s="126">
        <v>4098300</v>
      </c>
      <c r="C114" s="117" t="str">
        <f t="shared" si="5"/>
        <v>SCHMAT</v>
      </c>
      <c r="D114" s="126">
        <v>415871</v>
      </c>
      <c r="E114" s="128" t="s">
        <v>3193</v>
      </c>
      <c r="F114" s="127" t="s">
        <v>386</v>
      </c>
      <c r="G114" s="136">
        <v>0</v>
      </c>
      <c r="H114" s="113" t="str">
        <f t="shared" si="3"/>
        <v>SITUS</v>
      </c>
      <c r="I114" s="113" t="e">
        <f>INDEX('SCH M Lookup'!$I:$I,MATCH($A114,'SCH M Lookup'!$A:$A,0))</f>
        <v>#N/A</v>
      </c>
      <c r="J114" s="113" t="str">
        <f>IF('SCH M Jun22data'!$G114=0,"NO",IF(ISNA('SCH M Jun22data'!$I114),"YES",IF(_xlfn.ISFORMULA('SCH M Jun22data'!$I114),"NO","YES")))</f>
        <v>NO</v>
      </c>
      <c r="K114"/>
    </row>
    <row r="115" spans="1:11">
      <c r="A115" s="118" t="str">
        <f t="shared" si="4"/>
        <v>4098300SCHMAT415872Deferred Excess Net Power Costs - WY 08OTHER</v>
      </c>
      <c r="B115" s="126">
        <v>4098300</v>
      </c>
      <c r="C115" s="117" t="str">
        <f t="shared" si="5"/>
        <v>SCHMAT</v>
      </c>
      <c r="D115" s="126">
        <v>415872</v>
      </c>
      <c r="E115" s="128" t="s">
        <v>403</v>
      </c>
      <c r="F115" s="127" t="s">
        <v>306</v>
      </c>
      <c r="G115" s="136">
        <v>0</v>
      </c>
      <c r="H115" s="113" t="str">
        <f t="shared" si="3"/>
        <v>OTHER</v>
      </c>
      <c r="I115" s="113" t="e">
        <f>INDEX('SCH M Lookup'!$I:$I,MATCH($A115,'SCH M Lookup'!$A:$A,0))</f>
        <v>#N/A</v>
      </c>
      <c r="J115" s="113" t="str">
        <f>IF('SCH M Jun22data'!$G115=0,"NO",IF(ISNA('SCH M Jun22data'!$I115),"YES",IF(_xlfn.ISFORMULA('SCH M Jun22data'!$I115),"NO","YES")))</f>
        <v>NO</v>
      </c>
      <c r="K115"/>
    </row>
    <row r="116" spans="1:11">
      <c r="A116" s="118" t="str">
        <f t="shared" si="4"/>
        <v>4098300SCHMAT415876Deferred Excess Net PowerCosts - OROTHER</v>
      </c>
      <c r="B116" s="126">
        <v>4098300</v>
      </c>
      <c r="C116" s="117" t="str">
        <f t="shared" si="5"/>
        <v>SCHMAT</v>
      </c>
      <c r="D116" s="126">
        <v>415876</v>
      </c>
      <c r="E116" s="128" t="s">
        <v>404</v>
      </c>
      <c r="F116" s="127" t="s">
        <v>306</v>
      </c>
      <c r="G116" s="136">
        <v>799.73249999999996</v>
      </c>
      <c r="H116" s="113" t="str">
        <f t="shared" si="3"/>
        <v>OTHER</v>
      </c>
      <c r="I116" s="113" t="str">
        <f>INDEX('SCH M Lookup'!$I:$I,MATCH($A116,'SCH M Lookup'!$A:$A,0))</f>
        <v>P</v>
      </c>
      <c r="J116" s="113" t="str">
        <f>IF('SCH M Jun22data'!$G116=0,"NO",IF(ISNA('SCH M Jun22data'!$I116),"YES",IF(_xlfn.ISFORMULA('SCH M Jun22data'!$I116),"NO","YES")))</f>
        <v>NO</v>
      </c>
      <c r="K116"/>
    </row>
    <row r="117" spans="1:11">
      <c r="A117" s="118" t="str">
        <f t="shared" si="4"/>
        <v>4098300SCHMAT415881Deferral of Renewable Energy Credit - UTOTHER</v>
      </c>
      <c r="B117" s="126">
        <v>4098300</v>
      </c>
      <c r="C117" s="117" t="str">
        <f t="shared" si="5"/>
        <v>SCHMAT</v>
      </c>
      <c r="D117" s="126">
        <v>415881</v>
      </c>
      <c r="E117" s="128" t="s">
        <v>405</v>
      </c>
      <c r="F117" s="127" t="s">
        <v>306</v>
      </c>
      <c r="G117" s="136">
        <v>0</v>
      </c>
      <c r="H117" s="113" t="str">
        <f t="shared" si="3"/>
        <v>OTHER</v>
      </c>
      <c r="I117" s="113" t="str">
        <f>INDEX('SCH M Lookup'!$I:$I,MATCH($A117,'SCH M Lookup'!$A:$A,0))</f>
        <v>P</v>
      </c>
      <c r="J117" s="113" t="str">
        <f>IF('SCH M Jun22data'!$G117=0,"NO",IF(ISNA('SCH M Jun22data'!$I117),"YES",IF(_xlfn.ISFORMULA('SCH M Jun22data'!$I117),"NO","YES")))</f>
        <v>NO</v>
      </c>
      <c r="K117"/>
    </row>
    <row r="118" spans="1:11">
      <c r="A118" s="118" t="str">
        <f t="shared" si="4"/>
        <v>4098300SCHMAT415883Deferral of Renewable Energy Credit - WYOTHER</v>
      </c>
      <c r="B118" s="126">
        <v>4098300</v>
      </c>
      <c r="C118" s="117" t="str">
        <f t="shared" si="5"/>
        <v>SCHMAT</v>
      </c>
      <c r="D118" s="126">
        <v>415883</v>
      </c>
      <c r="E118" s="128" t="s">
        <v>406</v>
      </c>
      <c r="F118" s="127" t="s">
        <v>306</v>
      </c>
      <c r="G118" s="136">
        <v>0</v>
      </c>
      <c r="H118" s="113" t="str">
        <f t="shared" si="3"/>
        <v>OTHER</v>
      </c>
      <c r="I118" s="113" t="str">
        <f>INDEX('SCH M Lookup'!$I:$I,MATCH($A118,'SCH M Lookup'!$A:$A,0))</f>
        <v>P</v>
      </c>
      <c r="J118" s="113" t="str">
        <f>IF('SCH M Jun22data'!$G118=0,"NO",IF(ISNA('SCH M Jun22data'!$I118),"YES",IF(_xlfn.ISFORMULA('SCH M Jun22data'!$I118),"NO","YES")))</f>
        <v>NO</v>
      </c>
      <c r="K118"/>
    </row>
    <row r="119" spans="1:11">
      <c r="A119" s="118" t="str">
        <f t="shared" si="4"/>
        <v>4098300SCHMAT415890ID MEHC 2006 Transistion CostsSITUS</v>
      </c>
      <c r="B119" s="126">
        <v>4098300</v>
      </c>
      <c r="C119" s="117" t="str">
        <f t="shared" si="5"/>
        <v>SCHMAT</v>
      </c>
      <c r="D119" s="126">
        <v>415890</v>
      </c>
      <c r="E119" s="128" t="s">
        <v>3194</v>
      </c>
      <c r="F119" s="127" t="s">
        <v>372</v>
      </c>
      <c r="G119" s="136">
        <v>0</v>
      </c>
      <c r="H119" s="113" t="str">
        <f t="shared" si="3"/>
        <v>SITUS</v>
      </c>
      <c r="I119" s="113" t="e">
        <f>INDEX('SCH M Lookup'!$I:$I,MATCH($A119,'SCH M Lookup'!$A:$A,0))</f>
        <v>#N/A</v>
      </c>
      <c r="J119" s="113" t="str">
        <f>IF('SCH M Jun22data'!$G119=0,"NO",IF(ISNA('SCH M Jun22data'!$I119),"YES",IF(_xlfn.ISFORMULA('SCH M Jun22data'!$I119),"NO","YES")))</f>
        <v>NO</v>
      </c>
      <c r="K119"/>
    </row>
    <row r="120" spans="1:11">
      <c r="A120" s="118" t="str">
        <f t="shared" si="4"/>
        <v>4098300SCHMAT415891WY - 2006 Transition Severance CostsSITUS</v>
      </c>
      <c r="B120" s="126">
        <v>4098300</v>
      </c>
      <c r="C120" s="117" t="str">
        <f t="shared" si="5"/>
        <v>SCHMAT</v>
      </c>
      <c r="D120" s="126">
        <v>415891</v>
      </c>
      <c r="E120" s="128" t="s">
        <v>3195</v>
      </c>
      <c r="F120" s="127" t="s">
        <v>386</v>
      </c>
      <c r="G120" s="136">
        <v>0</v>
      </c>
      <c r="H120" s="113" t="str">
        <f t="shared" si="3"/>
        <v>SITUS</v>
      </c>
      <c r="I120" s="113" t="e">
        <f>INDEX('SCH M Lookup'!$I:$I,MATCH($A120,'SCH M Lookup'!$A:$A,0))</f>
        <v>#N/A</v>
      </c>
      <c r="J120" s="113" t="str">
        <f>IF('SCH M Jun22data'!$G120=0,"NO",IF(ISNA('SCH M Jun22data'!$I120),"YES",IF(_xlfn.ISFORMULA('SCH M Jun22data'!$I120),"NO","YES")))</f>
        <v>NO</v>
      </c>
      <c r="K120"/>
    </row>
    <row r="121" spans="1:11">
      <c r="A121" s="118" t="str">
        <f t="shared" si="4"/>
        <v>4098300SCHMAT415893OR - MEHC Transition Service CostsOTHER</v>
      </c>
      <c r="B121" s="126">
        <v>4098300</v>
      </c>
      <c r="C121" s="117" t="str">
        <f t="shared" si="5"/>
        <v>SCHMAT</v>
      </c>
      <c r="D121" s="126">
        <v>415893</v>
      </c>
      <c r="E121" s="128" t="s">
        <v>3196</v>
      </c>
      <c r="F121" s="127" t="s">
        <v>306</v>
      </c>
      <c r="G121" s="136">
        <v>0</v>
      </c>
      <c r="H121" s="113" t="str">
        <f t="shared" si="3"/>
        <v>OTHER</v>
      </c>
      <c r="I121" s="113" t="e">
        <f>INDEX('SCH M Lookup'!$I:$I,MATCH($A121,'SCH M Lookup'!$A:$A,0))</f>
        <v>#N/A</v>
      </c>
      <c r="J121" s="113" t="str">
        <f>IF('SCH M Jun22data'!$G121=0,"NO",IF(ISNA('SCH M Jun22data'!$I121),"YES",IF(_xlfn.ISFORMULA('SCH M Jun22data'!$I121),"NO","YES")))</f>
        <v>NO</v>
      </c>
      <c r="K121"/>
    </row>
    <row r="122" spans="1:11">
      <c r="A122" s="118" t="str">
        <f t="shared" si="4"/>
        <v>4098300SCHMAT415895OR RCAC Sept-Dec 07 deferredSITUS</v>
      </c>
      <c r="B122" s="126">
        <v>4098300</v>
      </c>
      <c r="C122" s="117" t="str">
        <f t="shared" si="5"/>
        <v>SCHMAT</v>
      </c>
      <c r="D122" s="126">
        <v>415895</v>
      </c>
      <c r="E122" s="128" t="s">
        <v>3197</v>
      </c>
      <c r="F122" s="127" t="s">
        <v>343</v>
      </c>
      <c r="G122" s="136">
        <v>0</v>
      </c>
      <c r="H122" s="113" t="str">
        <f t="shared" si="3"/>
        <v>SITUS</v>
      </c>
      <c r="I122" s="113" t="e">
        <f>INDEX('SCH M Lookup'!$I:$I,MATCH($A122,'SCH M Lookup'!$A:$A,0))</f>
        <v>#N/A</v>
      </c>
      <c r="J122" s="113" t="str">
        <f>IF('SCH M Jun22data'!$G122=0,"NO",IF(ISNA('SCH M Jun22data'!$I122),"YES",IF(_xlfn.ISFORMULA('SCH M Jun22data'!$I122),"NO","YES")))</f>
        <v>NO</v>
      </c>
      <c r="K122"/>
    </row>
    <row r="123" spans="1:11">
      <c r="A123" s="118" t="str">
        <f t="shared" si="4"/>
        <v>4098300SCHMAT415896WA - Chehalis Plant Revenue RequirementSITUS</v>
      </c>
      <c r="B123" s="126">
        <v>4098300</v>
      </c>
      <c r="C123" s="117" t="str">
        <f t="shared" si="5"/>
        <v>SCHMAT</v>
      </c>
      <c r="D123" s="126">
        <v>415896</v>
      </c>
      <c r="E123" s="128" t="s">
        <v>3198</v>
      </c>
      <c r="F123" s="127" t="s">
        <v>367</v>
      </c>
      <c r="G123" s="136">
        <v>0</v>
      </c>
      <c r="H123" s="113" t="str">
        <f t="shared" si="3"/>
        <v>SITUS</v>
      </c>
      <c r="I123" s="113" t="e">
        <f>INDEX('SCH M Lookup'!$I:$I,MATCH($A123,'SCH M Lookup'!$A:$A,0))</f>
        <v>#N/A</v>
      </c>
      <c r="J123" s="113" t="str">
        <f>IF('SCH M Jun22data'!$G123=0,"NO",IF(ISNA('SCH M Jun22data'!$I123),"YES",IF(_xlfn.ISFORMULA('SCH M Jun22data'!$I123),"NO","YES")))</f>
        <v>NO</v>
      </c>
      <c r="K123"/>
    </row>
    <row r="124" spans="1:11">
      <c r="A124" s="118" t="str">
        <f t="shared" si="4"/>
        <v>4098300SCHMAT415897Reg Asset MEHC Transition Service CostsSITUS</v>
      </c>
      <c r="B124" s="126">
        <v>4098300</v>
      </c>
      <c r="C124" s="117" t="str">
        <f t="shared" si="5"/>
        <v>SCHMAT</v>
      </c>
      <c r="D124" s="126">
        <v>415897</v>
      </c>
      <c r="E124" s="128" t="s">
        <v>3199</v>
      </c>
      <c r="F124" s="127" t="s">
        <v>387</v>
      </c>
      <c r="G124" s="136">
        <v>0</v>
      </c>
      <c r="H124" s="113" t="str">
        <f t="shared" si="3"/>
        <v>SITUS</v>
      </c>
      <c r="I124" s="113" t="e">
        <f>INDEX('SCH M Lookup'!$I:$I,MATCH($A124,'SCH M Lookup'!$A:$A,0))</f>
        <v>#N/A</v>
      </c>
      <c r="J124" s="113" t="str">
        <f>IF('SCH M Jun22data'!$G124=0,"NO",IF(ISNA('SCH M Jun22data'!$I124),"YES",IF(_xlfn.ISFORMULA('SCH M Jun22data'!$I124),"NO","YES")))</f>
        <v>NO</v>
      </c>
      <c r="K124"/>
    </row>
    <row r="125" spans="1:11">
      <c r="A125" s="118" t="str">
        <f t="shared" si="4"/>
        <v>4098300SCHMAT415898Deferred Coal Costs - Naughton ContractSE</v>
      </c>
      <c r="B125" s="126">
        <v>4098300</v>
      </c>
      <c r="C125" s="117" t="str">
        <f t="shared" si="5"/>
        <v>SCHMAT</v>
      </c>
      <c r="D125" s="126">
        <v>415898</v>
      </c>
      <c r="E125" s="128" t="s">
        <v>407</v>
      </c>
      <c r="F125" s="127" t="s">
        <v>3110</v>
      </c>
      <c r="G125" s="136">
        <v>0</v>
      </c>
      <c r="H125" s="113" t="str">
        <f t="shared" si="3"/>
        <v>SE</v>
      </c>
      <c r="I125" s="113" t="str">
        <f>INDEX('SCH M Lookup'!$I:$I,MATCH($A125,'SCH M Lookup'!$A:$A,0))</f>
        <v>P</v>
      </c>
      <c r="J125" s="113" t="str">
        <f>IF('SCH M Jun22data'!$G125=0,"NO",IF(ISNA('SCH M Jun22data'!$I125),"YES",IF(_xlfn.ISFORMULA('SCH M Jun22data'!$I125),"NO","YES")))</f>
        <v>NO</v>
      </c>
      <c r="K125"/>
    </row>
    <row r="126" spans="1:11">
      <c r="A126" s="118" t="str">
        <f t="shared" si="4"/>
        <v>4098300SCHMAT415900OR SB 408 RecoveryOTHER</v>
      </c>
      <c r="B126" s="126">
        <v>4098300</v>
      </c>
      <c r="C126" s="117" t="str">
        <f t="shared" si="5"/>
        <v>SCHMAT</v>
      </c>
      <c r="D126" s="126">
        <v>415900</v>
      </c>
      <c r="E126" s="128" t="s">
        <v>3200</v>
      </c>
      <c r="F126" s="127" t="s">
        <v>306</v>
      </c>
      <c r="G126" s="136">
        <v>0</v>
      </c>
      <c r="H126" s="113" t="str">
        <f t="shared" si="3"/>
        <v>OTHER</v>
      </c>
      <c r="I126" s="113" t="e">
        <f>INDEX('SCH M Lookup'!$I:$I,MATCH($A126,'SCH M Lookup'!$A:$A,0))</f>
        <v>#N/A</v>
      </c>
      <c r="J126" s="113" t="str">
        <f>IF('SCH M Jun22data'!$G126=0,"NO",IF(ISNA('SCH M Jun22data'!$I126),"YES",IF(_xlfn.ISFORMULA('SCH M Jun22data'!$I126),"NO","YES")))</f>
        <v>NO</v>
      </c>
      <c r="K126"/>
    </row>
    <row r="127" spans="1:11">
      <c r="A127" s="118" t="str">
        <f t="shared" si="4"/>
        <v>4098300SCHMAT415902Reg Asset - UT REC's in Rates - CurrentOTHER</v>
      </c>
      <c r="B127" s="126">
        <v>4098300</v>
      </c>
      <c r="C127" s="117" t="str">
        <f t="shared" si="5"/>
        <v>SCHMAT</v>
      </c>
      <c r="D127" s="126">
        <v>415902</v>
      </c>
      <c r="E127" s="128" t="s">
        <v>3201</v>
      </c>
      <c r="F127" s="127" t="s">
        <v>306</v>
      </c>
      <c r="G127" s="136">
        <v>0</v>
      </c>
      <c r="H127" s="113" t="str">
        <f t="shared" si="3"/>
        <v>OTHER</v>
      </c>
      <c r="I127" s="113" t="e">
        <f>INDEX('SCH M Lookup'!$I:$I,MATCH($A127,'SCH M Lookup'!$A:$A,0))</f>
        <v>#N/A</v>
      </c>
      <c r="J127" s="113" t="str">
        <f>IF('SCH M Jun22data'!$G127=0,"NO",IF(ISNA('SCH M Jun22data'!$I127),"YES",IF(_xlfn.ISFORMULA('SCH M Jun22data'!$I127),"NO","YES")))</f>
        <v>NO</v>
      </c>
      <c r="K127"/>
    </row>
    <row r="128" spans="1:11">
      <c r="A128" s="118" t="str">
        <f t="shared" si="4"/>
        <v>4098300SCHMAT415911Contra Reg Asset - Naughton Unit $3 - CASITUS</v>
      </c>
      <c r="B128" s="126">
        <v>4098300</v>
      </c>
      <c r="C128" s="117" t="str">
        <f t="shared" si="5"/>
        <v>SCHMAT</v>
      </c>
      <c r="D128" s="126">
        <v>415911</v>
      </c>
      <c r="E128" s="128" t="s">
        <v>3202</v>
      </c>
      <c r="F128" s="127" t="s">
        <v>387</v>
      </c>
      <c r="G128" s="136">
        <v>0</v>
      </c>
      <c r="H128" s="113" t="str">
        <f t="shared" si="3"/>
        <v>SITUS</v>
      </c>
      <c r="I128" s="113" t="e">
        <f>INDEX('SCH M Lookup'!$I:$I,MATCH($A128,'SCH M Lookup'!$A:$A,0))</f>
        <v>#N/A</v>
      </c>
      <c r="J128" s="113" t="str">
        <f>IF('SCH M Jun22data'!$G128=0,"NO",IF(ISNA('SCH M Jun22data'!$I128),"YES",IF(_xlfn.ISFORMULA('SCH M Jun22data'!$I128),"NO","YES")))</f>
        <v>NO</v>
      </c>
      <c r="K128"/>
    </row>
    <row r="129" spans="1:11">
      <c r="A129" s="118" t="str">
        <f t="shared" si="4"/>
        <v>4098300SCHMAT415912Contra Reg Asset - Naughton Unit #3 - OROTHER</v>
      </c>
      <c r="B129" s="126">
        <v>4098300</v>
      </c>
      <c r="C129" s="117" t="str">
        <f t="shared" si="5"/>
        <v>SCHMAT</v>
      </c>
      <c r="D129" s="126">
        <v>415912</v>
      </c>
      <c r="E129" s="128" t="s">
        <v>3203</v>
      </c>
      <c r="F129" s="127" t="s">
        <v>306</v>
      </c>
      <c r="G129" s="136">
        <v>0</v>
      </c>
      <c r="H129" s="113" t="str">
        <f t="shared" si="3"/>
        <v>OTHER</v>
      </c>
      <c r="I129" s="113" t="e">
        <f>INDEX('SCH M Lookup'!$I:$I,MATCH($A129,'SCH M Lookup'!$A:$A,0))</f>
        <v>#N/A</v>
      </c>
      <c r="J129" s="113" t="str">
        <f>IF('SCH M Jun22data'!$G129=0,"NO",IF(ISNA('SCH M Jun22data'!$I129),"YES",IF(_xlfn.ISFORMULA('SCH M Jun22data'!$I129),"NO","YES")))</f>
        <v>NO</v>
      </c>
      <c r="K129"/>
    </row>
    <row r="130" spans="1:11">
      <c r="A130" s="118" t="str">
        <f t="shared" si="4"/>
        <v>4098300SCHMAT415913Contra Reg Asset - Naughton Unit #3 - WAOTHER</v>
      </c>
      <c r="B130" s="126">
        <v>4098300</v>
      </c>
      <c r="C130" s="117" t="str">
        <f t="shared" si="5"/>
        <v>SCHMAT</v>
      </c>
      <c r="D130" s="126">
        <v>415913</v>
      </c>
      <c r="E130" s="128" t="s">
        <v>3204</v>
      </c>
      <c r="F130" s="127" t="s">
        <v>306</v>
      </c>
      <c r="G130" s="136">
        <v>0</v>
      </c>
      <c r="H130" s="113" t="str">
        <f t="shared" ref="H130:H193" si="6">IF(OR(F130="IDU",F130="OR",F130="UT",F130="WYU",F130="WYP",F130="CA",F130="WA"),"SITUS",IF(OR(F130="CAEE",F130="JBE"),"SE",IF(OR(F130="CAGE",F130="CAGW",F130="JBG"),"SG",F130)))</f>
        <v>OTHER</v>
      </c>
      <c r="I130" s="113" t="e">
        <f>INDEX('SCH M Lookup'!$I:$I,MATCH($A130,'SCH M Lookup'!$A:$A,0))</f>
        <v>#N/A</v>
      </c>
      <c r="J130" s="113" t="str">
        <f>IF('SCH M Jun22data'!$G130=0,"NO",IF(ISNA('SCH M Jun22data'!$I130),"YES",IF(_xlfn.ISFORMULA('SCH M Jun22data'!$I130),"NO","YES")))</f>
        <v>NO</v>
      </c>
      <c r="K130"/>
    </row>
    <row r="131" spans="1:11">
      <c r="A131" s="118" t="str">
        <f t="shared" ref="A131:A194" si="7">CONCATENATE($B131,$C131,$D131,$E131,$H131)</f>
        <v>4098300SCHMAT415914Reg Asset - UT - Naughton U3 CostsSITUS</v>
      </c>
      <c r="B131" s="126">
        <v>4098300</v>
      </c>
      <c r="C131" s="117" t="str">
        <f t="shared" ref="C131:C194" si="8">IF(B131=4098200,"SCHMAP",IF(B131=4098300,"SCHMAT",IF(B131=4099200,"SCHMDP",IF(B131=4099300,"SCHMDT"))))</f>
        <v>SCHMAT</v>
      </c>
      <c r="D131" s="126">
        <v>415914</v>
      </c>
      <c r="E131" s="128" t="s">
        <v>3205</v>
      </c>
      <c r="F131" s="127" t="s">
        <v>370</v>
      </c>
      <c r="G131" s="136">
        <v>0</v>
      </c>
      <c r="H131" s="113" t="str">
        <f t="shared" si="6"/>
        <v>SITUS</v>
      </c>
      <c r="I131" s="113" t="e">
        <f>INDEX('SCH M Lookup'!$I:$I,MATCH($A131,'SCH M Lookup'!$A:$A,0))</f>
        <v>#N/A</v>
      </c>
      <c r="J131" s="113" t="str">
        <f>IF('SCH M Jun22data'!$G131=0,"NO",IF(ISNA('SCH M Jun22data'!$I131),"YES",IF(_xlfn.ISFORMULA('SCH M Jun22data'!$I131),"NO","YES")))</f>
        <v>NO</v>
      </c>
      <c r="K131"/>
    </row>
    <row r="132" spans="1:11">
      <c r="A132" s="118" t="str">
        <f t="shared" si="7"/>
        <v>4098300SCHMAT415915Reg Asset - WY - Naughton U3 CostsSITUS</v>
      </c>
      <c r="B132" s="126">
        <v>4098300</v>
      </c>
      <c r="C132" s="117" t="str">
        <f t="shared" si="8"/>
        <v>SCHMAT</v>
      </c>
      <c r="D132" s="126">
        <v>415915</v>
      </c>
      <c r="E132" s="128" t="s">
        <v>3206</v>
      </c>
      <c r="F132" s="127" t="s">
        <v>386</v>
      </c>
      <c r="G132" s="136">
        <v>0</v>
      </c>
      <c r="H132" s="113" t="str">
        <f t="shared" si="6"/>
        <v>SITUS</v>
      </c>
      <c r="I132" s="113" t="e">
        <f>INDEX('SCH M Lookup'!$I:$I,MATCH($A132,'SCH M Lookup'!$A:$A,0))</f>
        <v>#N/A</v>
      </c>
      <c r="J132" s="113" t="str">
        <f>IF('SCH M Jun22data'!$G132=0,"NO",IF(ISNA('SCH M Jun22data'!$I132),"YES",IF(_xlfn.ISFORMULA('SCH M Jun22data'!$I132),"NO","YES")))</f>
        <v>NO</v>
      </c>
      <c r="K132"/>
    </row>
    <row r="133" spans="1:11">
      <c r="A133" s="118" t="str">
        <f t="shared" si="7"/>
        <v>4098300SCHMAT415926Reg Liability - Depreciation Decrease -OTHER</v>
      </c>
      <c r="B133" s="126">
        <v>4098300</v>
      </c>
      <c r="C133" s="117" t="str">
        <f t="shared" si="8"/>
        <v>SCHMAT</v>
      </c>
      <c r="D133" s="126">
        <v>415926</v>
      </c>
      <c r="E133" s="128" t="s">
        <v>408</v>
      </c>
      <c r="F133" s="127" t="s">
        <v>306</v>
      </c>
      <c r="G133" s="136">
        <v>-2524.1984000000002</v>
      </c>
      <c r="H133" s="113" t="str">
        <f t="shared" si="6"/>
        <v>OTHER</v>
      </c>
      <c r="I133" s="113" t="str">
        <f>INDEX('SCH M Lookup'!$I:$I,MATCH($A133,'SCH M Lookup'!$A:$A,0))</f>
        <v>P</v>
      </c>
      <c r="J133" s="113" t="str">
        <f>IF('SCH M Jun22data'!$G133=0,"NO",IF(ISNA('SCH M Jun22data'!$I133),"YES",IF(_xlfn.ISFORMULA('SCH M Jun22data'!$I133),"NO","YES")))</f>
        <v>NO</v>
      </c>
      <c r="K133"/>
    </row>
    <row r="134" spans="1:11">
      <c r="A134" s="118" t="str">
        <f t="shared" si="7"/>
        <v>4098300SCHMAT415927Reg Liability - Depreciation Decrease DeSITUS</v>
      </c>
      <c r="B134" s="126">
        <v>4098300</v>
      </c>
      <c r="C134" s="117" t="str">
        <f t="shared" si="8"/>
        <v>SCHMAT</v>
      </c>
      <c r="D134" s="126">
        <v>415927</v>
      </c>
      <c r="E134" s="128" t="s">
        <v>409</v>
      </c>
      <c r="F134" s="127" t="s">
        <v>367</v>
      </c>
      <c r="G134" s="136">
        <v>0</v>
      </c>
      <c r="H134" s="113" t="str">
        <f t="shared" si="6"/>
        <v>SITUS</v>
      </c>
      <c r="I134" s="113" t="str">
        <f>INDEX('SCH M Lookup'!$I:$I,MATCH($A134,'SCH M Lookup'!$A:$A,0))</f>
        <v>P</v>
      </c>
      <c r="J134" s="113" t="str">
        <f>IF('SCH M Jun22data'!$G134=0,"NO",IF(ISNA('SCH M Jun22data'!$I134),"YES",IF(_xlfn.ISFORMULA('SCH M Jun22data'!$I134),"NO","YES")))</f>
        <v>NO</v>
      </c>
      <c r="K134"/>
    </row>
    <row r="135" spans="1:11">
      <c r="A135" s="118" t="str">
        <f t="shared" si="7"/>
        <v>4098300SCHMAT415938Reg Asset - Carbon Plant DecommissioningSITUS</v>
      </c>
      <c r="B135" s="126">
        <v>4098300</v>
      </c>
      <c r="C135" s="117" t="str">
        <f t="shared" si="8"/>
        <v>SCHMAT</v>
      </c>
      <c r="D135" s="126">
        <v>415938</v>
      </c>
      <c r="E135" s="128" t="s">
        <v>410</v>
      </c>
      <c r="F135" s="127" t="s">
        <v>387</v>
      </c>
      <c r="G135" s="136">
        <v>0</v>
      </c>
      <c r="H135" s="113" t="str">
        <f t="shared" si="6"/>
        <v>SITUS</v>
      </c>
      <c r="I135" s="113" t="str">
        <f>INDEX('SCH M Lookup'!$I:$I,MATCH($A135,'SCH M Lookup'!$A:$A,0))</f>
        <v>P</v>
      </c>
      <c r="J135" s="113" t="str">
        <f>IF('SCH M Jun22data'!$G135=0,"NO",IF(ISNA('SCH M Jun22data'!$I135),"YES",IF(_xlfn.ISFORMULA('SCH M Jun22data'!$I135),"NO","YES")))</f>
        <v>NO</v>
      </c>
      <c r="K135"/>
    </row>
    <row r="136" spans="1:11">
      <c r="A136" s="118" t="str">
        <f t="shared" si="7"/>
        <v>4098300SCHMAT415939Reg Asset - Carbon Plant DecommissioningSITUS</v>
      </c>
      <c r="B136" s="126">
        <v>4098300</v>
      </c>
      <c r="C136" s="117" t="str">
        <f t="shared" si="8"/>
        <v>SCHMAT</v>
      </c>
      <c r="D136" s="126">
        <v>415939</v>
      </c>
      <c r="E136" s="128" t="s">
        <v>410</v>
      </c>
      <c r="F136" s="127" t="s">
        <v>386</v>
      </c>
      <c r="G136" s="136">
        <v>-523.25280999999995</v>
      </c>
      <c r="H136" s="113" t="str">
        <f t="shared" si="6"/>
        <v>SITUS</v>
      </c>
      <c r="I136" s="113" t="str">
        <f>INDEX('SCH M Lookup'!$I:$I,MATCH($A136,'SCH M Lookup'!$A:$A,0))</f>
        <v>P</v>
      </c>
      <c r="J136" s="113" t="str">
        <f>IF('SCH M Jun22data'!$G136=0,"NO",IF(ISNA('SCH M Jun22data'!$I136),"YES",IF(_xlfn.ISFORMULA('SCH M Jun22data'!$I136),"NO","YES")))</f>
        <v>NO</v>
      </c>
      <c r="K136"/>
    </row>
    <row r="137" spans="1:11">
      <c r="A137" s="118" t="str">
        <f t="shared" si="7"/>
        <v>4098300SCHMAT415942Reg Liability - Steam Decommissioning -SG</v>
      </c>
      <c r="B137" s="126">
        <v>4098300</v>
      </c>
      <c r="C137" s="117" t="str">
        <f t="shared" si="8"/>
        <v>SCHMAT</v>
      </c>
      <c r="D137" s="126">
        <v>415942</v>
      </c>
      <c r="E137" s="128" t="s">
        <v>2055</v>
      </c>
      <c r="F137" s="127" t="s">
        <v>3106</v>
      </c>
      <c r="G137" s="136">
        <v>3569.6158799999998</v>
      </c>
      <c r="H137" s="113" t="str">
        <f t="shared" si="6"/>
        <v>SG</v>
      </c>
      <c r="I137" s="113" t="e">
        <f>INDEX('SCH M Lookup'!$I:$I,MATCH($A137,'SCH M Lookup'!$A:$A,0))</f>
        <v>#N/A</v>
      </c>
      <c r="J137" s="113" t="str">
        <f>IF('SCH M Jun22data'!$G137=0,"NO",IF(ISNA('SCH M Jun22data'!$I137),"YES",IF(_xlfn.ISFORMULA('SCH M Jun22data'!$I137),"NO","YES")))</f>
        <v>YES</v>
      </c>
      <c r="K137"/>
    </row>
    <row r="138" spans="1:11">
      <c r="A138" s="118" t="str">
        <f t="shared" si="7"/>
        <v>4098300SCHMAT425100Deferred Regulatory ExpenseSITUS</v>
      </c>
      <c r="B138" s="126">
        <v>4098300</v>
      </c>
      <c r="C138" s="117" t="str">
        <f t="shared" si="8"/>
        <v>SCHMAT</v>
      </c>
      <c r="D138" s="126">
        <v>425100</v>
      </c>
      <c r="E138" s="128" t="s">
        <v>3207</v>
      </c>
      <c r="F138" s="127" t="s">
        <v>372</v>
      </c>
      <c r="G138" s="136">
        <v>0</v>
      </c>
      <c r="H138" s="113" t="str">
        <f t="shared" si="6"/>
        <v>SITUS</v>
      </c>
      <c r="I138" s="113" t="e">
        <f>INDEX('SCH M Lookup'!$I:$I,MATCH($A138,'SCH M Lookup'!$A:$A,0))</f>
        <v>#N/A</v>
      </c>
      <c r="J138" s="113" t="str">
        <f>IF('SCH M Jun22data'!$G138=0,"NO",IF(ISNA('SCH M Jun22data'!$I138),"YES",IF(_xlfn.ISFORMULA('SCH M Jun22data'!$I138),"NO","YES")))</f>
        <v>NO</v>
      </c>
      <c r="K138"/>
    </row>
    <row r="139" spans="1:11">
      <c r="A139" s="118" t="str">
        <f t="shared" si="7"/>
        <v>4098300SCHMAT425105Reg Asset - OR Asset Sale Gain GivebackOTHER</v>
      </c>
      <c r="B139" s="126">
        <v>4098300</v>
      </c>
      <c r="C139" s="117" t="str">
        <f t="shared" si="8"/>
        <v>SCHMAT</v>
      </c>
      <c r="D139" s="126">
        <v>425105</v>
      </c>
      <c r="E139" s="128" t="s">
        <v>411</v>
      </c>
      <c r="F139" s="127" t="s">
        <v>306</v>
      </c>
      <c r="G139" s="136">
        <v>-220.28586999999999</v>
      </c>
      <c r="H139" s="113" t="str">
        <f t="shared" si="6"/>
        <v>OTHER</v>
      </c>
      <c r="I139" s="113" t="str">
        <f>INDEX('SCH M Lookup'!$I:$I,MATCH($A139,'SCH M Lookup'!$A:$A,0))</f>
        <v>P</v>
      </c>
      <c r="J139" s="113" t="str">
        <f>IF('SCH M Jun22data'!$G139=0,"NO",IF(ISNA('SCH M Jun22data'!$I139),"YES",IF(_xlfn.ISFORMULA('SCH M Jun22data'!$I139),"NO","YES")))</f>
        <v>NO</v>
      </c>
      <c r="K139"/>
    </row>
    <row r="140" spans="1:11">
      <c r="A140" s="118" t="str">
        <f t="shared" si="7"/>
        <v>4098300SCHMAT425125Deferred Coal Cost - ArchSE</v>
      </c>
      <c r="B140" s="126">
        <v>4098300</v>
      </c>
      <c r="C140" s="117" t="str">
        <f t="shared" si="8"/>
        <v>SCHMAT</v>
      </c>
      <c r="D140" s="126">
        <v>425125</v>
      </c>
      <c r="E140" s="128" t="s">
        <v>3208</v>
      </c>
      <c r="F140" s="127" t="s">
        <v>3110</v>
      </c>
      <c r="G140" s="136">
        <v>0</v>
      </c>
      <c r="H140" s="113" t="str">
        <f t="shared" si="6"/>
        <v>SE</v>
      </c>
      <c r="I140" s="113" t="e">
        <f>INDEX('SCH M Lookup'!$I:$I,MATCH($A140,'SCH M Lookup'!$A:$A,0))</f>
        <v>#N/A</v>
      </c>
      <c r="J140" s="113" t="str">
        <f>IF('SCH M Jun22data'!$G140=0,"NO",IF(ISNA('SCH M Jun22data'!$I140),"YES",IF(_xlfn.ISFORMULA('SCH M Jun22data'!$I140),"NO","YES")))</f>
        <v>NO</v>
      </c>
      <c r="K140"/>
    </row>
    <row r="141" spans="1:11">
      <c r="A141" s="118" t="str">
        <f t="shared" si="7"/>
        <v>4098300SCHMAT425205Misc Def Dr-Prop Damage RepairsSO</v>
      </c>
      <c r="B141" s="126">
        <v>4098300</v>
      </c>
      <c r="C141" s="117" t="str">
        <f t="shared" si="8"/>
        <v>SCHMAT</v>
      </c>
      <c r="D141" s="126">
        <v>425205</v>
      </c>
      <c r="E141" s="128" t="s">
        <v>3209</v>
      </c>
      <c r="F141" s="127" t="s">
        <v>89</v>
      </c>
      <c r="G141" s="136">
        <v>0</v>
      </c>
      <c r="H141" s="113" t="str">
        <f t="shared" si="6"/>
        <v>SO</v>
      </c>
      <c r="I141" s="113" t="e">
        <f>INDEX('SCH M Lookup'!$I:$I,MATCH($A141,'SCH M Lookup'!$A:$A,0))</f>
        <v>#N/A</v>
      </c>
      <c r="J141" s="113" t="str">
        <f>IF('SCH M Jun22data'!$G141=0,"NO",IF(ISNA('SCH M Jun22data'!$I141),"YES",IF(_xlfn.ISFORMULA('SCH M Jun22data'!$I141),"NO","YES")))</f>
        <v>NO</v>
      </c>
      <c r="K141"/>
    </row>
    <row r="142" spans="1:11">
      <c r="A142" s="118" t="str">
        <f t="shared" si="7"/>
        <v>4098300SCHMAT425215Unearned Joint Use Pole Contact RevenuSNPD</v>
      </c>
      <c r="B142" s="126">
        <v>4098300</v>
      </c>
      <c r="C142" s="117" t="str">
        <f t="shared" si="8"/>
        <v>SCHMAT</v>
      </c>
      <c r="D142" s="126">
        <v>425215</v>
      </c>
      <c r="E142" s="128" t="s">
        <v>3210</v>
      </c>
      <c r="F142" s="127" t="s">
        <v>11</v>
      </c>
      <c r="G142" s="136">
        <v>0</v>
      </c>
      <c r="H142" s="113" t="str">
        <f t="shared" si="6"/>
        <v>SNPD</v>
      </c>
      <c r="I142" s="113" t="e">
        <f>INDEX('SCH M Lookup'!$I:$I,MATCH($A142,'SCH M Lookup'!$A:$A,0))</f>
        <v>#N/A</v>
      </c>
      <c r="J142" s="113" t="str">
        <f>IF('SCH M Jun22data'!$G142=0,"NO",IF(ISNA('SCH M Jun22data'!$I142),"YES",IF(_xlfn.ISFORMULA('SCH M Jun22data'!$I142),"NO","YES")))</f>
        <v>NO</v>
      </c>
      <c r="K142"/>
    </row>
    <row r="143" spans="1:11">
      <c r="A143" s="118" t="str">
        <f t="shared" si="7"/>
        <v>4098300SCHMAT425250TGS Buyout-SGSG</v>
      </c>
      <c r="B143" s="126">
        <v>4098300</v>
      </c>
      <c r="C143" s="117" t="str">
        <f t="shared" si="8"/>
        <v>SCHMAT</v>
      </c>
      <c r="D143" s="126">
        <v>425250</v>
      </c>
      <c r="E143" s="128" t="s">
        <v>412</v>
      </c>
      <c r="F143" s="127" t="s">
        <v>3106</v>
      </c>
      <c r="G143" s="136">
        <v>0</v>
      </c>
      <c r="H143" s="113" t="str">
        <f t="shared" si="6"/>
        <v>SG</v>
      </c>
      <c r="I143" s="113" t="str">
        <f>INDEX('SCH M Lookup'!$I:$I,MATCH($A143,'SCH M Lookup'!$A:$A,0))</f>
        <v>P</v>
      </c>
      <c r="J143" s="113" t="str">
        <f>IF('SCH M Jun22data'!$G143=0,"NO",IF(ISNA('SCH M Jun22data'!$I143),"YES",IF(_xlfn.ISFORMULA('SCH M Jun22data'!$I143),"NO","YES")))</f>
        <v>NO</v>
      </c>
      <c r="K143"/>
    </row>
    <row r="144" spans="1:11">
      <c r="A144" s="118" t="str">
        <f t="shared" si="7"/>
        <v>4098300SCHMAT425260Lakeview Buyout-SGSG</v>
      </c>
      <c r="B144" s="126">
        <v>4098300</v>
      </c>
      <c r="C144" s="117" t="str">
        <f t="shared" si="8"/>
        <v>SCHMAT</v>
      </c>
      <c r="D144" s="126">
        <v>425260</v>
      </c>
      <c r="E144" s="128" t="s">
        <v>3211</v>
      </c>
      <c r="F144" s="127" t="s">
        <v>3108</v>
      </c>
      <c r="G144" s="136">
        <v>0</v>
      </c>
      <c r="H144" s="113" t="str">
        <f t="shared" si="6"/>
        <v>SG</v>
      </c>
      <c r="I144" s="113" t="e">
        <f>INDEX('SCH M Lookup'!$I:$I,MATCH($A144,'SCH M Lookup'!$A:$A,0))</f>
        <v>#N/A</v>
      </c>
      <c r="J144" s="113" t="str">
        <f>IF('SCH M Jun22data'!$G144=0,"NO",IF(ISNA('SCH M Jun22data'!$I144),"YES",IF(_xlfn.ISFORMULA('SCH M Jun22data'!$I144),"NO","YES")))</f>
        <v>NO</v>
      </c>
      <c r="K144"/>
    </row>
    <row r="145" spans="1:11">
      <c r="A145" s="118" t="str">
        <f t="shared" si="7"/>
        <v>4098300SCHMAT425280Joseph Settlement-SGOTHER</v>
      </c>
      <c r="B145" s="126">
        <v>4098300</v>
      </c>
      <c r="C145" s="117" t="str">
        <f t="shared" si="8"/>
        <v>SCHMAT</v>
      </c>
      <c r="D145" s="126">
        <v>425280</v>
      </c>
      <c r="E145" s="128" t="s">
        <v>413</v>
      </c>
      <c r="F145" s="127" t="s">
        <v>306</v>
      </c>
      <c r="G145" s="136">
        <v>0</v>
      </c>
      <c r="H145" s="113" t="str">
        <f t="shared" si="6"/>
        <v>OTHER</v>
      </c>
      <c r="I145" s="113" t="e">
        <f>INDEX('SCH M Lookup'!$I:$I,MATCH($A145,'SCH M Lookup'!$A:$A,0))</f>
        <v>#N/A</v>
      </c>
      <c r="J145" s="113" t="str">
        <f>IF('SCH M Jun22data'!$G145=0,"NO",IF(ISNA('SCH M Jun22data'!$I145),"YES",IF(_xlfn.ISFORMULA('SCH M Jun22data'!$I145),"NO","YES")))</f>
        <v>NO</v>
      </c>
      <c r="K145"/>
    </row>
    <row r="146" spans="1:11">
      <c r="A146" s="118" t="str">
        <f t="shared" si="7"/>
        <v>4098300SCHMAT425295BPA Conservation Rate CreditSG</v>
      </c>
      <c r="B146" s="126">
        <v>4098300</v>
      </c>
      <c r="C146" s="117" t="str">
        <f t="shared" si="8"/>
        <v>SCHMAT</v>
      </c>
      <c r="D146" s="126">
        <v>425295</v>
      </c>
      <c r="E146" s="128" t="s">
        <v>3212</v>
      </c>
      <c r="F146" s="127" t="s">
        <v>3108</v>
      </c>
      <c r="G146" s="136">
        <v>0</v>
      </c>
      <c r="H146" s="113" t="str">
        <f t="shared" si="6"/>
        <v>SG</v>
      </c>
      <c r="I146" s="113" t="e">
        <f>INDEX('SCH M Lookup'!$I:$I,MATCH($A146,'SCH M Lookup'!$A:$A,0))</f>
        <v>#N/A</v>
      </c>
      <c r="J146" s="113" t="str">
        <f>IF('SCH M Jun22data'!$G146=0,"NO",IF(ISNA('SCH M Jun22data'!$I146),"YES",IF(_xlfn.ISFORMULA('SCH M Jun22data'!$I146),"NO","YES")))</f>
        <v>NO</v>
      </c>
      <c r="K146"/>
    </row>
    <row r="147" spans="1:11">
      <c r="A147" s="118" t="str">
        <f t="shared" si="7"/>
        <v>4098300SCHMAT425360Hermiston SwapSG</v>
      </c>
      <c r="B147" s="126">
        <v>4098300</v>
      </c>
      <c r="C147" s="117" t="str">
        <f t="shared" si="8"/>
        <v>SCHMAT</v>
      </c>
      <c r="D147" s="126">
        <v>425360</v>
      </c>
      <c r="E147" s="128" t="s">
        <v>414</v>
      </c>
      <c r="F147" s="127" t="s">
        <v>3108</v>
      </c>
      <c r="G147" s="136">
        <v>171.69324</v>
      </c>
      <c r="H147" s="113" t="str">
        <f t="shared" si="6"/>
        <v>SG</v>
      </c>
      <c r="I147" s="113" t="str">
        <f>INDEX('SCH M Lookup'!$I:$I,MATCH($A147,'SCH M Lookup'!$A:$A,0))</f>
        <v>P</v>
      </c>
      <c r="J147" s="113" t="str">
        <f>IF('SCH M Jun22data'!$G147=0,"NO",IF(ISNA('SCH M Jun22data'!$I147),"YES",IF(_xlfn.ISFORMULA('SCH M Jun22data'!$I147),"NO","YES")))</f>
        <v>NO</v>
      </c>
      <c r="K147"/>
    </row>
    <row r="148" spans="1:11">
      <c r="A148" s="118" t="str">
        <f t="shared" si="7"/>
        <v>4098300SCHMAT425380Idaho Customer Balancing AccountOTHER</v>
      </c>
      <c r="B148" s="126">
        <v>4098300</v>
      </c>
      <c r="C148" s="117" t="str">
        <f t="shared" si="8"/>
        <v>SCHMAT</v>
      </c>
      <c r="D148" s="126">
        <v>425380</v>
      </c>
      <c r="E148" s="128" t="s">
        <v>3214</v>
      </c>
      <c r="F148" s="127" t="s">
        <v>306</v>
      </c>
      <c r="G148" s="136">
        <v>-421.36297999999999</v>
      </c>
      <c r="H148" s="113" t="str">
        <f t="shared" si="6"/>
        <v>OTHER</v>
      </c>
      <c r="I148" s="113" t="str">
        <f>INDEX('SCH M Lookup'!$I:$I,MATCH($A148,'SCH M Lookup'!$A:$A,0))</f>
        <v>DMSC</v>
      </c>
      <c r="J148" s="113" t="str">
        <f>IF('SCH M Jun22data'!$G148=0,"NO",IF(ISNA('SCH M Jun22data'!$I148),"YES",IF(_xlfn.ISFORMULA('SCH M Jun22data'!$I148),"NO","YES")))</f>
        <v>NO</v>
      </c>
      <c r="K148"/>
    </row>
    <row r="149" spans="1:11">
      <c r="A149" s="118" t="str">
        <f t="shared" si="7"/>
        <v>4098300SCHMAT430100Customer Service / WeatherizationOTHER</v>
      </c>
      <c r="B149" s="126">
        <v>4098300</v>
      </c>
      <c r="C149" s="117" t="str">
        <f t="shared" si="8"/>
        <v>SCHMAT</v>
      </c>
      <c r="D149" s="126">
        <v>430100</v>
      </c>
      <c r="E149" s="128" t="s">
        <v>415</v>
      </c>
      <c r="F149" s="127" t="s">
        <v>306</v>
      </c>
      <c r="G149" s="136">
        <v>-13320.37082</v>
      </c>
      <c r="H149" s="113" t="str">
        <f t="shared" si="6"/>
        <v>OTHER</v>
      </c>
      <c r="I149" s="113" t="str">
        <f>INDEX('SCH M Lookup'!$I:$I,MATCH($A149,'SCH M Lookup'!$A:$A,0))</f>
        <v>PTD</v>
      </c>
      <c r="J149" s="113" t="str">
        <f>IF('SCH M Jun22data'!$G149=0,"NO",IF(ISNA('SCH M Jun22data'!$I149),"YES",IF(_xlfn.ISFORMULA('SCH M Jun22data'!$I149),"NO","YES")))</f>
        <v>NO</v>
      </c>
      <c r="K149"/>
    </row>
    <row r="150" spans="1:11">
      <c r="A150" s="118" t="str">
        <f t="shared" si="7"/>
        <v>4098300SCHMAT430111Reg Asset - SB 1149 Balance ReclassOTHER</v>
      </c>
      <c r="B150" s="126">
        <v>4098300</v>
      </c>
      <c r="C150" s="117" t="str">
        <f t="shared" si="8"/>
        <v>SCHMAT</v>
      </c>
      <c r="D150" s="126">
        <v>430111</v>
      </c>
      <c r="E150" s="128" t="s">
        <v>3215</v>
      </c>
      <c r="F150" s="127" t="s">
        <v>306</v>
      </c>
      <c r="G150" s="136">
        <v>0</v>
      </c>
      <c r="H150" s="113" t="str">
        <f t="shared" si="6"/>
        <v>OTHER</v>
      </c>
      <c r="I150" s="113" t="e">
        <f>INDEX('SCH M Lookup'!$I:$I,MATCH($A150,'SCH M Lookup'!$A:$A,0))</f>
        <v>#N/A</v>
      </c>
      <c r="J150" s="113" t="str">
        <f>IF('SCH M Jun22data'!$G150=0,"NO",IF(ISNA('SCH M Jun22data'!$I150),"YES",IF(_xlfn.ISFORMULA('SCH M Jun22data'!$I150),"NO","YES")))</f>
        <v>NO</v>
      </c>
      <c r="K150"/>
    </row>
    <row r="151" spans="1:11">
      <c r="A151" s="118" t="str">
        <f t="shared" si="7"/>
        <v>4098300SCHMAT430112Reg Asset - Other - Balance ReclassOTHER</v>
      </c>
      <c r="B151" s="126">
        <v>4098300</v>
      </c>
      <c r="C151" s="117" t="str">
        <f t="shared" si="8"/>
        <v>SCHMAT</v>
      </c>
      <c r="D151" s="126">
        <v>430112</v>
      </c>
      <c r="E151" s="128" t="s">
        <v>416</v>
      </c>
      <c r="F151" s="127" t="s">
        <v>306</v>
      </c>
      <c r="G151" s="136">
        <v>0</v>
      </c>
      <c r="H151" s="113" t="str">
        <f t="shared" si="6"/>
        <v>OTHER</v>
      </c>
      <c r="I151" s="113" t="e">
        <f>INDEX('SCH M Lookup'!$I:$I,MATCH($A151,'SCH M Lookup'!$A:$A,0))</f>
        <v>#N/A</v>
      </c>
      <c r="J151" s="113" t="str">
        <f>IF('SCH M Jun22data'!$G151=0,"NO",IF(ISNA('SCH M Jun22data'!$I151),"YES",IF(_xlfn.ISFORMULA('SCH M Jun22data'!$I151),"NO","YES")))</f>
        <v>NO</v>
      </c>
      <c r="K151"/>
    </row>
    <row r="152" spans="1:11">
      <c r="A152" s="118" t="str">
        <f t="shared" si="7"/>
        <v>4098300SCHMAT430113Reg Asset - Def NPC Balance ReclassOTHER</v>
      </c>
      <c r="B152" s="126">
        <v>4098300</v>
      </c>
      <c r="C152" s="117" t="str">
        <f t="shared" si="8"/>
        <v>SCHMAT</v>
      </c>
      <c r="D152" s="126">
        <v>430113</v>
      </c>
      <c r="E152" s="128" t="s">
        <v>3216</v>
      </c>
      <c r="F152" s="127" t="s">
        <v>306</v>
      </c>
      <c r="G152" s="136">
        <v>0</v>
      </c>
      <c r="H152" s="113" t="str">
        <f t="shared" si="6"/>
        <v>OTHER</v>
      </c>
      <c r="I152" s="113" t="e">
        <f>INDEX('SCH M Lookup'!$I:$I,MATCH($A152,'SCH M Lookup'!$A:$A,0))</f>
        <v>#N/A</v>
      </c>
      <c r="J152" s="113" t="str">
        <f>IF('SCH M Jun22data'!$G152=0,"NO",IF(ISNA('SCH M Jun22data'!$I152),"YES",IF(_xlfn.ISFORMULA('SCH M Jun22data'!$I152),"NO","YES")))</f>
        <v>NO</v>
      </c>
      <c r="K152"/>
    </row>
    <row r="153" spans="1:11">
      <c r="A153" s="118" t="str">
        <f t="shared" si="7"/>
        <v>4098300SCHMAT430117Reg Asset - Current DSMOTHER</v>
      </c>
      <c r="B153" s="126">
        <v>4098300</v>
      </c>
      <c r="C153" s="117" t="str">
        <f t="shared" si="8"/>
        <v>SCHMAT</v>
      </c>
      <c r="D153" s="126">
        <v>430117</v>
      </c>
      <c r="E153" s="128" t="s">
        <v>3217</v>
      </c>
      <c r="F153" s="127" t="s">
        <v>306</v>
      </c>
      <c r="G153" s="136">
        <v>0</v>
      </c>
      <c r="H153" s="113" t="str">
        <f t="shared" si="6"/>
        <v>OTHER</v>
      </c>
      <c r="I153" s="113" t="e">
        <f>INDEX('SCH M Lookup'!$I:$I,MATCH($A153,'SCH M Lookup'!$A:$A,0))</f>
        <v>#N/A</v>
      </c>
      <c r="J153" s="113" t="str">
        <f>IF('SCH M Jun22data'!$G153=0,"NO",IF(ISNA('SCH M Jun22data'!$I153),"YES",IF(_xlfn.ISFORMULA('SCH M Jun22data'!$I153),"NO","YES")))</f>
        <v>NO</v>
      </c>
      <c r="K153"/>
    </row>
    <row r="154" spans="1:11">
      <c r="A154" s="118" t="str">
        <f t="shared" si="7"/>
        <v>4098300SCHMAT505115Sales &amp; Use Tax AccrualSO</v>
      </c>
      <c r="B154" s="126">
        <v>4098300</v>
      </c>
      <c r="C154" s="117" t="str">
        <f t="shared" si="8"/>
        <v>SCHMAT</v>
      </c>
      <c r="D154" s="126">
        <v>505115</v>
      </c>
      <c r="E154" s="128" t="s">
        <v>3218</v>
      </c>
      <c r="F154" s="127" t="s">
        <v>89</v>
      </c>
      <c r="G154" s="136">
        <v>0</v>
      </c>
      <c r="H154" s="113" t="str">
        <f t="shared" si="6"/>
        <v>SO</v>
      </c>
      <c r="I154" s="113" t="e">
        <f>INDEX('SCH M Lookup'!$I:$I,MATCH($A154,'SCH M Lookup'!$A:$A,0))</f>
        <v>#N/A</v>
      </c>
      <c r="J154" s="113" t="str">
        <f>IF('SCH M Jun22data'!$G154=0,"NO",IF(ISNA('SCH M Jun22data'!$I154),"YES",IF(_xlfn.ISFORMULA('SCH M Jun22data'!$I154),"NO","YES")))</f>
        <v>NO</v>
      </c>
      <c r="K154"/>
    </row>
    <row r="155" spans="1:11">
      <c r="A155" s="118" t="str">
        <f t="shared" si="7"/>
        <v>4098300SCHMAT505125ACCRUED ROYALTIESSE</v>
      </c>
      <c r="B155" s="126">
        <v>4098300</v>
      </c>
      <c r="C155" s="117" t="str">
        <f t="shared" si="8"/>
        <v>SCHMAT</v>
      </c>
      <c r="D155" s="126">
        <v>505125</v>
      </c>
      <c r="E155" s="128" t="s">
        <v>417</v>
      </c>
      <c r="F155" s="127" t="s">
        <v>3110</v>
      </c>
      <c r="G155" s="136">
        <v>566.27934000000005</v>
      </c>
      <c r="H155" s="113" t="str">
        <f t="shared" si="6"/>
        <v>SE</v>
      </c>
      <c r="I155" s="113" t="str">
        <f>INDEX('SCH M Lookup'!$I:$I,MATCH($A155,'SCH M Lookup'!$A:$A,0))</f>
        <v>P</v>
      </c>
      <c r="J155" s="113" t="str">
        <f>IF('SCH M Jun22data'!$G155=0,"NO",IF(ISNA('SCH M Jun22data'!$I155),"YES",IF(_xlfn.ISFORMULA('SCH M Jun22data'!$I155),"NO","YES")))</f>
        <v>NO</v>
      </c>
      <c r="K155"/>
    </row>
    <row r="156" spans="1:11">
      <c r="A156" s="118" t="str">
        <f t="shared" si="7"/>
        <v>4098300SCHMAT505140Purchase Card Trans ProvisionSO</v>
      </c>
      <c r="B156" s="126">
        <v>4098300</v>
      </c>
      <c r="C156" s="117" t="str">
        <f t="shared" si="8"/>
        <v>SCHMAT</v>
      </c>
      <c r="D156" s="126">
        <v>505140</v>
      </c>
      <c r="E156" s="128" t="s">
        <v>3219</v>
      </c>
      <c r="F156" s="127" t="s">
        <v>89</v>
      </c>
      <c r="G156" s="136">
        <v>0</v>
      </c>
      <c r="H156" s="113" t="str">
        <f t="shared" si="6"/>
        <v>SO</v>
      </c>
      <c r="I156" s="113" t="e">
        <f>INDEX('SCH M Lookup'!$I:$I,MATCH($A156,'SCH M Lookup'!$A:$A,0))</f>
        <v>#N/A</v>
      </c>
      <c r="J156" s="113" t="str">
        <f>IF('SCH M Jun22data'!$G156=0,"NO",IF(ISNA('SCH M Jun22data'!$I156),"YES",IF(_xlfn.ISFORMULA('SCH M Jun22data'!$I156),"NO","YES")))</f>
        <v>NO</v>
      </c>
      <c r="K156"/>
    </row>
    <row r="157" spans="1:11">
      <c r="A157" s="118" t="str">
        <f t="shared" si="7"/>
        <v>4098300SCHMAT505160CA PUC FeeSITUS</v>
      </c>
      <c r="B157" s="126">
        <v>4098300</v>
      </c>
      <c r="C157" s="117" t="str">
        <f t="shared" si="8"/>
        <v>SCHMAT</v>
      </c>
      <c r="D157" s="126">
        <v>505160</v>
      </c>
      <c r="E157" s="128" t="s">
        <v>3220</v>
      </c>
      <c r="F157" s="127" t="s">
        <v>387</v>
      </c>
      <c r="G157" s="136">
        <v>0</v>
      </c>
      <c r="H157" s="113" t="str">
        <f t="shared" si="6"/>
        <v>SITUS</v>
      </c>
      <c r="I157" s="113" t="e">
        <f>INDEX('SCH M Lookup'!$I:$I,MATCH($A157,'SCH M Lookup'!$A:$A,0))</f>
        <v>#N/A</v>
      </c>
      <c r="J157" s="113" t="str">
        <f>IF('SCH M Jun22data'!$G157=0,"NO",IF(ISNA('SCH M Jun22data'!$I157),"YES",IF(_xlfn.ISFORMULA('SCH M Jun22data'!$I157),"NO","YES")))</f>
        <v>NO</v>
      </c>
      <c r="K157"/>
    </row>
    <row r="158" spans="1:11">
      <c r="A158" s="118" t="str">
        <f t="shared" si="7"/>
        <v>4098300SCHMAT505170West Valley Contract Termination Fee AccSG</v>
      </c>
      <c r="B158" s="126">
        <v>4098300</v>
      </c>
      <c r="C158" s="117" t="str">
        <f t="shared" si="8"/>
        <v>SCHMAT</v>
      </c>
      <c r="D158" s="126">
        <v>505170</v>
      </c>
      <c r="E158" s="128" t="s">
        <v>3221</v>
      </c>
      <c r="F158" s="127" t="s">
        <v>3106</v>
      </c>
      <c r="G158" s="136">
        <v>0</v>
      </c>
      <c r="H158" s="113" t="str">
        <f t="shared" si="6"/>
        <v>SG</v>
      </c>
      <c r="I158" s="113" t="e">
        <f>INDEX('SCH M Lookup'!$I:$I,MATCH($A158,'SCH M Lookup'!$A:$A,0))</f>
        <v>#N/A</v>
      </c>
      <c r="J158" s="113" t="str">
        <f>IF('SCH M Jun22data'!$G158=0,"NO",IF(ISNA('SCH M Jun22data'!$I158),"YES",IF(_xlfn.ISFORMULA('SCH M Jun22data'!$I158),"NO","YES")))</f>
        <v>NO</v>
      </c>
      <c r="K158"/>
    </row>
    <row r="159" spans="1:11">
      <c r="A159" s="118" t="str">
        <f t="shared" si="7"/>
        <v>4098300SCHMAT505200Extraction Tax Paid / AccruedSE</v>
      </c>
      <c r="B159" s="126">
        <v>4098300</v>
      </c>
      <c r="C159" s="117" t="str">
        <f t="shared" si="8"/>
        <v>SCHMAT</v>
      </c>
      <c r="D159" s="126">
        <v>505200</v>
      </c>
      <c r="E159" s="128" t="s">
        <v>3222</v>
      </c>
      <c r="F159" s="127" t="s">
        <v>85</v>
      </c>
      <c r="G159" s="136">
        <v>0</v>
      </c>
      <c r="H159" s="113" t="str">
        <f t="shared" si="6"/>
        <v>SE</v>
      </c>
      <c r="I159" s="113" t="e">
        <f>INDEX('SCH M Lookup'!$I:$I,MATCH($A159,'SCH M Lookup'!$A:$A,0))</f>
        <v>#N/A</v>
      </c>
      <c r="J159" s="113" t="str">
        <f>IF('SCH M Jun22data'!$G159=0,"NO",IF(ISNA('SCH M Jun22data'!$I159),"YES",IF(_xlfn.ISFORMULA('SCH M Jun22data'!$I159),"NO","YES")))</f>
        <v>NO</v>
      </c>
      <c r="K159"/>
    </row>
    <row r="160" spans="1:11">
      <c r="A160" s="118" t="str">
        <f t="shared" si="7"/>
        <v>4098300SCHMAT505400Bonus LiabilitySO</v>
      </c>
      <c r="B160" s="126">
        <v>4098300</v>
      </c>
      <c r="C160" s="117" t="str">
        <f t="shared" si="8"/>
        <v>SCHMAT</v>
      </c>
      <c r="D160" s="126">
        <v>505400</v>
      </c>
      <c r="E160" s="128" t="s">
        <v>418</v>
      </c>
      <c r="F160" s="127" t="s">
        <v>89</v>
      </c>
      <c r="G160" s="136">
        <v>-678.05</v>
      </c>
      <c r="H160" s="113" t="str">
        <f t="shared" si="6"/>
        <v>SO</v>
      </c>
      <c r="I160" s="113" t="str">
        <f>INDEX('SCH M Lookup'!$I:$I,MATCH($A160,'SCH M Lookup'!$A:$A,0))</f>
        <v>LABOR</v>
      </c>
      <c r="J160" s="113" t="str">
        <f>IF('SCH M Jun22data'!$G160=0,"NO",IF(ISNA('SCH M Jun22data'!$I160),"YES",IF(_xlfn.ISFORMULA('SCH M Jun22data'!$I160),"NO","YES")))</f>
        <v>NO</v>
      </c>
      <c r="K160"/>
    </row>
    <row r="161" spans="1:11">
      <c r="A161" s="118" t="str">
        <f t="shared" si="7"/>
        <v>4098300SCHMAT505450Accrued Payroll TaxesSO</v>
      </c>
      <c r="B161" s="126">
        <v>4098300</v>
      </c>
      <c r="C161" s="117" t="str">
        <f t="shared" si="8"/>
        <v>SCHMAT</v>
      </c>
      <c r="D161" s="126">
        <v>505450</v>
      </c>
      <c r="E161" s="128" t="s">
        <v>1877</v>
      </c>
      <c r="F161" s="127" t="s">
        <v>89</v>
      </c>
      <c r="G161" s="136">
        <v>-12458.050300000001</v>
      </c>
      <c r="H161" s="113" t="str">
        <f t="shared" si="6"/>
        <v>SO</v>
      </c>
      <c r="I161" s="113" t="str">
        <f>INDEX('SCH M Lookup'!$I:$I,MATCH($A161,'SCH M Lookup'!$A:$A,0))</f>
        <v>GP</v>
      </c>
      <c r="J161" s="113" t="str">
        <f>IF('SCH M Jun22data'!$G161=0,"NO",IF(ISNA('SCH M Jun22data'!$I161),"YES",IF(_xlfn.ISFORMULA('SCH M Jun22data'!$I161),"NO","YES")))</f>
        <v>NO</v>
      </c>
      <c r="K161"/>
    </row>
    <row r="162" spans="1:11">
      <c r="A162" s="118" t="str">
        <f t="shared" si="7"/>
        <v>4098300SCHMAT5054501Accrued Payroll Taxes - PMISE</v>
      </c>
      <c r="B162" s="126">
        <v>4098300</v>
      </c>
      <c r="C162" s="117" t="str">
        <f t="shared" si="8"/>
        <v>SCHMAT</v>
      </c>
      <c r="D162" s="126">
        <v>5054501</v>
      </c>
      <c r="E162" s="128" t="s">
        <v>2059</v>
      </c>
      <c r="F162" s="127" t="s">
        <v>3134</v>
      </c>
      <c r="G162" s="136">
        <v>-549.92499999999995</v>
      </c>
      <c r="H162" s="113" t="str">
        <f t="shared" si="6"/>
        <v>SE</v>
      </c>
      <c r="I162" s="113" t="str">
        <f>INDEX('SCH M Lookup'!$I:$I,MATCH($A162,'SCH M Lookup'!$A:$A,0))</f>
        <v>P</v>
      </c>
      <c r="J162" s="113" t="str">
        <f>IF('SCH M Jun22data'!$G162=0,"NO",IF(ISNA('SCH M Jun22data'!$I162),"YES",IF(_xlfn.ISFORMULA('SCH M Jun22data'!$I162),"NO","YES")))</f>
        <v>NO</v>
      </c>
      <c r="K162"/>
    </row>
    <row r="163" spans="1:11">
      <c r="A163" s="118" t="str">
        <f t="shared" si="7"/>
        <v>4098300SCHMAT505500Federal Income Tax InterestSO</v>
      </c>
      <c r="B163" s="126">
        <v>4098300</v>
      </c>
      <c r="C163" s="117" t="str">
        <f t="shared" si="8"/>
        <v>SCHMAT</v>
      </c>
      <c r="D163" s="126">
        <v>505500</v>
      </c>
      <c r="E163" s="128" t="s">
        <v>3223</v>
      </c>
      <c r="F163" s="127" t="s">
        <v>89</v>
      </c>
      <c r="G163" s="136">
        <v>0</v>
      </c>
      <c r="H163" s="113" t="str">
        <f t="shared" si="6"/>
        <v>SO</v>
      </c>
      <c r="I163" s="113" t="e">
        <f>INDEX('SCH M Lookup'!$I:$I,MATCH($A163,'SCH M Lookup'!$A:$A,0))</f>
        <v>#N/A</v>
      </c>
      <c r="J163" s="113" t="str">
        <f>IF('SCH M Jun22data'!$G163=0,"NO",IF(ISNA('SCH M Jun22data'!$I163),"YES",IF(_xlfn.ISFORMULA('SCH M Jun22data'!$I163),"NO","YES")))</f>
        <v>NO</v>
      </c>
      <c r="K163"/>
    </row>
    <row r="164" spans="1:11">
      <c r="A164" s="118" t="str">
        <f t="shared" si="7"/>
        <v>4098300SCHMAT505510PMIVacationBonus AdjustmentSE</v>
      </c>
      <c r="B164" s="126">
        <v>4098300</v>
      </c>
      <c r="C164" s="117" t="str">
        <f t="shared" si="8"/>
        <v>SCHMAT</v>
      </c>
      <c r="D164" s="126">
        <v>505510</v>
      </c>
      <c r="E164" s="128" t="s">
        <v>3224</v>
      </c>
      <c r="F164" s="127" t="s">
        <v>3134</v>
      </c>
      <c r="G164" s="136">
        <v>0</v>
      </c>
      <c r="H164" s="113" t="str">
        <f t="shared" si="6"/>
        <v>SE</v>
      </c>
      <c r="I164" s="113" t="e">
        <f>INDEX('SCH M Lookup'!$I:$I,MATCH($A164,'SCH M Lookup'!$A:$A,0))</f>
        <v>#N/A</v>
      </c>
      <c r="J164" s="113" t="str">
        <f>IF('SCH M Jun22data'!$G164=0,"NO",IF(ISNA('SCH M Jun22data'!$I164),"YES",IF(_xlfn.ISFORMULA('SCH M Jun22data'!$I164),"NO","YES")))</f>
        <v>NO</v>
      </c>
      <c r="K164"/>
    </row>
    <row r="165" spans="1:11">
      <c r="A165" s="118" t="str">
        <f t="shared" si="7"/>
        <v>4098300SCHMAT505520Bonus Accrual - PMISE</v>
      </c>
      <c r="B165" s="126">
        <v>4098300</v>
      </c>
      <c r="C165" s="117" t="str">
        <f t="shared" si="8"/>
        <v>SCHMAT</v>
      </c>
      <c r="D165" s="126">
        <v>505520</v>
      </c>
      <c r="E165" s="128" t="s">
        <v>1878</v>
      </c>
      <c r="F165" s="127" t="s">
        <v>3134</v>
      </c>
      <c r="G165" s="136">
        <v>-126.361</v>
      </c>
      <c r="H165" s="113" t="str">
        <f t="shared" si="6"/>
        <v>SE</v>
      </c>
      <c r="I165" s="113" t="str">
        <f>INDEX('SCH M Lookup'!$I:$I,MATCH($A165,'SCH M Lookup'!$A:$A,0))</f>
        <v>LABOR</v>
      </c>
      <c r="J165" s="113" t="str">
        <f>IF('SCH M Jun22data'!$G165=0,"NO",IF(ISNA('SCH M Jun22data'!$I165),"YES",IF(_xlfn.ISFORMULA('SCH M Jun22data'!$I165),"NO","YES")))</f>
        <v>NO</v>
      </c>
      <c r="K165"/>
    </row>
    <row r="166" spans="1:11">
      <c r="A166" s="118" t="str">
        <f t="shared" si="7"/>
        <v>4098300SCHMAT505525Accrued Severance -PMISE</v>
      </c>
      <c r="B166" s="126">
        <v>4098300</v>
      </c>
      <c r="C166" s="117" t="str">
        <f t="shared" si="8"/>
        <v>SCHMAT</v>
      </c>
      <c r="D166" s="126">
        <v>505525</v>
      </c>
      <c r="E166" s="128" t="s">
        <v>2062</v>
      </c>
      <c r="F166" s="127" t="s">
        <v>3134</v>
      </c>
      <c r="G166" s="136">
        <v>62.444000000000003</v>
      </c>
      <c r="H166" s="113" t="str">
        <f t="shared" si="6"/>
        <v>SE</v>
      </c>
      <c r="I166" s="113" t="str">
        <f>INDEX('SCH M Lookup'!$I:$I,MATCH($A166,'SCH M Lookup'!$A:$A,0))</f>
        <v>P</v>
      </c>
      <c r="J166" s="113" t="str">
        <f>IF('SCH M Jun22data'!$G166=0,"NO",IF(ISNA('SCH M Jun22data'!$I166),"YES",IF(_xlfn.ISFORMULA('SCH M Jun22data'!$I166),"NO","YES")))</f>
        <v>NO</v>
      </c>
      <c r="K166"/>
    </row>
    <row r="167" spans="1:11">
      <c r="A167" s="118" t="str">
        <f t="shared" si="7"/>
        <v>4098300SCHMAT505600Sick Leave Vacation &amp; Personal TimeSO</v>
      </c>
      <c r="B167" s="126">
        <v>4098300</v>
      </c>
      <c r="C167" s="117" t="str">
        <f t="shared" si="8"/>
        <v>SCHMAT</v>
      </c>
      <c r="D167" s="126">
        <v>505600</v>
      </c>
      <c r="E167" s="128" t="s">
        <v>419</v>
      </c>
      <c r="F167" s="127" t="s">
        <v>89</v>
      </c>
      <c r="G167" s="136">
        <v>-1464.95974</v>
      </c>
      <c r="H167" s="113" t="str">
        <f t="shared" si="6"/>
        <v>SO</v>
      </c>
      <c r="I167" s="113" t="str">
        <f>INDEX('SCH M Lookup'!$I:$I,MATCH($A167,'SCH M Lookup'!$A:$A,0))</f>
        <v>LABOR</v>
      </c>
      <c r="J167" s="113" t="str">
        <f>IF('SCH M Jun22data'!$G167=0,"NO",IF(ISNA('SCH M Jun22data'!$I167),"YES",IF(_xlfn.ISFORMULA('SCH M Jun22data'!$I167),"NO","YES")))</f>
        <v>NO</v>
      </c>
      <c r="K167"/>
    </row>
    <row r="168" spans="1:11">
      <c r="A168" s="118" t="str">
        <f t="shared" si="7"/>
        <v>4098300SCHMAT505601Sick Leave Accrual - PMISE</v>
      </c>
      <c r="B168" s="126">
        <v>4098300</v>
      </c>
      <c r="C168" s="117" t="str">
        <f t="shared" si="8"/>
        <v>SCHMAT</v>
      </c>
      <c r="D168" s="126">
        <v>505601</v>
      </c>
      <c r="E168" s="128" t="s">
        <v>420</v>
      </c>
      <c r="F168" s="127" t="s">
        <v>3134</v>
      </c>
      <c r="G168" s="136">
        <v>-8.7200000000000006</v>
      </c>
      <c r="H168" s="113" t="str">
        <f t="shared" si="6"/>
        <v>SE</v>
      </c>
      <c r="I168" s="113" t="str">
        <f>INDEX('SCH M Lookup'!$I:$I,MATCH($A168,'SCH M Lookup'!$A:$A,0))</f>
        <v>LABOR</v>
      </c>
      <c r="J168" s="113" t="str">
        <f>IF('SCH M Jun22data'!$G168=0,"NO",IF(ISNA('SCH M Jun22data'!$I168),"YES",IF(_xlfn.ISFORMULA('SCH M Jun22data'!$I168),"NO","YES")))</f>
        <v>NO</v>
      </c>
      <c r="K168"/>
    </row>
    <row r="169" spans="1:11">
      <c r="A169" s="118" t="str">
        <f t="shared" si="7"/>
        <v>4098300SCHMAT505700Accrued Retention BonusSO</v>
      </c>
      <c r="B169" s="126">
        <v>4098300</v>
      </c>
      <c r="C169" s="117" t="str">
        <f t="shared" si="8"/>
        <v>SCHMAT</v>
      </c>
      <c r="D169" s="126">
        <v>505700</v>
      </c>
      <c r="E169" s="128" t="s">
        <v>421</v>
      </c>
      <c r="F169" s="127" t="s">
        <v>89</v>
      </c>
      <c r="G169" s="136">
        <v>-10</v>
      </c>
      <c r="H169" s="113" t="str">
        <f t="shared" si="6"/>
        <v>SO</v>
      </c>
      <c r="I169" s="113" t="str">
        <f>INDEX('SCH M Lookup'!$I:$I,MATCH($A169,'SCH M Lookup'!$A:$A,0))</f>
        <v>LABOR</v>
      </c>
      <c r="J169" s="113" t="str">
        <f>IF('SCH M Jun22data'!$G169=0,"NO",IF(ISNA('SCH M Jun22data'!$I169),"YES",IF(_xlfn.ISFORMULA('SCH M Jun22data'!$I169),"NO","YES")))</f>
        <v>NO</v>
      </c>
      <c r="K169"/>
    </row>
    <row r="170" spans="1:11">
      <c r="A170" s="118" t="str">
        <f t="shared" si="7"/>
        <v>4098300SCHMAT605710Reverse Accrued Final ReclamationOTHER</v>
      </c>
      <c r="B170" s="126">
        <v>4098300</v>
      </c>
      <c r="C170" s="117" t="str">
        <f t="shared" si="8"/>
        <v>SCHMAT</v>
      </c>
      <c r="D170" s="126">
        <v>605710</v>
      </c>
      <c r="E170" s="128" t="s">
        <v>424</v>
      </c>
      <c r="F170" s="127" t="s">
        <v>306</v>
      </c>
      <c r="G170" s="136">
        <v>-328.74772000000002</v>
      </c>
      <c r="H170" s="113" t="str">
        <f t="shared" si="6"/>
        <v>OTHER</v>
      </c>
      <c r="I170" s="113" t="str">
        <f>INDEX('SCH M Lookup'!$I:$I,MATCH($A170,'SCH M Lookup'!$A:$A,0))</f>
        <v>P</v>
      </c>
      <c r="J170" s="113" t="str">
        <f>IF('SCH M Jun22data'!$G170=0,"NO",IF(ISNA('SCH M Jun22data'!$I170),"YES",IF(_xlfn.ISFORMULA('SCH M Jun22data'!$I170),"NO","YES")))</f>
        <v>NO</v>
      </c>
      <c r="K170"/>
    </row>
    <row r="171" spans="1:11">
      <c r="A171" s="118" t="str">
        <f t="shared" si="7"/>
        <v>4098300SCHMAT605715Trapper Mine Contract ObligationSE</v>
      </c>
      <c r="B171" s="126">
        <v>4098300</v>
      </c>
      <c r="C171" s="117" t="str">
        <f t="shared" si="8"/>
        <v>SCHMAT</v>
      </c>
      <c r="D171" s="126">
        <v>605715</v>
      </c>
      <c r="E171" s="128" t="s">
        <v>425</v>
      </c>
      <c r="F171" s="127" t="s">
        <v>3110</v>
      </c>
      <c r="G171" s="136">
        <v>1205.3944300000001</v>
      </c>
      <c r="H171" s="113" t="str">
        <f t="shared" si="6"/>
        <v>SE</v>
      </c>
      <c r="I171" s="113" t="str">
        <f>INDEX('SCH M Lookup'!$I:$I,MATCH($A171,'SCH M Lookup'!$A:$A,0))</f>
        <v>P</v>
      </c>
      <c r="J171" s="113" t="str">
        <f>IF('SCH M Jun22data'!$G171=0,"NO",IF(ISNA('SCH M Jun22data'!$I171),"YES",IF(_xlfn.ISFORMULA('SCH M Jun22data'!$I171),"NO","YES")))</f>
        <v>NO</v>
      </c>
      <c r="K171"/>
    </row>
    <row r="172" spans="1:11">
      <c r="A172" s="118" t="str">
        <f t="shared" si="7"/>
        <v>4098300SCHMAT610000Coal Mine Development-PMISE</v>
      </c>
      <c r="B172" s="126">
        <v>4098300</v>
      </c>
      <c r="C172" s="117" t="str">
        <f t="shared" si="8"/>
        <v>SCHMAT</v>
      </c>
      <c r="D172" s="126">
        <v>610000</v>
      </c>
      <c r="E172" s="128" t="s">
        <v>426</v>
      </c>
      <c r="F172" s="127" t="s">
        <v>3134</v>
      </c>
      <c r="G172" s="136">
        <v>0</v>
      </c>
      <c r="H172" s="113" t="str">
        <f t="shared" si="6"/>
        <v>SE</v>
      </c>
      <c r="I172" s="113" t="str">
        <f>INDEX('SCH M Lookup'!$I:$I,MATCH($A172,'SCH M Lookup'!$A:$A,0))</f>
        <v>P</v>
      </c>
      <c r="J172" s="113" t="str">
        <f>IF('SCH M Jun22data'!$G172=0,"NO",IF(ISNA('SCH M Jun22data'!$I172),"YES",IF(_xlfn.ISFORMULA('SCH M Jun22data'!$I172),"NO","YES")))</f>
        <v>NO</v>
      </c>
      <c r="K172"/>
    </row>
    <row r="173" spans="1:11">
      <c r="A173" s="118" t="str">
        <f t="shared" si="7"/>
        <v>4098300SCHMAT610005Sec 174 94-98 7 99-00 RARSO</v>
      </c>
      <c r="B173" s="126">
        <v>4098300</v>
      </c>
      <c r="C173" s="117" t="str">
        <f t="shared" si="8"/>
        <v>SCHMAT</v>
      </c>
      <c r="D173" s="126">
        <v>610005</v>
      </c>
      <c r="E173" s="128" t="s">
        <v>3226</v>
      </c>
      <c r="F173" s="127" t="s">
        <v>89</v>
      </c>
      <c r="G173" s="136">
        <v>0</v>
      </c>
      <c r="H173" s="113" t="str">
        <f t="shared" si="6"/>
        <v>SO</v>
      </c>
      <c r="I173" s="113" t="e">
        <f>INDEX('SCH M Lookup'!$I:$I,MATCH($A173,'SCH M Lookup'!$A:$A,0))</f>
        <v>#N/A</v>
      </c>
      <c r="J173" s="113" t="str">
        <f>IF('SCH M Jun22data'!$G173=0,"NO",IF(ISNA('SCH M Jun22data'!$I173),"YES",IF(_xlfn.ISFORMULA('SCH M Jun22data'!$I173),"NO","YES")))</f>
        <v>NO</v>
      </c>
      <c r="K173"/>
    </row>
    <row r="174" spans="1:11">
      <c r="A174" s="118" t="str">
        <f t="shared" si="7"/>
        <v>4098300SCHMAT610100PMIDevt Cost AmortSE</v>
      </c>
      <c r="B174" s="126">
        <v>4098300</v>
      </c>
      <c r="C174" s="117" t="str">
        <f t="shared" si="8"/>
        <v>SCHMAT</v>
      </c>
      <c r="D174" s="126">
        <v>610100</v>
      </c>
      <c r="E174" s="128" t="s">
        <v>3227</v>
      </c>
      <c r="F174" s="127" t="s">
        <v>3134</v>
      </c>
      <c r="G174" s="136">
        <v>0</v>
      </c>
      <c r="H174" s="113" t="str">
        <f t="shared" si="6"/>
        <v>SE</v>
      </c>
      <c r="I174" s="113" t="e">
        <f>INDEX('SCH M Lookup'!$I:$I,MATCH($A174,'SCH M Lookup'!$A:$A,0))</f>
        <v>#N/A</v>
      </c>
      <c r="J174" s="113" t="str">
        <f>IF('SCH M Jun22data'!$G174=0,"NO",IF(ISNA('SCH M Jun22data'!$I174),"YES",IF(_xlfn.ISFORMULA('SCH M Jun22data'!$I174),"NO","YES")))</f>
        <v>NO</v>
      </c>
      <c r="K174"/>
    </row>
    <row r="175" spans="1:11">
      <c r="A175" s="118" t="str">
        <f t="shared" si="7"/>
        <v>4098300SCHMAT610111PMIBCC Gain/Loss on Assets DisposedSE</v>
      </c>
      <c r="B175" s="126">
        <v>4098300</v>
      </c>
      <c r="C175" s="117" t="str">
        <f t="shared" si="8"/>
        <v>SCHMAT</v>
      </c>
      <c r="D175" s="126">
        <v>610111</v>
      </c>
      <c r="E175" s="128" t="s">
        <v>3228</v>
      </c>
      <c r="F175" s="127" t="s">
        <v>3134</v>
      </c>
      <c r="G175" s="136">
        <v>0</v>
      </c>
      <c r="H175" s="113" t="str">
        <f t="shared" si="6"/>
        <v>SE</v>
      </c>
      <c r="I175" s="113" t="e">
        <f>INDEX('SCH M Lookup'!$I:$I,MATCH($A175,'SCH M Lookup'!$A:$A,0))</f>
        <v>#N/A</v>
      </c>
      <c r="J175" s="113" t="str">
        <f>IF('SCH M Jun22data'!$G175=0,"NO",IF(ISNA('SCH M Jun22data'!$I175),"YES",IF(_xlfn.ISFORMULA('SCH M Jun22data'!$I175),"NO","YES")))</f>
        <v>NO</v>
      </c>
      <c r="K175"/>
    </row>
    <row r="176" spans="1:11">
      <c r="A176" s="118" t="str">
        <f t="shared" si="7"/>
        <v>4098300SCHMAT610114PMI EITF Pre-Stripping CostsSE</v>
      </c>
      <c r="B176" s="126">
        <v>4098300</v>
      </c>
      <c r="C176" s="117" t="str">
        <f t="shared" si="8"/>
        <v>SCHMAT</v>
      </c>
      <c r="D176" s="126">
        <v>610114</v>
      </c>
      <c r="E176" s="128" t="s">
        <v>3229</v>
      </c>
      <c r="F176" s="127" t="s">
        <v>3134</v>
      </c>
      <c r="G176" s="136">
        <v>0</v>
      </c>
      <c r="H176" s="113" t="str">
        <f t="shared" si="6"/>
        <v>SE</v>
      </c>
      <c r="I176" s="113" t="e">
        <f>INDEX('SCH M Lookup'!$I:$I,MATCH($A176,'SCH M Lookup'!$A:$A,0))</f>
        <v>#N/A</v>
      </c>
      <c r="J176" s="113" t="str">
        <f>IF('SCH M Jun22data'!$G176=0,"NO",IF(ISNA('SCH M Jun22data'!$I176),"YES",IF(_xlfn.ISFORMULA('SCH M Jun22data'!$I176),"NO","YES")))</f>
        <v>NO</v>
      </c>
      <c r="K176"/>
    </row>
    <row r="177" spans="1:11">
      <c r="A177" s="118" t="str">
        <f t="shared" si="7"/>
        <v>4098300SCHMAT610115PMIOverburden RemovalSE</v>
      </c>
      <c r="B177" s="126">
        <v>4098300</v>
      </c>
      <c r="C177" s="117" t="str">
        <f t="shared" si="8"/>
        <v>SCHMAT</v>
      </c>
      <c r="D177" s="126">
        <v>610115</v>
      </c>
      <c r="E177" s="128" t="s">
        <v>3230</v>
      </c>
      <c r="F177" s="127" t="s">
        <v>3134</v>
      </c>
      <c r="G177" s="136">
        <v>0</v>
      </c>
      <c r="H177" s="113" t="str">
        <f t="shared" si="6"/>
        <v>SE</v>
      </c>
      <c r="I177" s="113" t="e">
        <f>INDEX('SCH M Lookup'!$I:$I,MATCH($A177,'SCH M Lookup'!$A:$A,0))</f>
        <v>#N/A</v>
      </c>
      <c r="J177" s="113" t="str">
        <f>IF('SCH M Jun22data'!$G177=0,"NO",IF(ISNA('SCH M Jun22data'!$I177),"YES",IF(_xlfn.ISFORMULA('SCH M Jun22data'!$I177),"NO","YES")))</f>
        <v>NO</v>
      </c>
      <c r="K177"/>
    </row>
    <row r="178" spans="1:11">
      <c r="A178" s="118" t="str">
        <f t="shared" si="7"/>
        <v>4098300SCHMAT610130781 Shopping Incentive_OROTHER</v>
      </c>
      <c r="B178" s="126">
        <v>4098300</v>
      </c>
      <c r="C178" s="117" t="str">
        <f t="shared" si="8"/>
        <v>SCHMAT</v>
      </c>
      <c r="D178" s="126">
        <v>610130</v>
      </c>
      <c r="E178" s="128" t="s">
        <v>3231</v>
      </c>
      <c r="F178" s="127" t="s">
        <v>306</v>
      </c>
      <c r="G178" s="136">
        <v>0</v>
      </c>
      <c r="H178" s="113" t="str">
        <f t="shared" si="6"/>
        <v>OTHER</v>
      </c>
      <c r="I178" s="113" t="e">
        <f>INDEX('SCH M Lookup'!$I:$I,MATCH($A178,'SCH M Lookup'!$A:$A,0))</f>
        <v>#N/A</v>
      </c>
      <c r="J178" s="113" t="str">
        <f>IF('SCH M Jun22data'!$G178=0,"NO",IF(ISNA('SCH M Jun22data'!$I178),"YES",IF(_xlfn.ISFORMULA('SCH M Jun22data'!$I178),"NO","YES")))</f>
        <v>NO</v>
      </c>
      <c r="K178"/>
    </row>
    <row r="179" spans="1:11">
      <c r="A179" s="118" t="str">
        <f t="shared" si="7"/>
        <v>4098300SCHMAT610135SB1149 Costs_OR OTHEROTHER</v>
      </c>
      <c r="B179" s="126">
        <v>4098300</v>
      </c>
      <c r="C179" s="117" t="str">
        <f t="shared" si="8"/>
        <v>SCHMAT</v>
      </c>
      <c r="D179" s="126">
        <v>610135</v>
      </c>
      <c r="E179" s="128" t="s">
        <v>3232</v>
      </c>
      <c r="F179" s="127" t="s">
        <v>306</v>
      </c>
      <c r="G179" s="136">
        <v>0</v>
      </c>
      <c r="H179" s="113" t="str">
        <f t="shared" si="6"/>
        <v>OTHER</v>
      </c>
      <c r="I179" s="113" t="e">
        <f>INDEX('SCH M Lookup'!$I:$I,MATCH($A179,'SCH M Lookup'!$A:$A,0))</f>
        <v>#N/A</v>
      </c>
      <c r="J179" s="113" t="str">
        <f>IF('SCH M Jun22data'!$G179=0,"NO",IF(ISNA('SCH M Jun22data'!$I179),"YES",IF(_xlfn.ISFORMULA('SCH M Jun22data'!$I179),"NO","YES")))</f>
        <v>NO</v>
      </c>
      <c r="K179"/>
    </row>
    <row r="180" spans="1:11">
      <c r="A180" s="118" t="str">
        <f t="shared" si="7"/>
        <v>4098300SCHMAT610140Oregon Rate RefundOTHER</v>
      </c>
      <c r="B180" s="126">
        <v>4098300</v>
      </c>
      <c r="C180" s="117" t="str">
        <f t="shared" si="8"/>
        <v>SCHMAT</v>
      </c>
      <c r="D180" s="126">
        <v>610140</v>
      </c>
      <c r="E180" s="128" t="s">
        <v>3233</v>
      </c>
      <c r="F180" s="127" t="s">
        <v>306</v>
      </c>
      <c r="G180" s="136">
        <v>0</v>
      </c>
      <c r="H180" s="113" t="str">
        <f t="shared" si="6"/>
        <v>OTHER</v>
      </c>
      <c r="I180" s="113" t="e">
        <f>INDEX('SCH M Lookup'!$I:$I,MATCH($A180,'SCH M Lookup'!$A:$A,0))</f>
        <v>#N/A</v>
      </c>
      <c r="J180" s="113" t="str">
        <f>IF('SCH M Jun22data'!$G180=0,"NO",IF(ISNA('SCH M Jun22data'!$I180),"YES",IF(_xlfn.ISFORMULA('SCH M Jun22data'!$I180),"NO","YES")))</f>
        <v>NO</v>
      </c>
      <c r="K180"/>
    </row>
    <row r="181" spans="1:11">
      <c r="A181" s="118" t="str">
        <f t="shared" si="7"/>
        <v>4098300SCHMAT610141WA Rate RefundsOTHER</v>
      </c>
      <c r="B181" s="126">
        <v>4098300</v>
      </c>
      <c r="C181" s="117" t="str">
        <f t="shared" si="8"/>
        <v>SCHMAT</v>
      </c>
      <c r="D181" s="126">
        <v>610141</v>
      </c>
      <c r="E181" s="128" t="s">
        <v>427</v>
      </c>
      <c r="F181" s="127" t="s">
        <v>306</v>
      </c>
      <c r="G181" s="136">
        <v>997.07560999999998</v>
      </c>
      <c r="H181" s="113" t="str">
        <f t="shared" si="6"/>
        <v>OTHER</v>
      </c>
      <c r="I181" s="113" t="str">
        <f>INDEX('SCH M Lookup'!$I:$I,MATCH($A181,'SCH M Lookup'!$A:$A,0))</f>
        <v>PTD</v>
      </c>
      <c r="J181" s="113" t="str">
        <f>IF('SCH M Jun22data'!$G181=0,"NO",IF(ISNA('SCH M Jun22data'!$I181),"YES",IF(_xlfn.ISFORMULA('SCH M Jun22data'!$I181),"NO","YES")))</f>
        <v>NO</v>
      </c>
      <c r="K181"/>
    </row>
    <row r="182" spans="1:11">
      <c r="A182" s="118" t="str">
        <f t="shared" si="7"/>
        <v>4098300SCHMAT610144Reg Liability - CA California AlternativOTHER</v>
      </c>
      <c r="B182" s="126">
        <v>4098300</v>
      </c>
      <c r="C182" s="117" t="str">
        <f t="shared" si="8"/>
        <v>SCHMAT</v>
      </c>
      <c r="D182" s="126">
        <v>610144</v>
      </c>
      <c r="E182" s="128" t="s">
        <v>429</v>
      </c>
      <c r="F182" s="127" t="s">
        <v>306</v>
      </c>
      <c r="G182" s="136">
        <v>0</v>
      </c>
      <c r="H182" s="113" t="str">
        <f t="shared" si="6"/>
        <v>OTHER</v>
      </c>
      <c r="I182" s="113" t="e">
        <f>INDEX('SCH M Lookup'!$I:$I,MATCH($A182,'SCH M Lookup'!$A:$A,0))</f>
        <v>#N/A</v>
      </c>
      <c r="J182" s="113" t="str">
        <f>IF('SCH M Jun22data'!$G182=0,"NO",IF(ISNA('SCH M Jun22data'!$I182),"YES",IF(_xlfn.ISFORMULA('SCH M Jun22data'!$I182),"NO","YES")))</f>
        <v>NO</v>
      </c>
      <c r="K182"/>
    </row>
    <row r="183" spans="1:11">
      <c r="A183" s="118" t="str">
        <f t="shared" si="7"/>
        <v>4098300SCHMAT610145REG LIAB-DSMOTHER</v>
      </c>
      <c r="B183" s="126">
        <v>4098300</v>
      </c>
      <c r="C183" s="117" t="str">
        <f t="shared" si="8"/>
        <v>SCHMAT</v>
      </c>
      <c r="D183" s="126">
        <v>610145</v>
      </c>
      <c r="E183" s="128" t="s">
        <v>430</v>
      </c>
      <c r="F183" s="127" t="s">
        <v>306</v>
      </c>
      <c r="G183" s="136">
        <v>-1372.85736</v>
      </c>
      <c r="H183" s="113" t="str">
        <f t="shared" si="6"/>
        <v>OTHER</v>
      </c>
      <c r="I183" s="113" t="str">
        <f>INDEX('SCH M Lookup'!$I:$I,MATCH($A183,'SCH M Lookup'!$A:$A,0))</f>
        <v>PTD</v>
      </c>
      <c r="J183" s="113" t="str">
        <f>IF('SCH M Jun22data'!$G183=0,"NO",IF(ISNA('SCH M Jun22data'!$I183),"YES",IF(_xlfn.ISFORMULA('SCH M Jun22data'!$I183),"NO","YES")))</f>
        <v>NO</v>
      </c>
      <c r="K183"/>
    </row>
    <row r="184" spans="1:11">
      <c r="A184" s="118" t="str">
        <f t="shared" si="7"/>
        <v>4098300SCHMAT610146OR Reg Asset/Liability ConsolidationSITUS</v>
      </c>
      <c r="B184" s="126">
        <v>4098300</v>
      </c>
      <c r="C184" s="117" t="str">
        <f t="shared" si="8"/>
        <v>SCHMAT</v>
      </c>
      <c r="D184" s="126">
        <v>610146</v>
      </c>
      <c r="E184" s="128" t="s">
        <v>431</v>
      </c>
      <c r="F184" s="127" t="s">
        <v>343</v>
      </c>
      <c r="G184" s="136">
        <v>0</v>
      </c>
      <c r="H184" s="113" t="str">
        <f t="shared" si="6"/>
        <v>SITUS</v>
      </c>
      <c r="I184" s="113" t="e">
        <f>INDEX('SCH M Lookup'!$I:$I,MATCH($A184,'SCH M Lookup'!$A:$A,0))</f>
        <v>#N/A</v>
      </c>
      <c r="J184" s="113" t="str">
        <f>IF('SCH M Jun22data'!$G184=0,"NO",IF(ISNA('SCH M Jun22data'!$I184),"YES",IF(_xlfn.ISFORMULA('SCH M Jun22data'!$I184),"NO","YES")))</f>
        <v>NO</v>
      </c>
      <c r="K184"/>
    </row>
    <row r="185" spans="1:11">
      <c r="A185" s="118" t="str">
        <f t="shared" si="7"/>
        <v>4098300SCHMAT610148Reg Liability - Def NPC Balance ReclassOTHER</v>
      </c>
      <c r="B185" s="126">
        <v>4098300</v>
      </c>
      <c r="C185" s="117" t="str">
        <f t="shared" si="8"/>
        <v>SCHMAT</v>
      </c>
      <c r="D185" s="126">
        <v>610148</v>
      </c>
      <c r="E185" s="128" t="s">
        <v>3234</v>
      </c>
      <c r="F185" s="127" t="s">
        <v>306</v>
      </c>
      <c r="G185" s="136">
        <v>0</v>
      </c>
      <c r="H185" s="113" t="str">
        <f t="shared" si="6"/>
        <v>OTHER</v>
      </c>
      <c r="I185" s="113" t="e">
        <f>INDEX('SCH M Lookup'!$I:$I,MATCH($A185,'SCH M Lookup'!$A:$A,0))</f>
        <v>#N/A</v>
      </c>
      <c r="J185" s="113" t="str">
        <f>IF('SCH M Jun22data'!$G185=0,"NO",IF(ISNA('SCH M Jun22data'!$I185),"YES",IF(_xlfn.ISFORMULA('SCH M Jun22data'!$I185),"NO","YES")))</f>
        <v>NO</v>
      </c>
      <c r="K185"/>
    </row>
    <row r="186" spans="1:11">
      <c r="A186" s="118" t="str">
        <f t="shared" si="7"/>
        <v>4098300SCHMAT610149Reg Liability - SB 1149 Balance ReclassOTHER</v>
      </c>
      <c r="B186" s="126">
        <v>4098300</v>
      </c>
      <c r="C186" s="117" t="str">
        <f t="shared" si="8"/>
        <v>SCHMAT</v>
      </c>
      <c r="D186" s="126">
        <v>610149</v>
      </c>
      <c r="E186" s="128" t="s">
        <v>3235</v>
      </c>
      <c r="F186" s="127" t="s">
        <v>306</v>
      </c>
      <c r="G186" s="136">
        <v>0</v>
      </c>
      <c r="H186" s="113" t="str">
        <f t="shared" si="6"/>
        <v>OTHER</v>
      </c>
      <c r="I186" s="113" t="e">
        <f>INDEX('SCH M Lookup'!$I:$I,MATCH($A186,'SCH M Lookup'!$A:$A,0))</f>
        <v>#N/A</v>
      </c>
      <c r="J186" s="113" t="str">
        <f>IF('SCH M Jun22data'!$G186=0,"NO",IF(ISNA('SCH M Jun22data'!$I186),"YES",IF(_xlfn.ISFORMULA('SCH M Jun22data'!$I186),"NO","YES")))</f>
        <v>NO</v>
      </c>
      <c r="K186"/>
    </row>
    <row r="187" spans="1:11">
      <c r="A187" s="118" t="str">
        <f t="shared" si="7"/>
        <v>4098300SCHMAT610150REG LIABILITY - BRIDGER MINE ACCELERATEDSITUS</v>
      </c>
      <c r="B187" s="126">
        <v>4098300</v>
      </c>
      <c r="C187" s="117" t="str">
        <f t="shared" si="8"/>
        <v>SCHMAT</v>
      </c>
      <c r="D187" s="126">
        <v>610150</v>
      </c>
      <c r="E187" s="128" t="s">
        <v>2067</v>
      </c>
      <c r="F187" s="127" t="s">
        <v>343</v>
      </c>
      <c r="G187" s="136">
        <v>3639.4387200000001</v>
      </c>
      <c r="H187" s="113" t="str">
        <f t="shared" si="6"/>
        <v>SITUS</v>
      </c>
      <c r="I187" s="113" t="str">
        <f>INDEX('SCH M Lookup'!$I:$I,MATCH($A187,'SCH M Lookup'!$A:$A,0))</f>
        <v>P</v>
      </c>
      <c r="J187" s="113" t="str">
        <f>IF('SCH M Jun22data'!$G187=0,"NO",IF(ISNA('SCH M Jun22data'!$I187),"YES",IF(_xlfn.ISFORMULA('SCH M Jun22data'!$I187),"NO","YES")))</f>
        <v>NO</v>
      </c>
      <c r="K187"/>
    </row>
    <row r="188" spans="1:11">
      <c r="A188" s="118" t="str">
        <f t="shared" si="7"/>
        <v>4098300SCHMAT610155Reg Liability - Plant Closure Cost - WASITUS</v>
      </c>
      <c r="B188" s="126">
        <v>4098300</v>
      </c>
      <c r="C188" s="117" t="str">
        <f t="shared" si="8"/>
        <v>SCHMAT</v>
      </c>
      <c r="D188" s="126">
        <v>610155</v>
      </c>
      <c r="E188" s="128" t="s">
        <v>2069</v>
      </c>
      <c r="F188" s="127" t="s">
        <v>367</v>
      </c>
      <c r="G188" s="136">
        <v>1355.7358200000001</v>
      </c>
      <c r="H188" s="113" t="str">
        <f t="shared" si="6"/>
        <v>SITUS</v>
      </c>
      <c r="I188" s="113" t="str">
        <f>INDEX('SCH M Lookup'!$I:$I,MATCH($A188,'SCH M Lookup'!$A:$A,0))</f>
        <v>P</v>
      </c>
      <c r="J188" s="113" t="str">
        <f>IF('SCH M Jun22data'!$G188=0,"NO",IF(ISNA('SCH M Jun22data'!$I188),"YES",IF(_xlfn.ISFORMULA('SCH M Jun22data'!$I188),"NO","YES")))</f>
        <v>NO</v>
      </c>
      <c r="K188"/>
    </row>
    <row r="189" spans="1:11">
      <c r="A189" s="118" t="str">
        <f t="shared" si="7"/>
        <v>4098300SCHMAT705210Property InsuranceSO</v>
      </c>
      <c r="B189" s="126">
        <v>4098300</v>
      </c>
      <c r="C189" s="117" t="str">
        <f t="shared" si="8"/>
        <v>SCHMAT</v>
      </c>
      <c r="D189" s="126">
        <v>705210</v>
      </c>
      <c r="E189" s="128" t="s">
        <v>3236</v>
      </c>
      <c r="F189" s="127" t="s">
        <v>89</v>
      </c>
      <c r="G189" s="136">
        <v>0</v>
      </c>
      <c r="H189" s="113" t="str">
        <f t="shared" si="6"/>
        <v>SO</v>
      </c>
      <c r="I189" s="113" t="e">
        <f>INDEX('SCH M Lookup'!$I:$I,MATCH($A189,'SCH M Lookup'!$A:$A,0))</f>
        <v>#N/A</v>
      </c>
      <c r="J189" s="113" t="str">
        <f>IF('SCH M Jun22data'!$G189=0,"NO",IF(ISNA('SCH M Jun22data'!$I189),"YES",IF(_xlfn.ISFORMULA('SCH M Jun22data'!$I189),"NO","YES")))</f>
        <v>NO</v>
      </c>
      <c r="K189"/>
    </row>
    <row r="190" spans="1:11">
      <c r="A190" s="118" t="str">
        <f t="shared" si="7"/>
        <v>4098300SCHMAT705230West Valley Lease Reduction - WASITUS</v>
      </c>
      <c r="B190" s="126">
        <v>4098300</v>
      </c>
      <c r="C190" s="117" t="str">
        <f t="shared" si="8"/>
        <v>SCHMAT</v>
      </c>
      <c r="D190" s="126">
        <v>705230</v>
      </c>
      <c r="E190" s="128" t="s">
        <v>3237</v>
      </c>
      <c r="F190" s="127" t="s">
        <v>367</v>
      </c>
      <c r="G190" s="136">
        <v>0</v>
      </c>
      <c r="H190" s="113" t="str">
        <f t="shared" si="6"/>
        <v>SITUS</v>
      </c>
      <c r="I190" s="113" t="e">
        <f>INDEX('SCH M Lookup'!$I:$I,MATCH($A190,'SCH M Lookup'!$A:$A,0))</f>
        <v>#N/A</v>
      </c>
      <c r="J190" s="113" t="str">
        <f>IF('SCH M Jun22data'!$G190=0,"NO",IF(ISNA('SCH M Jun22data'!$I190),"YES",IF(_xlfn.ISFORMULA('SCH M Jun22data'!$I190),"NO","YES")))</f>
        <v>NO</v>
      </c>
      <c r="K190"/>
    </row>
    <row r="191" spans="1:11">
      <c r="A191" s="118" t="str">
        <f t="shared" si="7"/>
        <v>4098300SCHMAT705231West Valley Lease Reduction - ORSITUS</v>
      </c>
      <c r="B191" s="126">
        <v>4098300</v>
      </c>
      <c r="C191" s="117" t="str">
        <f t="shared" si="8"/>
        <v>SCHMAT</v>
      </c>
      <c r="D191" s="126">
        <v>705231</v>
      </c>
      <c r="E191" s="128" t="s">
        <v>3238</v>
      </c>
      <c r="F191" s="127" t="s">
        <v>343</v>
      </c>
      <c r="G191" s="136">
        <v>0</v>
      </c>
      <c r="H191" s="113" t="str">
        <f t="shared" si="6"/>
        <v>SITUS</v>
      </c>
      <c r="I191" s="113" t="e">
        <f>INDEX('SCH M Lookup'!$I:$I,MATCH($A191,'SCH M Lookup'!$A:$A,0))</f>
        <v>#N/A</v>
      </c>
      <c r="J191" s="113" t="str">
        <f>IF('SCH M Jun22data'!$G191=0,"NO",IF(ISNA('SCH M Jun22data'!$I191),"YES",IF(_xlfn.ISFORMULA('SCH M Jun22data'!$I191),"NO","YES")))</f>
        <v>NO</v>
      </c>
      <c r="K191"/>
    </row>
    <row r="192" spans="1:11">
      <c r="A192" s="118" t="str">
        <f t="shared" si="7"/>
        <v>4098300SCHMAT705232West Valley Lease Reduction - CASITUS</v>
      </c>
      <c r="B192" s="126">
        <v>4098300</v>
      </c>
      <c r="C192" s="117" t="str">
        <f t="shared" si="8"/>
        <v>SCHMAT</v>
      </c>
      <c r="D192" s="126">
        <v>705232</v>
      </c>
      <c r="E192" s="128" t="s">
        <v>3239</v>
      </c>
      <c r="F192" s="127" t="s">
        <v>387</v>
      </c>
      <c r="G192" s="136">
        <v>0</v>
      </c>
      <c r="H192" s="113" t="str">
        <f t="shared" si="6"/>
        <v>SITUS</v>
      </c>
      <c r="I192" s="113" t="e">
        <f>INDEX('SCH M Lookup'!$I:$I,MATCH($A192,'SCH M Lookup'!$A:$A,0))</f>
        <v>#N/A</v>
      </c>
      <c r="J192" s="113" t="str">
        <f>IF('SCH M Jun22data'!$G192=0,"NO",IF(ISNA('SCH M Jun22data'!$I192),"YES",IF(_xlfn.ISFORMULA('SCH M Jun22data'!$I192),"NO","YES")))</f>
        <v>NO</v>
      </c>
      <c r="K192"/>
    </row>
    <row r="193" spans="1:11">
      <c r="A193" s="118" t="str">
        <f t="shared" si="7"/>
        <v>4098300SCHMAT705233West Valley Lease Reduction - IDSITUS</v>
      </c>
      <c r="B193" s="126">
        <v>4098300</v>
      </c>
      <c r="C193" s="117" t="str">
        <f t="shared" si="8"/>
        <v>SCHMAT</v>
      </c>
      <c r="D193" s="126">
        <v>705233</v>
      </c>
      <c r="E193" s="128" t="s">
        <v>3240</v>
      </c>
      <c r="F193" s="127" t="s">
        <v>372</v>
      </c>
      <c r="G193" s="136">
        <v>0</v>
      </c>
      <c r="H193" s="113" t="str">
        <f t="shared" si="6"/>
        <v>SITUS</v>
      </c>
      <c r="I193" s="113" t="e">
        <f>INDEX('SCH M Lookup'!$I:$I,MATCH($A193,'SCH M Lookup'!$A:$A,0))</f>
        <v>#N/A</v>
      </c>
      <c r="J193" s="113" t="str">
        <f>IF('SCH M Jun22data'!$G193=0,"NO",IF(ISNA('SCH M Jun22data'!$I193),"YES",IF(_xlfn.ISFORMULA('SCH M Jun22data'!$I193),"NO","YES")))</f>
        <v>NO</v>
      </c>
      <c r="K193"/>
    </row>
    <row r="194" spans="1:11">
      <c r="A194" s="118" t="str">
        <f t="shared" si="7"/>
        <v>4098300SCHMAT705234West Valley Lease Reduction - WYSITUS</v>
      </c>
      <c r="B194" s="126">
        <v>4098300</v>
      </c>
      <c r="C194" s="117" t="str">
        <f t="shared" si="8"/>
        <v>SCHMAT</v>
      </c>
      <c r="D194" s="126">
        <v>705234</v>
      </c>
      <c r="E194" s="128" t="s">
        <v>3241</v>
      </c>
      <c r="F194" s="127" t="s">
        <v>378</v>
      </c>
      <c r="G194" s="136">
        <v>0</v>
      </c>
      <c r="H194" s="113" t="str">
        <f t="shared" ref="H194:H257" si="9">IF(OR(F194="IDU",F194="OR",F194="UT",F194="WYU",F194="WYP",F194="CA",F194="WA"),"SITUS",IF(OR(F194="CAEE",F194="JBE"),"SE",IF(OR(F194="CAGE",F194="CAGW",F194="JBG"),"SG",F194)))</f>
        <v>SITUS</v>
      </c>
      <c r="I194" s="113" t="e">
        <f>INDEX('SCH M Lookup'!$I:$I,MATCH($A194,'SCH M Lookup'!$A:$A,0))</f>
        <v>#N/A</v>
      </c>
      <c r="J194" s="113" t="str">
        <f>IF('SCH M Jun22data'!$G194=0,"NO",IF(ISNA('SCH M Jun22data'!$I194),"YES",IF(_xlfn.ISFORMULA('SCH M Jun22data'!$I194),"NO","YES")))</f>
        <v>NO</v>
      </c>
      <c r="K194"/>
    </row>
    <row r="195" spans="1:11">
      <c r="A195" s="118" t="str">
        <f t="shared" ref="A195:A258" si="10">CONCATENATE($B195,$C195,$D195,$E195,$H195)</f>
        <v>4098300SCHMAT705235West Valley Lease Reduction - UTSITUS</v>
      </c>
      <c r="B195" s="126">
        <v>4098300</v>
      </c>
      <c r="C195" s="117" t="str">
        <f t="shared" ref="C195:C258" si="11">IF(B195=4098200,"SCHMAP",IF(B195=4098300,"SCHMAT",IF(B195=4099200,"SCHMDP",IF(B195=4099300,"SCHMDT"))))</f>
        <v>SCHMAT</v>
      </c>
      <c r="D195" s="126">
        <v>705235</v>
      </c>
      <c r="E195" s="128" t="s">
        <v>3242</v>
      </c>
      <c r="F195" s="127" t="s">
        <v>370</v>
      </c>
      <c r="G195" s="136">
        <v>0</v>
      </c>
      <c r="H195" s="113" t="str">
        <f t="shared" si="9"/>
        <v>SITUS</v>
      </c>
      <c r="I195" s="113" t="e">
        <f>INDEX('SCH M Lookup'!$I:$I,MATCH($A195,'SCH M Lookup'!$A:$A,0))</f>
        <v>#N/A</v>
      </c>
      <c r="J195" s="113" t="str">
        <f>IF('SCH M Jun22data'!$G195=0,"NO",IF(ISNA('SCH M Jun22data'!$I195),"YES",IF(_xlfn.ISFORMULA('SCH M Jun22data'!$I195),"NO","YES")))</f>
        <v>NO</v>
      </c>
      <c r="K195"/>
    </row>
    <row r="196" spans="1:11">
      <c r="A196" s="118" t="str">
        <f t="shared" si="10"/>
        <v>4098300SCHMAT705240CA Alternative Rate for Energy Program(COTHER</v>
      </c>
      <c r="B196" s="126">
        <v>4098300</v>
      </c>
      <c r="C196" s="117" t="str">
        <f t="shared" si="11"/>
        <v>SCHMAT</v>
      </c>
      <c r="D196" s="126">
        <v>705240</v>
      </c>
      <c r="E196" s="128" t="s">
        <v>432</v>
      </c>
      <c r="F196" s="127" t="s">
        <v>306</v>
      </c>
      <c r="G196" s="136">
        <v>0</v>
      </c>
      <c r="H196" s="113" t="str">
        <f t="shared" si="9"/>
        <v>OTHER</v>
      </c>
      <c r="I196" s="113" t="str">
        <f>INDEX('SCH M Lookup'!$I:$I,MATCH($A196,'SCH M Lookup'!$A:$A,0))</f>
        <v>PTD</v>
      </c>
      <c r="J196" s="113" t="str">
        <f>IF('SCH M Jun22data'!$G196=0,"NO",IF(ISNA('SCH M Jun22data'!$I196),"YES",IF(_xlfn.ISFORMULA('SCH M Jun22data'!$I196),"NO","YES")))</f>
        <v>NO</v>
      </c>
      <c r="K196"/>
    </row>
    <row r="197" spans="1:11">
      <c r="A197" s="118" t="str">
        <f t="shared" si="10"/>
        <v>4098300SCHMAT705241Reg Liability - CA California AlternativOTHER</v>
      </c>
      <c r="B197" s="126">
        <v>4098300</v>
      </c>
      <c r="C197" s="117" t="str">
        <f t="shared" si="11"/>
        <v>SCHMAT</v>
      </c>
      <c r="D197" s="126">
        <v>705241</v>
      </c>
      <c r="E197" s="128" t="s">
        <v>429</v>
      </c>
      <c r="F197" s="127" t="s">
        <v>306</v>
      </c>
      <c r="G197" s="136">
        <v>-240.18272999999999</v>
      </c>
      <c r="H197" s="113" t="str">
        <f t="shared" si="9"/>
        <v>OTHER</v>
      </c>
      <c r="I197" s="113" t="str">
        <f>INDEX('SCH M Lookup'!$I:$I,MATCH($A197,'SCH M Lookup'!$A:$A,0))</f>
        <v>PTD</v>
      </c>
      <c r="J197" s="113" t="str">
        <f>IF('SCH M Jun22data'!$G197=0,"NO",IF(ISNA('SCH M Jun22data'!$I197),"YES",IF(_xlfn.ISFORMULA('SCH M Jun22data'!$I197),"NO","YES")))</f>
        <v>NO</v>
      </c>
      <c r="K197"/>
    </row>
    <row r="198" spans="1:11">
      <c r="A198" s="118" t="str">
        <f t="shared" si="10"/>
        <v>4098300SCHMAT705245REG LIABILITY - OR DIRECT ACCESS 5 YEAROTHER</v>
      </c>
      <c r="B198" s="126">
        <v>4098300</v>
      </c>
      <c r="C198" s="117" t="str">
        <f t="shared" si="11"/>
        <v>SCHMAT</v>
      </c>
      <c r="D198" s="126">
        <v>705245</v>
      </c>
      <c r="E198" s="128" t="s">
        <v>433</v>
      </c>
      <c r="F198" s="127" t="s">
        <v>306</v>
      </c>
      <c r="G198" s="136">
        <v>-1570.8272999999999</v>
      </c>
      <c r="H198" s="113" t="str">
        <f t="shared" si="9"/>
        <v>OTHER</v>
      </c>
      <c r="I198" s="113" t="str">
        <f>INDEX('SCH M Lookup'!$I:$I,MATCH($A198,'SCH M Lookup'!$A:$A,0))</f>
        <v>PTD</v>
      </c>
      <c r="J198" s="113" t="str">
        <f>IF('SCH M Jun22data'!$G198=0,"NO",IF(ISNA('SCH M Jun22data'!$I198),"YES",IF(_xlfn.ISFORMULA('SCH M Jun22data'!$I198),"NO","YES")))</f>
        <v>NO</v>
      </c>
      <c r="K198"/>
    </row>
    <row r="199" spans="1:11">
      <c r="A199" s="118" t="str">
        <f t="shared" si="10"/>
        <v>4098300SCHMAT705250A&amp;G Credit-WASITUS</v>
      </c>
      <c r="B199" s="126">
        <v>4098300</v>
      </c>
      <c r="C199" s="117" t="str">
        <f t="shared" si="11"/>
        <v>SCHMAT</v>
      </c>
      <c r="D199" s="126">
        <v>705250</v>
      </c>
      <c r="E199" s="128" t="s">
        <v>3243</v>
      </c>
      <c r="F199" s="127" t="s">
        <v>367</v>
      </c>
      <c r="G199" s="136">
        <v>0</v>
      </c>
      <c r="H199" s="113" t="str">
        <f t="shared" si="9"/>
        <v>SITUS</v>
      </c>
      <c r="I199" s="113" t="e">
        <f>INDEX('SCH M Lookup'!$I:$I,MATCH($A199,'SCH M Lookup'!$A:$A,0))</f>
        <v>#N/A</v>
      </c>
      <c r="J199" s="113" t="str">
        <f>IF('SCH M Jun22data'!$G199=0,"NO",IF(ISNA('SCH M Jun22data'!$I199),"YES",IF(_xlfn.ISFORMULA('SCH M Jun22data'!$I199),"NO","YES")))</f>
        <v>NO</v>
      </c>
      <c r="K199"/>
    </row>
    <row r="200" spans="1:11">
      <c r="A200" s="118" t="str">
        <f t="shared" si="10"/>
        <v>4098300SCHMAT705251A&amp;G Credit-ORSITUS</v>
      </c>
      <c r="B200" s="126">
        <v>4098300</v>
      </c>
      <c r="C200" s="117" t="str">
        <f t="shared" si="11"/>
        <v>SCHMAT</v>
      </c>
      <c r="D200" s="126">
        <v>705251</v>
      </c>
      <c r="E200" s="128" t="s">
        <v>3244</v>
      </c>
      <c r="F200" s="127" t="s">
        <v>343</v>
      </c>
      <c r="G200" s="136">
        <v>0</v>
      </c>
      <c r="H200" s="113" t="str">
        <f t="shared" si="9"/>
        <v>SITUS</v>
      </c>
      <c r="I200" s="113" t="e">
        <f>INDEX('SCH M Lookup'!$I:$I,MATCH($A200,'SCH M Lookup'!$A:$A,0))</f>
        <v>#N/A</v>
      </c>
      <c r="J200" s="113" t="str">
        <f>IF('SCH M Jun22data'!$G200=0,"NO",IF(ISNA('SCH M Jun22data'!$I200),"YES",IF(_xlfn.ISFORMULA('SCH M Jun22data'!$I200),"NO","YES")))</f>
        <v>NO</v>
      </c>
      <c r="K200"/>
    </row>
    <row r="201" spans="1:11">
      <c r="A201" s="118" t="str">
        <f t="shared" si="10"/>
        <v>4098300SCHMAT705252A&amp;G Credit-CASITUS</v>
      </c>
      <c r="B201" s="126">
        <v>4098300</v>
      </c>
      <c r="C201" s="117" t="str">
        <f t="shared" si="11"/>
        <v>SCHMAT</v>
      </c>
      <c r="D201" s="126">
        <v>705252</v>
      </c>
      <c r="E201" s="128" t="s">
        <v>3245</v>
      </c>
      <c r="F201" s="127" t="s">
        <v>387</v>
      </c>
      <c r="G201" s="136">
        <v>0</v>
      </c>
      <c r="H201" s="113" t="str">
        <f t="shared" si="9"/>
        <v>SITUS</v>
      </c>
      <c r="I201" s="113" t="e">
        <f>INDEX('SCH M Lookup'!$I:$I,MATCH($A201,'SCH M Lookup'!$A:$A,0))</f>
        <v>#N/A</v>
      </c>
      <c r="J201" s="113" t="str">
        <f>IF('SCH M Jun22data'!$G201=0,"NO",IF(ISNA('SCH M Jun22data'!$I201),"YES",IF(_xlfn.ISFORMULA('SCH M Jun22data'!$I201),"NO","YES")))</f>
        <v>NO</v>
      </c>
      <c r="K201"/>
    </row>
    <row r="202" spans="1:11">
      <c r="A202" s="118" t="str">
        <f t="shared" si="10"/>
        <v>4098300SCHMAT705253A&amp;G Credit-IDSITUS</v>
      </c>
      <c r="B202" s="126">
        <v>4098300</v>
      </c>
      <c r="C202" s="117" t="str">
        <f t="shared" si="11"/>
        <v>SCHMAT</v>
      </c>
      <c r="D202" s="126">
        <v>705253</v>
      </c>
      <c r="E202" s="128" t="s">
        <v>3246</v>
      </c>
      <c r="F202" s="127" t="s">
        <v>372</v>
      </c>
      <c r="G202" s="136">
        <v>0</v>
      </c>
      <c r="H202" s="113" t="str">
        <f t="shared" si="9"/>
        <v>SITUS</v>
      </c>
      <c r="I202" s="113" t="e">
        <f>INDEX('SCH M Lookup'!$I:$I,MATCH($A202,'SCH M Lookup'!$A:$A,0))</f>
        <v>#N/A</v>
      </c>
      <c r="J202" s="113" t="str">
        <f>IF('SCH M Jun22data'!$G202=0,"NO",IF(ISNA('SCH M Jun22data'!$I202),"YES",IF(_xlfn.ISFORMULA('SCH M Jun22data'!$I202),"NO","YES")))</f>
        <v>NO</v>
      </c>
      <c r="K202"/>
    </row>
    <row r="203" spans="1:11">
      <c r="A203" s="118" t="str">
        <f t="shared" si="10"/>
        <v>4098300SCHMAT705254A&amp;G Credit-WYSITUS</v>
      </c>
      <c r="B203" s="126">
        <v>4098300</v>
      </c>
      <c r="C203" s="117" t="str">
        <f t="shared" si="11"/>
        <v>SCHMAT</v>
      </c>
      <c r="D203" s="126">
        <v>705254</v>
      </c>
      <c r="E203" s="128" t="s">
        <v>3247</v>
      </c>
      <c r="F203" s="127" t="s">
        <v>386</v>
      </c>
      <c r="G203" s="136">
        <v>0</v>
      </c>
      <c r="H203" s="113" t="str">
        <f t="shared" si="9"/>
        <v>SITUS</v>
      </c>
      <c r="I203" s="113" t="e">
        <f>INDEX('SCH M Lookup'!$I:$I,MATCH($A203,'SCH M Lookup'!$A:$A,0))</f>
        <v>#N/A</v>
      </c>
      <c r="J203" s="113" t="str">
        <f>IF('SCH M Jun22data'!$G203=0,"NO",IF(ISNA('SCH M Jun22data'!$I203),"YES",IF(_xlfn.ISFORMULA('SCH M Jun22data'!$I203),"NO","YES")))</f>
        <v>NO</v>
      </c>
      <c r="K203"/>
    </row>
    <row r="204" spans="1:11">
      <c r="A204" s="118" t="str">
        <f t="shared" si="10"/>
        <v>4098300SCHMAT705260March 2006 Transition Plan costs-WASITUS</v>
      </c>
      <c r="B204" s="126">
        <v>4098300</v>
      </c>
      <c r="C204" s="117" t="str">
        <f t="shared" si="11"/>
        <v>SCHMAT</v>
      </c>
      <c r="D204" s="126">
        <v>705260</v>
      </c>
      <c r="E204" s="128" t="s">
        <v>3248</v>
      </c>
      <c r="F204" s="127" t="s">
        <v>367</v>
      </c>
      <c r="G204" s="136">
        <v>0</v>
      </c>
      <c r="H204" s="113" t="str">
        <f t="shared" si="9"/>
        <v>SITUS</v>
      </c>
      <c r="I204" s="113" t="e">
        <f>INDEX('SCH M Lookup'!$I:$I,MATCH($A204,'SCH M Lookup'!$A:$A,0))</f>
        <v>#N/A</v>
      </c>
      <c r="J204" s="113" t="str">
        <f>IF('SCH M Jun22data'!$G204=0,"NO",IF(ISNA('SCH M Jun22data'!$I204),"YES",IF(_xlfn.ISFORMULA('SCH M Jun22data'!$I204),"NO","YES")))</f>
        <v>NO</v>
      </c>
      <c r="K204"/>
    </row>
    <row r="205" spans="1:11">
      <c r="A205" s="118" t="str">
        <f t="shared" si="10"/>
        <v>4098300SCHMAT705261Reg Liability - Sale of renewable EnergyOTHER</v>
      </c>
      <c r="B205" s="126">
        <v>4098300</v>
      </c>
      <c r="C205" s="117" t="str">
        <f t="shared" si="11"/>
        <v>SCHMAT</v>
      </c>
      <c r="D205" s="126">
        <v>705261</v>
      </c>
      <c r="E205" s="128" t="s">
        <v>3249</v>
      </c>
      <c r="F205" s="127" t="s">
        <v>306</v>
      </c>
      <c r="G205" s="136">
        <v>0</v>
      </c>
      <c r="H205" s="113" t="str">
        <f t="shared" si="9"/>
        <v>OTHER</v>
      </c>
      <c r="I205" s="113" t="e">
        <f>INDEX('SCH M Lookup'!$I:$I,MATCH($A205,'SCH M Lookup'!$A:$A,0))</f>
        <v>#N/A</v>
      </c>
      <c r="J205" s="113" t="str">
        <f>IF('SCH M Jun22data'!$G205=0,"NO",IF(ISNA('SCH M Jun22data'!$I205),"YES",IF(_xlfn.ISFORMULA('SCH M Jun22data'!$I205),"NO","YES")))</f>
        <v>NO</v>
      </c>
      <c r="K205"/>
    </row>
    <row r="206" spans="1:11">
      <c r="A206" s="118" t="str">
        <f t="shared" si="10"/>
        <v>4098300SCHMAT705262Reg Liability - Sale of REC's-IDOTHER</v>
      </c>
      <c r="B206" s="126">
        <v>4098300</v>
      </c>
      <c r="C206" s="117" t="str">
        <f t="shared" si="11"/>
        <v>SCHMAT</v>
      </c>
      <c r="D206" s="126">
        <v>705262</v>
      </c>
      <c r="E206" s="128" t="s">
        <v>3250</v>
      </c>
      <c r="F206" s="127" t="s">
        <v>306</v>
      </c>
      <c r="G206" s="136">
        <v>0</v>
      </c>
      <c r="H206" s="113" t="str">
        <f t="shared" si="9"/>
        <v>OTHER</v>
      </c>
      <c r="I206" s="113" t="e">
        <f>INDEX('SCH M Lookup'!$I:$I,MATCH($A206,'SCH M Lookup'!$A:$A,0))</f>
        <v>#N/A</v>
      </c>
      <c r="J206" s="113" t="str">
        <f>IF('SCH M Jun22data'!$G206=0,"NO",IF(ISNA('SCH M Jun22data'!$I206),"YES",IF(_xlfn.ISFORMULA('SCH M Jun22data'!$I206),"NO","YES")))</f>
        <v>NO</v>
      </c>
      <c r="K206"/>
    </row>
    <row r="207" spans="1:11">
      <c r="A207" s="118" t="str">
        <f t="shared" si="10"/>
        <v>4098300SCHMAT705263Reg Liability - Sale of REC's-WAOTHER</v>
      </c>
      <c r="B207" s="125">
        <v>4098300</v>
      </c>
      <c r="C207" s="117" t="str">
        <f t="shared" si="11"/>
        <v>SCHMAT</v>
      </c>
      <c r="D207" s="125">
        <v>705263</v>
      </c>
      <c r="E207" s="121" t="s">
        <v>434</v>
      </c>
      <c r="F207" s="119" t="s">
        <v>306</v>
      </c>
      <c r="G207" s="138">
        <v>75.48021</v>
      </c>
      <c r="H207" s="113" t="str">
        <f t="shared" si="9"/>
        <v>OTHER</v>
      </c>
      <c r="I207" s="113" t="str">
        <f>INDEX('SCH M Lookup'!$I:$I,MATCH($A207,'SCH M Lookup'!$A:$A,0))</f>
        <v>P</v>
      </c>
      <c r="J207" s="113" t="str">
        <f>IF('SCH M Jun22data'!$G207=0,"NO",IF(ISNA('SCH M Jun22data'!$I207),"YES",IF(_xlfn.ISFORMULA('SCH M Jun22data'!$I207),"NO","YES")))</f>
        <v>NO</v>
      </c>
    </row>
    <row r="208" spans="1:11">
      <c r="A208" s="118" t="str">
        <f t="shared" si="10"/>
        <v>4098300SCHMAT705265Reg Liab - OR Energy Conservation ChargeOTHER</v>
      </c>
      <c r="B208" s="125">
        <v>4098300</v>
      </c>
      <c r="C208" s="117" t="str">
        <f t="shared" si="11"/>
        <v>SCHMAT</v>
      </c>
      <c r="D208" s="125">
        <v>705265</v>
      </c>
      <c r="E208" s="121" t="s">
        <v>435</v>
      </c>
      <c r="F208" s="119" t="s">
        <v>306</v>
      </c>
      <c r="G208" s="138">
        <v>0</v>
      </c>
      <c r="H208" s="113" t="str">
        <f t="shared" si="9"/>
        <v>OTHER</v>
      </c>
      <c r="I208" s="113" t="e">
        <f>INDEX('SCH M Lookup'!$I:$I,MATCH($A208,'SCH M Lookup'!$A:$A,0))</f>
        <v>#N/A</v>
      </c>
      <c r="J208" s="113" t="str">
        <f>IF('SCH M Jun22data'!$G208=0,"NO",IF(ISNA('SCH M Jun22data'!$I208),"YES",IF(_xlfn.ISFORMULA('SCH M Jun22data'!$I208),"NO","YES")))</f>
        <v>NO</v>
      </c>
    </row>
    <row r="209" spans="1:10">
      <c r="A209" s="118" t="str">
        <f t="shared" si="10"/>
        <v>4098300SCHMAT705266Reg Liability - Energy Savings AssistancOTHER</v>
      </c>
      <c r="B209" s="125">
        <v>4098300</v>
      </c>
      <c r="C209" s="117" t="str">
        <f t="shared" si="11"/>
        <v>SCHMAT</v>
      </c>
      <c r="D209" s="125">
        <v>705266</v>
      </c>
      <c r="E209" s="121" t="s">
        <v>436</v>
      </c>
      <c r="F209" s="119" t="s">
        <v>306</v>
      </c>
      <c r="G209" s="138">
        <v>-385.18615</v>
      </c>
      <c r="H209" s="113" t="str">
        <f t="shared" si="9"/>
        <v>OTHER</v>
      </c>
      <c r="I209" s="113" t="str">
        <f>INDEX('SCH M Lookup'!$I:$I,MATCH($A209,'SCH M Lookup'!$A:$A,0))</f>
        <v>CUST</v>
      </c>
      <c r="J209" s="113" t="str">
        <f>IF('SCH M Jun22data'!$G209=0,"NO",IF(ISNA('SCH M Jun22data'!$I209),"YES",IF(_xlfn.ISFORMULA('SCH M Jun22data'!$I209),"NO","YES")))</f>
        <v>NO</v>
      </c>
    </row>
    <row r="210" spans="1:10">
      <c r="A210" s="118" t="str">
        <f t="shared" si="10"/>
        <v>4098300SCHMAT705267Reg Liability - WA Decoupling MechanismOTHER</v>
      </c>
      <c r="B210" s="125">
        <v>4098300</v>
      </c>
      <c r="C210" s="117" t="str">
        <f t="shared" si="11"/>
        <v>SCHMAT</v>
      </c>
      <c r="D210" s="125">
        <v>705267</v>
      </c>
      <c r="E210" s="121" t="s">
        <v>437</v>
      </c>
      <c r="F210" s="119" t="s">
        <v>306</v>
      </c>
      <c r="G210" s="138">
        <v>269.77510000000001</v>
      </c>
      <c r="H210" s="113" t="str">
        <f t="shared" si="9"/>
        <v>OTHER</v>
      </c>
      <c r="I210" s="113" t="str">
        <f>INDEX('SCH M Lookup'!$I:$I,MATCH($A210,'SCH M Lookup'!$A:$A,0))</f>
        <v>PTD</v>
      </c>
      <c r="J210" s="113" t="str">
        <f>IF('SCH M Jun22data'!$G210=0,"NO",IF(ISNA('SCH M Jun22data'!$I210),"YES",IF(_xlfn.ISFORMULA('SCH M Jun22data'!$I210),"NO","YES")))</f>
        <v>NO</v>
      </c>
    </row>
    <row r="211" spans="1:10">
      <c r="A211" s="118" t="str">
        <f t="shared" si="10"/>
        <v>4098300SCHMAT705301Reg Liability - OR 2010 Protocol DefSITUS</v>
      </c>
      <c r="B211" s="125">
        <v>4098300</v>
      </c>
      <c r="C211" s="117" t="str">
        <f t="shared" si="11"/>
        <v>SCHMAT</v>
      </c>
      <c r="D211" s="125">
        <v>705301</v>
      </c>
      <c r="E211" s="121" t="s">
        <v>3251</v>
      </c>
      <c r="F211" s="119" t="s">
        <v>343</v>
      </c>
      <c r="G211" s="138">
        <v>0</v>
      </c>
      <c r="H211" s="113" t="str">
        <f t="shared" si="9"/>
        <v>SITUS</v>
      </c>
      <c r="I211" s="113" t="e">
        <f>INDEX('SCH M Lookup'!$I:$I,MATCH($A211,'SCH M Lookup'!$A:$A,0))</f>
        <v>#N/A</v>
      </c>
      <c r="J211" s="113" t="str">
        <f>IF('SCH M Jun22data'!$G211=0,"NO",IF(ISNA('SCH M Jun22data'!$I211),"YES",IF(_xlfn.ISFORMULA('SCH M Jun22data'!$I211),"NO","YES")))</f>
        <v>NO</v>
      </c>
    </row>
    <row r="212" spans="1:10">
      <c r="A212" s="118" t="str">
        <f t="shared" si="10"/>
        <v>4098300SCHMAT705305Reg Liability-CA Gain on Sale of AssetSITUS</v>
      </c>
      <c r="B212" s="125">
        <v>4098300</v>
      </c>
      <c r="C212" s="117" t="str">
        <f t="shared" si="11"/>
        <v>SCHMAT</v>
      </c>
      <c r="D212" s="125">
        <v>705305</v>
      </c>
      <c r="E212" s="121" t="s">
        <v>3252</v>
      </c>
      <c r="F212" s="119" t="s">
        <v>387</v>
      </c>
      <c r="G212" s="138">
        <v>0</v>
      </c>
      <c r="H212" s="113" t="str">
        <f t="shared" si="9"/>
        <v>SITUS</v>
      </c>
      <c r="I212" s="113" t="e">
        <f>INDEX('SCH M Lookup'!$I:$I,MATCH($A212,'SCH M Lookup'!$A:$A,0))</f>
        <v>#N/A</v>
      </c>
      <c r="J212" s="113" t="str">
        <f>IF('SCH M Jun22data'!$G212=0,"NO",IF(ISNA('SCH M Jun22data'!$I212),"YES",IF(_xlfn.ISFORMULA('SCH M Jun22data'!$I212),"NO","YES")))</f>
        <v>NO</v>
      </c>
    </row>
    <row r="213" spans="1:10">
      <c r="A213" s="118" t="str">
        <f t="shared" si="10"/>
        <v>4098300SCHMAT705336Reg Liability - Sale of Renewable EnergyOTHER</v>
      </c>
      <c r="B213" s="125">
        <v>4098300</v>
      </c>
      <c r="C213" s="117" t="str">
        <f t="shared" si="11"/>
        <v>SCHMAT</v>
      </c>
      <c r="D213" s="125">
        <v>705336</v>
      </c>
      <c r="E213" s="121" t="s">
        <v>438</v>
      </c>
      <c r="F213" s="119" t="s">
        <v>306</v>
      </c>
      <c r="G213" s="138">
        <v>591.98359000000005</v>
      </c>
      <c r="H213" s="113" t="str">
        <f t="shared" si="9"/>
        <v>OTHER</v>
      </c>
      <c r="I213" s="113" t="str">
        <f>INDEX('SCH M Lookup'!$I:$I,MATCH($A213,'SCH M Lookup'!$A:$A,0))</f>
        <v>P</v>
      </c>
      <c r="J213" s="113" t="str">
        <f>IF('SCH M Jun22data'!$G213=0,"NO",IF(ISNA('SCH M Jun22data'!$I213),"YES",IF(_xlfn.ISFORMULA('SCH M Jun22data'!$I213),"NO","YES")))</f>
        <v>NO</v>
      </c>
    </row>
    <row r="214" spans="1:10">
      <c r="A214" s="118" t="str">
        <f t="shared" si="10"/>
        <v>4098300SCHMAT705337Regulatory Liability - Sale of RenewableOTHER</v>
      </c>
      <c r="B214" s="125">
        <v>4098300</v>
      </c>
      <c r="C214" s="117" t="str">
        <f t="shared" si="11"/>
        <v>SCHMAT</v>
      </c>
      <c r="D214" s="125">
        <v>705337</v>
      </c>
      <c r="E214" s="121" t="s">
        <v>3253</v>
      </c>
      <c r="F214" s="119" t="s">
        <v>306</v>
      </c>
      <c r="G214" s="138">
        <v>0</v>
      </c>
      <c r="H214" s="113" t="str">
        <f t="shared" si="9"/>
        <v>OTHER</v>
      </c>
      <c r="I214" s="113" t="e">
        <f>INDEX('SCH M Lookup'!$I:$I,MATCH($A214,'SCH M Lookup'!$A:$A,0))</f>
        <v>#N/A</v>
      </c>
      <c r="J214" s="113" t="str">
        <f>IF('SCH M Jun22data'!$G214=0,"NO",IF(ISNA('SCH M Jun22data'!$I214),"YES",IF(_xlfn.ISFORMULA('SCH M Jun22data'!$I214),"NO","YES")))</f>
        <v>NO</v>
      </c>
    </row>
    <row r="215" spans="1:10">
      <c r="A215" s="118" t="str">
        <f t="shared" si="10"/>
        <v>4098300SCHMAT705340Reg Liability - Excess Income Tax DeferrOTHER</v>
      </c>
      <c r="B215" s="125">
        <v>4098300</v>
      </c>
      <c r="C215" s="117" t="str">
        <f t="shared" si="11"/>
        <v>SCHMAT</v>
      </c>
      <c r="D215" s="125">
        <v>705340</v>
      </c>
      <c r="E215" s="121" t="s">
        <v>1684</v>
      </c>
      <c r="F215" s="119" t="s">
        <v>306</v>
      </c>
      <c r="G215" s="138">
        <v>-2524.8895600000001</v>
      </c>
      <c r="H215" s="113" t="str">
        <f t="shared" si="9"/>
        <v>OTHER</v>
      </c>
      <c r="I215" s="113" t="str">
        <f>INDEX('SCH M Lookup'!$I:$I,MATCH($A215,'SCH M Lookup'!$A:$A,0))</f>
        <v>GP</v>
      </c>
      <c r="J215" s="113" t="str">
        <f>IF('SCH M Jun22data'!$G215=0,"NO",IF(ISNA('SCH M Jun22data'!$I215),"YES",IF(_xlfn.ISFORMULA('SCH M Jun22data'!$I215),"NO","YES")))</f>
        <v>NO</v>
      </c>
    </row>
    <row r="216" spans="1:10">
      <c r="A216" s="118" t="str">
        <f t="shared" si="10"/>
        <v>4098300SCHMAT705341Reg Liability - Excess Income Tax DeferrOTHER</v>
      </c>
      <c r="B216" s="125">
        <v>4098300</v>
      </c>
      <c r="C216" s="117" t="str">
        <f t="shared" si="11"/>
        <v>SCHMAT</v>
      </c>
      <c r="D216" s="125">
        <v>705341</v>
      </c>
      <c r="E216" s="121" t="s">
        <v>1684</v>
      </c>
      <c r="F216" s="119" t="s">
        <v>306</v>
      </c>
      <c r="G216" s="138">
        <v>0</v>
      </c>
      <c r="H216" s="113" t="str">
        <f t="shared" si="9"/>
        <v>OTHER</v>
      </c>
      <c r="I216" s="113" t="str">
        <f>INDEX('SCH M Lookup'!$I:$I,MATCH($A216,'SCH M Lookup'!$A:$A,0))</f>
        <v>GP</v>
      </c>
      <c r="J216" s="113" t="str">
        <f>IF('SCH M Jun22data'!$G216=0,"NO",IF(ISNA('SCH M Jun22data'!$I216),"YES",IF(_xlfn.ISFORMULA('SCH M Jun22data'!$I216),"NO","YES")))</f>
        <v>NO</v>
      </c>
    </row>
    <row r="217" spans="1:10">
      <c r="A217" s="118" t="str">
        <f t="shared" si="10"/>
        <v>4098300SCHMAT705342Reg Liability - Excess Income Tax DeferrOTHER</v>
      </c>
      <c r="B217" s="125">
        <v>4098300</v>
      </c>
      <c r="C217" s="117" t="str">
        <f t="shared" si="11"/>
        <v>SCHMAT</v>
      </c>
      <c r="D217" s="125">
        <v>705342</v>
      </c>
      <c r="E217" s="121" t="s">
        <v>1684</v>
      </c>
      <c r="F217" s="119" t="s">
        <v>306</v>
      </c>
      <c r="G217" s="138">
        <v>-6509.4765900000002</v>
      </c>
      <c r="H217" s="113" t="str">
        <f t="shared" si="9"/>
        <v>OTHER</v>
      </c>
      <c r="I217" s="113" t="str">
        <f>INDEX('SCH M Lookup'!$I:$I,MATCH($A217,'SCH M Lookup'!$A:$A,0))</f>
        <v>GP</v>
      </c>
      <c r="J217" s="113" t="str">
        <f>IF('SCH M Jun22data'!$G217=0,"NO",IF(ISNA('SCH M Jun22data'!$I217),"YES",IF(_xlfn.ISFORMULA('SCH M Jun22data'!$I217),"NO","YES")))</f>
        <v>NO</v>
      </c>
    </row>
    <row r="218" spans="1:10">
      <c r="A218" s="118" t="str">
        <f t="shared" si="10"/>
        <v>4098300SCHMAT705343Reg Liability - Excess Income Tax DeferrOTHER</v>
      </c>
      <c r="B218" s="125">
        <v>4098300</v>
      </c>
      <c r="C218" s="117" t="str">
        <f t="shared" si="11"/>
        <v>SCHMAT</v>
      </c>
      <c r="D218" s="125">
        <v>705343</v>
      </c>
      <c r="E218" s="121" t="s">
        <v>1684</v>
      </c>
      <c r="F218" s="119" t="s">
        <v>306</v>
      </c>
      <c r="G218" s="138">
        <v>0</v>
      </c>
      <c r="H218" s="113" t="str">
        <f t="shared" si="9"/>
        <v>OTHER</v>
      </c>
      <c r="I218" s="113" t="str">
        <f>INDEX('SCH M Lookup'!$I:$I,MATCH($A218,'SCH M Lookup'!$A:$A,0))</f>
        <v>GP</v>
      </c>
      <c r="J218" s="113" t="str">
        <f>IF('SCH M Jun22data'!$G218=0,"NO",IF(ISNA('SCH M Jun22data'!$I218),"YES",IF(_xlfn.ISFORMULA('SCH M Jun22data'!$I218),"NO","YES")))</f>
        <v>NO</v>
      </c>
    </row>
    <row r="219" spans="1:10">
      <c r="A219" s="118" t="str">
        <f t="shared" si="10"/>
        <v>4098300SCHMAT705344Reg Liability - Excess Income Tax DeferrOTHER</v>
      </c>
      <c r="B219" s="125">
        <v>4098300</v>
      </c>
      <c r="C219" s="117" t="str">
        <f t="shared" si="11"/>
        <v>SCHMAT</v>
      </c>
      <c r="D219" s="125">
        <v>705344</v>
      </c>
      <c r="E219" s="121" t="s">
        <v>1684</v>
      </c>
      <c r="F219" s="119" t="s">
        <v>306</v>
      </c>
      <c r="G219" s="138">
        <v>-1039.5783799999999</v>
      </c>
      <c r="H219" s="113" t="str">
        <f t="shared" si="9"/>
        <v>OTHER</v>
      </c>
      <c r="I219" s="113" t="str">
        <f>INDEX('SCH M Lookup'!$I:$I,MATCH($A219,'SCH M Lookup'!$A:$A,0))</f>
        <v>GP</v>
      </c>
      <c r="J219" s="113" t="str">
        <f>IF('SCH M Jun22data'!$G219=0,"NO",IF(ISNA('SCH M Jun22data'!$I219),"YES",IF(_xlfn.ISFORMULA('SCH M Jun22data'!$I219),"NO","YES")))</f>
        <v>NO</v>
      </c>
    </row>
    <row r="220" spans="1:10">
      <c r="A220" s="118" t="str">
        <f t="shared" si="10"/>
        <v>4098300SCHMAT705345Reg Liability - Excess Income Tax DeferrOTHER</v>
      </c>
      <c r="B220" s="125">
        <v>4098300</v>
      </c>
      <c r="C220" s="117" t="str">
        <f t="shared" si="11"/>
        <v>SCHMAT</v>
      </c>
      <c r="D220" s="125">
        <v>705345</v>
      </c>
      <c r="E220" s="121" t="s">
        <v>1684</v>
      </c>
      <c r="F220" s="119" t="s">
        <v>306</v>
      </c>
      <c r="G220" s="138">
        <v>1318.6865600000001</v>
      </c>
      <c r="H220" s="113" t="str">
        <f t="shared" si="9"/>
        <v>OTHER</v>
      </c>
      <c r="I220" s="113" t="str">
        <f>INDEX('SCH M Lookup'!$I:$I,MATCH($A220,'SCH M Lookup'!$A:$A,0))</f>
        <v>GP</v>
      </c>
      <c r="J220" s="113" t="str">
        <f>IF('SCH M Jun22data'!$G220=0,"NO",IF(ISNA('SCH M Jun22data'!$I220),"YES",IF(_xlfn.ISFORMULA('SCH M Jun22data'!$I220),"NO","YES")))</f>
        <v>NO</v>
      </c>
    </row>
    <row r="221" spans="1:10">
      <c r="A221" s="118" t="str">
        <f t="shared" si="10"/>
        <v>4098300SCHMAT705352Reg Liability - CA Klamath River Dams ReSITUS</v>
      </c>
      <c r="B221" s="125">
        <v>4098300</v>
      </c>
      <c r="C221" s="117" t="str">
        <f t="shared" si="11"/>
        <v>SCHMAT</v>
      </c>
      <c r="D221" s="125">
        <v>705352</v>
      </c>
      <c r="E221" s="121" t="s">
        <v>2071</v>
      </c>
      <c r="F221" s="119" t="s">
        <v>387</v>
      </c>
      <c r="G221" s="138">
        <v>-3.6286999999999998</v>
      </c>
      <c r="H221" s="113" t="str">
        <f t="shared" si="9"/>
        <v>SITUS</v>
      </c>
      <c r="I221" s="113" t="str">
        <f>INDEX('SCH M Lookup'!$I:$I,MATCH($A221,'SCH M Lookup'!$A:$A,0))</f>
        <v>P</v>
      </c>
      <c r="J221" s="113" t="str">
        <f>IF('SCH M Jun22data'!$G221=0,"NO",IF(ISNA('SCH M Jun22data'!$I221),"YES",IF(_xlfn.ISFORMULA('SCH M Jun22data'!$I221),"NO","YES")))</f>
        <v>NO</v>
      </c>
    </row>
    <row r="222" spans="1:10">
      <c r="A222" s="118" t="str">
        <f t="shared" si="10"/>
        <v>4098300SCHMAT705400Reg Liability - OR Injuries &amp; Damages ReSITUS</v>
      </c>
      <c r="B222" s="125">
        <v>4098300</v>
      </c>
      <c r="C222" s="117" t="str">
        <f t="shared" si="11"/>
        <v>SCHMAT</v>
      </c>
      <c r="D222" s="125">
        <v>705400</v>
      </c>
      <c r="E222" s="121" t="s">
        <v>439</v>
      </c>
      <c r="F222" s="119" t="s">
        <v>343</v>
      </c>
      <c r="G222" s="138">
        <v>798.63944000000004</v>
      </c>
      <c r="H222" s="113" t="str">
        <f t="shared" si="9"/>
        <v>SITUS</v>
      </c>
      <c r="I222" s="113" t="str">
        <f>INDEX('SCH M Lookup'!$I:$I,MATCH($A222,'SCH M Lookup'!$A:$A,0))</f>
        <v>LABOR</v>
      </c>
      <c r="J222" s="113" t="str">
        <f>IF('SCH M Jun22data'!$G222=0,"NO",IF(ISNA('SCH M Jun22data'!$I222),"YES",IF(_xlfn.ISFORMULA('SCH M Jun22data'!$I222),"NO","YES")))</f>
        <v>NO</v>
      </c>
    </row>
    <row r="223" spans="1:10">
      <c r="A223" s="118" t="str">
        <f t="shared" si="10"/>
        <v>4098300SCHMAT705410Reg Liability - Cholla Decommissioning -SITUS</v>
      </c>
      <c r="B223" s="125">
        <v>4098300</v>
      </c>
      <c r="C223" s="117" t="str">
        <f t="shared" si="11"/>
        <v>SCHMAT</v>
      </c>
      <c r="D223" s="125">
        <v>705410</v>
      </c>
      <c r="E223" s="121" t="s">
        <v>1879</v>
      </c>
      <c r="F223" s="119" t="s">
        <v>387</v>
      </c>
      <c r="G223" s="138">
        <v>-31.255500000000001</v>
      </c>
      <c r="H223" s="113" t="str">
        <f t="shared" si="9"/>
        <v>SITUS</v>
      </c>
      <c r="I223" s="113" t="str">
        <f>INDEX('SCH M Lookup'!$I:$I,MATCH($A223,'SCH M Lookup'!$A:$A,0))</f>
        <v>P</v>
      </c>
      <c r="J223" s="113" t="str">
        <f>IF('SCH M Jun22data'!$G223=0,"NO",IF(ISNA('SCH M Jun22data'!$I223),"YES",IF(_xlfn.ISFORMULA('SCH M Jun22data'!$I223),"NO","YES")))</f>
        <v>NO</v>
      </c>
    </row>
    <row r="224" spans="1:10">
      <c r="A224" s="118" t="str">
        <f t="shared" si="10"/>
        <v>4098300SCHMAT705411Reg Liability - Cholla Decommissioning -SITUS</v>
      </c>
      <c r="B224" s="125">
        <v>4098300</v>
      </c>
      <c r="C224" s="117" t="str">
        <f t="shared" si="11"/>
        <v>SCHMAT</v>
      </c>
      <c r="D224" s="125">
        <v>705411</v>
      </c>
      <c r="E224" s="121" t="s">
        <v>1879</v>
      </c>
      <c r="F224" s="119" t="s">
        <v>372</v>
      </c>
      <c r="G224" s="138">
        <v>2588.9466600000001</v>
      </c>
      <c r="H224" s="113" t="str">
        <f t="shared" si="9"/>
        <v>SITUS</v>
      </c>
      <c r="I224" s="113" t="str">
        <f>INDEX('SCH M Lookup'!$I:$I,MATCH($A224,'SCH M Lookup'!$A:$A,0))</f>
        <v>P</v>
      </c>
      <c r="J224" s="113" t="str">
        <f>IF('SCH M Jun22data'!$G224=0,"NO",IF(ISNA('SCH M Jun22data'!$I224),"YES",IF(_xlfn.ISFORMULA('SCH M Jun22data'!$I224),"NO","YES")))</f>
        <v>NO</v>
      </c>
    </row>
    <row r="225" spans="1:10">
      <c r="A225" s="118" t="str">
        <f t="shared" si="10"/>
        <v>4098300SCHMAT705412Reg Liability - Cholla Decommissioning -SITUS</v>
      </c>
      <c r="B225" s="125">
        <v>4098300</v>
      </c>
      <c r="C225" s="117" t="str">
        <f t="shared" si="11"/>
        <v>SCHMAT</v>
      </c>
      <c r="D225" s="125">
        <v>705412</v>
      </c>
      <c r="E225" s="121" t="s">
        <v>1879</v>
      </c>
      <c r="F225" s="119" t="s">
        <v>343</v>
      </c>
      <c r="G225" s="138">
        <v>-514.72693000000004</v>
      </c>
      <c r="H225" s="113" t="str">
        <f t="shared" si="9"/>
        <v>SITUS</v>
      </c>
      <c r="I225" s="113" t="str">
        <f>INDEX('SCH M Lookup'!$I:$I,MATCH($A225,'SCH M Lookup'!$A:$A,0))</f>
        <v>P</v>
      </c>
      <c r="J225" s="113" t="str">
        <f>IF('SCH M Jun22data'!$G225=0,"NO",IF(ISNA('SCH M Jun22data'!$I225),"YES",IF(_xlfn.ISFORMULA('SCH M Jun22data'!$I225),"NO","YES")))</f>
        <v>NO</v>
      </c>
    </row>
    <row r="226" spans="1:10">
      <c r="A226" s="118" t="str">
        <f t="shared" si="10"/>
        <v>4098300SCHMAT705413Reg Liability - Cholla Decommissioning -SITUS</v>
      </c>
      <c r="B226" s="125">
        <v>4098300</v>
      </c>
      <c r="C226" s="117" t="str">
        <f t="shared" si="11"/>
        <v>SCHMAT</v>
      </c>
      <c r="D226" s="125">
        <v>705413</v>
      </c>
      <c r="E226" s="121" t="s">
        <v>1879</v>
      </c>
      <c r="F226" s="119" t="s">
        <v>370</v>
      </c>
      <c r="G226" s="138">
        <v>-870.40678000000003</v>
      </c>
      <c r="H226" s="113" t="str">
        <f t="shared" si="9"/>
        <v>SITUS</v>
      </c>
      <c r="I226" s="113" t="str">
        <f>INDEX('SCH M Lookup'!$I:$I,MATCH($A226,'SCH M Lookup'!$A:$A,0))</f>
        <v>P</v>
      </c>
      <c r="J226" s="113" t="str">
        <f>IF('SCH M Jun22data'!$G226=0,"NO",IF(ISNA('SCH M Jun22data'!$I226),"YES",IF(_xlfn.ISFORMULA('SCH M Jun22data'!$I226),"NO","YES")))</f>
        <v>NO</v>
      </c>
    </row>
    <row r="227" spans="1:10">
      <c r="A227" s="118" t="str">
        <f t="shared" si="10"/>
        <v>4098300SCHMAT705414Reg Liability - Cholla Decommissioning -SITUS</v>
      </c>
      <c r="B227" s="125">
        <v>4098300</v>
      </c>
      <c r="C227" s="117" t="str">
        <f t="shared" si="11"/>
        <v>SCHMAT</v>
      </c>
      <c r="D227" s="125">
        <v>705414</v>
      </c>
      <c r="E227" s="121" t="s">
        <v>1879</v>
      </c>
      <c r="F227" s="119" t="s">
        <v>386</v>
      </c>
      <c r="G227" s="138">
        <v>328.41809999999998</v>
      </c>
      <c r="H227" s="113" t="str">
        <f t="shared" si="9"/>
        <v>SITUS</v>
      </c>
      <c r="I227" s="113" t="str">
        <f>INDEX('SCH M Lookup'!$I:$I,MATCH($A227,'SCH M Lookup'!$A:$A,0))</f>
        <v>P</v>
      </c>
      <c r="J227" s="113" t="str">
        <f>IF('SCH M Jun22data'!$G227=0,"NO",IF(ISNA('SCH M Jun22data'!$I227),"YES",IF(_xlfn.ISFORMULA('SCH M Jun22data'!$I227),"NO","YES")))</f>
        <v>NO</v>
      </c>
    </row>
    <row r="228" spans="1:10">
      <c r="A228" s="118" t="str">
        <f t="shared" si="10"/>
        <v>4098300SCHMAT705420Reg Liability - CA GHG Allowance RevenueOTHER</v>
      </c>
      <c r="B228" s="125">
        <v>4098300</v>
      </c>
      <c r="C228" s="117" t="str">
        <f t="shared" si="11"/>
        <v>SCHMAT</v>
      </c>
      <c r="D228" s="125">
        <v>705420</v>
      </c>
      <c r="E228" s="121" t="s">
        <v>440</v>
      </c>
      <c r="F228" s="119" t="s">
        <v>306</v>
      </c>
      <c r="G228" s="138">
        <v>1462.6564599999999</v>
      </c>
      <c r="H228" s="113" t="str">
        <f t="shared" si="9"/>
        <v>OTHER</v>
      </c>
      <c r="I228" s="113" t="str">
        <f>INDEX('SCH M Lookup'!$I:$I,MATCH($A228,'SCH M Lookup'!$A:$A,0))</f>
        <v>PTD</v>
      </c>
      <c r="J228" s="113" t="str">
        <f>IF('SCH M Jun22data'!$G228=0,"NO",IF(ISNA('SCH M Jun22data'!$I228),"YES",IF(_xlfn.ISFORMULA('SCH M Jun22data'!$I228),"NO","YES")))</f>
        <v>NO</v>
      </c>
    </row>
    <row r="229" spans="1:10">
      <c r="A229" s="118" t="str">
        <f t="shared" si="10"/>
        <v>4098300SCHMAT705425Reg Liability - Bridger Mine AcceleratedSITUS</v>
      </c>
      <c r="B229" s="125">
        <v>4098300</v>
      </c>
      <c r="C229" s="117" t="str">
        <f t="shared" si="11"/>
        <v>SCHMAT</v>
      </c>
      <c r="D229" s="125">
        <v>705425</v>
      </c>
      <c r="E229" s="121" t="s">
        <v>2076</v>
      </c>
      <c r="F229" s="119" t="s">
        <v>367</v>
      </c>
      <c r="G229" s="138">
        <v>2549.4079200000001</v>
      </c>
      <c r="H229" s="113" t="str">
        <f t="shared" si="9"/>
        <v>SITUS</v>
      </c>
      <c r="I229" s="113" t="str">
        <f>INDEX('SCH M Lookup'!$I:$I,MATCH($A229,'SCH M Lookup'!$A:$A,0))</f>
        <v>P</v>
      </c>
      <c r="J229" s="113" t="str">
        <f>IF('SCH M Jun22data'!$G229=0,"NO",IF(ISNA('SCH M Jun22data'!$I229),"YES",IF(_xlfn.ISFORMULA('SCH M Jun22data'!$I229),"NO","YES")))</f>
        <v>NO</v>
      </c>
    </row>
    <row r="230" spans="1:10">
      <c r="A230" s="118" t="str">
        <f t="shared" si="10"/>
        <v>4098300SCHMAT705450Reg Liability - Property Insurance ReserSITUS</v>
      </c>
      <c r="B230" s="125">
        <v>4098300</v>
      </c>
      <c r="C230" s="117" t="str">
        <f t="shared" si="11"/>
        <v>SCHMAT</v>
      </c>
      <c r="D230" s="125">
        <v>705450</v>
      </c>
      <c r="E230" s="121" t="s">
        <v>1880</v>
      </c>
      <c r="F230" s="119" t="s">
        <v>387</v>
      </c>
      <c r="G230" s="138">
        <v>325.20427000000001</v>
      </c>
      <c r="H230" s="113" t="str">
        <f t="shared" si="9"/>
        <v>SITUS</v>
      </c>
      <c r="I230" s="113" t="str">
        <f>INDEX('SCH M Lookup'!$I:$I,MATCH($A230,'SCH M Lookup'!$A:$A,0))</f>
        <v>PTD</v>
      </c>
      <c r="J230" s="113" t="str">
        <f>IF('SCH M Jun22data'!$G230=0,"NO",IF(ISNA('SCH M Jun22data'!$I230),"YES",IF(_xlfn.ISFORMULA('SCH M Jun22data'!$I230),"NO","YES")))</f>
        <v>NO</v>
      </c>
    </row>
    <row r="231" spans="1:10">
      <c r="A231" s="118" t="str">
        <f t="shared" si="10"/>
        <v>4098300SCHMAT705451Reg Liability - OR Property Insurance ReSITUS</v>
      </c>
      <c r="B231" s="125">
        <v>4098300</v>
      </c>
      <c r="C231" s="117" t="str">
        <f t="shared" si="11"/>
        <v>SCHMAT</v>
      </c>
      <c r="D231" s="125">
        <v>705451</v>
      </c>
      <c r="E231" s="121" t="s">
        <v>441</v>
      </c>
      <c r="F231" s="119" t="s">
        <v>343</v>
      </c>
      <c r="G231" s="138">
        <v>-5209.4125000000004</v>
      </c>
      <c r="H231" s="113" t="str">
        <f t="shared" si="9"/>
        <v>SITUS</v>
      </c>
      <c r="I231" s="113" t="str">
        <f>INDEX('SCH M Lookup'!$I:$I,MATCH($A231,'SCH M Lookup'!$A:$A,0))</f>
        <v>PTD</v>
      </c>
      <c r="J231" s="113" t="str">
        <f>IF('SCH M Jun22data'!$G231=0,"NO",IF(ISNA('SCH M Jun22data'!$I231),"YES",IF(_xlfn.ISFORMULA('SCH M Jun22data'!$I231),"NO","YES")))</f>
        <v>NO</v>
      </c>
    </row>
    <row r="232" spans="1:10">
      <c r="A232" s="118" t="str">
        <f t="shared" si="10"/>
        <v>4098300SCHMAT705452Reg Liability - Property Insurance ReserSITUS</v>
      </c>
      <c r="B232" s="125">
        <v>4098300</v>
      </c>
      <c r="C232" s="117" t="str">
        <f t="shared" si="11"/>
        <v>SCHMAT</v>
      </c>
      <c r="D232" s="125">
        <v>705452</v>
      </c>
      <c r="E232" s="121" t="s">
        <v>1880</v>
      </c>
      <c r="F232" s="119" t="s">
        <v>367</v>
      </c>
      <c r="G232" s="138">
        <v>-120.58081</v>
      </c>
      <c r="H232" s="113" t="str">
        <f t="shared" si="9"/>
        <v>SITUS</v>
      </c>
      <c r="I232" s="113" t="str">
        <f>INDEX('SCH M Lookup'!$I:$I,MATCH($A232,'SCH M Lookup'!$A:$A,0))</f>
        <v>PTD</v>
      </c>
      <c r="J232" s="113" t="str">
        <f>IF('SCH M Jun22data'!$G232=0,"NO",IF(ISNA('SCH M Jun22data'!$I232),"YES",IF(_xlfn.ISFORMULA('SCH M Jun22data'!$I232),"NO","YES")))</f>
        <v>NO</v>
      </c>
    </row>
    <row r="233" spans="1:10">
      <c r="A233" s="118" t="str">
        <f t="shared" si="10"/>
        <v>4098300SCHMAT705453Reg Liability - ID Property Insurance ReSITUS</v>
      </c>
      <c r="B233" s="125">
        <v>4098300</v>
      </c>
      <c r="C233" s="117" t="str">
        <f t="shared" si="11"/>
        <v>SCHMAT</v>
      </c>
      <c r="D233" s="125">
        <v>705453</v>
      </c>
      <c r="E233" s="121" t="s">
        <v>442</v>
      </c>
      <c r="F233" s="119" t="s">
        <v>372</v>
      </c>
      <c r="G233" s="138">
        <v>56.771999999999998</v>
      </c>
      <c r="H233" s="113" t="str">
        <f t="shared" si="9"/>
        <v>SITUS</v>
      </c>
      <c r="I233" s="113" t="str">
        <f>INDEX('SCH M Lookup'!$I:$I,MATCH($A233,'SCH M Lookup'!$A:$A,0))</f>
        <v>PTD</v>
      </c>
      <c r="J233" s="113" t="str">
        <f>IF('SCH M Jun22data'!$G233=0,"NO",IF(ISNA('SCH M Jun22data'!$I233),"YES",IF(_xlfn.ISFORMULA('SCH M Jun22data'!$I233),"NO","YES")))</f>
        <v>NO</v>
      </c>
    </row>
    <row r="234" spans="1:10">
      <c r="A234" s="118" t="str">
        <f t="shared" si="10"/>
        <v>4098300SCHMAT705455Reg Liability - WY Property Insurance ReSITUS</v>
      </c>
      <c r="B234" s="125">
        <v>4098300</v>
      </c>
      <c r="C234" s="117" t="str">
        <f t="shared" si="11"/>
        <v>SCHMAT</v>
      </c>
      <c r="D234" s="125">
        <v>705455</v>
      </c>
      <c r="E234" s="121" t="s">
        <v>443</v>
      </c>
      <c r="F234" s="119" t="s">
        <v>386</v>
      </c>
      <c r="G234" s="138">
        <v>12.544560000000001</v>
      </c>
      <c r="H234" s="113" t="str">
        <f t="shared" si="9"/>
        <v>SITUS</v>
      </c>
      <c r="I234" s="113" t="str">
        <f>INDEX('SCH M Lookup'!$I:$I,MATCH($A234,'SCH M Lookup'!$A:$A,0))</f>
        <v>PTD</v>
      </c>
      <c r="J234" s="113" t="str">
        <f>IF('SCH M Jun22data'!$G234=0,"NO",IF(ISNA('SCH M Jun22data'!$I234),"YES",IF(_xlfn.ISFORMULA('SCH M Jun22data'!$I234),"NO","YES")))</f>
        <v>NO</v>
      </c>
    </row>
    <row r="235" spans="1:10">
      <c r="A235" s="118" t="str">
        <f t="shared" si="10"/>
        <v>4098300SCHMAT705500Reg Liability - Powerdale DecommissioninSITUS</v>
      </c>
      <c r="B235" s="125">
        <v>4098300</v>
      </c>
      <c r="C235" s="117" t="str">
        <f t="shared" si="11"/>
        <v>SCHMAT</v>
      </c>
      <c r="D235" s="125">
        <v>705500</v>
      </c>
      <c r="E235" s="121" t="s">
        <v>3254</v>
      </c>
      <c r="F235" s="119" t="s">
        <v>370</v>
      </c>
      <c r="G235" s="138">
        <v>0</v>
      </c>
      <c r="H235" s="113" t="str">
        <f t="shared" si="9"/>
        <v>SITUS</v>
      </c>
      <c r="I235" s="113" t="e">
        <f>INDEX('SCH M Lookup'!$I:$I,MATCH($A235,'SCH M Lookup'!$A:$A,0))</f>
        <v>#N/A</v>
      </c>
      <c r="J235" s="113" t="str">
        <f>IF('SCH M Jun22data'!$G235=0,"NO",IF(ISNA('SCH M Jun22data'!$I235),"YES",IF(_xlfn.ISFORMULA('SCH M Jun22data'!$I235),"NO","YES")))</f>
        <v>NO</v>
      </c>
    </row>
    <row r="236" spans="1:10">
      <c r="A236" s="118" t="str">
        <f t="shared" si="10"/>
        <v>4098300SCHMAT705511Regulatory Liability - CA Deferred ExcesOTHER</v>
      </c>
      <c r="B236" s="125">
        <v>4098300</v>
      </c>
      <c r="C236" s="117" t="str">
        <f t="shared" si="11"/>
        <v>SCHMAT</v>
      </c>
      <c r="D236" s="125">
        <v>705511</v>
      </c>
      <c r="E236" s="121" t="s">
        <v>1881</v>
      </c>
      <c r="F236" s="119" t="s">
        <v>306</v>
      </c>
      <c r="G236" s="138">
        <v>1883.2365400000001</v>
      </c>
      <c r="H236" s="113" t="str">
        <f t="shared" si="9"/>
        <v>OTHER</v>
      </c>
      <c r="I236" s="113" t="str">
        <f>INDEX('SCH M Lookup'!$I:$I,MATCH($A236,'SCH M Lookup'!$A:$A,0))</f>
        <v>PTD</v>
      </c>
      <c r="J236" s="113" t="str">
        <f>IF('SCH M Jun22data'!$G236=0,"NO",IF(ISNA('SCH M Jun22data'!$I236),"YES",IF(_xlfn.ISFORMULA('SCH M Jun22data'!$I236),"NO","YES")))</f>
        <v>NO</v>
      </c>
    </row>
    <row r="237" spans="1:10">
      <c r="A237" s="118" t="str">
        <f t="shared" si="10"/>
        <v>4098300SCHMAT705514Regulatory Liability - OR Deferred ExcesOTHER</v>
      </c>
      <c r="B237" s="125">
        <v>4098300</v>
      </c>
      <c r="C237" s="117" t="str">
        <f t="shared" si="11"/>
        <v>SCHMAT</v>
      </c>
      <c r="D237" s="125">
        <v>705514</v>
      </c>
      <c r="E237" s="121" t="s">
        <v>444</v>
      </c>
      <c r="F237" s="119" t="s">
        <v>306</v>
      </c>
      <c r="G237" s="138">
        <v>0</v>
      </c>
      <c r="H237" s="113" t="str">
        <f t="shared" si="9"/>
        <v>OTHER</v>
      </c>
      <c r="I237" s="113" t="e">
        <f>INDEX('SCH M Lookup'!$I:$I,MATCH($A237,'SCH M Lookup'!$A:$A,0))</f>
        <v>#N/A</v>
      </c>
      <c r="J237" s="113" t="str">
        <f>IF('SCH M Jun22data'!$G237=0,"NO",IF(ISNA('SCH M Jun22data'!$I237),"YES",IF(_xlfn.ISFORMULA('SCH M Jun22data'!$I237),"NO","YES")))</f>
        <v>NO</v>
      </c>
    </row>
    <row r="238" spans="1:10">
      <c r="A238" s="118" t="str">
        <f t="shared" si="10"/>
        <v>4098300SCHMAT705515Regulatory Liability - OR Deferred ExcesOTHER</v>
      </c>
      <c r="B238" s="125">
        <v>4098300</v>
      </c>
      <c r="C238" s="117" t="str">
        <f t="shared" si="11"/>
        <v>SCHMAT</v>
      </c>
      <c r="D238" s="125">
        <v>705515</v>
      </c>
      <c r="E238" s="121" t="s">
        <v>444</v>
      </c>
      <c r="F238" s="119" t="s">
        <v>306</v>
      </c>
      <c r="G238" s="138">
        <v>-3866.89842</v>
      </c>
      <c r="H238" s="113" t="str">
        <f t="shared" si="9"/>
        <v>OTHER</v>
      </c>
      <c r="I238" s="113" t="str">
        <f>INDEX('SCH M Lookup'!$I:$I,MATCH($A238,'SCH M Lookup'!$A:$A,0))</f>
        <v>P</v>
      </c>
      <c r="J238" s="113" t="str">
        <f>IF('SCH M Jun22data'!$G238=0,"NO",IF(ISNA('SCH M Jun22data'!$I238),"YES",IF(_xlfn.ISFORMULA('SCH M Jun22data'!$I238),"NO","YES")))</f>
        <v>NO</v>
      </c>
    </row>
    <row r="239" spans="1:10">
      <c r="A239" s="118" t="str">
        <f t="shared" si="10"/>
        <v>4098300SCHMAT705517Regulatory Liability - UT Deferred ExcesOTHER</v>
      </c>
      <c r="B239" s="125">
        <v>4098300</v>
      </c>
      <c r="C239" s="117" t="str">
        <f t="shared" si="11"/>
        <v>SCHMAT</v>
      </c>
      <c r="D239" s="125">
        <v>705517</v>
      </c>
      <c r="E239" s="121" t="s">
        <v>445</v>
      </c>
      <c r="F239" s="119" t="s">
        <v>306</v>
      </c>
      <c r="G239" s="138">
        <v>0</v>
      </c>
      <c r="H239" s="113" t="str">
        <f t="shared" si="9"/>
        <v>OTHER</v>
      </c>
      <c r="I239" s="113" t="str">
        <f>INDEX('SCH M Lookup'!$I:$I,MATCH($A239,'SCH M Lookup'!$A:$A,0))</f>
        <v>P</v>
      </c>
      <c r="J239" s="113" t="str">
        <f>IF('SCH M Jun22data'!$G239=0,"NO",IF(ISNA('SCH M Jun22data'!$I239),"YES",IF(_xlfn.ISFORMULA('SCH M Jun22data'!$I239),"NO","YES")))</f>
        <v>NO</v>
      </c>
    </row>
    <row r="240" spans="1:10">
      <c r="A240" s="118" t="str">
        <f t="shared" si="10"/>
        <v>4098300SCHMAT705518Regulatory Liability - WA Deferred ExcesOTHER</v>
      </c>
      <c r="B240" s="125">
        <v>4098300</v>
      </c>
      <c r="C240" s="117" t="str">
        <f t="shared" si="11"/>
        <v>SCHMAT</v>
      </c>
      <c r="D240" s="125">
        <v>705518</v>
      </c>
      <c r="E240" s="121" t="s">
        <v>446</v>
      </c>
      <c r="F240" s="119" t="s">
        <v>306</v>
      </c>
      <c r="G240" s="138">
        <v>0</v>
      </c>
      <c r="H240" s="113" t="str">
        <f t="shared" si="9"/>
        <v>OTHER</v>
      </c>
      <c r="I240" s="113" t="e">
        <f>INDEX('SCH M Lookup'!$I:$I,MATCH($A240,'SCH M Lookup'!$A:$A,0))</f>
        <v>#N/A</v>
      </c>
      <c r="J240" s="113" t="str">
        <f>IF('SCH M Jun22data'!$G240=0,"NO",IF(ISNA('SCH M Jun22data'!$I240),"YES",IF(_xlfn.ISFORMULA('SCH M Jun22data'!$I240),"NO","YES")))</f>
        <v>NO</v>
      </c>
    </row>
    <row r="241" spans="1:10">
      <c r="A241" s="118" t="str">
        <f t="shared" si="10"/>
        <v>4098300SCHMAT705519Regulatory Liability - WA Deferred ExcesOTHER</v>
      </c>
      <c r="B241" s="125">
        <v>4098300</v>
      </c>
      <c r="C241" s="117" t="str">
        <f t="shared" si="11"/>
        <v>SCHMAT</v>
      </c>
      <c r="D241" s="125">
        <v>705519</v>
      </c>
      <c r="E241" s="121" t="s">
        <v>446</v>
      </c>
      <c r="F241" s="119" t="s">
        <v>306</v>
      </c>
      <c r="G241" s="138">
        <v>-15068.08857</v>
      </c>
      <c r="H241" s="113" t="str">
        <f t="shared" si="9"/>
        <v>OTHER</v>
      </c>
      <c r="I241" s="113" t="str">
        <f>INDEX('SCH M Lookup'!$I:$I,MATCH($A241,'SCH M Lookup'!$A:$A,0))</f>
        <v>P</v>
      </c>
      <c r="J241" s="113" t="str">
        <f>IF('SCH M Jun22data'!$G241=0,"NO",IF(ISNA('SCH M Jun22data'!$I241),"YES",IF(_xlfn.ISFORMULA('SCH M Jun22data'!$I241),"NO","YES")))</f>
        <v>NO</v>
      </c>
    </row>
    <row r="242" spans="1:10">
      <c r="A242" s="118" t="str">
        <f t="shared" si="10"/>
        <v>4098300SCHMAT705521Regulatory Liability - WY Deferred ExcesOTHER</v>
      </c>
      <c r="B242" s="125">
        <v>4098300</v>
      </c>
      <c r="C242" s="117" t="str">
        <f t="shared" si="11"/>
        <v>SCHMAT</v>
      </c>
      <c r="D242" s="125">
        <v>705521</v>
      </c>
      <c r="E242" s="121" t="s">
        <v>447</v>
      </c>
      <c r="F242" s="119" t="s">
        <v>306</v>
      </c>
      <c r="G242" s="138">
        <v>-42.838299999999997</v>
      </c>
      <c r="H242" s="113" t="str">
        <f t="shared" si="9"/>
        <v>OTHER</v>
      </c>
      <c r="I242" s="113" t="str">
        <f>INDEX('SCH M Lookup'!$I:$I,MATCH($A242,'SCH M Lookup'!$A:$A,0))</f>
        <v>P</v>
      </c>
      <c r="J242" s="113" t="str">
        <f>IF('SCH M Jun22data'!$G242=0,"NO",IF(ISNA('SCH M Jun22data'!$I242),"YES",IF(_xlfn.ISFORMULA('SCH M Jun22data'!$I242),"NO","YES")))</f>
        <v>NO</v>
      </c>
    </row>
    <row r="243" spans="1:10">
      <c r="A243" s="118" t="str">
        <f t="shared" si="10"/>
        <v>4098300SCHMAT705522Regulatory Liability - UT REC's in RatesOTHER</v>
      </c>
      <c r="B243" s="125">
        <v>4098300</v>
      </c>
      <c r="C243" s="117" t="str">
        <f t="shared" si="11"/>
        <v>SCHMAT</v>
      </c>
      <c r="D243" s="125">
        <v>705522</v>
      </c>
      <c r="E243" s="121" t="s">
        <v>3255</v>
      </c>
      <c r="F243" s="119" t="s">
        <v>306</v>
      </c>
      <c r="G243" s="138">
        <v>0</v>
      </c>
      <c r="H243" s="113" t="str">
        <f t="shared" si="9"/>
        <v>OTHER</v>
      </c>
      <c r="I243" s="113" t="e">
        <f>INDEX('SCH M Lookup'!$I:$I,MATCH($A243,'SCH M Lookup'!$A:$A,0))</f>
        <v>#N/A</v>
      </c>
      <c r="J243" s="113" t="str">
        <f>IF('SCH M Jun22data'!$G243=0,"NO",IF(ISNA('SCH M Jun22data'!$I243),"YES",IF(_xlfn.ISFORMULA('SCH M Jun22data'!$I243),"NO","YES")))</f>
        <v>NO</v>
      </c>
    </row>
    <row r="244" spans="1:10">
      <c r="A244" s="118" t="str">
        <f t="shared" si="10"/>
        <v>4098300SCHMAT705523Regulatory Liability - WA RECS in RatesOTHER</v>
      </c>
      <c r="B244" s="125">
        <v>4098300</v>
      </c>
      <c r="C244" s="117" t="str">
        <f t="shared" si="11"/>
        <v>SCHMAT</v>
      </c>
      <c r="D244" s="125">
        <v>705523</v>
      </c>
      <c r="E244" s="121" t="s">
        <v>3256</v>
      </c>
      <c r="F244" s="119" t="s">
        <v>306</v>
      </c>
      <c r="G244" s="138">
        <v>0</v>
      </c>
      <c r="H244" s="113" t="str">
        <f t="shared" si="9"/>
        <v>OTHER</v>
      </c>
      <c r="I244" s="113" t="e">
        <f>INDEX('SCH M Lookup'!$I:$I,MATCH($A244,'SCH M Lookup'!$A:$A,0))</f>
        <v>#N/A</v>
      </c>
      <c r="J244" s="113" t="str">
        <f>IF('SCH M Jun22data'!$G244=0,"NO",IF(ISNA('SCH M Jun22data'!$I244),"YES",IF(_xlfn.ISFORMULA('SCH M Jun22data'!$I244),"NO","YES")))</f>
        <v>NO</v>
      </c>
    </row>
    <row r="245" spans="1:10">
      <c r="A245" s="118" t="str">
        <f t="shared" si="10"/>
        <v>4098300SCHMAT705525Regulatory Liability - OR RECS in RatesOTHER</v>
      </c>
      <c r="B245" s="125">
        <v>4098300</v>
      </c>
      <c r="C245" s="117" t="str">
        <f t="shared" si="11"/>
        <v>SCHMAT</v>
      </c>
      <c r="D245" s="125">
        <v>705525</v>
      </c>
      <c r="E245" s="121" t="s">
        <v>3257</v>
      </c>
      <c r="F245" s="119" t="s">
        <v>306</v>
      </c>
      <c r="G245" s="138">
        <v>0</v>
      </c>
      <c r="H245" s="113" t="str">
        <f t="shared" si="9"/>
        <v>OTHER</v>
      </c>
      <c r="I245" s="113" t="e">
        <f>INDEX('SCH M Lookup'!$I:$I,MATCH($A245,'SCH M Lookup'!$A:$A,0))</f>
        <v>#N/A</v>
      </c>
      <c r="J245" s="113" t="str">
        <f>IF('SCH M Jun22data'!$G245=0,"NO",IF(ISNA('SCH M Jun22data'!$I245),"YES",IF(_xlfn.ISFORMULA('SCH M Jun22data'!$I245),"NO","YES")))</f>
        <v>NO</v>
      </c>
    </row>
    <row r="246" spans="1:10">
      <c r="A246" s="118" t="str">
        <f t="shared" si="10"/>
        <v>4098300SCHMAT705526Regulatory Liability - CA Solar Feed-inOTHER</v>
      </c>
      <c r="B246" s="125">
        <v>4098300</v>
      </c>
      <c r="C246" s="117" t="str">
        <f t="shared" si="11"/>
        <v>SCHMAT</v>
      </c>
      <c r="D246" s="125">
        <v>705526</v>
      </c>
      <c r="E246" s="121" t="s">
        <v>448</v>
      </c>
      <c r="F246" s="119" t="s">
        <v>306</v>
      </c>
      <c r="G246" s="138">
        <v>0</v>
      </c>
      <c r="H246" s="113" t="str">
        <f t="shared" si="9"/>
        <v>OTHER</v>
      </c>
      <c r="I246" s="113" t="e">
        <f>INDEX('SCH M Lookup'!$I:$I,MATCH($A246,'SCH M Lookup'!$A:$A,0))</f>
        <v>#N/A</v>
      </c>
      <c r="J246" s="113" t="str">
        <f>IF('SCH M Jun22data'!$G246=0,"NO",IF(ISNA('SCH M Jun22data'!$I246),"YES",IF(_xlfn.ISFORMULA('SCH M Jun22data'!$I246),"NO","YES")))</f>
        <v>NO</v>
      </c>
    </row>
    <row r="247" spans="1:10">
      <c r="A247" s="118" t="str">
        <f t="shared" si="10"/>
        <v>4098300SCHMAT705527Regulatory Liability - CA Solar Feed-inOTHER</v>
      </c>
      <c r="B247" s="125">
        <v>4098300</v>
      </c>
      <c r="C247" s="117" t="str">
        <f t="shared" si="11"/>
        <v>SCHMAT</v>
      </c>
      <c r="D247" s="125">
        <v>705527</v>
      </c>
      <c r="E247" s="121" t="s">
        <v>448</v>
      </c>
      <c r="F247" s="119" t="s">
        <v>306</v>
      </c>
      <c r="G247" s="138">
        <v>0</v>
      </c>
      <c r="H247" s="113" t="str">
        <f t="shared" si="9"/>
        <v>OTHER</v>
      </c>
      <c r="I247" s="113" t="str">
        <f>INDEX('SCH M Lookup'!$I:$I,MATCH($A247,'SCH M Lookup'!$A:$A,0))</f>
        <v>DMSC</v>
      </c>
      <c r="J247" s="113" t="str">
        <f>IF('SCH M Jun22data'!$G247=0,"NO",IF(ISNA('SCH M Jun22data'!$I247),"YES",IF(_xlfn.ISFORMULA('SCH M Jun22data'!$I247),"NO","YES")))</f>
        <v>NO</v>
      </c>
    </row>
    <row r="248" spans="1:10">
      <c r="A248" s="118" t="str">
        <f t="shared" si="10"/>
        <v>4098300SCHMAT705530Regulatory Liability - UT Solar Feed-inOTHER</v>
      </c>
      <c r="B248" s="125">
        <v>4098300</v>
      </c>
      <c r="C248" s="117" t="str">
        <f t="shared" si="11"/>
        <v>SCHMAT</v>
      </c>
      <c r="D248" s="125">
        <v>705530</v>
      </c>
      <c r="E248" s="121" t="s">
        <v>449</v>
      </c>
      <c r="F248" s="119" t="s">
        <v>306</v>
      </c>
      <c r="G248" s="138">
        <v>0</v>
      </c>
      <c r="H248" s="113" t="str">
        <f t="shared" si="9"/>
        <v>OTHER</v>
      </c>
      <c r="I248" s="113" t="e">
        <f>INDEX('SCH M Lookup'!$I:$I,MATCH($A248,'SCH M Lookup'!$A:$A,0))</f>
        <v>#N/A</v>
      </c>
      <c r="J248" s="113" t="str">
        <f>IF('SCH M Jun22data'!$G248=0,"NO",IF(ISNA('SCH M Jun22data'!$I248),"YES",IF(_xlfn.ISFORMULA('SCH M Jun22data'!$I248),"NO","YES")))</f>
        <v>NO</v>
      </c>
    </row>
    <row r="249" spans="1:10">
      <c r="A249" s="118" t="str">
        <f t="shared" si="10"/>
        <v>4098300SCHMAT705531Regulatory Liability - UT Solar Feed-inOTHER</v>
      </c>
      <c r="B249" s="125">
        <v>4098300</v>
      </c>
      <c r="C249" s="117" t="str">
        <f t="shared" si="11"/>
        <v>SCHMAT</v>
      </c>
      <c r="D249" s="125">
        <v>705531</v>
      </c>
      <c r="E249" s="121" t="s">
        <v>449</v>
      </c>
      <c r="F249" s="119" t="s">
        <v>306</v>
      </c>
      <c r="G249" s="138">
        <v>-7423.24233</v>
      </c>
      <c r="H249" s="113" t="str">
        <f t="shared" si="9"/>
        <v>OTHER</v>
      </c>
      <c r="I249" s="113" t="str">
        <f>INDEX('SCH M Lookup'!$I:$I,MATCH($A249,'SCH M Lookup'!$A:$A,0))</f>
        <v>DMSC</v>
      </c>
      <c r="J249" s="113" t="str">
        <f>IF('SCH M Jun22data'!$G249=0,"NO",IF(ISNA('SCH M Jun22data'!$I249),"YES",IF(_xlfn.ISFORMULA('SCH M Jun22data'!$I249),"NO","YES")))</f>
        <v>NO</v>
      </c>
    </row>
    <row r="250" spans="1:10">
      <c r="A250" s="118" t="str">
        <f t="shared" si="10"/>
        <v>4098300SCHMAT705536Regulatory Liability - CA GreenHouse GasOTHER</v>
      </c>
      <c r="B250" s="125">
        <v>4098300</v>
      </c>
      <c r="C250" s="117" t="str">
        <f t="shared" si="11"/>
        <v>SCHMAT</v>
      </c>
      <c r="D250" s="125">
        <v>705536</v>
      </c>
      <c r="E250" s="121" t="s">
        <v>3258</v>
      </c>
      <c r="F250" s="119" t="s">
        <v>306</v>
      </c>
      <c r="G250" s="138">
        <v>0</v>
      </c>
      <c r="H250" s="113" t="str">
        <f t="shared" si="9"/>
        <v>OTHER</v>
      </c>
      <c r="I250" s="113" t="e">
        <f>INDEX('SCH M Lookup'!$I:$I,MATCH($A250,'SCH M Lookup'!$A:$A,0))</f>
        <v>#N/A</v>
      </c>
      <c r="J250" s="113" t="str">
        <f>IF('SCH M Jun22data'!$G250=0,"NO",IF(ISNA('SCH M Jun22data'!$I250),"YES",IF(_xlfn.ISFORMULA('SCH M Jun22data'!$I250),"NO","YES")))</f>
        <v>NO</v>
      </c>
    </row>
    <row r="251" spans="1:10">
      <c r="A251" s="118" t="str">
        <f t="shared" si="10"/>
        <v>4098300SCHMAT705600RegLiability - OR 2012 GRC GivebackOTHER</v>
      </c>
      <c r="B251" s="125">
        <v>4098300</v>
      </c>
      <c r="C251" s="117" t="str">
        <f t="shared" si="11"/>
        <v>SCHMAT</v>
      </c>
      <c r="D251" s="125">
        <v>705600</v>
      </c>
      <c r="E251" s="121" t="s">
        <v>3259</v>
      </c>
      <c r="F251" s="119" t="s">
        <v>306</v>
      </c>
      <c r="G251" s="138">
        <v>0</v>
      </c>
      <c r="H251" s="113" t="str">
        <f t="shared" si="9"/>
        <v>OTHER</v>
      </c>
      <c r="I251" s="113" t="e">
        <f>INDEX('SCH M Lookup'!$I:$I,MATCH($A251,'SCH M Lookup'!$A:$A,0))</f>
        <v>#N/A</v>
      </c>
      <c r="J251" s="113" t="str">
        <f>IF('SCH M Jun22data'!$G251=0,"NO",IF(ISNA('SCH M Jun22data'!$I251),"YES",IF(_xlfn.ISFORMULA('SCH M Jun22data'!$I251),"NO","YES")))</f>
        <v>NO</v>
      </c>
    </row>
    <row r="252" spans="1:10">
      <c r="A252" s="118" t="str">
        <f t="shared" si="10"/>
        <v>4098300SCHMAT705700Reg Liability - Current Reclass - OtherOTHER</v>
      </c>
      <c r="B252" s="125">
        <v>4098300</v>
      </c>
      <c r="C252" s="117" t="str">
        <f t="shared" si="11"/>
        <v>SCHMAT</v>
      </c>
      <c r="D252" s="125">
        <v>705700</v>
      </c>
      <c r="E252" s="121" t="s">
        <v>3260</v>
      </c>
      <c r="F252" s="119" t="s">
        <v>306</v>
      </c>
      <c r="G252" s="138">
        <v>0</v>
      </c>
      <c r="H252" s="113" t="str">
        <f t="shared" si="9"/>
        <v>OTHER</v>
      </c>
      <c r="I252" s="113" t="e">
        <f>INDEX('SCH M Lookup'!$I:$I,MATCH($A252,'SCH M Lookup'!$A:$A,0))</f>
        <v>#N/A</v>
      </c>
      <c r="J252" s="113" t="str">
        <f>IF('SCH M Jun22data'!$G252=0,"NO",IF(ISNA('SCH M Jun22data'!$I252),"YES",IF(_xlfn.ISFORMULA('SCH M Jun22data'!$I252),"NO","YES")))</f>
        <v>NO</v>
      </c>
    </row>
    <row r="253" spans="1:10">
      <c r="A253" s="118" t="str">
        <f t="shared" si="10"/>
        <v>4098300SCHMAT715050Microsoft Software License LiabilitySO</v>
      </c>
      <c r="B253" s="125">
        <v>4098300</v>
      </c>
      <c r="C253" s="117" t="str">
        <f t="shared" si="11"/>
        <v>SCHMAT</v>
      </c>
      <c r="D253" s="125">
        <v>715050</v>
      </c>
      <c r="E253" s="121" t="s">
        <v>3261</v>
      </c>
      <c r="F253" s="119" t="s">
        <v>89</v>
      </c>
      <c r="G253" s="138">
        <v>0</v>
      </c>
      <c r="H253" s="113" t="str">
        <f t="shared" si="9"/>
        <v>SO</v>
      </c>
      <c r="I253" s="113" t="e">
        <f>INDEX('SCH M Lookup'!$I:$I,MATCH($A253,'SCH M Lookup'!$A:$A,0))</f>
        <v>#N/A</v>
      </c>
      <c r="J253" s="113" t="str">
        <f>IF('SCH M Jun22data'!$G253=0,"NO",IF(ISNA('SCH M Jun22data'!$I253),"YES",IF(_xlfn.ISFORMULA('SCH M Jun22data'!$I253),"NO","YES")))</f>
        <v>NO</v>
      </c>
    </row>
    <row r="254" spans="1:10">
      <c r="A254" s="118" t="str">
        <f t="shared" si="10"/>
        <v>4098300SCHMAT715100MCI FOG Wire LeaseSITUS</v>
      </c>
      <c r="B254" s="125">
        <v>4098300</v>
      </c>
      <c r="C254" s="117" t="str">
        <f t="shared" si="11"/>
        <v>SCHMAT</v>
      </c>
      <c r="D254" s="125">
        <v>715100</v>
      </c>
      <c r="E254" s="121" t="s">
        <v>450</v>
      </c>
      <c r="F254" s="119" t="s">
        <v>386</v>
      </c>
      <c r="G254" s="138">
        <v>0</v>
      </c>
      <c r="H254" s="113" t="str">
        <f t="shared" si="9"/>
        <v>SITUS</v>
      </c>
      <c r="I254" s="113" t="e">
        <f>INDEX('SCH M Lookup'!$I:$I,MATCH($A254,'SCH M Lookup'!$A:$A,0))</f>
        <v>#N/A</v>
      </c>
      <c r="J254" s="113" t="str">
        <f>IF('SCH M Jun22data'!$G254=0,"NO",IF(ISNA('SCH M Jun22data'!$I254),"YES",IF(_xlfn.ISFORMULA('SCH M Jun22data'!$I254),"NO","YES")))</f>
        <v>NO</v>
      </c>
    </row>
    <row r="255" spans="1:10">
      <c r="A255" s="118" t="str">
        <f t="shared" si="10"/>
        <v>4098300SCHMAT715105MCI FOG Wire LeaseSG</v>
      </c>
      <c r="B255" s="125">
        <v>4098300</v>
      </c>
      <c r="C255" s="117" t="str">
        <f t="shared" si="11"/>
        <v>SCHMAT</v>
      </c>
      <c r="D255" s="125">
        <v>715105</v>
      </c>
      <c r="E255" s="121" t="s">
        <v>450</v>
      </c>
      <c r="F255" s="119" t="s">
        <v>87</v>
      </c>
      <c r="G255" s="138">
        <v>193.92553000000001</v>
      </c>
      <c r="H255" s="113" t="str">
        <f t="shared" si="9"/>
        <v>SG</v>
      </c>
      <c r="I255" s="113" t="str">
        <f>INDEX('SCH M Lookup'!$I:$I,MATCH($A255,'SCH M Lookup'!$A:$A,0))</f>
        <v>P</v>
      </c>
      <c r="J255" s="113" t="str">
        <f>IF('SCH M Jun22data'!$G255=0,"NO",IF(ISNA('SCH M Jun22data'!$I255),"YES",IF(_xlfn.ISFORMULA('SCH M Jun22data'!$I255),"NO","YES")))</f>
        <v>NO</v>
      </c>
    </row>
    <row r="256" spans="1:10">
      <c r="A256" s="118" t="str">
        <f t="shared" si="10"/>
        <v>4098300SCHMAT715350Misc. Deferred CreditsSO</v>
      </c>
      <c r="B256" s="125">
        <v>4098300</v>
      </c>
      <c r="C256" s="117" t="str">
        <f t="shared" si="11"/>
        <v>SCHMAT</v>
      </c>
      <c r="D256" s="125">
        <v>715350</v>
      </c>
      <c r="E256" s="121" t="s">
        <v>3262</v>
      </c>
      <c r="F256" s="119" t="s">
        <v>89</v>
      </c>
      <c r="G256" s="138">
        <v>0</v>
      </c>
      <c r="H256" s="113" t="str">
        <f t="shared" si="9"/>
        <v>SO</v>
      </c>
      <c r="I256" s="113" t="e">
        <f>INDEX('SCH M Lookup'!$I:$I,MATCH($A256,'SCH M Lookup'!$A:$A,0))</f>
        <v>#N/A</v>
      </c>
      <c r="J256" s="113" t="str">
        <f>IF('SCH M Jun22data'!$G256=0,"NO",IF(ISNA('SCH M Jun22data'!$I256),"YES",IF(_xlfn.ISFORMULA('SCH M Jun22data'!$I256),"NO","YES")))</f>
        <v>NO</v>
      </c>
    </row>
    <row r="257" spans="1:10">
      <c r="A257" s="118" t="str">
        <f t="shared" si="10"/>
        <v>4098300SCHMAT715720NW Power Act-WAOTHER</v>
      </c>
      <c r="B257" s="125">
        <v>4098300</v>
      </c>
      <c r="C257" s="117" t="str">
        <f t="shared" si="11"/>
        <v>SCHMAT</v>
      </c>
      <c r="D257" s="125">
        <v>715720</v>
      </c>
      <c r="E257" s="121" t="s">
        <v>451</v>
      </c>
      <c r="F257" s="119" t="s">
        <v>306</v>
      </c>
      <c r="G257" s="138">
        <v>-506.35761000000002</v>
      </c>
      <c r="H257" s="113" t="str">
        <f t="shared" si="9"/>
        <v>OTHER</v>
      </c>
      <c r="I257" s="113" t="str">
        <f>INDEX('SCH M Lookup'!$I:$I,MATCH($A257,'SCH M Lookup'!$A:$A,0))</f>
        <v>P</v>
      </c>
      <c r="J257" s="113" t="str">
        <f>IF('SCH M Jun22data'!$G257=0,"NO",IF(ISNA('SCH M Jun22data'!$I257),"YES",IF(_xlfn.ISFORMULA('SCH M Jun22data'!$I257),"NO","YES")))</f>
        <v>NO</v>
      </c>
    </row>
    <row r="258" spans="1:10">
      <c r="A258" s="118" t="str">
        <f t="shared" si="10"/>
        <v>4098300SCHMAT715810Chehalis WA EFSEC C02 Mitigation ObligatSG</v>
      </c>
      <c r="B258" s="125">
        <v>4098300</v>
      </c>
      <c r="C258" s="117" t="str">
        <f t="shared" si="11"/>
        <v>SCHMAT</v>
      </c>
      <c r="D258" s="125">
        <v>715810</v>
      </c>
      <c r="E258" s="121" t="s">
        <v>452</v>
      </c>
      <c r="F258" s="119" t="s">
        <v>3108</v>
      </c>
      <c r="G258" s="138">
        <v>3.5319999999999997E-2</v>
      </c>
      <c r="H258" s="113" t="str">
        <f t="shared" ref="H258:H321" si="12">IF(OR(F258="IDU",F258="OR",F258="UT",F258="WYU",F258="WYP",F258="CA",F258="WA"),"SITUS",IF(OR(F258="CAEE",F258="JBE"),"SE",IF(OR(F258="CAGE",F258="CAGW",F258="JBG"),"SG",F258)))</f>
        <v>SG</v>
      </c>
      <c r="I258" s="113" t="str">
        <f>INDEX('SCH M Lookup'!$I:$I,MATCH($A258,'SCH M Lookup'!$A:$A,0))</f>
        <v>P</v>
      </c>
      <c r="J258" s="113" t="str">
        <f>IF('SCH M Jun22data'!$G258=0,"NO",IF(ISNA('SCH M Jun22data'!$I258),"YES",IF(_xlfn.ISFORMULA('SCH M Jun22data'!$I258),"NO","YES")))</f>
        <v>NO</v>
      </c>
    </row>
    <row r="259" spans="1:10">
      <c r="A259" s="118" t="str">
        <f t="shared" ref="A259:A322" si="13">CONCATENATE($B259,$C259,$D259,$E259,$H259)</f>
        <v>4098300SCHMAT720200Deferred Comp Plan Benefits-PPLSO</v>
      </c>
      <c r="B259" s="125">
        <v>4098300</v>
      </c>
      <c r="C259" s="117" t="str">
        <f t="shared" ref="C259:C322" si="14">IF(B259=4098200,"SCHMAP",IF(B259=4098300,"SCHMAT",IF(B259=4099200,"SCHMDP",IF(B259=4099300,"SCHMDT"))))</f>
        <v>SCHMAT</v>
      </c>
      <c r="D259" s="125">
        <v>720200</v>
      </c>
      <c r="E259" s="121" t="s">
        <v>453</v>
      </c>
      <c r="F259" s="119" t="s">
        <v>89</v>
      </c>
      <c r="G259" s="138">
        <v>0</v>
      </c>
      <c r="H259" s="113" t="str">
        <f t="shared" si="12"/>
        <v>SO</v>
      </c>
      <c r="I259" s="113" t="e">
        <f>INDEX('SCH M Lookup'!$I:$I,MATCH($A259,'SCH M Lookup'!$A:$A,0))</f>
        <v>#N/A</v>
      </c>
      <c r="J259" s="113" t="str">
        <f>IF('SCH M Jun22data'!$G259=0,"NO",IF(ISNA('SCH M Jun22data'!$I259),"YES",IF(_xlfn.ISFORMULA('SCH M Jun22data'!$I259),"NO","YES")))</f>
        <v>NO</v>
      </c>
    </row>
    <row r="260" spans="1:10">
      <c r="A260" s="118" t="str">
        <f t="shared" si="13"/>
        <v>4098300SCHMAT720300Pension / Retirement (Accrued / Prepaid)SO</v>
      </c>
      <c r="B260" s="125">
        <v>4098300</v>
      </c>
      <c r="C260" s="117" t="str">
        <f t="shared" si="14"/>
        <v>SCHMAT</v>
      </c>
      <c r="D260" s="125">
        <v>720300</v>
      </c>
      <c r="E260" s="121" t="s">
        <v>454</v>
      </c>
      <c r="F260" s="119" t="s">
        <v>89</v>
      </c>
      <c r="G260" s="138">
        <v>-143.75</v>
      </c>
      <c r="H260" s="113" t="str">
        <f t="shared" si="12"/>
        <v>SO</v>
      </c>
      <c r="I260" s="113" t="str">
        <f>INDEX('SCH M Lookup'!$I:$I,MATCH($A260,'SCH M Lookup'!$A:$A,0))</f>
        <v>LABOR</v>
      </c>
      <c r="J260" s="113" t="str">
        <f>IF('SCH M Jun22data'!$G260=0,"NO",IF(ISNA('SCH M Jun22data'!$I260),"YES",IF(_xlfn.ISFORMULA('SCH M Jun22data'!$I260),"NO","YES")))</f>
        <v>NO</v>
      </c>
    </row>
    <row r="261" spans="1:10">
      <c r="A261" s="118" t="str">
        <f t="shared" si="13"/>
        <v>4098300SCHMAT720400Suppl. Exec. Retirement Plan (SERP)SO</v>
      </c>
      <c r="B261" s="125">
        <v>4098300</v>
      </c>
      <c r="C261" s="117" t="str">
        <f t="shared" si="14"/>
        <v>SCHMAT</v>
      </c>
      <c r="D261" s="125">
        <v>720400</v>
      </c>
      <c r="E261" s="121" t="s">
        <v>3263</v>
      </c>
      <c r="F261" s="119" t="s">
        <v>89</v>
      </c>
      <c r="G261" s="138">
        <v>0</v>
      </c>
      <c r="H261" s="113" t="str">
        <f t="shared" si="12"/>
        <v>SO</v>
      </c>
      <c r="I261" s="113" t="e">
        <f>INDEX('SCH M Lookup'!$I:$I,MATCH($A261,'SCH M Lookup'!$A:$A,0))</f>
        <v>#N/A</v>
      </c>
      <c r="J261" s="113" t="str">
        <f>IF('SCH M Jun22data'!$G261=0,"NO",IF(ISNA('SCH M Jun22data'!$I261),"YES",IF(_xlfn.ISFORMULA('SCH M Jun22data'!$I261),"NO","YES")))</f>
        <v>NO</v>
      </c>
    </row>
    <row r="262" spans="1:10">
      <c r="A262" s="118" t="str">
        <f t="shared" si="13"/>
        <v>4098300SCHMAT720550Accrued CIC SeverenceSO</v>
      </c>
      <c r="B262" s="125">
        <v>4098300</v>
      </c>
      <c r="C262" s="117" t="str">
        <f t="shared" si="14"/>
        <v>SCHMAT</v>
      </c>
      <c r="D262" s="125">
        <v>720550</v>
      </c>
      <c r="E262" s="121" t="s">
        <v>3264</v>
      </c>
      <c r="F262" s="119" t="s">
        <v>89</v>
      </c>
      <c r="G262" s="138">
        <v>0</v>
      </c>
      <c r="H262" s="113" t="str">
        <f t="shared" si="12"/>
        <v>SO</v>
      </c>
      <c r="I262" s="113" t="e">
        <f>INDEX('SCH M Lookup'!$I:$I,MATCH($A262,'SCH M Lookup'!$A:$A,0))</f>
        <v>#N/A</v>
      </c>
      <c r="J262" s="113" t="str">
        <f>IF('SCH M Jun22data'!$G262=0,"NO",IF(ISNA('SCH M Jun22data'!$I262),"YES",IF(_xlfn.ISFORMULA('SCH M Jun22data'!$I262),"NO","YES")))</f>
        <v>NO</v>
      </c>
    </row>
    <row r="263" spans="1:10">
      <c r="A263" s="118" t="str">
        <f t="shared" si="13"/>
        <v>4098300SCHMAT720560Pension Liability - UMWA Withdrawal ObliSE</v>
      </c>
      <c r="B263" s="125">
        <v>4098300</v>
      </c>
      <c r="C263" s="117" t="str">
        <f t="shared" si="14"/>
        <v>SCHMAT</v>
      </c>
      <c r="D263" s="125">
        <v>720560</v>
      </c>
      <c r="E263" s="121" t="s">
        <v>455</v>
      </c>
      <c r="F263" s="119" t="s">
        <v>3110</v>
      </c>
      <c r="G263" s="138">
        <v>0</v>
      </c>
      <c r="H263" s="113" t="str">
        <f t="shared" si="12"/>
        <v>SE</v>
      </c>
      <c r="I263" s="113" t="str">
        <f>INDEX('SCH M Lookup'!$I:$I,MATCH($A263,'SCH M Lookup'!$A:$A,0))</f>
        <v>P</v>
      </c>
      <c r="J263" s="113" t="str">
        <f>IF('SCH M Jun22data'!$G263=0,"NO",IF(ISNA('SCH M Jun22data'!$I263),"YES",IF(_xlfn.ISFORMULA('SCH M Jun22data'!$I263),"NO","YES")))</f>
        <v>NO</v>
      </c>
    </row>
    <row r="264" spans="1:10">
      <c r="A264" s="118" t="str">
        <f t="shared" si="13"/>
        <v>4098300SCHMAT740100Post Merger Loss-Reacquired DebtSNP</v>
      </c>
      <c r="B264" s="125">
        <v>4098300</v>
      </c>
      <c r="C264" s="117" t="str">
        <f t="shared" si="14"/>
        <v>SCHMAT</v>
      </c>
      <c r="D264" s="125">
        <v>740100</v>
      </c>
      <c r="E264" s="121" t="s">
        <v>456</v>
      </c>
      <c r="F264" s="119" t="s">
        <v>7</v>
      </c>
      <c r="G264" s="138">
        <v>503.78111999999999</v>
      </c>
      <c r="H264" s="113" t="str">
        <f t="shared" si="12"/>
        <v>SNP</v>
      </c>
      <c r="I264" s="113" t="str">
        <f>INDEX('SCH M Lookup'!$I:$I,MATCH($A264,'SCH M Lookup'!$A:$A,0))</f>
        <v>GP</v>
      </c>
      <c r="J264" s="113" t="str">
        <f>IF('SCH M Jun22data'!$G264=0,"NO",IF(ISNA('SCH M Jun22data'!$I264),"YES",IF(_xlfn.ISFORMULA('SCH M Jun22data'!$I264),"NO","YES")))</f>
        <v>NO</v>
      </c>
    </row>
    <row r="265" spans="1:10">
      <c r="A265" s="118" t="str">
        <f t="shared" si="13"/>
        <v>4098300SCHMAT910245Contra Receivable from Joint OwnersSO</v>
      </c>
      <c r="B265" s="125">
        <v>4098300</v>
      </c>
      <c r="C265" s="117" t="str">
        <f t="shared" si="14"/>
        <v>SCHMAT</v>
      </c>
      <c r="D265" s="125">
        <v>910245</v>
      </c>
      <c r="E265" s="121" t="s">
        <v>457</v>
      </c>
      <c r="F265" s="119" t="s">
        <v>89</v>
      </c>
      <c r="G265" s="138">
        <v>-121.36839999999999</v>
      </c>
      <c r="H265" s="113" t="str">
        <f t="shared" si="12"/>
        <v>SO</v>
      </c>
      <c r="I265" s="113" t="str">
        <f>INDEX('SCH M Lookup'!$I:$I,MATCH($A265,'SCH M Lookup'!$A:$A,0))</f>
        <v>PTD</v>
      </c>
      <c r="J265" s="113" t="str">
        <f>IF('SCH M Jun22data'!$G265=0,"NO",IF(ISNA('SCH M Jun22data'!$I265),"YES",IF(_xlfn.ISFORMULA('SCH M Jun22data'!$I265),"NO","YES")))</f>
        <v>NO</v>
      </c>
    </row>
    <row r="266" spans="1:10">
      <c r="A266" s="118" t="str">
        <f t="shared" si="13"/>
        <v>4098300SCHMAT910530Injuries and Damages ReserveSO</v>
      </c>
      <c r="B266" s="125">
        <v>4098300</v>
      </c>
      <c r="C266" s="117" t="str">
        <f t="shared" si="14"/>
        <v>SCHMAT</v>
      </c>
      <c r="D266" s="125">
        <v>910530</v>
      </c>
      <c r="E266" s="121" t="s">
        <v>458</v>
      </c>
      <c r="F266" s="119" t="s">
        <v>89</v>
      </c>
      <c r="G266" s="138">
        <v>0</v>
      </c>
      <c r="H266" s="113" t="str">
        <f t="shared" si="12"/>
        <v>SO</v>
      </c>
      <c r="I266" s="113" t="e">
        <f>INDEX('SCH M Lookup'!$I:$I,MATCH($A266,'SCH M Lookup'!$A:$A,0))</f>
        <v>#N/A</v>
      </c>
      <c r="J266" s="113" t="str">
        <f>IF('SCH M Jun22data'!$G266=0,"NO",IF(ISNA('SCH M Jun22data'!$I266),"YES",IF(_xlfn.ISFORMULA('SCH M Jun22data'!$I266),"NO","YES")))</f>
        <v>NO</v>
      </c>
    </row>
    <row r="267" spans="1:10">
      <c r="A267" s="118" t="str">
        <f t="shared" si="13"/>
        <v>4098300SCHMAT910560SMUD Revenue Imputation-UT reg liabSITUS</v>
      </c>
      <c r="B267" s="125">
        <v>4098300</v>
      </c>
      <c r="C267" s="117" t="str">
        <f t="shared" si="14"/>
        <v>SCHMAT</v>
      </c>
      <c r="D267" s="125">
        <v>910560</v>
      </c>
      <c r="E267" s="121" t="s">
        <v>3265</v>
      </c>
      <c r="F267" s="119" t="s">
        <v>370</v>
      </c>
      <c r="G267" s="138">
        <v>0</v>
      </c>
      <c r="H267" s="113" t="str">
        <f t="shared" si="12"/>
        <v>SITUS</v>
      </c>
      <c r="I267" s="113" t="e">
        <f>INDEX('SCH M Lookup'!$I:$I,MATCH($A267,'SCH M Lookup'!$A:$A,0))</f>
        <v>#N/A</v>
      </c>
      <c r="J267" s="113" t="str">
        <f>IF('SCH M Jun22data'!$G267=0,"NO",IF(ISNA('SCH M Jun22data'!$I267),"YES",IF(_xlfn.ISFORMULA('SCH M Jun22data'!$I267),"NO","YES")))</f>
        <v>NO</v>
      </c>
    </row>
    <row r="268" spans="1:10">
      <c r="A268" s="118" t="str">
        <f t="shared" si="13"/>
        <v>4098300SCHMAT910905Bridger Coal Company Underground Mine CoSE</v>
      </c>
      <c r="B268" s="125">
        <v>4098300</v>
      </c>
      <c r="C268" s="117" t="str">
        <f t="shared" si="14"/>
        <v>SCHMAT</v>
      </c>
      <c r="D268" s="125">
        <v>910905</v>
      </c>
      <c r="E268" s="121" t="s">
        <v>459</v>
      </c>
      <c r="F268" s="119" t="s">
        <v>3134</v>
      </c>
      <c r="G268" s="138">
        <v>1477.1210000000001</v>
      </c>
      <c r="H268" s="113" t="str">
        <f t="shared" si="12"/>
        <v>SE</v>
      </c>
      <c r="I268" s="113" t="str">
        <f>INDEX('SCH M Lookup'!$I:$I,MATCH($A268,'SCH M Lookup'!$A:$A,0))</f>
        <v>P</v>
      </c>
      <c r="J268" s="113" t="str">
        <f>IF('SCH M Jun22data'!$G268=0,"NO",IF(ISNA('SCH M Jun22data'!$I268),"YES",IF(_xlfn.ISFORMULA('SCH M Jun22data'!$I268),"NO","YES")))</f>
        <v>NO</v>
      </c>
    </row>
    <row r="269" spans="1:10">
      <c r="A269" s="118" t="str">
        <f t="shared" si="13"/>
        <v>4098300SCHMAT910910PMIBridger Section 471 AdjSE</v>
      </c>
      <c r="B269" s="125">
        <v>4098300</v>
      </c>
      <c r="C269" s="117" t="str">
        <f t="shared" si="14"/>
        <v>SCHMAT</v>
      </c>
      <c r="D269" s="125">
        <v>910910</v>
      </c>
      <c r="E269" s="121" t="s">
        <v>3266</v>
      </c>
      <c r="F269" s="119" t="s">
        <v>3134</v>
      </c>
      <c r="G269" s="138">
        <v>0</v>
      </c>
      <c r="H269" s="113" t="str">
        <f t="shared" si="12"/>
        <v>SE</v>
      </c>
      <c r="I269" s="113" t="e">
        <f>INDEX('SCH M Lookup'!$I:$I,MATCH($A269,'SCH M Lookup'!$A:$A,0))</f>
        <v>#N/A</v>
      </c>
      <c r="J269" s="113" t="str">
        <f>IF('SCH M Jun22data'!$G269=0,"NO",IF(ISNA('SCH M Jun22data'!$I269),"YES",IF(_xlfn.ISFORMULA('SCH M Jun22data'!$I269),"NO","YES")))</f>
        <v>NO</v>
      </c>
    </row>
    <row r="270" spans="1:10">
      <c r="A270" s="118" t="str">
        <f t="shared" si="13"/>
        <v>4098300SCHMAT920110PMIWY Extraction TaxSE</v>
      </c>
      <c r="B270" s="125">
        <v>4098300</v>
      </c>
      <c r="C270" s="117" t="str">
        <f t="shared" si="14"/>
        <v>SCHMAT</v>
      </c>
      <c r="D270" s="125">
        <v>920110</v>
      </c>
      <c r="E270" s="121" t="s">
        <v>460</v>
      </c>
      <c r="F270" s="119" t="s">
        <v>3134</v>
      </c>
      <c r="G270" s="138">
        <v>147.94399999999999</v>
      </c>
      <c r="H270" s="113" t="str">
        <f t="shared" si="12"/>
        <v>SE</v>
      </c>
      <c r="I270" s="113" t="str">
        <f>INDEX('SCH M Lookup'!$I:$I,MATCH($A270,'SCH M Lookup'!$A:$A,0))</f>
        <v>P</v>
      </c>
      <c r="J270" s="113" t="str">
        <f>IF('SCH M Jun22data'!$G270=0,"NO",IF(ISNA('SCH M Jun22data'!$I270),"YES",IF(_xlfn.ISFORMULA('SCH M Jun22data'!$I270),"NO","YES")))</f>
        <v>NO</v>
      </c>
    </row>
    <row r="271" spans="1:10">
      <c r="A271" s="118" t="str">
        <f t="shared" si="13"/>
        <v>4099200SCHMDP105127Book Depreciation Allocated to MedicareSCHMDEXP</v>
      </c>
      <c r="B271" s="125">
        <v>4099200</v>
      </c>
      <c r="C271" s="117" t="str">
        <f t="shared" si="14"/>
        <v>SCHMDP</v>
      </c>
      <c r="D271" s="125">
        <v>105127</v>
      </c>
      <c r="E271" s="121" t="s">
        <v>461</v>
      </c>
      <c r="F271" s="119" t="s">
        <v>10</v>
      </c>
      <c r="G271" s="138">
        <v>0</v>
      </c>
      <c r="H271" s="113" t="str">
        <f t="shared" si="12"/>
        <v>SCHMDEXP</v>
      </c>
      <c r="I271" s="113" t="str">
        <f>INDEX('SCH M Lookup'!$I:$I,MATCH($A271,'SCH M Lookup'!$A:$A,0))</f>
        <v>LABOR</v>
      </c>
      <c r="J271" s="113" t="str">
        <f>IF('SCH M Jun22data'!$G271=0,"NO",IF(ISNA('SCH M Jun22data'!$I271),"YES",IF(_xlfn.ISFORMULA('SCH M Jun22data'!$I271),"NO","YES")))</f>
        <v>NO</v>
      </c>
    </row>
    <row r="272" spans="1:10">
      <c r="A272" s="118" t="str">
        <f t="shared" si="13"/>
        <v>4099200SCHMDP110200Tax Depletion - Deer CreekSE</v>
      </c>
      <c r="B272" s="125">
        <v>4099200</v>
      </c>
      <c r="C272" s="117" t="str">
        <f t="shared" si="14"/>
        <v>SCHMDP</v>
      </c>
      <c r="D272" s="125">
        <v>110200</v>
      </c>
      <c r="E272" s="121" t="s">
        <v>3267</v>
      </c>
      <c r="F272" s="119" t="s">
        <v>3110</v>
      </c>
      <c r="G272" s="138">
        <v>0</v>
      </c>
      <c r="H272" s="113" t="str">
        <f t="shared" si="12"/>
        <v>SE</v>
      </c>
      <c r="I272" s="113" t="e">
        <f>INDEX('SCH M Lookup'!$I:$I,MATCH($A272,'SCH M Lookup'!$A:$A,0))</f>
        <v>#N/A</v>
      </c>
      <c r="J272" s="113" t="str">
        <f>IF('SCH M Jun22data'!$G272=0,"NO",IF(ISNA('SCH M Jun22data'!$I272),"YES",IF(_xlfn.ISFORMULA('SCH M Jun22data'!$I272),"NO","YES")))</f>
        <v>NO</v>
      </c>
    </row>
    <row r="273" spans="1:10">
      <c r="A273" s="118" t="str">
        <f t="shared" si="13"/>
        <v>4099200SCHMDP1102051TAX PERCENTAGE DEPLETION - DEDUCTIONSE</v>
      </c>
      <c r="B273" s="125">
        <v>4099200</v>
      </c>
      <c r="C273" s="117" t="str">
        <f t="shared" si="14"/>
        <v>SCHMDP</v>
      </c>
      <c r="D273" s="125">
        <v>1102051</v>
      </c>
      <c r="E273" s="121" t="s">
        <v>462</v>
      </c>
      <c r="F273" s="119" t="s">
        <v>3110</v>
      </c>
      <c r="G273" s="138">
        <v>378.16478999999998</v>
      </c>
      <c r="H273" s="113" t="str">
        <f t="shared" si="12"/>
        <v>SE</v>
      </c>
      <c r="I273" s="113" t="str">
        <f>INDEX('SCH M Lookup'!$I:$I,MATCH($A273,'SCH M Lookup'!$A:$A,0))</f>
        <v>P</v>
      </c>
      <c r="J273" s="113" t="str">
        <f>IF('SCH M Jun22data'!$G273=0,"NO",IF(ISNA('SCH M Jun22data'!$I273),"YES",IF(_xlfn.ISFORMULA('SCH M Jun22data'!$I273),"NO","YES")))</f>
        <v>NO</v>
      </c>
    </row>
    <row r="274" spans="1:10">
      <c r="A274" s="118" t="str">
        <f t="shared" si="13"/>
        <v>4099200SCHMDP120100Preferred Dividend - PPLSNP</v>
      </c>
      <c r="B274" s="125">
        <v>4099200</v>
      </c>
      <c r="C274" s="117" t="str">
        <f t="shared" si="14"/>
        <v>SCHMDP</v>
      </c>
      <c r="D274" s="125">
        <v>120100</v>
      </c>
      <c r="E274" s="121" t="s">
        <v>463</v>
      </c>
      <c r="F274" s="119" t="s">
        <v>7</v>
      </c>
      <c r="G274" s="138">
        <v>86.025919999999999</v>
      </c>
      <c r="H274" s="113" t="str">
        <f t="shared" si="12"/>
        <v>SNP</v>
      </c>
      <c r="I274" s="113" t="str">
        <f>INDEX('SCH M Lookup'!$I:$I,MATCH($A274,'SCH M Lookup'!$A:$A,0))</f>
        <v>PTD</v>
      </c>
      <c r="J274" s="113" t="str">
        <f>IF('SCH M Jun22data'!$G274=0,"NO",IF(ISNA('SCH M Jun22data'!$I274),"YES",IF(_xlfn.ISFORMULA('SCH M Jun22data'!$I274),"NO","YES")))</f>
        <v>NO</v>
      </c>
    </row>
    <row r="275" spans="1:10">
      <c r="A275" s="118" t="str">
        <f t="shared" si="13"/>
        <v>4099200SCHMDP120200Trapper Mine Dividend DeductionSE</v>
      </c>
      <c r="B275" s="125">
        <v>4099200</v>
      </c>
      <c r="C275" s="117" t="str">
        <f t="shared" si="14"/>
        <v>SCHMDP</v>
      </c>
      <c r="D275" s="125">
        <v>120200</v>
      </c>
      <c r="E275" s="121" t="s">
        <v>3268</v>
      </c>
      <c r="F275" s="119" t="s">
        <v>3110</v>
      </c>
      <c r="G275" s="138">
        <v>0</v>
      </c>
      <c r="H275" s="113" t="str">
        <f t="shared" si="12"/>
        <v>SE</v>
      </c>
      <c r="I275" s="113" t="e">
        <f>INDEX('SCH M Lookup'!$I:$I,MATCH($A275,'SCH M Lookup'!$A:$A,0))</f>
        <v>#N/A</v>
      </c>
      <c r="J275" s="113" t="str">
        <f>IF('SCH M Jun22data'!$G275=0,"NO",IF(ISNA('SCH M Jun22data'!$I275),"YES",IF(_xlfn.ISFORMULA('SCH M Jun22data'!$I275),"NO","YES")))</f>
        <v>NO</v>
      </c>
    </row>
    <row r="276" spans="1:10">
      <c r="A276" s="118" t="str">
        <f t="shared" si="13"/>
        <v>4099200SCHMDP130560MEHC Insurance Services-ReceivableSO</v>
      </c>
      <c r="B276" s="125">
        <v>4099200</v>
      </c>
      <c r="C276" s="117" t="str">
        <f t="shared" si="14"/>
        <v>SCHMDP</v>
      </c>
      <c r="D276" s="125">
        <v>130560</v>
      </c>
      <c r="E276" s="121" t="s">
        <v>3269</v>
      </c>
      <c r="F276" s="119" t="s">
        <v>89</v>
      </c>
      <c r="G276" s="138">
        <v>0</v>
      </c>
      <c r="H276" s="113" t="str">
        <f t="shared" si="12"/>
        <v>SO</v>
      </c>
      <c r="I276" s="113" t="e">
        <f>INDEX('SCH M Lookup'!$I:$I,MATCH($A276,'SCH M Lookup'!$A:$A,0))</f>
        <v>#N/A</v>
      </c>
      <c r="J276" s="113" t="str">
        <f>IF('SCH M Jun22data'!$G276=0,"NO",IF(ISNA('SCH M Jun22data'!$I276),"YES",IF(_xlfn.ISFORMULA('SCH M Jun22data'!$I276),"NO","YES")))</f>
        <v>NO</v>
      </c>
    </row>
    <row r="277" spans="1:10">
      <c r="A277" s="118" t="str">
        <f t="shared" si="13"/>
        <v>4099200SCHMDP130600Tax Exempt Interest ( No AMT)SO</v>
      </c>
      <c r="B277" s="125">
        <v>4099200</v>
      </c>
      <c r="C277" s="117" t="str">
        <f t="shared" si="14"/>
        <v>SCHMDP</v>
      </c>
      <c r="D277" s="125">
        <v>130600</v>
      </c>
      <c r="E277" s="121" t="s">
        <v>3270</v>
      </c>
      <c r="F277" s="119" t="s">
        <v>89</v>
      </c>
      <c r="G277" s="138">
        <v>0</v>
      </c>
      <c r="H277" s="113" t="str">
        <f t="shared" si="12"/>
        <v>SO</v>
      </c>
      <c r="I277" s="113" t="e">
        <f>INDEX('SCH M Lookup'!$I:$I,MATCH($A277,'SCH M Lookup'!$A:$A,0))</f>
        <v>#N/A</v>
      </c>
      <c r="J277" s="113" t="str">
        <f>IF('SCH M Jun22data'!$G277=0,"NO",IF(ISNA('SCH M Jun22data'!$I277),"YES",IF(_xlfn.ISFORMULA('SCH M Jun22data'!$I277),"NO","YES")))</f>
        <v>NO</v>
      </c>
    </row>
    <row r="278" spans="1:10">
      <c r="A278" s="118" t="str">
        <f t="shared" si="13"/>
        <v>4099200SCHMDP130605Tax Exempt Interest - CA IOUSITUS</v>
      </c>
      <c r="B278" s="125">
        <v>4099200</v>
      </c>
      <c r="C278" s="117" t="str">
        <f t="shared" si="14"/>
        <v>SCHMDP</v>
      </c>
      <c r="D278" s="125">
        <v>130605</v>
      </c>
      <c r="E278" s="121" t="s">
        <v>3271</v>
      </c>
      <c r="F278" s="119" t="s">
        <v>387</v>
      </c>
      <c r="G278" s="138">
        <v>0</v>
      </c>
      <c r="H278" s="113" t="str">
        <f t="shared" si="12"/>
        <v>SITUS</v>
      </c>
      <c r="I278" s="113" t="e">
        <f>INDEX('SCH M Lookup'!$I:$I,MATCH($A278,'SCH M Lookup'!$A:$A,0))</f>
        <v>#N/A</v>
      </c>
      <c r="J278" s="113" t="str">
        <f>IF('SCH M Jun22data'!$G278=0,"NO",IF(ISNA('SCH M Jun22data'!$I278),"YES",IF(_xlfn.ISFORMULA('SCH M Jun22data'!$I278),"NO","YES")))</f>
        <v>NO</v>
      </c>
    </row>
    <row r="279" spans="1:10">
      <c r="A279" s="118" t="str">
        <f t="shared" si="13"/>
        <v>4099200SCHMDP130910SPI 404(K) ContributionSO</v>
      </c>
      <c r="B279" s="125">
        <v>4099200</v>
      </c>
      <c r="C279" s="117" t="str">
        <f t="shared" si="14"/>
        <v>SCHMDP</v>
      </c>
      <c r="D279" s="125">
        <v>130910</v>
      </c>
      <c r="E279" s="121" t="s">
        <v>3272</v>
      </c>
      <c r="F279" s="119" t="s">
        <v>89</v>
      </c>
      <c r="G279" s="138">
        <v>0</v>
      </c>
      <c r="H279" s="113" t="str">
        <f t="shared" si="12"/>
        <v>SO</v>
      </c>
      <c r="I279" s="113" t="e">
        <f>INDEX('SCH M Lookup'!$I:$I,MATCH($A279,'SCH M Lookup'!$A:$A,0))</f>
        <v>#N/A</v>
      </c>
      <c r="J279" s="113" t="str">
        <f>IF('SCH M Jun22data'!$G279=0,"NO",IF(ISNA('SCH M Jun22data'!$I279),"YES",IF(_xlfn.ISFORMULA('SCH M Jun22data'!$I279),"NO","YES")))</f>
        <v>NO</v>
      </c>
    </row>
    <row r="280" spans="1:10">
      <c r="A280" s="118" t="str">
        <f t="shared" si="13"/>
        <v>4099200SCHMDP305100Amort of Projects-Klamath EngineeringSG</v>
      </c>
      <c r="B280" s="125">
        <v>4099200</v>
      </c>
      <c r="C280" s="117" t="str">
        <f t="shared" si="14"/>
        <v>SCHMDP</v>
      </c>
      <c r="D280" s="125">
        <v>305100</v>
      </c>
      <c r="E280" s="121" t="s">
        <v>3273</v>
      </c>
      <c r="F280" s="119" t="s">
        <v>3108</v>
      </c>
      <c r="G280" s="138">
        <v>0</v>
      </c>
      <c r="H280" s="113" t="str">
        <f t="shared" si="12"/>
        <v>SG</v>
      </c>
      <c r="I280" s="113" t="e">
        <f>INDEX('SCH M Lookup'!$I:$I,MATCH($A280,'SCH M Lookup'!$A:$A,0))</f>
        <v>#N/A</v>
      </c>
      <c r="J280" s="113" t="str">
        <f>IF('SCH M Jun22data'!$G280=0,"NO",IF(ISNA('SCH M Jun22data'!$I280),"YES",IF(_xlfn.ISFORMULA('SCH M Jun22data'!$I280),"NO","YES")))</f>
        <v>NO</v>
      </c>
    </row>
    <row r="281" spans="1:10">
      <c r="A281" s="118" t="str">
        <f t="shared" si="13"/>
        <v>4099200SCHMDP6201002004 JCA-Qualified Prod Activities DeducSG</v>
      </c>
      <c r="B281" s="125">
        <v>4099200</v>
      </c>
      <c r="C281" s="117" t="str">
        <f t="shared" si="14"/>
        <v>SCHMDP</v>
      </c>
      <c r="D281" s="125">
        <v>620100</v>
      </c>
      <c r="E281" s="121" t="s">
        <v>464</v>
      </c>
      <c r="F281" s="119" t="s">
        <v>87</v>
      </c>
      <c r="G281" s="138">
        <v>0</v>
      </c>
      <c r="H281" s="113" t="str">
        <f t="shared" si="12"/>
        <v>SG</v>
      </c>
      <c r="I281" s="113" t="str">
        <f>INDEX('SCH M Lookup'!$I:$I,MATCH($A281,'SCH M Lookup'!$A:$A,0))</f>
        <v>P</v>
      </c>
      <c r="J281" s="113" t="str">
        <f>IF('SCH M Jun22data'!$G281=0,"NO",IF(ISNA('SCH M Jun22data'!$I281),"YES",IF(_xlfn.ISFORMULA('SCH M Jun22data'!$I281),"NO","YES")))</f>
        <v>NO</v>
      </c>
    </row>
    <row r="282" spans="1:10">
      <c r="A282" s="118" t="str">
        <f t="shared" si="13"/>
        <v>4099200SCHMDP620101PMI 2004 JCA-Qualified Prod Activities DSE</v>
      </c>
      <c r="B282" s="125">
        <v>4099200</v>
      </c>
      <c r="C282" s="117" t="str">
        <f t="shared" si="14"/>
        <v>SCHMDP</v>
      </c>
      <c r="D282" s="125">
        <v>620101</v>
      </c>
      <c r="E282" s="121" t="s">
        <v>465</v>
      </c>
      <c r="F282" s="119" t="s">
        <v>3134</v>
      </c>
      <c r="G282" s="138">
        <v>0</v>
      </c>
      <c r="H282" s="113" t="str">
        <f t="shared" si="12"/>
        <v>SE</v>
      </c>
      <c r="I282" s="113" t="str">
        <f>INDEX('SCH M Lookup'!$I:$I,MATCH($A282,'SCH M Lookup'!$A:$A,0))</f>
        <v>P</v>
      </c>
      <c r="J282" s="113" t="str">
        <f>IF('SCH M Jun22data'!$G282=0,"NO",IF(ISNA('SCH M Jun22data'!$I282),"YES",IF(_xlfn.ISFORMULA('SCH M Jun22data'!$I282),"NO","YES")))</f>
        <v>NO</v>
      </c>
    </row>
    <row r="283" spans="1:10">
      <c r="A283" s="118" t="str">
        <f t="shared" si="13"/>
        <v>4099200SCHMDP720105MEDICARE SUBSIDYSO</v>
      </c>
      <c r="B283" s="125">
        <v>4099200</v>
      </c>
      <c r="C283" s="117" t="str">
        <f t="shared" si="14"/>
        <v>SCHMDP</v>
      </c>
      <c r="D283" s="125">
        <v>720105</v>
      </c>
      <c r="E283" s="121" t="s">
        <v>3274</v>
      </c>
      <c r="F283" s="119" t="s">
        <v>89</v>
      </c>
      <c r="G283" s="138">
        <v>0</v>
      </c>
      <c r="H283" s="113" t="str">
        <f t="shared" si="12"/>
        <v>SO</v>
      </c>
      <c r="I283" s="113" t="e">
        <f>INDEX('SCH M Lookup'!$I:$I,MATCH($A283,'SCH M Lookup'!$A:$A,0))</f>
        <v>#N/A</v>
      </c>
      <c r="J283" s="113" t="str">
        <f>IF('SCH M Jun22data'!$G283=0,"NO",IF(ISNA('SCH M Jun22data'!$I283),"YES",IF(_xlfn.ISFORMULA('SCH M Jun22data'!$I283),"NO","YES")))</f>
        <v>NO</v>
      </c>
    </row>
    <row r="284" spans="1:10">
      <c r="A284" s="118" t="str">
        <f t="shared" si="13"/>
        <v>4099200SCHMDP910900PMIDepletionSE</v>
      </c>
      <c r="B284" s="125">
        <v>4099200</v>
      </c>
      <c r="C284" s="117" t="str">
        <f t="shared" si="14"/>
        <v>SCHMDP</v>
      </c>
      <c r="D284" s="125">
        <v>910900</v>
      </c>
      <c r="E284" s="121" t="s">
        <v>466</v>
      </c>
      <c r="F284" s="119" t="s">
        <v>3134</v>
      </c>
      <c r="G284" s="138">
        <v>5963.5469899999998</v>
      </c>
      <c r="H284" s="113" t="str">
        <f t="shared" si="12"/>
        <v>SE</v>
      </c>
      <c r="I284" s="113" t="str">
        <f>INDEX('SCH M Lookup'!$I:$I,MATCH($A284,'SCH M Lookup'!$A:$A,0))</f>
        <v>P</v>
      </c>
      <c r="J284" s="113" t="str">
        <f>IF('SCH M Jun22data'!$G284=0,"NO",IF(ISNA('SCH M Jun22data'!$I284),"YES",IF(_xlfn.ISFORMULA('SCH M Jun22data'!$I284),"NO","YES")))</f>
        <v>NO</v>
      </c>
    </row>
    <row r="285" spans="1:10">
      <c r="A285" s="118" t="str">
        <f t="shared" si="13"/>
        <v>4099200SCHMDP910918PMI Overriding RoyaltySE</v>
      </c>
      <c r="B285" s="125">
        <v>4099200</v>
      </c>
      <c r="C285" s="117" t="str">
        <f t="shared" si="14"/>
        <v>SCHMDP</v>
      </c>
      <c r="D285" s="125">
        <v>910918</v>
      </c>
      <c r="E285" s="121" t="s">
        <v>3275</v>
      </c>
      <c r="F285" s="119" t="s">
        <v>3134</v>
      </c>
      <c r="G285" s="138">
        <v>0</v>
      </c>
      <c r="H285" s="113" t="str">
        <f t="shared" si="12"/>
        <v>SE</v>
      </c>
      <c r="I285" s="113" t="e">
        <f>INDEX('SCH M Lookup'!$I:$I,MATCH($A285,'SCH M Lookup'!$A:$A,0))</f>
        <v>#N/A</v>
      </c>
      <c r="J285" s="113" t="str">
        <f>IF('SCH M Jun22data'!$G285=0,"NO",IF(ISNA('SCH M Jun22data'!$I285),"YES",IF(_xlfn.ISFORMULA('SCH M Jun22data'!$I285),"NO","YES")))</f>
        <v>NO</v>
      </c>
    </row>
    <row r="286" spans="1:10">
      <c r="A286" s="118" t="str">
        <f t="shared" si="13"/>
        <v>4099200SCHMDP920105PMI Tax Exempt Interest IncomeSE</v>
      </c>
      <c r="B286" s="125">
        <v>4099200</v>
      </c>
      <c r="C286" s="117" t="str">
        <f t="shared" si="14"/>
        <v>SCHMDP</v>
      </c>
      <c r="D286" s="125">
        <v>920105</v>
      </c>
      <c r="E286" s="121" t="s">
        <v>3276</v>
      </c>
      <c r="F286" s="119" t="s">
        <v>3134</v>
      </c>
      <c r="G286" s="138">
        <v>0</v>
      </c>
      <c r="H286" s="113" t="str">
        <f t="shared" si="12"/>
        <v>SE</v>
      </c>
      <c r="I286" s="113" t="e">
        <f>INDEX('SCH M Lookup'!$I:$I,MATCH($A286,'SCH M Lookup'!$A:$A,0))</f>
        <v>#N/A</v>
      </c>
      <c r="J286" s="113" t="str">
        <f>IF('SCH M Jun22data'!$G286=0,"NO",IF(ISNA('SCH M Jun22data'!$I286),"YES",IF(_xlfn.ISFORMULA('SCH M Jun22data'!$I286),"NO","YES")))</f>
        <v>NO</v>
      </c>
    </row>
    <row r="287" spans="1:10">
      <c r="A287" s="118" t="str">
        <f t="shared" si="13"/>
        <v>4099300SCHMDT105101Capitalized Labor Cost for Powertax InpuSO</v>
      </c>
      <c r="B287" s="125">
        <v>4099300</v>
      </c>
      <c r="C287" s="117" t="str">
        <f t="shared" si="14"/>
        <v>SCHMDT</v>
      </c>
      <c r="D287" s="125">
        <v>105101</v>
      </c>
      <c r="E287" s="121" t="s">
        <v>3277</v>
      </c>
      <c r="F287" s="119" t="s">
        <v>89</v>
      </c>
      <c r="G287" s="138">
        <v>0</v>
      </c>
      <c r="H287" s="113" t="str">
        <f t="shared" si="12"/>
        <v>SO</v>
      </c>
      <c r="I287" s="113" t="e">
        <f>INDEX('SCH M Lookup'!$I:$I,MATCH($A287,'SCH M Lookup'!$A:$A,0))</f>
        <v>#N/A</v>
      </c>
      <c r="J287" s="113" t="str">
        <f>IF('SCH M Jun22data'!$G287=0,"NO",IF(ISNA('SCH M Jun22data'!$I287),"YES",IF(_xlfn.ISFORMULA('SCH M Jun22data'!$I287),"NO","YES")))</f>
        <v>NO</v>
      </c>
    </row>
    <row r="288" spans="1:10">
      <c r="A288" s="118" t="str">
        <f t="shared" si="13"/>
        <v>4099300SCHMDT105122Repair DeductionSG</v>
      </c>
      <c r="B288" s="125">
        <v>4099300</v>
      </c>
      <c r="C288" s="117" t="str">
        <f t="shared" si="14"/>
        <v>SCHMDT</v>
      </c>
      <c r="D288" s="125">
        <v>105122</v>
      </c>
      <c r="E288" s="121" t="s">
        <v>467</v>
      </c>
      <c r="F288" s="119" t="s">
        <v>87</v>
      </c>
      <c r="G288" s="138">
        <v>186600.47</v>
      </c>
      <c r="H288" s="113" t="str">
        <f t="shared" si="12"/>
        <v>SG</v>
      </c>
      <c r="I288" s="113" t="str">
        <f>INDEX('SCH M Lookup'!$I:$I,MATCH($A288,'SCH M Lookup'!$A:$A,0))</f>
        <v>P</v>
      </c>
      <c r="J288" s="113" t="str">
        <f>IF('SCH M Jun22data'!$G288=0,"NO",IF(ISNA('SCH M Jun22data'!$I288),"YES",IF(_xlfn.ISFORMULA('SCH M Jun22data'!$I288),"NO","YES")))</f>
        <v>NO</v>
      </c>
    </row>
    <row r="289" spans="1:10">
      <c r="A289" s="118" t="str">
        <f t="shared" si="13"/>
        <v>4099300SCHMDT105125Tax DepreciationTAXDEPR</v>
      </c>
      <c r="B289" s="125">
        <v>4099300</v>
      </c>
      <c r="C289" s="117" t="str">
        <f t="shared" si="14"/>
        <v>SCHMDT</v>
      </c>
      <c r="D289" s="125">
        <v>105125</v>
      </c>
      <c r="E289" s="121" t="s">
        <v>256</v>
      </c>
      <c r="F289" s="119" t="s">
        <v>111</v>
      </c>
      <c r="G289" s="138">
        <v>1421447.4210000001</v>
      </c>
      <c r="H289" s="113" t="str">
        <f t="shared" si="12"/>
        <v>TAXDEPR</v>
      </c>
      <c r="I289" s="113" t="str">
        <f>INDEX('SCH M Lookup'!$I:$I,MATCH($A289,'SCH M Lookup'!$A:$A,0))</f>
        <v>TAXDEPR</v>
      </c>
      <c r="J289" s="113" t="str">
        <f>IF('SCH M Jun22data'!$G289=0,"NO",IF(ISNA('SCH M Jun22data'!$I289),"YES",IF(_xlfn.ISFORMULA('SCH M Jun22data'!$I289),"NO","YES")))</f>
        <v>NO</v>
      </c>
    </row>
    <row r="290" spans="1:10">
      <c r="A290" s="118" t="str">
        <f t="shared" si="13"/>
        <v>4099300SCHMDT105126PMITax DepreciationSE</v>
      </c>
      <c r="B290" s="125">
        <v>4099300</v>
      </c>
      <c r="C290" s="117" t="str">
        <f t="shared" si="14"/>
        <v>SCHMDT</v>
      </c>
      <c r="D290" s="125">
        <v>105126</v>
      </c>
      <c r="E290" s="121" t="s">
        <v>468</v>
      </c>
      <c r="F290" s="119" t="s">
        <v>3134</v>
      </c>
      <c r="G290" s="138">
        <v>6069.37</v>
      </c>
      <c r="H290" s="113" t="str">
        <f t="shared" si="12"/>
        <v>SE</v>
      </c>
      <c r="I290" s="113" t="str">
        <f>INDEX('SCH M Lookup'!$I:$I,MATCH($A290,'SCH M Lookup'!$A:$A,0))</f>
        <v>P</v>
      </c>
      <c r="J290" s="113" t="str">
        <f>IF('SCH M Jun22data'!$G290=0,"NO",IF(ISNA('SCH M Jun22data'!$I290),"YES",IF(_xlfn.ISFORMULA('SCH M Jun22data'!$I290),"NO","YES")))</f>
        <v>NO</v>
      </c>
    </row>
    <row r="291" spans="1:10">
      <c r="A291" s="118" t="str">
        <f t="shared" si="13"/>
        <v>4099300SCHMDT105137Capitalized DepreciationSO</v>
      </c>
      <c r="B291" s="125">
        <v>4099300</v>
      </c>
      <c r="C291" s="117" t="str">
        <f t="shared" si="14"/>
        <v>SCHMDT</v>
      </c>
      <c r="D291" s="125">
        <v>105137</v>
      </c>
      <c r="E291" s="121" t="s">
        <v>469</v>
      </c>
      <c r="F291" s="119" t="s">
        <v>89</v>
      </c>
      <c r="G291" s="138">
        <v>9611.1299999999992</v>
      </c>
      <c r="H291" s="113" t="str">
        <f t="shared" si="12"/>
        <v>SO</v>
      </c>
      <c r="I291" s="113" t="str">
        <f>INDEX('SCH M Lookup'!$I:$I,MATCH($A291,'SCH M Lookup'!$A:$A,0))</f>
        <v>GP</v>
      </c>
      <c r="J291" s="113" t="str">
        <f>IF('SCH M Jun22data'!$G291=0,"NO",IF(ISNA('SCH M Jun22data'!$I291),"YES",IF(_xlfn.ISFORMULA('SCH M Jun22data'!$I291),"NO","YES")))</f>
        <v>NO</v>
      </c>
    </row>
    <row r="292" spans="1:10">
      <c r="A292" s="118" t="str">
        <f t="shared" si="13"/>
        <v>4099300SCHMDT1051411AFUDC - DEBTSNP</v>
      </c>
      <c r="B292" s="125">
        <v>4099300</v>
      </c>
      <c r="C292" s="117" t="str">
        <f t="shared" si="14"/>
        <v>SCHMDT</v>
      </c>
      <c r="D292" s="125">
        <v>1051411</v>
      </c>
      <c r="E292" s="121" t="s">
        <v>470</v>
      </c>
      <c r="F292" s="119" t="s">
        <v>7</v>
      </c>
      <c r="G292" s="138">
        <v>23789.89905</v>
      </c>
      <c r="H292" s="113" t="str">
        <f t="shared" si="12"/>
        <v>SNP</v>
      </c>
      <c r="I292" s="113" t="str">
        <f>INDEX('SCH M Lookup'!$I:$I,MATCH($A292,'SCH M Lookup'!$A:$A,0))</f>
        <v>PTD</v>
      </c>
      <c r="J292" s="113" t="str">
        <f>IF('SCH M Jun22data'!$G292=0,"NO",IF(ISNA('SCH M Jun22data'!$I292),"YES",IF(_xlfn.ISFORMULA('SCH M Jun22data'!$I292),"NO","YES")))</f>
        <v>NO</v>
      </c>
    </row>
    <row r="293" spans="1:10">
      <c r="A293" s="118" t="str">
        <f t="shared" si="13"/>
        <v>4099300SCHMDT1051412AFUDC - EquitySNP</v>
      </c>
      <c r="B293" s="125">
        <v>4099300</v>
      </c>
      <c r="C293" s="117" t="str">
        <f t="shared" si="14"/>
        <v>SCHMDT</v>
      </c>
      <c r="D293" s="125">
        <v>1051412</v>
      </c>
      <c r="E293" s="121" t="s">
        <v>471</v>
      </c>
      <c r="F293" s="119" t="s">
        <v>7</v>
      </c>
      <c r="G293" s="138">
        <v>52598.022839999998</v>
      </c>
      <c r="H293" s="113" t="str">
        <f t="shared" si="12"/>
        <v>SNP</v>
      </c>
      <c r="I293" s="113" t="str">
        <f>INDEX('SCH M Lookup'!$I:$I,MATCH($A293,'SCH M Lookup'!$A:$A,0))</f>
        <v>PTD</v>
      </c>
      <c r="J293" s="113" t="str">
        <f>IF('SCH M Jun22data'!$G293=0,"NO",IF(ISNA('SCH M Jun22data'!$I293),"YES",IF(_xlfn.ISFORMULA('SCH M Jun22data'!$I293),"NO","YES")))</f>
        <v>NO</v>
      </c>
    </row>
    <row r="294" spans="1:10">
      <c r="A294" s="118" t="str">
        <f t="shared" si="13"/>
        <v>4099300SCHMDT105143Basis Intangible DifferenceSNP</v>
      </c>
      <c r="B294" s="125">
        <v>4099300</v>
      </c>
      <c r="C294" s="117" t="str">
        <f t="shared" si="14"/>
        <v>SCHMDT</v>
      </c>
      <c r="D294" s="125">
        <v>105143</v>
      </c>
      <c r="E294" s="121" t="s">
        <v>472</v>
      </c>
      <c r="F294" s="119" t="s">
        <v>7</v>
      </c>
      <c r="G294" s="138">
        <v>323.82100000000003</v>
      </c>
      <c r="H294" s="113" t="str">
        <f t="shared" si="12"/>
        <v>SNP</v>
      </c>
      <c r="I294" s="113" t="str">
        <f>INDEX('SCH M Lookup'!$I:$I,MATCH($A294,'SCH M Lookup'!$A:$A,0))</f>
        <v>PTD</v>
      </c>
      <c r="J294" s="113" t="str">
        <f>IF('SCH M Jun22data'!$G294=0,"NO",IF(ISNA('SCH M Jun22data'!$I294),"YES",IF(_xlfn.ISFORMULA('SCH M Jun22data'!$I294),"NO","YES")))</f>
        <v>NO</v>
      </c>
    </row>
    <row r="295" spans="1:10">
      <c r="A295" s="118" t="str">
        <f t="shared" si="13"/>
        <v>4099300SCHMDT105147Sec 1031 Like Kind ExchangeSO</v>
      </c>
      <c r="B295" s="125">
        <v>4099300</v>
      </c>
      <c r="C295" s="117" t="str">
        <f t="shared" si="14"/>
        <v>SCHMDT</v>
      </c>
      <c r="D295" s="125">
        <v>105147</v>
      </c>
      <c r="E295" s="121" t="s">
        <v>3142</v>
      </c>
      <c r="F295" s="119" t="s">
        <v>89</v>
      </c>
      <c r="G295" s="138">
        <v>0</v>
      </c>
      <c r="H295" s="113" t="str">
        <f t="shared" si="12"/>
        <v>SO</v>
      </c>
      <c r="I295" s="113" t="e">
        <f>INDEX('SCH M Lookup'!$I:$I,MATCH($A295,'SCH M Lookup'!$A:$A,0))</f>
        <v>#N/A</v>
      </c>
      <c r="J295" s="113" t="str">
        <f>IF('SCH M Jun22data'!$G295=0,"NO",IF(ISNA('SCH M Jun22data'!$I295),"YES",IF(_xlfn.ISFORMULA('SCH M Jun22data'!$I295),"NO","YES")))</f>
        <v>NO</v>
      </c>
    </row>
    <row r="296" spans="1:10">
      <c r="A296" s="118" t="str">
        <f t="shared" si="13"/>
        <v>4099300SCHMDT105148Mine Safety Sec. 179E Election - PPWSE</v>
      </c>
      <c r="B296" s="125">
        <v>4099300</v>
      </c>
      <c r="C296" s="117" t="str">
        <f t="shared" si="14"/>
        <v>SCHMDT</v>
      </c>
      <c r="D296" s="125">
        <v>105148</v>
      </c>
      <c r="E296" s="121" t="s">
        <v>3278</v>
      </c>
      <c r="F296" s="119" t="s">
        <v>3110</v>
      </c>
      <c r="G296" s="138">
        <v>0</v>
      </c>
      <c r="H296" s="113" t="str">
        <f t="shared" si="12"/>
        <v>SE</v>
      </c>
      <c r="I296" s="113" t="e">
        <f>INDEX('SCH M Lookup'!$I:$I,MATCH($A296,'SCH M Lookup'!$A:$A,0))</f>
        <v>#N/A</v>
      </c>
      <c r="J296" s="113" t="str">
        <f>IF('SCH M Jun22data'!$G296=0,"NO",IF(ISNA('SCH M Jun22data'!$I296),"YES",IF(_xlfn.ISFORMULA('SCH M Jun22data'!$I296),"NO","YES")))</f>
        <v>NO</v>
      </c>
    </row>
    <row r="297" spans="1:10">
      <c r="A297" s="118" t="str">
        <f t="shared" si="13"/>
        <v>4099300SCHMDT105149Mine Safety Sec. 179E Election - PMISE</v>
      </c>
      <c r="B297" s="125">
        <v>4099300</v>
      </c>
      <c r="C297" s="117" t="str">
        <f t="shared" si="14"/>
        <v>SCHMDT</v>
      </c>
      <c r="D297" s="125">
        <v>105149</v>
      </c>
      <c r="E297" s="121" t="s">
        <v>3279</v>
      </c>
      <c r="F297" s="119" t="s">
        <v>3134</v>
      </c>
      <c r="G297" s="138">
        <v>0</v>
      </c>
      <c r="H297" s="113" t="str">
        <f t="shared" si="12"/>
        <v>SE</v>
      </c>
      <c r="I297" s="113" t="e">
        <f>INDEX('SCH M Lookup'!$I:$I,MATCH($A297,'SCH M Lookup'!$A:$A,0))</f>
        <v>#N/A</v>
      </c>
      <c r="J297" s="113" t="str">
        <f>IF('SCH M Jun22data'!$G297=0,"NO",IF(ISNA('SCH M Jun22data'!$I297),"YES",IF(_xlfn.ISFORMULA('SCH M Jun22data'!$I297),"NO","YES")))</f>
        <v>NO</v>
      </c>
    </row>
    <row r="298" spans="1:10">
      <c r="A298" s="118" t="str">
        <f t="shared" si="13"/>
        <v>4099300SCHMDT105152Gain/(Loss) on Prop DispositionsGPS</v>
      </c>
      <c r="B298" s="125">
        <v>4099300</v>
      </c>
      <c r="C298" s="117" t="str">
        <f t="shared" si="14"/>
        <v>SCHMDT</v>
      </c>
      <c r="D298" s="125">
        <v>105152</v>
      </c>
      <c r="E298" s="121" t="s">
        <v>473</v>
      </c>
      <c r="F298" s="119" t="s">
        <v>9</v>
      </c>
      <c r="G298" s="138">
        <v>6905.2003400000003</v>
      </c>
      <c r="H298" s="113" t="str">
        <f t="shared" si="12"/>
        <v>GPS</v>
      </c>
      <c r="I298" s="113" t="str">
        <f>INDEX('SCH M Lookup'!$I:$I,MATCH($A298,'SCH M Lookup'!$A:$A,0))</f>
        <v>PTD</v>
      </c>
      <c r="J298" s="113" t="str">
        <f>IF('SCH M Jun22data'!$G298=0,"NO",IF(ISNA('SCH M Jun22data'!$I298),"YES",IF(_xlfn.ISFORMULA('SCH M Jun22data'!$I298),"NO","YES")))</f>
        <v>NO</v>
      </c>
    </row>
    <row r="299" spans="1:10">
      <c r="A299" s="118" t="str">
        <f t="shared" si="13"/>
        <v>4099300SCHMDT105153Contract Liability Basis Adjustment -CheSG</v>
      </c>
      <c r="B299" s="125">
        <v>4099300</v>
      </c>
      <c r="C299" s="117" t="str">
        <f t="shared" si="14"/>
        <v>SCHMDT</v>
      </c>
      <c r="D299" s="125">
        <v>105153</v>
      </c>
      <c r="E299" s="121" t="s">
        <v>474</v>
      </c>
      <c r="F299" s="119" t="s">
        <v>3108</v>
      </c>
      <c r="G299" s="138">
        <v>3.5319999999999997E-2</v>
      </c>
      <c r="H299" s="113" t="str">
        <f t="shared" si="12"/>
        <v>SG</v>
      </c>
      <c r="I299" s="113" t="str">
        <f>INDEX('SCH M Lookup'!$I:$I,MATCH($A299,'SCH M Lookup'!$A:$A,0))</f>
        <v>P</v>
      </c>
      <c r="J299" s="113" t="str">
        <f>IF('SCH M Jun22data'!$G299=0,"NO",IF(ISNA('SCH M Jun22data'!$I299),"YES",IF(_xlfn.ISFORMULA('SCH M Jun22data'!$I299),"NO","YES")))</f>
        <v>NO</v>
      </c>
    </row>
    <row r="300" spans="1:10">
      <c r="A300" s="118" t="str">
        <f t="shared" si="13"/>
        <v>4099300SCHMDT105165Coal Mine DevelopmentSE</v>
      </c>
      <c r="B300" s="125">
        <v>4099300</v>
      </c>
      <c r="C300" s="117" t="str">
        <f t="shared" si="14"/>
        <v>SCHMDT</v>
      </c>
      <c r="D300" s="125">
        <v>105165</v>
      </c>
      <c r="E300" s="121" t="s">
        <v>3143</v>
      </c>
      <c r="F300" s="119" t="s">
        <v>85</v>
      </c>
      <c r="G300" s="138">
        <v>0</v>
      </c>
      <c r="H300" s="113" t="str">
        <f t="shared" si="12"/>
        <v>SE</v>
      </c>
      <c r="I300" s="113" t="e">
        <f>INDEX('SCH M Lookup'!$I:$I,MATCH($A300,'SCH M Lookup'!$A:$A,0))</f>
        <v>#N/A</v>
      </c>
      <c r="J300" s="113" t="str">
        <f>IF('SCH M Jun22data'!$G300=0,"NO",IF(ISNA('SCH M Jun22data'!$I300),"YES",IF(_xlfn.ISFORMULA('SCH M Jun22data'!$I300),"NO","YES")))</f>
        <v>NO</v>
      </c>
    </row>
    <row r="301" spans="1:10">
      <c r="A301" s="118" t="str">
        <f t="shared" si="13"/>
        <v>4099300SCHMDT105171PMI Coal Mine Receding Face (Extension)SE</v>
      </c>
      <c r="B301" s="125">
        <v>4099300</v>
      </c>
      <c r="C301" s="117" t="str">
        <f t="shared" si="14"/>
        <v>SCHMDT</v>
      </c>
      <c r="D301" s="125">
        <v>105171</v>
      </c>
      <c r="E301" s="121" t="s">
        <v>475</v>
      </c>
      <c r="F301" s="119" t="s">
        <v>3134</v>
      </c>
      <c r="G301" s="138">
        <v>0</v>
      </c>
      <c r="H301" s="113" t="str">
        <f t="shared" si="12"/>
        <v>SE</v>
      </c>
      <c r="I301" s="113" t="str">
        <f>INDEX('SCH M Lookup'!$I:$I,MATCH($A301,'SCH M Lookup'!$A:$A,0))</f>
        <v>P</v>
      </c>
      <c r="J301" s="113" t="str">
        <f>IF('SCH M Jun22data'!$G301=0,"NO",IF(ISNA('SCH M Jun22data'!$I301),"YES",IF(_xlfn.ISFORMULA('SCH M Jun22data'!$I301),"NO","YES")))</f>
        <v>NO</v>
      </c>
    </row>
    <row r="302" spans="1:10">
      <c r="A302" s="118" t="str">
        <f t="shared" si="13"/>
        <v>4099300SCHMDT105175Removal Cost (net of salvage)GPS</v>
      </c>
      <c r="B302" s="125">
        <v>4099300</v>
      </c>
      <c r="C302" s="117" t="str">
        <f t="shared" si="14"/>
        <v>SCHMDT</v>
      </c>
      <c r="D302" s="125">
        <v>105175</v>
      </c>
      <c r="E302" s="121" t="s">
        <v>476</v>
      </c>
      <c r="F302" s="119" t="s">
        <v>9</v>
      </c>
      <c r="G302" s="138">
        <v>80695.944680000001</v>
      </c>
      <c r="H302" s="113" t="str">
        <f t="shared" si="12"/>
        <v>GPS</v>
      </c>
      <c r="I302" s="113" t="str">
        <f>INDEX('SCH M Lookup'!$I:$I,MATCH($A302,'SCH M Lookup'!$A:$A,0))</f>
        <v>PTD</v>
      </c>
      <c r="J302" s="113" t="str">
        <f>IF('SCH M Jun22data'!$G302=0,"NO",IF(ISNA('SCH M Jun22data'!$I302),"YES",IF(_xlfn.ISFORMULA('SCH M Jun22data'!$I302),"NO","YES")))</f>
        <v>NO</v>
      </c>
    </row>
    <row r="303" spans="1:10">
      <c r="A303" s="118" t="str">
        <f t="shared" si="13"/>
        <v>4099300SCHMDT105181Stm Rts Blundell Geothermal Tax DeprSG</v>
      </c>
      <c r="B303" s="125">
        <v>4099300</v>
      </c>
      <c r="C303" s="117" t="str">
        <f t="shared" si="14"/>
        <v>SCHMDT</v>
      </c>
      <c r="D303" s="125">
        <v>105181</v>
      </c>
      <c r="E303" s="121" t="s">
        <v>3280</v>
      </c>
      <c r="F303" s="119" t="s">
        <v>87</v>
      </c>
      <c r="G303" s="138">
        <v>0</v>
      </c>
      <c r="H303" s="113" t="str">
        <f t="shared" si="12"/>
        <v>SG</v>
      </c>
      <c r="I303" s="113" t="e">
        <f>INDEX('SCH M Lookup'!$I:$I,MATCH($A303,'SCH M Lookup'!$A:$A,0))</f>
        <v>#N/A</v>
      </c>
      <c r="J303" s="113" t="str">
        <f>IF('SCH M Jun22data'!$G303=0,"NO",IF(ISNA('SCH M Jun22data'!$I303),"YES",IF(_xlfn.ISFORMULA('SCH M Jun22data'!$I303),"NO","YES")))</f>
        <v>NO</v>
      </c>
    </row>
    <row r="304" spans="1:10">
      <c r="A304" s="118" t="str">
        <f t="shared" si="13"/>
        <v>4099300SCHMDT105185Repair Allowance 3115DGP</v>
      </c>
      <c r="B304" s="125">
        <v>4099300</v>
      </c>
      <c r="C304" s="117" t="str">
        <f t="shared" si="14"/>
        <v>SCHMDT</v>
      </c>
      <c r="D304" s="125">
        <v>105185</v>
      </c>
      <c r="E304" s="121" t="s">
        <v>3281</v>
      </c>
      <c r="F304" s="119" t="s">
        <v>104</v>
      </c>
      <c r="G304" s="138">
        <v>0</v>
      </c>
      <c r="H304" s="113" t="str">
        <f t="shared" si="12"/>
        <v>DGP</v>
      </c>
      <c r="I304" s="113" t="e">
        <f>INDEX('SCH M Lookup'!$I:$I,MATCH($A304,'SCH M Lookup'!$A:$A,0))</f>
        <v>#N/A</v>
      </c>
      <c r="J304" s="113" t="str">
        <f>IF('SCH M Jun22data'!$G304=0,"NO",IF(ISNA('SCH M Jun22data'!$I304),"YES",IF(_xlfn.ISFORMULA('SCH M Jun22data'!$I304),"NO","YES")))</f>
        <v>NO</v>
      </c>
    </row>
    <row r="305" spans="1:10">
      <c r="A305" s="118" t="str">
        <f t="shared" si="13"/>
        <v>4099300SCHMDT105220Cholla GE Safe Harbor LeaseSG</v>
      </c>
      <c r="B305" s="125">
        <v>4099300</v>
      </c>
      <c r="C305" s="117" t="str">
        <f t="shared" si="14"/>
        <v>SCHMDT</v>
      </c>
      <c r="D305" s="125">
        <v>105220</v>
      </c>
      <c r="E305" s="121" t="s">
        <v>3282</v>
      </c>
      <c r="F305" s="119" t="s">
        <v>3106</v>
      </c>
      <c r="G305" s="138">
        <v>0</v>
      </c>
      <c r="H305" s="113" t="str">
        <f t="shared" si="12"/>
        <v>SG</v>
      </c>
      <c r="I305" s="113" t="e">
        <f>INDEX('SCH M Lookup'!$I:$I,MATCH($A305,'SCH M Lookup'!$A:$A,0))</f>
        <v>#N/A</v>
      </c>
      <c r="J305" s="113" t="str">
        <f>IF('SCH M Jun22data'!$G305=0,"NO",IF(ISNA('SCH M Jun22data'!$I305),"YES",IF(_xlfn.ISFORMULA('SCH M Jun22data'!$I305),"NO","YES")))</f>
        <v>NO</v>
      </c>
    </row>
    <row r="306" spans="1:10">
      <c r="A306" s="118" t="str">
        <f t="shared" si="13"/>
        <v>4099300SCHMDT1052203Cholla SHL-NOPA (Lease Amortization)SG</v>
      </c>
      <c r="B306" s="125">
        <v>4099300</v>
      </c>
      <c r="C306" s="117" t="str">
        <f t="shared" si="14"/>
        <v>SCHMDT</v>
      </c>
      <c r="D306" s="125">
        <v>1052203</v>
      </c>
      <c r="E306" s="121" t="s">
        <v>477</v>
      </c>
      <c r="F306" s="119" t="s">
        <v>3106</v>
      </c>
      <c r="G306" s="138">
        <v>0</v>
      </c>
      <c r="H306" s="113" t="str">
        <f t="shared" si="12"/>
        <v>SG</v>
      </c>
      <c r="I306" s="113" t="str">
        <f>INDEX('SCH M Lookup'!$I:$I,MATCH($A306,'SCH M Lookup'!$A:$A,0))</f>
        <v>P</v>
      </c>
      <c r="J306" s="113" t="str">
        <f>IF('SCH M Jun22data'!$G306=0,"NO",IF(ISNA('SCH M Jun22data'!$I306),"YES",IF(_xlfn.ISFORMULA('SCH M Jun22data'!$I306),"NO","YES")))</f>
        <v>NO</v>
      </c>
    </row>
    <row r="307" spans="1:10">
      <c r="A307" s="118" t="str">
        <f t="shared" si="13"/>
        <v>4099300SCHMDT105470Book Gain/Loss on Land SalesGPS</v>
      </c>
      <c r="B307" s="125">
        <v>4099300</v>
      </c>
      <c r="C307" s="117" t="str">
        <f t="shared" si="14"/>
        <v>SCHMDT</v>
      </c>
      <c r="D307" s="125">
        <v>105470</v>
      </c>
      <c r="E307" s="121" t="s">
        <v>478</v>
      </c>
      <c r="F307" s="119" t="s">
        <v>9</v>
      </c>
      <c r="G307" s="138">
        <v>2539.1075700000001</v>
      </c>
      <c r="H307" s="113" t="str">
        <f t="shared" si="12"/>
        <v>GPS</v>
      </c>
      <c r="I307" s="113" t="str">
        <f>INDEX('SCH M Lookup'!$I:$I,MATCH($A307,'SCH M Lookup'!$A:$A,0))</f>
        <v>PTD</v>
      </c>
      <c r="J307" s="113" t="str">
        <f>IF('SCH M Jun22data'!$G307=0,"NO",IF(ISNA('SCH M Jun22data'!$I307),"YES",IF(_xlfn.ISFORMULA('SCH M Jun22data'!$I307),"NO","YES")))</f>
        <v>NO</v>
      </c>
    </row>
    <row r="308" spans="1:10">
      <c r="A308" s="118" t="str">
        <f t="shared" si="13"/>
        <v>4099300SCHMDT110200Depletion - Tax Percentage DeductionSE</v>
      </c>
      <c r="B308" s="125">
        <v>4099300</v>
      </c>
      <c r="C308" s="117" t="str">
        <f t="shared" si="14"/>
        <v>SCHMDT</v>
      </c>
      <c r="D308" s="125">
        <v>110200</v>
      </c>
      <c r="E308" s="121" t="s">
        <v>3283</v>
      </c>
      <c r="F308" s="119" t="s">
        <v>3110</v>
      </c>
      <c r="G308" s="138">
        <v>0</v>
      </c>
      <c r="H308" s="113" t="str">
        <f t="shared" si="12"/>
        <v>SE</v>
      </c>
      <c r="I308" s="113" t="e">
        <f>INDEX('SCH M Lookup'!$I:$I,MATCH($A308,'SCH M Lookup'!$A:$A,0))</f>
        <v>#N/A</v>
      </c>
      <c r="J308" s="113" t="str">
        <f>IF('SCH M Jun22data'!$G308=0,"NO",IF(ISNA('SCH M Jun22data'!$I308),"YES",IF(_xlfn.ISFORMULA('SCH M Jun22data'!$I308),"NO","YES")))</f>
        <v>NO</v>
      </c>
    </row>
    <row r="309" spans="1:10">
      <c r="A309" s="118" t="str">
        <f t="shared" si="13"/>
        <v>4099300SCHMDT1102051Tax Percentage Depletion - DeductionSE</v>
      </c>
      <c r="B309" s="125">
        <v>4099300</v>
      </c>
      <c r="C309" s="117" t="str">
        <f t="shared" si="14"/>
        <v>SCHMDT</v>
      </c>
      <c r="D309" s="125">
        <v>1102051</v>
      </c>
      <c r="E309" s="121" t="s">
        <v>479</v>
      </c>
      <c r="F309" s="119" t="s">
        <v>3110</v>
      </c>
      <c r="G309" s="138">
        <v>164.22749999999999</v>
      </c>
      <c r="H309" s="113" t="str">
        <f t="shared" si="12"/>
        <v>SE</v>
      </c>
      <c r="I309" s="113" t="str">
        <f>INDEX('SCH M Lookup'!$I:$I,MATCH($A309,'SCH M Lookup'!$A:$A,0))</f>
        <v>P</v>
      </c>
      <c r="J309" s="113" t="str">
        <f>IF('SCH M Jun22data'!$G309=0,"NO",IF(ISNA('SCH M Jun22data'!$I309),"YES",IF(_xlfn.ISFORMULA('SCH M Jun22data'!$I309),"NO","YES")))</f>
        <v>NO</v>
      </c>
    </row>
    <row r="310" spans="1:10">
      <c r="A310" s="118" t="str">
        <f t="shared" si="13"/>
        <v>4099300SCHMDT120105Willow Wind Account ReceivableSITUS</v>
      </c>
      <c r="B310" s="125">
        <v>4099300</v>
      </c>
      <c r="C310" s="117" t="str">
        <f t="shared" si="14"/>
        <v>SCHMDT</v>
      </c>
      <c r="D310" s="125">
        <v>120105</v>
      </c>
      <c r="E310" s="121" t="s">
        <v>3150</v>
      </c>
      <c r="F310" s="119" t="s">
        <v>367</v>
      </c>
      <c r="G310" s="138">
        <v>0</v>
      </c>
      <c r="H310" s="113" t="str">
        <f t="shared" si="12"/>
        <v>SITUS</v>
      </c>
      <c r="I310" s="113" t="e">
        <f>INDEX('SCH M Lookup'!$I:$I,MATCH($A310,'SCH M Lookup'!$A:$A,0))</f>
        <v>#N/A</v>
      </c>
      <c r="J310" s="113" t="str">
        <f>IF('SCH M Jun22data'!$G310=0,"NO",IF(ISNA('SCH M Jun22data'!$I310),"YES",IF(_xlfn.ISFORMULA('SCH M Jun22data'!$I310),"NO","YES")))</f>
        <v>NO</v>
      </c>
    </row>
    <row r="311" spans="1:10">
      <c r="A311" s="118" t="str">
        <f t="shared" si="13"/>
        <v>4099300SCHMDT205025PMI - Fuel Cost AdjustmentSE</v>
      </c>
      <c r="B311" s="125">
        <v>4099300</v>
      </c>
      <c r="C311" s="117" t="str">
        <f t="shared" si="14"/>
        <v>SCHMDT</v>
      </c>
      <c r="D311" s="125">
        <v>205025</v>
      </c>
      <c r="E311" s="121" t="s">
        <v>480</v>
      </c>
      <c r="F311" s="119" t="s">
        <v>3134</v>
      </c>
      <c r="G311" s="138">
        <v>-6063.3</v>
      </c>
      <c r="H311" s="113" t="str">
        <f t="shared" si="12"/>
        <v>SE</v>
      </c>
      <c r="I311" s="113" t="str">
        <f>INDEX('SCH M Lookup'!$I:$I,MATCH($A311,'SCH M Lookup'!$A:$A,0))</f>
        <v>P</v>
      </c>
      <c r="J311" s="113" t="str">
        <f>IF('SCH M Jun22data'!$G311=0,"NO",IF(ISNA('SCH M Jun22data'!$I311),"YES",IF(_xlfn.ISFORMULA('SCH M Jun22data'!$I311),"NO","YES")))</f>
        <v>NO</v>
      </c>
    </row>
    <row r="312" spans="1:10">
      <c r="A312" s="118" t="str">
        <f t="shared" si="13"/>
        <v>4099300SCHMDT205200Coal M&amp;S Inventory Write-OffSNPD</v>
      </c>
      <c r="B312" s="125">
        <v>4099300</v>
      </c>
      <c r="C312" s="117" t="str">
        <f t="shared" si="14"/>
        <v>SCHMDT</v>
      </c>
      <c r="D312" s="125">
        <v>205200</v>
      </c>
      <c r="E312" s="121" t="s">
        <v>481</v>
      </c>
      <c r="F312" s="119" t="s">
        <v>11</v>
      </c>
      <c r="G312" s="138">
        <v>576.24898057624898</v>
      </c>
      <c r="H312" s="113" t="str">
        <f t="shared" si="12"/>
        <v>SNPD</v>
      </c>
      <c r="I312" s="113" t="str">
        <f>INDEX('SCH M Lookup'!$I:$I,MATCH($A312,'SCH M Lookup'!$A:$A,0))</f>
        <v>P</v>
      </c>
      <c r="J312" s="113" t="str">
        <f>IF('SCH M Jun22data'!$G312=0,"NO",IF(ISNA('SCH M Jun22data'!$I312),"YES",IF(_xlfn.ISFORMULA('SCH M Jun22data'!$I312),"NO","YES")))</f>
        <v>NO</v>
      </c>
    </row>
    <row r="313" spans="1:10">
      <c r="A313" s="118" t="str">
        <f t="shared" si="13"/>
        <v>4099300SCHMDT205205Inventory Reserve - PMISE</v>
      </c>
      <c r="B313" s="125">
        <v>4099300</v>
      </c>
      <c r="C313" s="117" t="str">
        <f t="shared" si="14"/>
        <v>SCHMDT</v>
      </c>
      <c r="D313" s="125">
        <v>205205</v>
      </c>
      <c r="E313" s="121" t="s">
        <v>1685</v>
      </c>
      <c r="F313" s="119" t="s">
        <v>3134</v>
      </c>
      <c r="G313" s="138">
        <v>2651.32</v>
      </c>
      <c r="H313" s="113" t="str">
        <f t="shared" si="12"/>
        <v>SE</v>
      </c>
      <c r="I313" s="113" t="str">
        <f>INDEX('SCH M Lookup'!$I:$I,MATCH($A313,'SCH M Lookup'!$A:$A,0))</f>
        <v>P</v>
      </c>
      <c r="J313" s="113" t="str">
        <f>IF('SCH M Jun22data'!$G313=0,"NO",IF(ISNA('SCH M Jun22data'!$I313),"YES",IF(_xlfn.ISFORMULA('SCH M Jun22data'!$I313),"NO","YES")))</f>
        <v>NO</v>
      </c>
    </row>
    <row r="314" spans="1:10">
      <c r="A314" s="118" t="str">
        <f t="shared" si="13"/>
        <v>4099300SCHMDT205411PMISEC 263A AdjustmentSE</v>
      </c>
      <c r="B314" s="125">
        <v>4099300</v>
      </c>
      <c r="C314" s="117" t="str">
        <f t="shared" si="14"/>
        <v>SCHMDT</v>
      </c>
      <c r="D314" s="125">
        <v>205411</v>
      </c>
      <c r="E314" s="121" t="s">
        <v>482</v>
      </c>
      <c r="F314" s="119" t="s">
        <v>3134</v>
      </c>
      <c r="G314" s="138">
        <v>-4317.57</v>
      </c>
      <c r="H314" s="113" t="str">
        <f t="shared" si="12"/>
        <v>SE</v>
      </c>
      <c r="I314" s="113" t="str">
        <f>INDEX('SCH M Lookup'!$I:$I,MATCH($A314,'SCH M Lookup'!$A:$A,0))</f>
        <v>P</v>
      </c>
      <c r="J314" s="113" t="str">
        <f>IF('SCH M Jun22data'!$G314=0,"NO",IF(ISNA('SCH M Jun22data'!$I314),"YES",IF(_xlfn.ISFORMULA('SCH M Jun22data'!$I314),"NO","YES")))</f>
        <v>NO</v>
      </c>
    </row>
    <row r="315" spans="1:10">
      <c r="A315" s="118" t="str">
        <f t="shared" si="13"/>
        <v>4099300SCHMDT210000PREPAID IBEW 57 MEDICALSO</v>
      </c>
      <c r="B315" s="125">
        <v>4099300</v>
      </c>
      <c r="C315" s="117" t="str">
        <f t="shared" si="14"/>
        <v>SCHMDT</v>
      </c>
      <c r="D315" s="125">
        <v>210000</v>
      </c>
      <c r="E315" s="121" t="s">
        <v>3284</v>
      </c>
      <c r="F315" s="119" t="s">
        <v>89</v>
      </c>
      <c r="G315" s="138">
        <v>0</v>
      </c>
      <c r="H315" s="113" t="str">
        <f t="shared" si="12"/>
        <v>SO</v>
      </c>
      <c r="I315" s="113" t="e">
        <f>INDEX('SCH M Lookup'!$I:$I,MATCH($A315,'SCH M Lookup'!$A:$A,0))</f>
        <v>#N/A</v>
      </c>
      <c r="J315" s="113" t="str">
        <f>IF('SCH M Jun22data'!$G315=0,"NO",IF(ISNA('SCH M Jun22data'!$I315),"YES",IF(_xlfn.ISFORMULA('SCH M Jun22data'!$I315),"NO","YES")))</f>
        <v>NO</v>
      </c>
    </row>
    <row r="316" spans="1:10">
      <c r="A316" s="118" t="str">
        <f t="shared" si="13"/>
        <v>4099300SCHMDT210100Prepaid Taxes-OR PUCSITUS</v>
      </c>
      <c r="B316" s="125">
        <v>4099300</v>
      </c>
      <c r="C316" s="117" t="str">
        <f t="shared" si="14"/>
        <v>SCHMDT</v>
      </c>
      <c r="D316" s="125">
        <v>210100</v>
      </c>
      <c r="E316" s="121" t="s">
        <v>483</v>
      </c>
      <c r="F316" s="119" t="s">
        <v>343</v>
      </c>
      <c r="G316" s="138">
        <v>333.30158999999998</v>
      </c>
      <c r="H316" s="113" t="str">
        <f t="shared" si="12"/>
        <v>SITUS</v>
      </c>
      <c r="I316" s="113" t="str">
        <f>INDEX('SCH M Lookup'!$I:$I,MATCH($A316,'SCH M Lookup'!$A:$A,0))</f>
        <v>GP</v>
      </c>
      <c r="J316" s="113" t="str">
        <f>IF('SCH M Jun22data'!$G316=0,"NO",IF(ISNA('SCH M Jun22data'!$I316),"YES",IF(_xlfn.ISFORMULA('SCH M Jun22data'!$I316),"NO","YES")))</f>
        <v>NO</v>
      </c>
    </row>
    <row r="317" spans="1:10">
      <c r="A317" s="118" t="str">
        <f t="shared" si="13"/>
        <v>4099300SCHMDT210105Self Insured Health BenefitSO</v>
      </c>
      <c r="B317" s="125">
        <v>4099300</v>
      </c>
      <c r="C317" s="117" t="str">
        <f t="shared" si="14"/>
        <v>SCHMDT</v>
      </c>
      <c r="D317" s="125">
        <v>210105</v>
      </c>
      <c r="E317" s="121" t="s">
        <v>3153</v>
      </c>
      <c r="F317" s="119" t="s">
        <v>89</v>
      </c>
      <c r="G317" s="138">
        <v>0</v>
      </c>
      <c r="H317" s="113" t="str">
        <f t="shared" si="12"/>
        <v>SO</v>
      </c>
      <c r="I317" s="113" t="e">
        <f>INDEX('SCH M Lookup'!$I:$I,MATCH($A317,'SCH M Lookup'!$A:$A,0))</f>
        <v>#N/A</v>
      </c>
      <c r="J317" s="113" t="str">
        <f>IF('SCH M Jun22data'!$G317=0,"NO",IF(ISNA('SCH M Jun22data'!$I317),"YES",IF(_xlfn.ISFORMULA('SCH M Jun22data'!$I317),"NO","YES")))</f>
        <v>NO</v>
      </c>
    </row>
    <row r="318" spans="1:10">
      <c r="A318" s="118" t="str">
        <f t="shared" si="13"/>
        <v>4099300SCHMDT210110Prepaid Taxes-WA UTCSITUS</v>
      </c>
      <c r="B318" s="125">
        <v>4099300</v>
      </c>
      <c r="C318" s="117" t="str">
        <f t="shared" si="14"/>
        <v>SCHMDT</v>
      </c>
      <c r="D318" s="125">
        <v>210110</v>
      </c>
      <c r="E318" s="121" t="s">
        <v>3285</v>
      </c>
      <c r="F318" s="119" t="s">
        <v>367</v>
      </c>
      <c r="G318" s="138">
        <v>0</v>
      </c>
      <c r="H318" s="113" t="str">
        <f t="shared" si="12"/>
        <v>SITUS</v>
      </c>
      <c r="I318" s="113" t="e">
        <f>INDEX('SCH M Lookup'!$I:$I,MATCH($A318,'SCH M Lookup'!$A:$A,0))</f>
        <v>#N/A</v>
      </c>
      <c r="J318" s="113" t="str">
        <f>IF('SCH M Jun22data'!$G318=0,"NO",IF(ISNA('SCH M Jun22data'!$I318),"YES",IF(_xlfn.ISFORMULA('SCH M Jun22data'!$I318),"NO","YES")))</f>
        <v>NO</v>
      </c>
    </row>
    <row r="319" spans="1:10">
      <c r="A319" s="118" t="str">
        <f t="shared" si="13"/>
        <v>4099300SCHMDT210120Prepaid Taxes-UT PUCSITUS</v>
      </c>
      <c r="B319" s="125">
        <v>4099300</v>
      </c>
      <c r="C319" s="117" t="str">
        <f t="shared" si="14"/>
        <v>SCHMDT</v>
      </c>
      <c r="D319" s="125">
        <v>210120</v>
      </c>
      <c r="E319" s="121" t="s">
        <v>369</v>
      </c>
      <c r="F319" s="119" t="s">
        <v>370</v>
      </c>
      <c r="G319" s="138">
        <v>-159.73972000000001</v>
      </c>
      <c r="H319" s="113" t="str">
        <f t="shared" si="12"/>
        <v>SITUS</v>
      </c>
      <c r="I319" s="113" t="str">
        <f>INDEX('SCH M Lookup'!$I:$I,MATCH($A319,'SCH M Lookup'!$A:$A,0))</f>
        <v>GP</v>
      </c>
      <c r="J319" s="113" t="str">
        <f>IF('SCH M Jun22data'!$G319=0,"NO",IF(ISNA('SCH M Jun22data'!$I319),"YES",IF(_xlfn.ISFORMULA('SCH M Jun22data'!$I319),"NO","YES")))</f>
        <v>NO</v>
      </c>
    </row>
    <row r="320" spans="1:10">
      <c r="A320" s="118" t="str">
        <f t="shared" si="13"/>
        <v>4099300SCHMDT210130Prepaid Taxes-ID PUCSITUS</v>
      </c>
      <c r="B320" s="125">
        <v>4099300</v>
      </c>
      <c r="C320" s="117" t="str">
        <f t="shared" si="14"/>
        <v>SCHMDT</v>
      </c>
      <c r="D320" s="125">
        <v>210130</v>
      </c>
      <c r="E320" s="121" t="s">
        <v>371</v>
      </c>
      <c r="F320" s="119" t="s">
        <v>372</v>
      </c>
      <c r="G320" s="138">
        <v>9.2457200000000004</v>
      </c>
      <c r="H320" s="113" t="str">
        <f t="shared" si="12"/>
        <v>SITUS</v>
      </c>
      <c r="I320" s="113" t="str">
        <f>INDEX('SCH M Lookup'!$I:$I,MATCH($A320,'SCH M Lookup'!$A:$A,0))</f>
        <v>GP</v>
      </c>
      <c r="J320" s="113" t="str">
        <f>IF('SCH M Jun22data'!$G320=0,"NO",IF(ISNA('SCH M Jun22data'!$I320),"YES",IF(_xlfn.ISFORMULA('SCH M Jun22data'!$I320),"NO","YES")))</f>
        <v>NO</v>
      </c>
    </row>
    <row r="321" spans="1:10">
      <c r="A321" s="118" t="str">
        <f t="shared" si="13"/>
        <v>4099300SCHMDT210140Prepaid Taxes-WY PSCSITUS</v>
      </c>
      <c r="B321" s="125">
        <v>4099300</v>
      </c>
      <c r="C321" s="117" t="str">
        <f t="shared" si="14"/>
        <v>SCHMDT</v>
      </c>
      <c r="D321" s="125">
        <v>210140</v>
      </c>
      <c r="E321" s="121" t="s">
        <v>3286</v>
      </c>
      <c r="F321" s="119" t="s">
        <v>386</v>
      </c>
      <c r="G321" s="138">
        <v>0</v>
      </c>
      <c r="H321" s="113" t="str">
        <f t="shared" si="12"/>
        <v>SITUS</v>
      </c>
      <c r="I321" s="113" t="e">
        <f>INDEX('SCH M Lookup'!$I:$I,MATCH($A321,'SCH M Lookup'!$A:$A,0))</f>
        <v>#N/A</v>
      </c>
      <c r="J321" s="113" t="str">
        <f>IF('SCH M Jun22data'!$G321=0,"NO",IF(ISNA('SCH M Jun22data'!$I321),"YES",IF(_xlfn.ISFORMULA('SCH M Jun22data'!$I321),"NO","YES")))</f>
        <v>NO</v>
      </c>
    </row>
    <row r="322" spans="1:10">
      <c r="A322" s="118" t="str">
        <f t="shared" si="13"/>
        <v>4099300SCHMDT210150Prepaid Taxes-CA Property Taxes-GPS alloGPS</v>
      </c>
      <c r="B322" s="125">
        <v>4099300</v>
      </c>
      <c r="C322" s="117" t="str">
        <f t="shared" si="14"/>
        <v>SCHMDT</v>
      </c>
      <c r="D322" s="125">
        <v>210150</v>
      </c>
      <c r="E322" s="121" t="s">
        <v>3287</v>
      </c>
      <c r="F322" s="119" t="s">
        <v>9</v>
      </c>
      <c r="G322" s="138">
        <v>0</v>
      </c>
      <c r="H322" s="113" t="str">
        <f t="shared" ref="H322:H385" si="15">IF(OR(F322="IDU",F322="OR",F322="UT",F322="WYU",F322="WYP",F322="CA",F322="WA"),"SITUS",IF(OR(F322="CAEE",F322="JBE"),"SE",IF(OR(F322="CAGE",F322="CAGW",F322="JBG"),"SG",F322)))</f>
        <v>GPS</v>
      </c>
      <c r="I322" s="113" t="e">
        <f>INDEX('SCH M Lookup'!$I:$I,MATCH($A322,'SCH M Lookup'!$A:$A,0))</f>
        <v>#N/A</v>
      </c>
      <c r="J322" s="113" t="str">
        <f>IF('SCH M Jun22data'!$G322=0,"NO",IF(ISNA('SCH M Jun22data'!$I322),"YES",IF(_xlfn.ISFORMULA('SCH M Jun22data'!$I322),"NO","YES")))</f>
        <v>NO</v>
      </c>
    </row>
    <row r="323" spans="1:10">
      <c r="A323" s="118" t="str">
        <f t="shared" ref="A323:A386" si="16">CONCATENATE($B323,$C323,$D323,$E323,$H323)</f>
        <v>4099300SCHMDT210160Prepaid Taxes-OR Property Taxes-GPS alloGPS</v>
      </c>
      <c r="B323" s="125">
        <v>4099300</v>
      </c>
      <c r="C323" s="117" t="str">
        <f t="shared" ref="C323:C386" si="17">IF(B323=4098200,"SCHMAP",IF(B323=4098300,"SCHMAT",IF(B323=4099200,"SCHMDP",IF(B323=4099300,"SCHMDT"))))</f>
        <v>SCHMDT</v>
      </c>
      <c r="D323" s="125">
        <v>210160</v>
      </c>
      <c r="E323" s="121" t="s">
        <v>3288</v>
      </c>
      <c r="F323" s="119" t="s">
        <v>9</v>
      </c>
      <c r="G323" s="138">
        <v>0</v>
      </c>
      <c r="H323" s="113" t="str">
        <f t="shared" si="15"/>
        <v>GPS</v>
      </c>
      <c r="I323" s="113" t="e">
        <f>INDEX('SCH M Lookup'!$I:$I,MATCH($A323,'SCH M Lookup'!$A:$A,0))</f>
        <v>#N/A</v>
      </c>
      <c r="J323" s="113" t="str">
        <f>IF('SCH M Jun22data'!$G323=0,"NO",IF(ISNA('SCH M Jun22data'!$I323),"YES",IF(_xlfn.ISFORMULA('SCH M Jun22data'!$I323),"NO","YES")))</f>
        <v>NO</v>
      </c>
    </row>
    <row r="324" spans="1:10">
      <c r="A324" s="118" t="str">
        <f t="shared" si="16"/>
        <v>4099300SCHMDT210170Prepaid Lease-Gadsby Gas TurbineSG</v>
      </c>
      <c r="B324" s="125">
        <v>4099300</v>
      </c>
      <c r="C324" s="117" t="str">
        <f t="shared" si="17"/>
        <v>SCHMDT</v>
      </c>
      <c r="D324" s="125">
        <v>210170</v>
      </c>
      <c r="E324" s="121" t="s">
        <v>1882</v>
      </c>
      <c r="F324" s="119" t="s">
        <v>87</v>
      </c>
      <c r="G324" s="138">
        <v>-220.36964</v>
      </c>
      <c r="H324" s="113" t="str">
        <f t="shared" si="15"/>
        <v>SG</v>
      </c>
      <c r="I324" s="113" t="str">
        <f>INDEX('SCH M Lookup'!$I:$I,MATCH($A324,'SCH M Lookup'!$A:$A,0))</f>
        <v>P</v>
      </c>
      <c r="J324" s="113" t="str">
        <f>IF('SCH M Jun22data'!$G324=0,"NO",IF(ISNA('SCH M Jun22data'!$I324),"YES",IF(_xlfn.ISFORMULA('SCH M Jun22data'!$I324),"NO","YES")))</f>
        <v>NO</v>
      </c>
    </row>
    <row r="325" spans="1:10">
      <c r="A325" s="118" t="str">
        <f t="shared" si="16"/>
        <v>4099300SCHMDT210175Prepaid - FSA O&amp;M - EastSG</v>
      </c>
      <c r="B325" s="125">
        <v>4099300</v>
      </c>
      <c r="C325" s="117" t="str">
        <f t="shared" si="17"/>
        <v>SCHMDT</v>
      </c>
      <c r="D325" s="125">
        <v>210175</v>
      </c>
      <c r="E325" s="121" t="s">
        <v>1883</v>
      </c>
      <c r="F325" s="119" t="s">
        <v>87</v>
      </c>
      <c r="G325" s="138">
        <v>-96.732060000000004</v>
      </c>
      <c r="H325" s="113" t="str">
        <f t="shared" si="15"/>
        <v>SG</v>
      </c>
      <c r="I325" s="113" t="str">
        <f>INDEX('SCH M Lookup'!$I:$I,MATCH($A325,'SCH M Lookup'!$A:$A,0))</f>
        <v>P</v>
      </c>
      <c r="J325" s="113" t="str">
        <f>IF('SCH M Jun22data'!$G325=0,"NO",IF(ISNA('SCH M Jun22data'!$I325),"YES",IF(_xlfn.ISFORMULA('SCH M Jun22data'!$I325),"NO","YES")))</f>
        <v>NO</v>
      </c>
    </row>
    <row r="326" spans="1:10">
      <c r="A326" s="118" t="str">
        <f t="shared" si="16"/>
        <v>4099300SCHMDT210180OTHER PREPAIDSSO</v>
      </c>
      <c r="B326" s="125">
        <v>4099300</v>
      </c>
      <c r="C326" s="117" t="str">
        <f t="shared" si="17"/>
        <v>SCHMDT</v>
      </c>
      <c r="D326" s="125">
        <v>210180</v>
      </c>
      <c r="E326" s="121" t="s">
        <v>484</v>
      </c>
      <c r="F326" s="119" t="s">
        <v>89</v>
      </c>
      <c r="G326" s="138">
        <v>-99.615870000000001</v>
      </c>
      <c r="H326" s="113" t="str">
        <f t="shared" si="15"/>
        <v>SO</v>
      </c>
      <c r="I326" s="113" t="str">
        <f>INDEX('SCH M Lookup'!$I:$I,MATCH($A326,'SCH M Lookup'!$A:$A,0))</f>
        <v>PTD</v>
      </c>
      <c r="J326" s="113" t="str">
        <f>IF('SCH M Jun22data'!$G326=0,"NO",IF(ISNA('SCH M Jun22data'!$I326),"YES",IF(_xlfn.ISFORMULA('SCH M Jun22data'!$I326),"NO","YES")))</f>
        <v>NO</v>
      </c>
    </row>
    <row r="327" spans="1:10">
      <c r="A327" s="118" t="str">
        <f t="shared" si="16"/>
        <v>4099300SCHMDT210185Prepaid Aircraft Maintenance CostsSG</v>
      </c>
      <c r="B327" s="125">
        <v>4099300</v>
      </c>
      <c r="C327" s="117" t="str">
        <f t="shared" si="17"/>
        <v>SCHMDT</v>
      </c>
      <c r="D327" s="125">
        <v>210185</v>
      </c>
      <c r="E327" s="121" t="s">
        <v>485</v>
      </c>
      <c r="F327" s="119" t="s">
        <v>87</v>
      </c>
      <c r="G327" s="138">
        <v>-41.442970000000003</v>
      </c>
      <c r="H327" s="113" t="str">
        <f t="shared" si="15"/>
        <v>SG</v>
      </c>
      <c r="I327" s="113" t="str">
        <f>INDEX('SCH M Lookup'!$I:$I,MATCH($A327,'SCH M Lookup'!$A:$A,0))</f>
        <v>P</v>
      </c>
      <c r="J327" s="113" t="str">
        <f>IF('SCH M Jun22data'!$G327=0,"NO",IF(ISNA('SCH M Jun22data'!$I327),"YES",IF(_xlfn.ISFORMULA('SCH M Jun22data'!$I327),"NO","YES")))</f>
        <v>NO</v>
      </c>
    </row>
    <row r="328" spans="1:10">
      <c r="A328" s="118" t="str">
        <f t="shared" si="16"/>
        <v>4099300SCHMDT210190Prepaid Water RightsSG</v>
      </c>
      <c r="B328" s="125">
        <v>4099300</v>
      </c>
      <c r="C328" s="117" t="str">
        <f t="shared" si="17"/>
        <v>SCHMDT</v>
      </c>
      <c r="D328" s="125">
        <v>210190</v>
      </c>
      <c r="E328" s="121" t="s">
        <v>486</v>
      </c>
      <c r="F328" s="119" t="s">
        <v>3106</v>
      </c>
      <c r="G328" s="138">
        <v>-62.068129999999996</v>
      </c>
      <c r="H328" s="113" t="str">
        <f t="shared" si="15"/>
        <v>SG</v>
      </c>
      <c r="I328" s="113" t="str">
        <f>INDEX('SCH M Lookup'!$I:$I,MATCH($A328,'SCH M Lookup'!$A:$A,0))</f>
        <v>P</v>
      </c>
      <c r="J328" s="113" t="str">
        <f>IF('SCH M Jun22data'!$G328=0,"NO",IF(ISNA('SCH M Jun22data'!$I328),"YES",IF(_xlfn.ISFORMULA('SCH M Jun22data'!$I328),"NO","YES")))</f>
        <v>NO</v>
      </c>
    </row>
    <row r="329" spans="1:10">
      <c r="A329" s="118" t="str">
        <f t="shared" si="16"/>
        <v>4099300SCHMDT210195Prepaid Surety Bond CostsSO</v>
      </c>
      <c r="B329" s="125">
        <v>4099300</v>
      </c>
      <c r="C329" s="117" t="str">
        <f t="shared" si="17"/>
        <v>SCHMDT</v>
      </c>
      <c r="D329" s="125">
        <v>210195</v>
      </c>
      <c r="E329" s="121" t="s">
        <v>487</v>
      </c>
      <c r="F329" s="119" t="s">
        <v>89</v>
      </c>
      <c r="G329" s="138">
        <v>0</v>
      </c>
      <c r="H329" s="113" t="str">
        <f t="shared" si="15"/>
        <v>SO</v>
      </c>
      <c r="I329" s="113" t="str">
        <f>INDEX('SCH M Lookup'!$I:$I,MATCH($A329,'SCH M Lookup'!$A:$A,0))</f>
        <v>LABOR</v>
      </c>
      <c r="J329" s="113" t="str">
        <f>IF('SCH M Jun22data'!$G329=0,"NO",IF(ISNA('SCH M Jun22data'!$I329),"YES",IF(_xlfn.ISFORMULA('SCH M Jun22data'!$I329),"NO","YES")))</f>
        <v>NO</v>
      </c>
    </row>
    <row r="330" spans="1:10">
      <c r="A330" s="118" t="str">
        <f t="shared" si="16"/>
        <v>4099300SCHMDT210200Prepaid Taxes-property taxesGPS</v>
      </c>
      <c r="B330" s="125">
        <v>4099300</v>
      </c>
      <c r="C330" s="117" t="str">
        <f t="shared" si="17"/>
        <v>SCHMDT</v>
      </c>
      <c r="D330" s="125">
        <v>210200</v>
      </c>
      <c r="E330" s="121" t="s">
        <v>373</v>
      </c>
      <c r="F330" s="119" t="s">
        <v>9</v>
      </c>
      <c r="G330" s="138">
        <v>0</v>
      </c>
      <c r="H330" s="113" t="str">
        <f t="shared" si="15"/>
        <v>GPS</v>
      </c>
      <c r="I330" s="113" t="e">
        <f>INDEX('SCH M Lookup'!$I:$I,MATCH($A330,'SCH M Lookup'!$A:$A,0))</f>
        <v>#N/A</v>
      </c>
      <c r="J330" s="113" t="str">
        <f>IF('SCH M Jun22data'!$G330=0,"NO",IF(ISNA('SCH M Jun22data'!$I330),"YES",IF(_xlfn.ISFORMULA('SCH M Jun22data'!$I330),"NO","YES")))</f>
        <v>NO</v>
      </c>
    </row>
    <row r="331" spans="1:10">
      <c r="A331" s="118" t="str">
        <f t="shared" si="16"/>
        <v>4099300SCHMDT287396Regulatory Liabilities - Interim ProvisiOTHER</v>
      </c>
      <c r="B331" s="125">
        <v>4099300</v>
      </c>
      <c r="C331" s="117" t="str">
        <f t="shared" si="17"/>
        <v>SCHMDT</v>
      </c>
      <c r="D331" s="125">
        <v>287396</v>
      </c>
      <c r="E331" s="121" t="s">
        <v>3289</v>
      </c>
      <c r="F331" s="119" t="s">
        <v>306</v>
      </c>
      <c r="G331" s="138">
        <v>0</v>
      </c>
      <c r="H331" s="113" t="str">
        <f t="shared" si="15"/>
        <v>OTHER</v>
      </c>
      <c r="I331" s="113" t="e">
        <f>INDEX('SCH M Lookup'!$I:$I,MATCH($A331,'SCH M Lookup'!$A:$A,0))</f>
        <v>#N/A</v>
      </c>
      <c r="J331" s="113" t="str">
        <f>IF('SCH M Jun22data'!$G331=0,"NO",IF(ISNA('SCH M Jun22data'!$I331),"YES",IF(_xlfn.ISFORMULA('SCH M Jun22data'!$I331),"NO","YES")))</f>
        <v>NO</v>
      </c>
    </row>
    <row r="332" spans="1:10">
      <c r="A332" s="118" t="str">
        <f t="shared" si="16"/>
        <v>4099300SCHMDT287616Regulatory Assets - Interim ProvisionsOTHER</v>
      </c>
      <c r="B332" s="125">
        <v>4099300</v>
      </c>
      <c r="C332" s="117" t="str">
        <f t="shared" si="17"/>
        <v>SCHMDT</v>
      </c>
      <c r="D332" s="125">
        <v>287616</v>
      </c>
      <c r="E332" s="121" t="s">
        <v>3290</v>
      </c>
      <c r="F332" s="119" t="s">
        <v>306</v>
      </c>
      <c r="G332" s="138">
        <v>0</v>
      </c>
      <c r="H332" s="113" t="str">
        <f t="shared" si="15"/>
        <v>OTHER</v>
      </c>
      <c r="I332" s="113" t="e">
        <f>INDEX('SCH M Lookup'!$I:$I,MATCH($A332,'SCH M Lookup'!$A:$A,0))</f>
        <v>#N/A</v>
      </c>
      <c r="J332" s="113" t="str">
        <f>IF('SCH M Jun22data'!$G332=0,"NO",IF(ISNA('SCH M Jun22data'!$I332),"YES",IF(_xlfn.ISFORMULA('SCH M Jun22data'!$I332),"NO","YES")))</f>
        <v>NO</v>
      </c>
    </row>
    <row r="333" spans="1:10">
      <c r="A333" s="118" t="str">
        <f t="shared" si="16"/>
        <v>4099300SCHMDT305100Amort of Projects-Klamath EngineeringSG</v>
      </c>
      <c r="B333" s="125">
        <v>4099300</v>
      </c>
      <c r="C333" s="117" t="str">
        <f t="shared" si="17"/>
        <v>SCHMDT</v>
      </c>
      <c r="D333" s="125">
        <v>305100</v>
      </c>
      <c r="E333" s="121" t="s">
        <v>3273</v>
      </c>
      <c r="F333" s="119" t="s">
        <v>3108</v>
      </c>
      <c r="G333" s="138">
        <v>0</v>
      </c>
      <c r="H333" s="113" t="str">
        <f t="shared" si="15"/>
        <v>SG</v>
      </c>
      <c r="I333" s="113" t="e">
        <f>INDEX('SCH M Lookup'!$I:$I,MATCH($A333,'SCH M Lookup'!$A:$A,0))</f>
        <v>#N/A</v>
      </c>
      <c r="J333" s="113" t="str">
        <f>IF('SCH M Jun22data'!$G333=0,"NO",IF(ISNA('SCH M Jun22data'!$I333),"YES",IF(_xlfn.ISFORMULA('SCH M Jun22data'!$I333),"NO","YES")))</f>
        <v>NO</v>
      </c>
    </row>
    <row r="334" spans="1:10">
      <c r="A334" s="118" t="str">
        <f t="shared" si="16"/>
        <v>4099300SCHMDT310102Fixed Asset-Book/Tax - IGCSE</v>
      </c>
      <c r="B334" s="125">
        <v>4099300</v>
      </c>
      <c r="C334" s="117" t="str">
        <f t="shared" si="17"/>
        <v>SCHMDT</v>
      </c>
      <c r="D334" s="125">
        <v>310102</v>
      </c>
      <c r="E334" s="121" t="s">
        <v>3291</v>
      </c>
      <c r="F334" s="119" t="s">
        <v>3110</v>
      </c>
      <c r="G334" s="138">
        <v>0</v>
      </c>
      <c r="H334" s="113" t="str">
        <f t="shared" si="15"/>
        <v>SE</v>
      </c>
      <c r="I334" s="113" t="e">
        <f>INDEX('SCH M Lookup'!$I:$I,MATCH($A334,'SCH M Lookup'!$A:$A,0))</f>
        <v>#N/A</v>
      </c>
      <c r="J334" s="113" t="str">
        <f>IF('SCH M Jun22data'!$G334=0,"NO",IF(ISNA('SCH M Jun22data'!$I334),"YES",IF(_xlfn.ISFORMULA('SCH M Jun22data'!$I334),"NO","YES")))</f>
        <v>NO</v>
      </c>
    </row>
    <row r="335" spans="1:10">
      <c r="A335" s="118" t="str">
        <f t="shared" si="16"/>
        <v>4099300SCHMDT320210Research &amp; Exper. Sec. 174 Amort.SO</v>
      </c>
      <c r="B335" s="125">
        <v>4099300</v>
      </c>
      <c r="C335" s="117" t="str">
        <f t="shared" si="17"/>
        <v>SCHMDT</v>
      </c>
      <c r="D335" s="125">
        <v>320210</v>
      </c>
      <c r="E335" s="121" t="s">
        <v>3157</v>
      </c>
      <c r="F335" s="119" t="s">
        <v>89</v>
      </c>
      <c r="G335" s="138">
        <v>0</v>
      </c>
      <c r="H335" s="113" t="str">
        <f t="shared" si="15"/>
        <v>SO</v>
      </c>
      <c r="I335" s="113" t="e">
        <f>INDEX('SCH M Lookup'!$I:$I,MATCH($A335,'SCH M Lookup'!$A:$A,0))</f>
        <v>#N/A</v>
      </c>
      <c r="J335" s="113" t="str">
        <f>IF('SCH M Jun22data'!$G335=0,"NO",IF(ISNA('SCH M Jun22data'!$I335),"YES",IF(_xlfn.ISFORMULA('SCH M Jun22data'!$I335),"NO","YES")))</f>
        <v>NO</v>
      </c>
    </row>
    <row r="336" spans="1:10">
      <c r="A336" s="118" t="str">
        <f t="shared" si="16"/>
        <v>4099300SCHMDT320286Reg Asset - Pension Settlement - OROTHER</v>
      </c>
      <c r="B336" s="125">
        <v>4099300</v>
      </c>
      <c r="C336" s="117" t="str">
        <f t="shared" si="17"/>
        <v>SCHMDT</v>
      </c>
      <c r="D336" s="125">
        <v>320286</v>
      </c>
      <c r="E336" s="121" t="s">
        <v>2080</v>
      </c>
      <c r="F336" s="119" t="s">
        <v>306</v>
      </c>
      <c r="G336" s="138">
        <v>4242.9226900000003</v>
      </c>
      <c r="H336" s="113" t="str">
        <f t="shared" si="15"/>
        <v>OTHER</v>
      </c>
      <c r="I336" s="113" t="str">
        <f>INDEX('SCH M Lookup'!$I:$I,MATCH($A336,'SCH M Lookup'!$A:$A,0))</f>
        <v>LABOR</v>
      </c>
      <c r="J336" s="113" t="str">
        <f>IF('SCH M Jun22data'!$G336=0,"NO",IF(ISNA('SCH M Jun22data'!$I336),"YES",IF(_xlfn.ISFORMULA('SCH M Jun22data'!$I336),"NO","YES")))</f>
        <v>NO</v>
      </c>
    </row>
    <row r="337" spans="1:10">
      <c r="A337" s="118" t="str">
        <f t="shared" si="16"/>
        <v>4099300SCHMDT320287Reg Asset - Pension Settlement - UTOTHER</v>
      </c>
      <c r="B337" s="125">
        <v>4099300</v>
      </c>
      <c r="C337" s="117" t="str">
        <f t="shared" si="17"/>
        <v>SCHMDT</v>
      </c>
      <c r="D337" s="125">
        <v>320287</v>
      </c>
      <c r="E337" s="121" t="s">
        <v>2082</v>
      </c>
      <c r="F337" s="119" t="s">
        <v>306</v>
      </c>
      <c r="G337" s="138">
        <v>1592.94964</v>
      </c>
      <c r="H337" s="113" t="str">
        <f t="shared" si="15"/>
        <v>OTHER</v>
      </c>
      <c r="I337" s="113" t="str">
        <f>INDEX('SCH M Lookup'!$I:$I,MATCH($A337,'SCH M Lookup'!$A:$A,0))</f>
        <v>LABOR</v>
      </c>
      <c r="J337" s="113" t="str">
        <f>IF('SCH M Jun22data'!$G337=0,"NO",IF(ISNA('SCH M Jun22data'!$I337),"YES",IF(_xlfn.ISFORMULA('SCH M Jun22data'!$I337),"NO","YES")))</f>
        <v>NO</v>
      </c>
    </row>
    <row r="338" spans="1:10">
      <c r="A338" s="118" t="str">
        <f t="shared" si="16"/>
        <v>4099300SCHMDT320288Reg Asset - Pension Settlement - WYSITUS</v>
      </c>
      <c r="B338" s="125">
        <v>4099300</v>
      </c>
      <c r="C338" s="117" t="str">
        <f t="shared" si="17"/>
        <v>SCHMDT</v>
      </c>
      <c r="D338" s="125">
        <v>320288</v>
      </c>
      <c r="E338" s="121" t="s">
        <v>2084</v>
      </c>
      <c r="F338" s="119" t="s">
        <v>378</v>
      </c>
      <c r="G338" s="138">
        <v>1947.55099</v>
      </c>
      <c r="H338" s="113" t="str">
        <f t="shared" si="15"/>
        <v>SITUS</v>
      </c>
      <c r="I338" s="113" t="str">
        <f>INDEX('SCH M Lookup'!$I:$I,MATCH($A338,'SCH M Lookup'!$A:$A,0))</f>
        <v>LABOR</v>
      </c>
      <c r="J338" s="113" t="str">
        <f>IF('SCH M Jun22data'!$G338=0,"NO",IF(ISNA('SCH M Jun22data'!$I338),"YES",IF(_xlfn.ISFORMULA('SCH M Jun22data'!$I338),"NO","YES")))</f>
        <v>NO</v>
      </c>
    </row>
    <row r="339" spans="1:10">
      <c r="A339" s="118" t="str">
        <f t="shared" si="16"/>
        <v>4099300SCHMDT320290LT Prepaid IBEW 57 Pension ContributionOTHER</v>
      </c>
      <c r="B339" s="125">
        <v>4099300</v>
      </c>
      <c r="C339" s="117" t="str">
        <f t="shared" si="17"/>
        <v>SCHMDT</v>
      </c>
      <c r="D339" s="125">
        <v>320290</v>
      </c>
      <c r="E339" s="121" t="s">
        <v>490</v>
      </c>
      <c r="F339" s="119" t="s">
        <v>306</v>
      </c>
      <c r="G339" s="138">
        <v>0</v>
      </c>
      <c r="H339" s="113" t="str">
        <f t="shared" si="15"/>
        <v>OTHER</v>
      </c>
      <c r="I339" s="113" t="str">
        <f>INDEX('SCH M Lookup'!$I:$I,MATCH($A339,'SCH M Lookup'!$A:$A,0))</f>
        <v>LABOR</v>
      </c>
      <c r="J339" s="113" t="str">
        <f>IF('SCH M Jun22data'!$G339=0,"NO",IF(ISNA('SCH M Jun22data'!$I339),"YES",IF(_xlfn.ISFORMULA('SCH M Jun22data'!$I339),"NO","YES")))</f>
        <v>NO</v>
      </c>
    </row>
    <row r="340" spans="1:10">
      <c r="A340" s="118" t="str">
        <f t="shared" si="16"/>
        <v>4099300SCHMDT320291Prepaid IBEw 57 Pension Contribution - COTHER</v>
      </c>
      <c r="B340" s="125">
        <v>4099300</v>
      </c>
      <c r="C340" s="117" t="str">
        <f t="shared" si="17"/>
        <v>SCHMDT</v>
      </c>
      <c r="D340" s="125">
        <v>320291</v>
      </c>
      <c r="E340" s="121" t="s">
        <v>3292</v>
      </c>
      <c r="F340" s="119" t="s">
        <v>306</v>
      </c>
      <c r="G340" s="138">
        <v>0</v>
      </c>
      <c r="H340" s="113" t="str">
        <f t="shared" si="15"/>
        <v>OTHER</v>
      </c>
      <c r="I340" s="113" t="e">
        <f>INDEX('SCH M Lookup'!$I:$I,MATCH($A340,'SCH M Lookup'!$A:$A,0))</f>
        <v>#N/A</v>
      </c>
      <c r="J340" s="113" t="str">
        <f>IF('SCH M Jun22data'!$G340=0,"NO",IF(ISNA('SCH M Jun22data'!$I340),"YES",IF(_xlfn.ISFORMULA('SCH M Jun22data'!$I340),"NO","YES")))</f>
        <v>NO</v>
      </c>
    </row>
    <row r="341" spans="1:10">
      <c r="A341" s="118" t="str">
        <f t="shared" si="16"/>
        <v>4099300SCHMDT415100Reg Asset -WA Equity Advisory Group (CETSITUS</v>
      </c>
      <c r="B341" s="125">
        <v>4099300</v>
      </c>
      <c r="C341" s="117" t="str">
        <f t="shared" si="17"/>
        <v>SCHMDT</v>
      </c>
      <c r="D341" s="125">
        <v>415100</v>
      </c>
      <c r="E341" s="121" t="s">
        <v>2086</v>
      </c>
      <c r="F341" s="119" t="s">
        <v>367</v>
      </c>
      <c r="G341" s="138">
        <v>712.55646000000002</v>
      </c>
      <c r="H341" s="113" t="str">
        <f t="shared" si="15"/>
        <v>SITUS</v>
      </c>
      <c r="I341" s="113" t="str">
        <f>INDEX('SCH M Lookup'!$I:$I,MATCH($A341,'SCH M Lookup'!$A:$A,0))</f>
        <v>CUST</v>
      </c>
      <c r="J341" s="113" t="str">
        <f>IF('SCH M Jun22data'!$G341=0,"NO",IF(ISNA('SCH M Jun22data'!$I341),"YES",IF(_xlfn.ISFORMULA('SCH M Jun22data'!$I341),"NO","YES")))</f>
        <v>NO</v>
      </c>
    </row>
    <row r="342" spans="1:10">
      <c r="A342" s="118" t="str">
        <f t="shared" si="16"/>
        <v>4099300SCHMDT415110Def Reg Asset-Transmission Srvc DepositSG</v>
      </c>
      <c r="B342" s="125">
        <v>4099300</v>
      </c>
      <c r="C342" s="117" t="str">
        <f t="shared" si="17"/>
        <v>SCHMDT</v>
      </c>
      <c r="D342" s="125">
        <v>415110</v>
      </c>
      <c r="E342" s="121" t="s">
        <v>379</v>
      </c>
      <c r="F342" s="119" t="s">
        <v>87</v>
      </c>
      <c r="G342" s="138">
        <v>780.93569000000002</v>
      </c>
      <c r="H342" s="113" t="str">
        <f t="shared" si="15"/>
        <v>SG</v>
      </c>
      <c r="I342" s="113" t="str">
        <f>INDEX('SCH M Lookup'!$I:$I,MATCH($A342,'SCH M Lookup'!$A:$A,0))</f>
        <v>T</v>
      </c>
      <c r="J342" s="113" t="str">
        <f>IF('SCH M Jun22data'!$G342=0,"NO",IF(ISNA('SCH M Jun22data'!$I342),"YES",IF(_xlfn.ISFORMULA('SCH M Jun22data'!$I342),"NO","YES")))</f>
        <v>NO</v>
      </c>
    </row>
    <row r="343" spans="1:10">
      <c r="A343" s="118" t="str">
        <f t="shared" si="16"/>
        <v>4099300SCHMDT415120DEFERRED REG ASSET - FOOTE CREEK CONTRACSG</v>
      </c>
      <c r="B343" s="125">
        <v>4099300</v>
      </c>
      <c r="C343" s="117" t="str">
        <f t="shared" si="17"/>
        <v>SCHMDT</v>
      </c>
      <c r="D343" s="125">
        <v>415120</v>
      </c>
      <c r="E343" s="121" t="s">
        <v>3293</v>
      </c>
      <c r="F343" s="119" t="s">
        <v>87</v>
      </c>
      <c r="G343" s="138">
        <v>0</v>
      </c>
      <c r="H343" s="113" t="str">
        <f t="shared" si="15"/>
        <v>SG</v>
      </c>
      <c r="I343" s="113" t="e">
        <f>INDEX('SCH M Lookup'!$I:$I,MATCH($A343,'SCH M Lookup'!$A:$A,0))</f>
        <v>#N/A</v>
      </c>
      <c r="J343" s="113" t="str">
        <f>IF('SCH M Jun22data'!$G343=0,"NO",IF(ISNA('SCH M Jun22data'!$I343),"YES",IF(_xlfn.ISFORMULA('SCH M Jun22data'!$I343),"NO","YES")))</f>
        <v>NO</v>
      </c>
    </row>
    <row r="344" spans="1:10">
      <c r="A344" s="118" t="str">
        <f t="shared" si="16"/>
        <v>4099300SCHMDT415200REG ASSET - OR TRANSPORTATION ELECTRIFICOTHER</v>
      </c>
      <c r="B344" s="125">
        <v>4099300</v>
      </c>
      <c r="C344" s="117" t="str">
        <f t="shared" si="17"/>
        <v>SCHMDT</v>
      </c>
      <c r="D344" s="125">
        <v>415200</v>
      </c>
      <c r="E344" s="121" t="s">
        <v>1758</v>
      </c>
      <c r="F344" s="119" t="s">
        <v>306</v>
      </c>
      <c r="G344" s="138">
        <v>-1967.99569</v>
      </c>
      <c r="H344" s="113" t="str">
        <f t="shared" si="15"/>
        <v>OTHER</v>
      </c>
      <c r="I344" s="113" t="str">
        <f>INDEX('SCH M Lookup'!$I:$I,MATCH($A344,'SCH M Lookup'!$A:$A,0))</f>
        <v>PTD</v>
      </c>
      <c r="J344" s="113" t="str">
        <f>IF('SCH M Jun22data'!$G344=0,"NO",IF(ISNA('SCH M Jun22data'!$I344),"YES",IF(_xlfn.ISFORMULA('SCH M Jun22data'!$I344),"NO","YES")))</f>
        <v>NO</v>
      </c>
    </row>
    <row r="345" spans="1:10">
      <c r="A345" s="118" t="str">
        <f t="shared" si="16"/>
        <v>4099300SCHMDT415255Reg Asset-WY Wind Test Energy DeferralOTHER</v>
      </c>
      <c r="B345" s="125">
        <v>4099300</v>
      </c>
      <c r="C345" s="117" t="str">
        <f t="shared" si="17"/>
        <v>SCHMDT</v>
      </c>
      <c r="D345" s="125">
        <v>415255</v>
      </c>
      <c r="E345" s="121" t="s">
        <v>2088</v>
      </c>
      <c r="F345" s="119" t="s">
        <v>306</v>
      </c>
      <c r="G345" s="138">
        <v>217.20919000000001</v>
      </c>
      <c r="H345" s="113" t="str">
        <f t="shared" si="15"/>
        <v>OTHER</v>
      </c>
      <c r="I345" s="113" t="str">
        <f>INDEX('SCH M Lookup'!$I:$I,MATCH($A345,'SCH M Lookup'!$A:$A,0))</f>
        <v>P</v>
      </c>
      <c r="J345" s="113" t="str">
        <f>IF('SCH M Jun22data'!$G345=0,"NO",IF(ISNA('SCH M Jun22data'!$I345),"YES",IF(_xlfn.ISFORMULA('SCH M Jun22data'!$I345),"NO","YES")))</f>
        <v>NO</v>
      </c>
    </row>
    <row r="346" spans="1:10">
      <c r="A346" s="118" t="str">
        <f t="shared" si="16"/>
        <v>4099300SCHMDT415260Reg Asset - Fire Risk Mitigation - CAOTHER</v>
      </c>
      <c r="B346" s="125">
        <v>4099300</v>
      </c>
      <c r="C346" s="117" t="str">
        <f t="shared" si="17"/>
        <v>SCHMDT</v>
      </c>
      <c r="D346" s="125">
        <v>415260</v>
      </c>
      <c r="E346" s="121" t="s">
        <v>1884</v>
      </c>
      <c r="F346" s="119" t="s">
        <v>306</v>
      </c>
      <c r="G346" s="138">
        <v>11378.0841</v>
      </c>
      <c r="H346" s="113" t="str">
        <f t="shared" si="15"/>
        <v>OTHER</v>
      </c>
      <c r="I346" s="113" t="str">
        <f>INDEX('SCH M Lookup'!$I:$I,MATCH($A346,'SCH M Lookup'!$A:$A,0))</f>
        <v>PTD</v>
      </c>
      <c r="J346" s="113" t="str">
        <f>IF('SCH M Jun22data'!$G346=0,"NO",IF(ISNA('SCH M Jun22data'!$I346),"YES",IF(_xlfn.ISFORMULA('SCH M Jun22data'!$I346),"NO","YES")))</f>
        <v>NO</v>
      </c>
    </row>
    <row r="347" spans="1:10">
      <c r="A347" s="118" t="str">
        <f t="shared" si="16"/>
        <v>4099300SCHMDT415261Reg Asset-UT Wildland Fire ProtectionOTHER</v>
      </c>
      <c r="B347" s="125">
        <v>4099300</v>
      </c>
      <c r="C347" s="117" t="str">
        <f t="shared" si="17"/>
        <v>SCHMDT</v>
      </c>
      <c r="D347" s="125">
        <v>415261</v>
      </c>
      <c r="E347" s="121" t="s">
        <v>2046</v>
      </c>
      <c r="F347" s="119" t="s">
        <v>306</v>
      </c>
      <c r="G347" s="138">
        <v>0</v>
      </c>
      <c r="H347" s="113" t="str">
        <f t="shared" si="15"/>
        <v>OTHER</v>
      </c>
      <c r="I347" s="113" t="e">
        <f>INDEX('SCH M Lookup'!$I:$I,MATCH($A347,'SCH M Lookup'!$A:$A,0))</f>
        <v>#N/A</v>
      </c>
      <c r="J347" s="113" t="str">
        <f>IF('SCH M Jun22data'!$G347=0,"NO",IF(ISNA('SCH M Jun22data'!$I347),"YES",IF(_xlfn.ISFORMULA('SCH M Jun22data'!$I347),"NO","YES")))</f>
        <v>NO</v>
      </c>
    </row>
    <row r="348" spans="1:10">
      <c r="A348" s="118" t="str">
        <f t="shared" si="16"/>
        <v>4099300SCHMDT415300Hazardous Waste Clean-up CostsSO</v>
      </c>
      <c r="B348" s="125">
        <v>4099300</v>
      </c>
      <c r="C348" s="117" t="str">
        <f t="shared" si="17"/>
        <v>SCHMDT</v>
      </c>
      <c r="D348" s="125">
        <v>415300</v>
      </c>
      <c r="E348" s="121" t="s">
        <v>491</v>
      </c>
      <c r="F348" s="119" t="s">
        <v>89</v>
      </c>
      <c r="G348" s="138">
        <v>-5845.5664699999998</v>
      </c>
      <c r="H348" s="113" t="str">
        <f t="shared" si="15"/>
        <v>SO</v>
      </c>
      <c r="I348" s="113" t="str">
        <f>INDEX('SCH M Lookup'!$I:$I,MATCH($A348,'SCH M Lookup'!$A:$A,0))</f>
        <v>ESD</v>
      </c>
      <c r="J348" s="113" t="str">
        <f>IF('SCH M Jun22data'!$G348=0,"NO",IF(ISNA('SCH M Jun22data'!$I348),"YES",IF(_xlfn.ISFORMULA('SCH M Jun22data'!$I348),"NO","YES")))</f>
        <v>NO</v>
      </c>
    </row>
    <row r="349" spans="1:10">
      <c r="A349" s="118" t="str">
        <f t="shared" si="16"/>
        <v>4099300SCHMDT415301Hazardous Waste Clean-up Costs-WASITUS</v>
      </c>
      <c r="B349" s="125">
        <v>4099300</v>
      </c>
      <c r="C349" s="117" t="str">
        <f t="shared" si="17"/>
        <v>SCHMDT</v>
      </c>
      <c r="D349" s="125">
        <v>415301</v>
      </c>
      <c r="E349" s="121" t="s">
        <v>3294</v>
      </c>
      <c r="F349" s="119" t="s">
        <v>367</v>
      </c>
      <c r="G349" s="138">
        <v>0</v>
      </c>
      <c r="H349" s="113" t="str">
        <f t="shared" si="15"/>
        <v>SITUS</v>
      </c>
      <c r="I349" s="113" t="e">
        <f>INDEX('SCH M Lookup'!$I:$I,MATCH($A349,'SCH M Lookup'!$A:$A,0))</f>
        <v>#N/A</v>
      </c>
      <c r="J349" s="113" t="str">
        <f>IF('SCH M Jun22data'!$G349=0,"NO",IF(ISNA('SCH M Jun22data'!$I349),"YES",IF(_xlfn.ISFORMULA('SCH M Jun22data'!$I349),"NO","YES")))</f>
        <v>NO</v>
      </c>
    </row>
    <row r="350" spans="1:10">
      <c r="A350" s="118" t="str">
        <f t="shared" si="16"/>
        <v>4099300SCHMDT415410Reg Asset - Energy West MiningSE</v>
      </c>
      <c r="B350" s="125">
        <v>4099300</v>
      </c>
      <c r="C350" s="117" t="str">
        <f t="shared" si="17"/>
        <v>SCHMDT</v>
      </c>
      <c r="D350" s="125">
        <v>415410</v>
      </c>
      <c r="E350" s="121" t="s">
        <v>492</v>
      </c>
      <c r="F350" s="119" t="s">
        <v>3110</v>
      </c>
      <c r="G350" s="138">
        <v>-85627.686830000006</v>
      </c>
      <c r="H350" s="113" t="str">
        <f t="shared" si="15"/>
        <v>SE</v>
      </c>
      <c r="I350" s="113" t="str">
        <f>INDEX('SCH M Lookup'!$I:$I,MATCH($A350,'SCH M Lookup'!$A:$A,0))</f>
        <v>P</v>
      </c>
      <c r="J350" s="113" t="str">
        <f>IF('SCH M Jun22data'!$G350=0,"NO",IF(ISNA('SCH M Jun22data'!$I350),"YES",IF(_xlfn.ISFORMULA('SCH M Jun22data'!$I350),"NO","YES")))</f>
        <v>NO</v>
      </c>
    </row>
    <row r="351" spans="1:10">
      <c r="A351" s="118" t="str">
        <f t="shared" si="16"/>
        <v>4099300SCHMDT415411ContraRA DeerCreekAband CASITUS</v>
      </c>
      <c r="B351" s="125">
        <v>4099300</v>
      </c>
      <c r="C351" s="117" t="str">
        <f t="shared" si="17"/>
        <v>SCHMDT</v>
      </c>
      <c r="D351" s="125">
        <v>415411</v>
      </c>
      <c r="E351" s="121" t="s">
        <v>493</v>
      </c>
      <c r="F351" s="119" t="s">
        <v>387</v>
      </c>
      <c r="G351" s="138">
        <v>1323.3173899999999</v>
      </c>
      <c r="H351" s="113" t="str">
        <f t="shared" si="15"/>
        <v>SITUS</v>
      </c>
      <c r="I351" s="113" t="str">
        <f>INDEX('SCH M Lookup'!$I:$I,MATCH($A351,'SCH M Lookup'!$A:$A,0))</f>
        <v>P</v>
      </c>
      <c r="J351" s="113" t="str">
        <f>IF('SCH M Jun22data'!$G351=0,"NO",IF(ISNA('SCH M Jun22data'!$I351),"YES",IF(_xlfn.ISFORMULA('SCH M Jun22data'!$I351),"NO","YES")))</f>
        <v>NO</v>
      </c>
    </row>
    <row r="352" spans="1:10">
      <c r="A352" s="118" t="str">
        <f t="shared" si="16"/>
        <v>4099300SCHMDT415412ContraRA DeerCreekAband IDSITUS</v>
      </c>
      <c r="B352" s="125">
        <v>4099300</v>
      </c>
      <c r="C352" s="117" t="str">
        <f t="shared" si="17"/>
        <v>SCHMDT</v>
      </c>
      <c r="D352" s="125">
        <v>415412</v>
      </c>
      <c r="E352" s="121" t="s">
        <v>494</v>
      </c>
      <c r="F352" s="119" t="s">
        <v>372</v>
      </c>
      <c r="G352" s="138">
        <v>286.35847000000001</v>
      </c>
      <c r="H352" s="113" t="str">
        <f t="shared" si="15"/>
        <v>SITUS</v>
      </c>
      <c r="I352" s="113" t="str">
        <f>INDEX('SCH M Lookup'!$I:$I,MATCH($A352,'SCH M Lookup'!$A:$A,0))</f>
        <v>P</v>
      </c>
      <c r="J352" s="113" t="str">
        <f>IF('SCH M Jun22data'!$G352=0,"NO",IF(ISNA('SCH M Jun22data'!$I352),"YES",IF(_xlfn.ISFORMULA('SCH M Jun22data'!$I352),"NO","YES")))</f>
        <v>NO</v>
      </c>
    </row>
    <row r="353" spans="1:10">
      <c r="A353" s="118" t="str">
        <f t="shared" si="16"/>
        <v>4099300SCHMDT415413ContraRA DeerCreekAband ORSITUS</v>
      </c>
      <c r="B353" s="125">
        <v>4099300</v>
      </c>
      <c r="C353" s="117" t="str">
        <f t="shared" si="17"/>
        <v>SCHMDT</v>
      </c>
      <c r="D353" s="125">
        <v>415413</v>
      </c>
      <c r="E353" s="121" t="s">
        <v>495</v>
      </c>
      <c r="F353" s="119" t="s">
        <v>343</v>
      </c>
      <c r="G353" s="138">
        <v>3234.1709500000002</v>
      </c>
      <c r="H353" s="113" t="str">
        <f t="shared" si="15"/>
        <v>SITUS</v>
      </c>
      <c r="I353" s="113" t="str">
        <f>INDEX('SCH M Lookup'!$I:$I,MATCH($A353,'SCH M Lookup'!$A:$A,0))</f>
        <v>P</v>
      </c>
      <c r="J353" s="113" t="str">
        <f>IF('SCH M Jun22data'!$G353=0,"NO",IF(ISNA('SCH M Jun22data'!$I353),"YES",IF(_xlfn.ISFORMULA('SCH M Jun22data'!$I353),"NO","YES")))</f>
        <v>NO</v>
      </c>
    </row>
    <row r="354" spans="1:10">
      <c r="A354" s="118" t="str">
        <f t="shared" si="16"/>
        <v>4099300SCHMDT415414ContraRA DeerCreekAband UTSITUS</v>
      </c>
      <c r="B354" s="125">
        <v>4099300</v>
      </c>
      <c r="C354" s="117" t="str">
        <f t="shared" si="17"/>
        <v>SCHMDT</v>
      </c>
      <c r="D354" s="125">
        <v>415414</v>
      </c>
      <c r="E354" s="121" t="s">
        <v>496</v>
      </c>
      <c r="F354" s="119" t="s">
        <v>370</v>
      </c>
      <c r="G354" s="138">
        <v>923.61699999999996</v>
      </c>
      <c r="H354" s="113" t="str">
        <f t="shared" si="15"/>
        <v>SITUS</v>
      </c>
      <c r="I354" s="113" t="str">
        <f>INDEX('SCH M Lookup'!$I:$I,MATCH($A354,'SCH M Lookup'!$A:$A,0))</f>
        <v>P</v>
      </c>
      <c r="J354" s="113" t="str">
        <f>IF('SCH M Jun22data'!$G354=0,"NO",IF(ISNA('SCH M Jun22data'!$I354),"YES",IF(_xlfn.ISFORMULA('SCH M Jun22data'!$I354),"NO","YES")))</f>
        <v>NO</v>
      </c>
    </row>
    <row r="355" spans="1:10">
      <c r="A355" s="118" t="str">
        <f t="shared" si="16"/>
        <v>4099300SCHMDT415416ContraRA DeerCreekAband WYSITUS</v>
      </c>
      <c r="B355" s="125">
        <v>4099300</v>
      </c>
      <c r="C355" s="117" t="str">
        <f t="shared" si="17"/>
        <v>SCHMDT</v>
      </c>
      <c r="D355" s="125">
        <v>415416</v>
      </c>
      <c r="E355" s="121" t="s">
        <v>498</v>
      </c>
      <c r="F355" s="119" t="s">
        <v>378</v>
      </c>
      <c r="G355" s="138">
        <v>202.21235999999999</v>
      </c>
      <c r="H355" s="113" t="str">
        <f t="shared" si="15"/>
        <v>SITUS</v>
      </c>
      <c r="I355" s="113" t="str">
        <f>INDEX('SCH M Lookup'!$I:$I,MATCH($A355,'SCH M Lookup'!$A:$A,0))</f>
        <v>P</v>
      </c>
      <c r="J355" s="113" t="str">
        <f>IF('SCH M Jun22data'!$G355=0,"NO",IF(ISNA('SCH M Jun22data'!$I355),"YES",IF(_xlfn.ISFORMULA('SCH M Jun22data'!$I355),"NO","YES")))</f>
        <v>NO</v>
      </c>
    </row>
    <row r="356" spans="1:10">
      <c r="A356" s="118" t="str">
        <f t="shared" si="16"/>
        <v>4099300SCHMDT415417Contra RA UMWA Pension CAOTHER</v>
      </c>
      <c r="B356" s="125">
        <v>4099300</v>
      </c>
      <c r="C356" s="117" t="str">
        <f t="shared" si="17"/>
        <v>SCHMDT</v>
      </c>
      <c r="D356" s="125">
        <v>415417</v>
      </c>
      <c r="E356" s="121" t="s">
        <v>499</v>
      </c>
      <c r="F356" s="119" t="s">
        <v>306</v>
      </c>
      <c r="G356" s="138">
        <v>0</v>
      </c>
      <c r="H356" s="113" t="str">
        <f t="shared" si="15"/>
        <v>OTHER</v>
      </c>
      <c r="I356" s="113" t="str">
        <f>INDEX('SCH M Lookup'!$I:$I,MATCH($A356,'SCH M Lookup'!$A:$A,0))</f>
        <v>P</v>
      </c>
      <c r="J356" s="113" t="str">
        <f>IF('SCH M Jun22data'!$G356=0,"NO",IF(ISNA('SCH M Jun22data'!$I356),"YES",IF(_xlfn.ISFORMULA('SCH M Jun22data'!$I356),"NO","YES")))</f>
        <v>NO</v>
      </c>
    </row>
    <row r="357" spans="1:10">
      <c r="A357" s="118" t="str">
        <f t="shared" si="16"/>
        <v>4099300SCHMDT415418Contra RA UMWA Pension IDOTHER</v>
      </c>
      <c r="B357" s="125">
        <v>4099300</v>
      </c>
      <c r="C357" s="117" t="str">
        <f t="shared" si="17"/>
        <v>SCHMDT</v>
      </c>
      <c r="D357" s="125">
        <v>415418</v>
      </c>
      <c r="E357" s="121" t="s">
        <v>3295</v>
      </c>
      <c r="F357" s="119" t="s">
        <v>306</v>
      </c>
      <c r="G357" s="138">
        <v>0</v>
      </c>
      <c r="H357" s="113" t="str">
        <f t="shared" si="15"/>
        <v>OTHER</v>
      </c>
      <c r="I357" s="113" t="e">
        <f>INDEX('SCH M Lookup'!$I:$I,MATCH($A357,'SCH M Lookup'!$A:$A,0))</f>
        <v>#N/A</v>
      </c>
      <c r="J357" s="113" t="str">
        <f>IF('SCH M Jun22data'!$G357=0,"NO",IF(ISNA('SCH M Jun22data'!$I357),"YES",IF(_xlfn.ISFORMULA('SCH M Jun22data'!$I357),"NO","YES")))</f>
        <v>NO</v>
      </c>
    </row>
    <row r="358" spans="1:10">
      <c r="A358" s="118" t="str">
        <f t="shared" si="16"/>
        <v>4099300SCHMDT415419Contra RA UMWA Pension OROTHER</v>
      </c>
      <c r="B358" s="125">
        <v>4099300</v>
      </c>
      <c r="C358" s="117" t="str">
        <f t="shared" si="17"/>
        <v>SCHMDT</v>
      </c>
      <c r="D358" s="125">
        <v>415419</v>
      </c>
      <c r="E358" s="121" t="s">
        <v>3296</v>
      </c>
      <c r="F358" s="119" t="s">
        <v>306</v>
      </c>
      <c r="G358" s="138">
        <v>0</v>
      </c>
      <c r="H358" s="113" t="str">
        <f t="shared" si="15"/>
        <v>OTHER</v>
      </c>
      <c r="I358" s="113" t="e">
        <f>INDEX('SCH M Lookup'!$I:$I,MATCH($A358,'SCH M Lookup'!$A:$A,0))</f>
        <v>#N/A</v>
      </c>
      <c r="J358" s="113" t="str">
        <f>IF('SCH M Jun22data'!$G358=0,"NO",IF(ISNA('SCH M Jun22data'!$I358),"YES",IF(_xlfn.ISFORMULA('SCH M Jun22data'!$I358),"NO","YES")))</f>
        <v>NO</v>
      </c>
    </row>
    <row r="359" spans="1:10">
      <c r="A359" s="118" t="str">
        <f t="shared" si="16"/>
        <v>4099300SCHMDT415420Contra RA UMWA Pension UTOTHER</v>
      </c>
      <c r="B359" s="125">
        <v>4099300</v>
      </c>
      <c r="C359" s="117" t="str">
        <f t="shared" si="17"/>
        <v>SCHMDT</v>
      </c>
      <c r="D359" s="125">
        <v>415420</v>
      </c>
      <c r="E359" s="121" t="s">
        <v>3297</v>
      </c>
      <c r="F359" s="119" t="s">
        <v>306</v>
      </c>
      <c r="G359" s="138">
        <v>0</v>
      </c>
      <c r="H359" s="113" t="str">
        <f t="shared" si="15"/>
        <v>OTHER</v>
      </c>
      <c r="I359" s="113" t="e">
        <f>INDEX('SCH M Lookup'!$I:$I,MATCH($A359,'SCH M Lookup'!$A:$A,0))</f>
        <v>#N/A</v>
      </c>
      <c r="J359" s="113" t="str">
        <f>IF('SCH M Jun22data'!$G359=0,"NO",IF(ISNA('SCH M Jun22data'!$I359),"YES",IF(_xlfn.ISFORMULA('SCH M Jun22data'!$I359),"NO","YES")))</f>
        <v>NO</v>
      </c>
    </row>
    <row r="360" spans="1:10">
      <c r="A360" s="118" t="str">
        <f t="shared" si="16"/>
        <v>4099300SCHMDT415422Contra RA UMWA Pension WYOTHER</v>
      </c>
      <c r="B360" s="125">
        <v>4099300</v>
      </c>
      <c r="C360" s="117" t="str">
        <f t="shared" si="17"/>
        <v>SCHMDT</v>
      </c>
      <c r="D360" s="125">
        <v>415422</v>
      </c>
      <c r="E360" s="121" t="s">
        <v>3298</v>
      </c>
      <c r="F360" s="119" t="s">
        <v>306</v>
      </c>
      <c r="G360" s="138">
        <v>0</v>
      </c>
      <c r="H360" s="113" t="str">
        <f t="shared" si="15"/>
        <v>OTHER</v>
      </c>
      <c r="I360" s="113" t="e">
        <f>INDEX('SCH M Lookup'!$I:$I,MATCH($A360,'SCH M Lookup'!$A:$A,0))</f>
        <v>#N/A</v>
      </c>
      <c r="J360" s="113" t="str">
        <f>IF('SCH M Jun22data'!$G360=0,"NO",IF(ISNA('SCH M Jun22data'!$I360),"YES",IF(_xlfn.ISFORMULA('SCH M Jun22data'!$I360),"NO","YES")))</f>
        <v>NO</v>
      </c>
    </row>
    <row r="361" spans="1:10">
      <c r="A361" s="118" t="str">
        <f t="shared" si="16"/>
        <v>4099300SCHMDT415431Reg Asset - WA Transportation ElectrificOTHER</v>
      </c>
      <c r="B361" s="125">
        <v>4099300</v>
      </c>
      <c r="C361" s="117" t="str">
        <f t="shared" si="17"/>
        <v>SCHMDT</v>
      </c>
      <c r="D361" s="125">
        <v>415431</v>
      </c>
      <c r="E361" s="121" t="s">
        <v>1759</v>
      </c>
      <c r="F361" s="119" t="s">
        <v>306</v>
      </c>
      <c r="G361" s="138">
        <v>230.28987000000001</v>
      </c>
      <c r="H361" s="113" t="str">
        <f t="shared" si="15"/>
        <v>OTHER</v>
      </c>
      <c r="I361" s="113" t="str">
        <f>INDEX('SCH M Lookup'!$I:$I,MATCH($A361,'SCH M Lookup'!$A:$A,0))</f>
        <v>PTD</v>
      </c>
      <c r="J361" s="113" t="str">
        <f>IF('SCH M Jun22data'!$G361=0,"NO",IF(ISNA('SCH M Jun22data'!$I361),"YES",IF(_xlfn.ISFORMULA('SCH M Jun22data'!$I361),"NO","YES")))</f>
        <v>NO</v>
      </c>
    </row>
    <row r="362" spans="1:10">
      <c r="A362" s="118" t="str">
        <f t="shared" si="16"/>
        <v>4099300SCHMDT415440Reg Asset - Low Income Bill Discount - OOTHER</v>
      </c>
      <c r="B362" s="125">
        <v>4099300</v>
      </c>
      <c r="C362" s="117" t="str">
        <f t="shared" si="17"/>
        <v>SCHMDT</v>
      </c>
      <c r="D362" s="125">
        <v>415440</v>
      </c>
      <c r="E362" s="121" t="s">
        <v>3299</v>
      </c>
      <c r="F362" s="119" t="s">
        <v>306</v>
      </c>
      <c r="G362" s="138">
        <v>1.7444500000000001</v>
      </c>
      <c r="H362" s="113" t="str">
        <f t="shared" si="15"/>
        <v>OTHER</v>
      </c>
      <c r="I362" s="113" t="str">
        <f>INDEX('SCH M Lookup'!$I:$I,MATCH($A362,'SCH M Lookup'!$A:$A,0))</f>
        <v>DMSC</v>
      </c>
      <c r="J362" s="113" t="str">
        <f>IF('SCH M Jun22data'!$G362=0,"NO",IF(ISNA('SCH M Jun22data'!$I362),"YES",IF(_xlfn.ISFORMULA('SCH M Jun22data'!$I362),"NO","YES")))</f>
        <v>NO</v>
      </c>
    </row>
    <row r="363" spans="1:10">
      <c r="A363" s="118" t="str">
        <f t="shared" si="16"/>
        <v>4099300SCHMDT415441Reg Asset - Utility Community Advisory GOTHER</v>
      </c>
      <c r="B363" s="125">
        <v>4099300</v>
      </c>
      <c r="C363" s="117" t="str">
        <f t="shared" si="17"/>
        <v>SCHMDT</v>
      </c>
      <c r="D363" s="125">
        <v>415441</v>
      </c>
      <c r="E363" s="121" t="s">
        <v>3300</v>
      </c>
      <c r="F363" s="119" t="s">
        <v>306</v>
      </c>
      <c r="G363" s="138">
        <v>3.6846999999999999</v>
      </c>
      <c r="H363" s="113" t="str">
        <f t="shared" si="15"/>
        <v>OTHER</v>
      </c>
      <c r="I363" s="113" t="str">
        <f>INDEX('SCH M Lookup'!$I:$I,MATCH($A363,'SCH M Lookup'!$A:$A,0))</f>
        <v>DMSC</v>
      </c>
      <c r="J363" s="113" t="str">
        <f>IF('SCH M Jun22data'!$G363=0,"NO",IF(ISNA('SCH M Jun22data'!$I363),"YES",IF(_xlfn.ISFORMULA('SCH M Jun22data'!$I363),"NO","YES")))</f>
        <v>NO</v>
      </c>
    </row>
    <row r="364" spans="1:10">
      <c r="A364" s="118" t="str">
        <f t="shared" si="16"/>
        <v>4099300SCHMDT415501Cholla Plt Transact Costs- APS Amort - ISITUS</v>
      </c>
      <c r="B364" s="125">
        <v>4099300</v>
      </c>
      <c r="C364" s="117" t="str">
        <f t="shared" si="17"/>
        <v>SCHMDT</v>
      </c>
      <c r="D364" s="125">
        <v>415501</v>
      </c>
      <c r="E364" s="121" t="s">
        <v>501</v>
      </c>
      <c r="F364" s="119" t="s">
        <v>372</v>
      </c>
      <c r="G364" s="138">
        <v>0</v>
      </c>
      <c r="H364" s="113" t="str">
        <f t="shared" si="15"/>
        <v>SITUS</v>
      </c>
      <c r="I364" s="113" t="str">
        <f>INDEX('SCH M Lookup'!$I:$I,MATCH($A364,'SCH M Lookup'!$A:$A,0))</f>
        <v>P</v>
      </c>
      <c r="J364" s="113" t="str">
        <f>IF('SCH M Jun22data'!$G364=0,"NO",IF(ISNA('SCH M Jun22data'!$I364),"YES",IF(_xlfn.ISFORMULA('SCH M Jun22data'!$I364),"NO","YES")))</f>
        <v>NO</v>
      </c>
    </row>
    <row r="365" spans="1:10">
      <c r="A365" s="118" t="str">
        <f t="shared" si="16"/>
        <v>4099300SCHMDT415502Cholla Plt Transact Costs- APS Amort - OSITUS</v>
      </c>
      <c r="B365" s="125">
        <v>4099300</v>
      </c>
      <c r="C365" s="117" t="str">
        <f t="shared" si="17"/>
        <v>SCHMDT</v>
      </c>
      <c r="D365" s="125">
        <v>415502</v>
      </c>
      <c r="E365" s="121" t="s">
        <v>502</v>
      </c>
      <c r="F365" s="119" t="s">
        <v>343</v>
      </c>
      <c r="G365" s="138">
        <v>0</v>
      </c>
      <c r="H365" s="113" t="str">
        <f t="shared" si="15"/>
        <v>SITUS</v>
      </c>
      <c r="I365" s="113" t="str">
        <f>INDEX('SCH M Lookup'!$I:$I,MATCH($A365,'SCH M Lookup'!$A:$A,0))</f>
        <v>P</v>
      </c>
      <c r="J365" s="113" t="str">
        <f>IF('SCH M Jun22data'!$G365=0,"NO",IF(ISNA('SCH M Jun22data'!$I365),"YES",IF(_xlfn.ISFORMULA('SCH M Jun22data'!$I365),"NO","YES")))</f>
        <v>NO</v>
      </c>
    </row>
    <row r="366" spans="1:10">
      <c r="A366" s="118" t="str">
        <f t="shared" si="16"/>
        <v>4099300SCHMDT415520Reg Asset - WA Decoupling MechanismOTHER</v>
      </c>
      <c r="B366" s="125">
        <v>4099300</v>
      </c>
      <c r="C366" s="117" t="str">
        <f t="shared" si="17"/>
        <v>SCHMDT</v>
      </c>
      <c r="D366" s="125">
        <v>415520</v>
      </c>
      <c r="E366" s="121" t="s">
        <v>1885</v>
      </c>
      <c r="F366" s="119" t="s">
        <v>306</v>
      </c>
      <c r="G366" s="138">
        <v>1538.1953799999999</v>
      </c>
      <c r="H366" s="113" t="str">
        <f t="shared" si="15"/>
        <v>OTHER</v>
      </c>
      <c r="I366" s="113" t="str">
        <f>INDEX('SCH M Lookup'!$I:$I,MATCH($A366,'SCH M Lookup'!$A:$A,0))</f>
        <v>PTD</v>
      </c>
      <c r="J366" s="113" t="str">
        <f>IF('SCH M Jun22data'!$G366=0,"NO",IF(ISNA('SCH M Jun22data'!$I366),"YES",IF(_xlfn.ISFORMULA('SCH M Jun22data'!$I366),"NO","YES")))</f>
        <v>NO</v>
      </c>
    </row>
    <row r="367" spans="1:10">
      <c r="A367" s="118" t="str">
        <f t="shared" si="16"/>
        <v>4099300SCHMDT415530Reg Asset - ID 2017 Protocol - MSP DeferSITUS</v>
      </c>
      <c r="B367" s="125">
        <v>4099300</v>
      </c>
      <c r="C367" s="117" t="str">
        <f t="shared" si="17"/>
        <v>SCHMDT</v>
      </c>
      <c r="D367" s="125">
        <v>415530</v>
      </c>
      <c r="E367" s="121" t="s">
        <v>503</v>
      </c>
      <c r="F367" s="119" t="s">
        <v>372</v>
      </c>
      <c r="G367" s="138">
        <v>-300</v>
      </c>
      <c r="H367" s="113" t="str">
        <f t="shared" si="15"/>
        <v>SITUS</v>
      </c>
      <c r="I367" s="113" t="str">
        <f>INDEX('SCH M Lookup'!$I:$I,MATCH($A367,'SCH M Lookup'!$A:$A,0))</f>
        <v>P</v>
      </c>
      <c r="J367" s="113" t="str">
        <f>IF('SCH M Jun22data'!$G367=0,"NO",IF(ISNA('SCH M Jun22data'!$I367),"YES",IF(_xlfn.ISFORMULA('SCH M Jun22data'!$I367),"NO","YES")))</f>
        <v>NO</v>
      </c>
    </row>
    <row r="368" spans="1:10">
      <c r="A368" s="118" t="str">
        <f t="shared" si="16"/>
        <v>4099300SCHMDT415531Reg Asset - UT 2017 Protocol - MSP DeferSITUS</v>
      </c>
      <c r="B368" s="125">
        <v>4099300</v>
      </c>
      <c r="C368" s="117" t="str">
        <f t="shared" si="17"/>
        <v>SCHMDT</v>
      </c>
      <c r="D368" s="125">
        <v>415531</v>
      </c>
      <c r="E368" s="121" t="s">
        <v>504</v>
      </c>
      <c r="F368" s="119" t="s">
        <v>370</v>
      </c>
      <c r="G368" s="138">
        <v>0</v>
      </c>
      <c r="H368" s="113" t="str">
        <f t="shared" si="15"/>
        <v>SITUS</v>
      </c>
      <c r="I368" s="113" t="str">
        <f>INDEX('SCH M Lookup'!$I:$I,MATCH($A368,'SCH M Lookup'!$A:$A,0))</f>
        <v>P</v>
      </c>
      <c r="J368" s="113" t="str">
        <f>IF('SCH M Jun22data'!$G368=0,"NO",IF(ISNA('SCH M Jun22data'!$I368),"YES",IF(_xlfn.ISFORMULA('SCH M Jun22data'!$I368),"NO","YES")))</f>
        <v>NO</v>
      </c>
    </row>
    <row r="369" spans="1:10">
      <c r="A369" s="118" t="str">
        <f t="shared" si="16"/>
        <v>4099300SCHMDT415532Reg Asset - WY 2017 Protocol - MSP DeferSITUS</v>
      </c>
      <c r="B369" s="125">
        <v>4099300</v>
      </c>
      <c r="C369" s="117" t="str">
        <f t="shared" si="17"/>
        <v>SCHMDT</v>
      </c>
      <c r="D369" s="125">
        <v>415532</v>
      </c>
      <c r="E369" s="121" t="s">
        <v>505</v>
      </c>
      <c r="F369" s="119" t="s">
        <v>386</v>
      </c>
      <c r="G369" s="138">
        <v>0</v>
      </c>
      <c r="H369" s="113" t="str">
        <f t="shared" si="15"/>
        <v>SITUS</v>
      </c>
      <c r="I369" s="113" t="str">
        <f>INDEX('SCH M Lookup'!$I:$I,MATCH($A369,'SCH M Lookup'!$A:$A,0))</f>
        <v>P</v>
      </c>
      <c r="J369" s="113" t="str">
        <f>IF('SCH M Jun22data'!$G369=0,"NO",IF(ISNA('SCH M Jun22data'!$I369),"YES",IF(_xlfn.ISFORMULA('SCH M Jun22data'!$I369),"NO","YES")))</f>
        <v>NO</v>
      </c>
    </row>
    <row r="370" spans="1:10">
      <c r="A370" s="118" t="str">
        <f t="shared" si="16"/>
        <v>4099300SCHMDT415545Reg Asset - WA Merwin ProjectOTHER</v>
      </c>
      <c r="B370" s="125">
        <v>4099300</v>
      </c>
      <c r="C370" s="117" t="str">
        <f t="shared" si="17"/>
        <v>SCHMDT</v>
      </c>
      <c r="D370" s="125">
        <v>415545</v>
      </c>
      <c r="E370" s="121" t="s">
        <v>506</v>
      </c>
      <c r="F370" s="119" t="s">
        <v>306</v>
      </c>
      <c r="G370" s="138">
        <v>0</v>
      </c>
      <c r="H370" s="113" t="str">
        <f t="shared" si="15"/>
        <v>OTHER</v>
      </c>
      <c r="I370" s="113" t="str">
        <f>INDEX('SCH M Lookup'!$I:$I,MATCH($A370,'SCH M Lookup'!$A:$A,0))</f>
        <v>P</v>
      </c>
      <c r="J370" s="113" t="str">
        <f>IF('SCH M Jun22data'!$G370=0,"NO",IF(ISNA('SCH M Jun22data'!$I370),"YES",IF(_xlfn.ISFORMULA('SCH M Jun22data'!$I370),"NO","YES")))</f>
        <v>NO</v>
      </c>
    </row>
    <row r="371" spans="1:10">
      <c r="A371" s="118" t="str">
        <f t="shared" si="16"/>
        <v>4099300SCHMDT415585Reg Asset - OR Sch 203 - Black CapOTHER</v>
      </c>
      <c r="B371" s="125">
        <v>4099300</v>
      </c>
      <c r="C371" s="117" t="str">
        <f t="shared" si="17"/>
        <v>SCHMDT</v>
      </c>
      <c r="D371" s="125">
        <v>415585</v>
      </c>
      <c r="E371" s="121" t="s">
        <v>3301</v>
      </c>
      <c r="F371" s="119" t="s">
        <v>306</v>
      </c>
      <c r="G371" s="138">
        <v>0</v>
      </c>
      <c r="H371" s="113" t="str">
        <f t="shared" si="15"/>
        <v>OTHER</v>
      </c>
      <c r="I371" s="113" t="e">
        <f>INDEX('SCH M Lookup'!$I:$I,MATCH($A371,'SCH M Lookup'!$A:$A,0))</f>
        <v>#N/A</v>
      </c>
      <c r="J371" s="113" t="str">
        <f>IF('SCH M Jun22data'!$G371=0,"NO",IF(ISNA('SCH M Jun22data'!$I371),"YES",IF(_xlfn.ISFORMULA('SCH M Jun22data'!$I371),"NO","YES")))</f>
        <v>NO</v>
      </c>
    </row>
    <row r="372" spans="1:10">
      <c r="A372" s="118" t="str">
        <f t="shared" si="16"/>
        <v>4099300SCHMDT415655CA GHG AllowanceOTHER</v>
      </c>
      <c r="B372" s="125">
        <v>4099300</v>
      </c>
      <c r="C372" s="117" t="str">
        <f t="shared" si="17"/>
        <v>SCHMDT</v>
      </c>
      <c r="D372" s="125">
        <v>415655</v>
      </c>
      <c r="E372" s="121" t="s">
        <v>507</v>
      </c>
      <c r="F372" s="119" t="s">
        <v>306</v>
      </c>
      <c r="G372" s="138">
        <v>4667.6314499999999</v>
      </c>
      <c r="H372" s="113" t="str">
        <f t="shared" si="15"/>
        <v>OTHER</v>
      </c>
      <c r="I372" s="113" t="str">
        <f>INDEX('SCH M Lookup'!$I:$I,MATCH($A372,'SCH M Lookup'!$A:$A,0))</f>
        <v>P</v>
      </c>
      <c r="J372" s="113" t="str">
        <f>IF('SCH M Jun22data'!$G372=0,"NO",IF(ISNA('SCH M Jun22data'!$I372),"YES",IF(_xlfn.ISFORMULA('SCH M Jun22data'!$I372),"NO","YES")))</f>
        <v>NO</v>
      </c>
    </row>
    <row r="373" spans="1:10">
      <c r="A373" s="118" t="str">
        <f t="shared" si="16"/>
        <v>4099300SCHMDT415675Reg Asset - UT - Deferred Stock RedemptiOTHER</v>
      </c>
      <c r="B373" s="125">
        <v>4099300</v>
      </c>
      <c r="C373" s="117" t="str">
        <f t="shared" si="17"/>
        <v>SCHMDT</v>
      </c>
      <c r="D373" s="125">
        <v>415675</v>
      </c>
      <c r="E373" s="121" t="s">
        <v>508</v>
      </c>
      <c r="F373" s="119" t="s">
        <v>306</v>
      </c>
      <c r="G373" s="138">
        <v>-82.530720000000002</v>
      </c>
      <c r="H373" s="113" t="str">
        <f t="shared" si="15"/>
        <v>OTHER</v>
      </c>
      <c r="I373" s="113" t="str">
        <f>INDEX('SCH M Lookup'!$I:$I,MATCH($A373,'SCH M Lookup'!$A:$A,0))</f>
        <v>DDS2</v>
      </c>
      <c r="J373" s="113" t="str">
        <f>IF('SCH M Jun22data'!$G373=0,"NO",IF(ISNA('SCH M Jun22data'!$I373),"YES",IF(_xlfn.ISFORMULA('SCH M Jun22data'!$I373),"NO","YES")))</f>
        <v>NO</v>
      </c>
    </row>
    <row r="374" spans="1:10">
      <c r="A374" s="118" t="str">
        <f t="shared" si="16"/>
        <v>4099300SCHMDT415676Reg Asset - WY - Deferred Stock RedemptiOTHER</v>
      </c>
      <c r="B374" s="125">
        <v>4099300</v>
      </c>
      <c r="C374" s="117" t="str">
        <f t="shared" si="17"/>
        <v>SCHMDT</v>
      </c>
      <c r="D374" s="125">
        <v>415676</v>
      </c>
      <c r="E374" s="121" t="s">
        <v>509</v>
      </c>
      <c r="F374" s="119" t="s">
        <v>306</v>
      </c>
      <c r="G374" s="138">
        <v>-28.441800000000001</v>
      </c>
      <c r="H374" s="113" t="str">
        <f t="shared" si="15"/>
        <v>OTHER</v>
      </c>
      <c r="I374" s="113" t="str">
        <f>INDEX('SCH M Lookup'!$I:$I,MATCH($A374,'SCH M Lookup'!$A:$A,0))</f>
        <v>DDS2</v>
      </c>
      <c r="J374" s="113" t="str">
        <f>IF('SCH M Jun22data'!$G374=0,"NO",IF(ISNA('SCH M Jun22data'!$I374),"YES",IF(_xlfn.ISFORMULA('SCH M Jun22data'!$I374),"NO","YES")))</f>
        <v>NO</v>
      </c>
    </row>
    <row r="375" spans="1:10">
      <c r="A375" s="118" t="str">
        <f t="shared" si="16"/>
        <v>4099300SCHMDT415677Reg Asset - Pref Stock Redemp Loss WAOTHER</v>
      </c>
      <c r="B375" s="125">
        <v>4099300</v>
      </c>
      <c r="C375" s="117" t="str">
        <f t="shared" si="17"/>
        <v>SCHMDT</v>
      </c>
      <c r="D375" s="125">
        <v>415677</v>
      </c>
      <c r="E375" s="121" t="s">
        <v>510</v>
      </c>
      <c r="F375" s="119" t="s">
        <v>306</v>
      </c>
      <c r="G375" s="138">
        <v>-13.31772</v>
      </c>
      <c r="H375" s="113" t="str">
        <f t="shared" si="15"/>
        <v>OTHER</v>
      </c>
      <c r="I375" s="113" t="str">
        <f>INDEX('SCH M Lookup'!$I:$I,MATCH($A375,'SCH M Lookup'!$A:$A,0))</f>
        <v>DDS2</v>
      </c>
      <c r="J375" s="113" t="str">
        <f>IF('SCH M Jun22data'!$G375=0,"NO",IF(ISNA('SCH M Jun22data'!$I375),"YES",IF(_xlfn.ISFORMULA('SCH M Jun22data'!$I375),"NO","YES")))</f>
        <v>NO</v>
      </c>
    </row>
    <row r="376" spans="1:10">
      <c r="A376" s="118" t="str">
        <f t="shared" si="16"/>
        <v>4099300SCHMDT415680Deferred Intervenor Funding Grants-OROTHER</v>
      </c>
      <c r="B376" s="125">
        <v>4099300</v>
      </c>
      <c r="C376" s="117" t="str">
        <f t="shared" si="17"/>
        <v>SCHMDT</v>
      </c>
      <c r="D376" s="125">
        <v>415680</v>
      </c>
      <c r="E376" s="121" t="s">
        <v>511</v>
      </c>
      <c r="F376" s="119" t="s">
        <v>306</v>
      </c>
      <c r="G376" s="138">
        <v>458.79854</v>
      </c>
      <c r="H376" s="113" t="str">
        <f t="shared" si="15"/>
        <v>OTHER</v>
      </c>
      <c r="I376" s="113" t="str">
        <f>INDEX('SCH M Lookup'!$I:$I,MATCH($A376,'SCH M Lookup'!$A:$A,0))</f>
        <v>DMSC</v>
      </c>
      <c r="J376" s="113" t="str">
        <f>IF('SCH M Jun22data'!$G376=0,"NO",IF(ISNA('SCH M Jun22data'!$I376),"YES",IF(_xlfn.ISFORMULA('SCH M Jun22data'!$I376),"NO","YES")))</f>
        <v>NO</v>
      </c>
    </row>
    <row r="377" spans="1:10">
      <c r="A377" s="118" t="str">
        <f t="shared" si="16"/>
        <v>4099300SCHMDT415700Reg Liability BPA balancing accounts-OROTHER</v>
      </c>
      <c r="B377" s="125">
        <v>4099300</v>
      </c>
      <c r="C377" s="117" t="str">
        <f t="shared" si="17"/>
        <v>SCHMDT</v>
      </c>
      <c r="D377" s="125">
        <v>415700</v>
      </c>
      <c r="E377" s="121" t="s">
        <v>3175</v>
      </c>
      <c r="F377" s="119" t="s">
        <v>306</v>
      </c>
      <c r="G377" s="138">
        <v>0</v>
      </c>
      <c r="H377" s="113" t="str">
        <f t="shared" si="15"/>
        <v>OTHER</v>
      </c>
      <c r="I377" s="113" t="e">
        <f>INDEX('SCH M Lookup'!$I:$I,MATCH($A377,'SCH M Lookup'!$A:$A,0))</f>
        <v>#N/A</v>
      </c>
      <c r="J377" s="113" t="str">
        <f>IF('SCH M Jun22data'!$G377=0,"NO",IF(ISNA('SCH M Jun22data'!$I377),"YES",IF(_xlfn.ISFORMULA('SCH M Jun22data'!$I377),"NO","YES")))</f>
        <v>NO</v>
      </c>
    </row>
    <row r="378" spans="1:10">
      <c r="A378" s="118" t="str">
        <f t="shared" si="16"/>
        <v>4099300SCHMDT415701CA Deferred Intervenor FundingOTHER</v>
      </c>
      <c r="B378" s="125">
        <v>4099300</v>
      </c>
      <c r="C378" s="117" t="str">
        <f t="shared" si="17"/>
        <v>SCHMDT</v>
      </c>
      <c r="D378" s="125">
        <v>415701</v>
      </c>
      <c r="E378" s="121" t="s">
        <v>388</v>
      </c>
      <c r="F378" s="119" t="s">
        <v>306</v>
      </c>
      <c r="G378" s="138">
        <v>242.72918999999999</v>
      </c>
      <c r="H378" s="113" t="str">
        <f t="shared" si="15"/>
        <v>OTHER</v>
      </c>
      <c r="I378" s="113" t="str">
        <f>INDEX('SCH M Lookup'!$I:$I,MATCH($A378,'SCH M Lookup'!$A:$A,0))</f>
        <v>DMSC</v>
      </c>
      <c r="J378" s="113" t="str">
        <f>IF('SCH M Jun22data'!$G378=0,"NO",IF(ISNA('SCH M Jun22data'!$I378),"YES",IF(_xlfn.ISFORMULA('SCH M Jun22data'!$I378),"NO","YES")))</f>
        <v>NO</v>
      </c>
    </row>
    <row r="379" spans="1:10">
      <c r="A379" s="118" t="str">
        <f t="shared" si="16"/>
        <v>4099300SCHMDT415703Goodnoe Hills Liquidation Damages - WYSITUS</v>
      </c>
      <c r="B379" s="125">
        <v>4099300</v>
      </c>
      <c r="C379" s="117" t="str">
        <f t="shared" si="17"/>
        <v>SCHMDT</v>
      </c>
      <c r="D379" s="125">
        <v>415703</v>
      </c>
      <c r="E379" s="121" t="s">
        <v>390</v>
      </c>
      <c r="F379" s="119" t="s">
        <v>386</v>
      </c>
      <c r="G379" s="138">
        <v>0</v>
      </c>
      <c r="H379" s="113" t="str">
        <f t="shared" si="15"/>
        <v>SITUS</v>
      </c>
      <c r="I379" s="113" t="e">
        <f>INDEX('SCH M Lookup'!$I:$I,MATCH($A379,'SCH M Lookup'!$A:$A,0))</f>
        <v>#N/A</v>
      </c>
      <c r="J379" s="113" t="str">
        <f>IF('SCH M Jun22data'!$G379=0,"NO",IF(ISNA('SCH M Jun22data'!$I379),"YES",IF(_xlfn.ISFORMULA('SCH M Jun22data'!$I379),"NO","YES")))</f>
        <v>NO</v>
      </c>
    </row>
    <row r="380" spans="1:10">
      <c r="A380" s="118" t="str">
        <f t="shared" si="16"/>
        <v>4099300SCHMDT415705Reg Liability - Tax Revenue Adjustment -SITUS</v>
      </c>
      <c r="B380" s="125">
        <v>4099300</v>
      </c>
      <c r="C380" s="117" t="str">
        <f t="shared" si="17"/>
        <v>SCHMDT</v>
      </c>
      <c r="D380" s="125">
        <v>415705</v>
      </c>
      <c r="E380" s="121" t="s">
        <v>391</v>
      </c>
      <c r="F380" s="119" t="s">
        <v>386</v>
      </c>
      <c r="G380" s="138">
        <v>0</v>
      </c>
      <c r="H380" s="113" t="str">
        <f t="shared" si="15"/>
        <v>SITUS</v>
      </c>
      <c r="I380" s="113" t="e">
        <f>INDEX('SCH M Lookup'!$I:$I,MATCH($A380,'SCH M Lookup'!$A:$A,0))</f>
        <v>#N/A</v>
      </c>
      <c r="J380" s="113" t="str">
        <f>IF('SCH M Jun22data'!$G380=0,"NO",IF(ISNA('SCH M Jun22data'!$I380),"YES",IF(_xlfn.ISFORMULA('SCH M Jun22data'!$I380),"NO","YES")))</f>
        <v>NO</v>
      </c>
    </row>
    <row r="381" spans="1:10">
      <c r="A381" s="118" t="str">
        <f t="shared" si="16"/>
        <v>4099300SCHMDT415720Reg Asset - Community Solar - OROTHER</v>
      </c>
      <c r="B381" s="125">
        <v>4099300</v>
      </c>
      <c r="C381" s="117" t="str">
        <f t="shared" si="17"/>
        <v>SCHMDT</v>
      </c>
      <c r="D381" s="125">
        <v>415720</v>
      </c>
      <c r="E381" s="121" t="s">
        <v>1760</v>
      </c>
      <c r="F381" s="119" t="s">
        <v>306</v>
      </c>
      <c r="G381" s="138">
        <v>578.55615</v>
      </c>
      <c r="H381" s="113" t="str">
        <f t="shared" si="15"/>
        <v>OTHER</v>
      </c>
      <c r="I381" s="113" t="str">
        <f>INDEX('SCH M Lookup'!$I:$I,MATCH($A381,'SCH M Lookup'!$A:$A,0))</f>
        <v>P</v>
      </c>
      <c r="J381" s="113" t="str">
        <f>IF('SCH M Jun22data'!$G381=0,"NO",IF(ISNA('SCH M Jun22data'!$I381),"YES",IF(_xlfn.ISFORMULA('SCH M Jun22data'!$I381),"NO","YES")))</f>
        <v>NO</v>
      </c>
    </row>
    <row r="382" spans="1:10">
      <c r="A382" s="118" t="str">
        <f t="shared" si="16"/>
        <v>4099300SCHMDT415750Reg Assets BPA balancing accounts-IDUOTHER</v>
      </c>
      <c r="B382" s="125">
        <v>4099300</v>
      </c>
      <c r="C382" s="117" t="str">
        <f t="shared" si="17"/>
        <v>SCHMDT</v>
      </c>
      <c r="D382" s="125">
        <v>415750</v>
      </c>
      <c r="E382" s="121" t="s">
        <v>3302</v>
      </c>
      <c r="F382" s="119" t="s">
        <v>306</v>
      </c>
      <c r="G382" s="138">
        <v>0</v>
      </c>
      <c r="H382" s="113" t="str">
        <f t="shared" si="15"/>
        <v>OTHER</v>
      </c>
      <c r="I382" s="113" t="e">
        <f>INDEX('SCH M Lookup'!$I:$I,MATCH($A382,'SCH M Lookup'!$A:$A,0))</f>
        <v>#N/A</v>
      </c>
      <c r="J382" s="113" t="str">
        <f>IF('SCH M Jun22data'!$G382=0,"NO",IF(ISNA('SCH M Jun22data'!$I382),"YES",IF(_xlfn.ISFORMULA('SCH M Jun22data'!$I382),"NO","YES")))</f>
        <v>NO</v>
      </c>
    </row>
    <row r="383" spans="1:10">
      <c r="A383" s="118" t="str">
        <f t="shared" si="16"/>
        <v>4099300SCHMDT415755Reg Asset - Major Mtc Exp - Colstrip U4SITUS</v>
      </c>
      <c r="B383" s="125">
        <v>4099300</v>
      </c>
      <c r="C383" s="117" t="str">
        <f t="shared" si="17"/>
        <v>SCHMDT</v>
      </c>
      <c r="D383" s="125">
        <v>415755</v>
      </c>
      <c r="E383" s="121" t="s">
        <v>2090</v>
      </c>
      <c r="F383" s="119" t="s">
        <v>367</v>
      </c>
      <c r="G383" s="138">
        <v>0</v>
      </c>
      <c r="H383" s="113" t="str">
        <f t="shared" si="15"/>
        <v>SITUS</v>
      </c>
      <c r="I383" s="113" t="str">
        <f>INDEX('SCH M Lookup'!$I:$I,MATCH($A383,'SCH M Lookup'!$A:$A,0))</f>
        <v>P</v>
      </c>
      <c r="J383" s="113" t="str">
        <f>IF('SCH M Jun22data'!$G383=0,"NO",IF(ISNA('SCH M Jun22data'!$I383),"YES",IF(_xlfn.ISFORMULA('SCH M Jun22data'!$I383),"NO","YES")))</f>
        <v>NO</v>
      </c>
    </row>
    <row r="384" spans="1:10">
      <c r="A384" s="118" t="str">
        <f t="shared" si="16"/>
        <v>4099300SCHMDT415801RTO Grid West N/R AllowanceSG</v>
      </c>
      <c r="B384" s="125">
        <v>4099300</v>
      </c>
      <c r="C384" s="117" t="str">
        <f t="shared" si="17"/>
        <v>SCHMDT</v>
      </c>
      <c r="D384" s="125">
        <v>415801</v>
      </c>
      <c r="E384" s="121" t="s">
        <v>3303</v>
      </c>
      <c r="F384" s="119" t="s">
        <v>87</v>
      </c>
      <c r="G384" s="138">
        <v>0</v>
      </c>
      <c r="H384" s="113" t="str">
        <f t="shared" si="15"/>
        <v>SG</v>
      </c>
      <c r="I384" s="113" t="e">
        <f>INDEX('SCH M Lookup'!$I:$I,MATCH($A384,'SCH M Lookup'!$A:$A,0))</f>
        <v>#N/A</v>
      </c>
      <c r="J384" s="113" t="str">
        <f>IF('SCH M Jun22data'!$G384=0,"NO",IF(ISNA('SCH M Jun22data'!$I384),"YES",IF(_xlfn.ISFORMULA('SCH M Jun22data'!$I384),"NO","YES")))</f>
        <v>NO</v>
      </c>
    </row>
    <row r="385" spans="1:10">
      <c r="A385" s="118" t="str">
        <f t="shared" si="16"/>
        <v>4099300SCHMDT415803RTO Grid West N/R Allowance w/o WASITUS</v>
      </c>
      <c r="B385" s="125">
        <v>4099300</v>
      </c>
      <c r="C385" s="117" t="str">
        <f t="shared" si="17"/>
        <v>SCHMDT</v>
      </c>
      <c r="D385" s="125">
        <v>415803</v>
      </c>
      <c r="E385" s="121" t="s">
        <v>3304</v>
      </c>
      <c r="F385" s="119" t="s">
        <v>367</v>
      </c>
      <c r="G385" s="138">
        <v>0</v>
      </c>
      <c r="H385" s="113" t="str">
        <f t="shared" si="15"/>
        <v>SITUS</v>
      </c>
      <c r="I385" s="113" t="e">
        <f>INDEX('SCH M Lookup'!$I:$I,MATCH($A385,'SCH M Lookup'!$A:$A,0))</f>
        <v>#N/A</v>
      </c>
      <c r="J385" s="113" t="str">
        <f>IF('SCH M Jun22data'!$G385=0,"NO",IF(ISNA('SCH M Jun22data'!$I385),"YES",IF(_xlfn.ISFORMULA('SCH M Jun22data'!$I385),"NO","YES")))</f>
        <v>NO</v>
      </c>
    </row>
    <row r="386" spans="1:10">
      <c r="A386" s="118" t="str">
        <f t="shared" si="16"/>
        <v>4099300SCHMDT415804OR RTO Grid West N/RSITUS</v>
      </c>
      <c r="B386" s="125">
        <v>4099300</v>
      </c>
      <c r="C386" s="117" t="str">
        <f t="shared" si="17"/>
        <v>SCHMDT</v>
      </c>
      <c r="D386" s="125">
        <v>415804</v>
      </c>
      <c r="E386" s="121" t="s">
        <v>3305</v>
      </c>
      <c r="F386" s="119" t="s">
        <v>343</v>
      </c>
      <c r="G386" s="138">
        <v>0</v>
      </c>
      <c r="H386" s="113" t="str">
        <f t="shared" ref="H386:H449" si="18">IF(OR(F386="IDU",F386="OR",F386="UT",F386="WYU",F386="WYP",F386="CA",F386="WA"),"SITUS",IF(OR(F386="CAEE",F386="JBE"),"SE",IF(OR(F386="CAGE",F386="CAGW",F386="JBG"),"SG",F386)))</f>
        <v>SITUS</v>
      </c>
      <c r="I386" s="113" t="e">
        <f>INDEX('SCH M Lookup'!$I:$I,MATCH($A386,'SCH M Lookup'!$A:$A,0))</f>
        <v>#N/A</v>
      </c>
      <c r="J386" s="113" t="str">
        <f>IF('SCH M Jun22data'!$G386=0,"NO",IF(ISNA('SCH M Jun22data'!$I386),"YES",IF(_xlfn.ISFORMULA('SCH M Jun22data'!$I386),"NO","YES")))</f>
        <v>NO</v>
      </c>
    </row>
    <row r="387" spans="1:10">
      <c r="A387" s="118" t="str">
        <f t="shared" ref="A387:A450" si="19">CONCATENATE($B387,$C387,$D387,$E387,$H387)</f>
        <v>4099300SCHMDT415815Insurance ReserveSO</v>
      </c>
      <c r="B387" s="125">
        <v>4099300</v>
      </c>
      <c r="C387" s="117" t="str">
        <f t="shared" ref="C387:C450" si="20">IF(B387=4098200,"SCHMAP",IF(B387=4098300,"SCHMAT",IF(B387=4099200,"SCHMDP",IF(B387=4099300,"SCHMDT"))))</f>
        <v>SCHMDT</v>
      </c>
      <c r="D387" s="125">
        <v>415815</v>
      </c>
      <c r="E387" s="121" t="s">
        <v>512</v>
      </c>
      <c r="F387" s="119" t="s">
        <v>89</v>
      </c>
      <c r="G387" s="138">
        <v>140700</v>
      </c>
      <c r="H387" s="113" t="str">
        <f t="shared" si="18"/>
        <v>SO</v>
      </c>
      <c r="I387" s="113" t="str">
        <f>INDEX('SCH M Lookup'!$I:$I,MATCH($A387,'SCH M Lookup'!$A:$A,0))</f>
        <v>PTD</v>
      </c>
      <c r="J387" s="113" t="str">
        <f>IF('SCH M Jun22data'!$G387=0,"NO",IF(ISNA('SCH M Jun22data'!$I387),"YES",IF(_xlfn.ISFORMULA('SCH M Jun22data'!$I387),"NO","YES")))</f>
        <v>NO</v>
      </c>
    </row>
    <row r="388" spans="1:10">
      <c r="A388" s="118" t="str">
        <f t="shared" si="19"/>
        <v>4099300SCHMDT415821Contra Pension Reg Asset MMT &amp; CTG _WYSITUS</v>
      </c>
      <c r="B388" s="125">
        <v>4099300</v>
      </c>
      <c r="C388" s="117" t="str">
        <f t="shared" si="20"/>
        <v>SCHMDT</v>
      </c>
      <c r="D388" s="125">
        <v>415821</v>
      </c>
      <c r="E388" s="121" t="s">
        <v>3306</v>
      </c>
      <c r="F388" s="119" t="s">
        <v>386</v>
      </c>
      <c r="G388" s="138">
        <v>0</v>
      </c>
      <c r="H388" s="113" t="str">
        <f t="shared" si="18"/>
        <v>SITUS</v>
      </c>
      <c r="I388" s="113" t="e">
        <f>INDEX('SCH M Lookup'!$I:$I,MATCH($A388,'SCH M Lookup'!$A:$A,0))</f>
        <v>#N/A</v>
      </c>
      <c r="J388" s="113" t="str">
        <f>IF('SCH M Jun22data'!$G388=0,"NO",IF(ISNA('SCH M Jun22data'!$I388),"YES",IF(_xlfn.ISFORMULA('SCH M Jun22data'!$I388),"NO","YES")))</f>
        <v>NO</v>
      </c>
    </row>
    <row r="389" spans="1:10">
      <c r="A389" s="118" t="str">
        <f t="shared" si="19"/>
        <v>4099300SCHMDT415833Reg Asset - Pension Settlement - CAOTHER</v>
      </c>
      <c r="B389" s="125">
        <v>4099300</v>
      </c>
      <c r="C389" s="117" t="str">
        <f t="shared" si="20"/>
        <v>SCHMDT</v>
      </c>
      <c r="D389" s="125">
        <v>415833</v>
      </c>
      <c r="E389" s="121" t="s">
        <v>1830</v>
      </c>
      <c r="F389" s="119" t="s">
        <v>306</v>
      </c>
      <c r="G389" s="138">
        <v>301.66771999999997</v>
      </c>
      <c r="H389" s="113" t="str">
        <f t="shared" si="18"/>
        <v>OTHER</v>
      </c>
      <c r="I389" s="113" t="str">
        <f>INDEX('SCH M Lookup'!$I:$I,MATCH($A389,'SCH M Lookup'!$A:$A,0))</f>
        <v>LABOR</v>
      </c>
      <c r="J389" s="113" t="str">
        <f>IF('SCH M Jun22data'!$G389=0,"NO",IF(ISNA('SCH M Jun22data'!$I389),"YES",IF(_xlfn.ISFORMULA('SCH M Jun22data'!$I389),"NO","YES")))</f>
        <v>NO</v>
      </c>
    </row>
    <row r="390" spans="1:10">
      <c r="A390" s="118" t="str">
        <f t="shared" si="19"/>
        <v>4099300SCHMDT415845Reg Asset - OR Sch 94 Distribution SafetOTHER</v>
      </c>
      <c r="B390" s="125">
        <v>4099300</v>
      </c>
      <c r="C390" s="117" t="str">
        <f t="shared" si="20"/>
        <v>SCHMDT</v>
      </c>
      <c r="D390" s="125">
        <v>415845</v>
      </c>
      <c r="E390" s="121" t="s">
        <v>3307</v>
      </c>
      <c r="F390" s="119" t="s">
        <v>306</v>
      </c>
      <c r="G390" s="138">
        <v>0</v>
      </c>
      <c r="H390" s="113" t="str">
        <f t="shared" si="18"/>
        <v>OTHER</v>
      </c>
      <c r="I390" s="113" t="e">
        <f>INDEX('SCH M Lookup'!$I:$I,MATCH($A390,'SCH M Lookup'!$A:$A,0))</f>
        <v>#N/A</v>
      </c>
      <c r="J390" s="113" t="str">
        <f>IF('SCH M Jun22data'!$G390=0,"NO",IF(ISNA('SCH M Jun22data'!$I390),"YES",IF(_xlfn.ISFORMULA('SCH M Jun22data'!$I390),"NO","YES")))</f>
        <v>NO</v>
      </c>
    </row>
    <row r="391" spans="1:10">
      <c r="A391" s="118" t="str">
        <f t="shared" si="19"/>
        <v>4099300SCHMDT415850Unrecovered Plant PowerdaleSG</v>
      </c>
      <c r="B391" s="125">
        <v>4099300</v>
      </c>
      <c r="C391" s="117" t="str">
        <f t="shared" si="20"/>
        <v>SCHMDT</v>
      </c>
      <c r="D391" s="125">
        <v>415850</v>
      </c>
      <c r="E391" s="121" t="s">
        <v>3308</v>
      </c>
      <c r="F391" s="119" t="s">
        <v>87</v>
      </c>
      <c r="G391" s="138">
        <v>0</v>
      </c>
      <c r="H391" s="113" t="str">
        <f t="shared" si="18"/>
        <v>SG</v>
      </c>
      <c r="I391" s="113" t="e">
        <f>INDEX('SCH M Lookup'!$I:$I,MATCH($A391,'SCH M Lookup'!$A:$A,0))</f>
        <v>#N/A</v>
      </c>
      <c r="J391" s="113" t="str">
        <f>IF('SCH M Jun22data'!$G391=0,"NO",IF(ISNA('SCH M Jun22data'!$I391),"YES",IF(_xlfn.ISFORMULA('SCH M Jun22data'!$I391),"NO","YES")))</f>
        <v>NO</v>
      </c>
    </row>
    <row r="392" spans="1:10">
      <c r="A392" s="118" t="str">
        <f t="shared" si="19"/>
        <v>4099300SCHMDT415851Powerdale Hydro Decom Reg Asset - CASITUS</v>
      </c>
      <c r="B392" s="125">
        <v>4099300</v>
      </c>
      <c r="C392" s="117" t="str">
        <f t="shared" si="20"/>
        <v>SCHMDT</v>
      </c>
      <c r="D392" s="125">
        <v>415851</v>
      </c>
      <c r="E392" s="121" t="s">
        <v>3309</v>
      </c>
      <c r="F392" s="119" t="s">
        <v>387</v>
      </c>
      <c r="G392" s="138">
        <v>0</v>
      </c>
      <c r="H392" s="113" t="str">
        <f t="shared" si="18"/>
        <v>SITUS</v>
      </c>
      <c r="I392" s="113" t="e">
        <f>INDEX('SCH M Lookup'!$I:$I,MATCH($A392,'SCH M Lookup'!$A:$A,0))</f>
        <v>#N/A</v>
      </c>
      <c r="J392" s="113" t="str">
        <f>IF('SCH M Jun22data'!$G392=0,"NO",IF(ISNA('SCH M Jun22data'!$I392),"YES",IF(_xlfn.ISFORMULA('SCH M Jun22data'!$I392),"NO","YES")))</f>
        <v>NO</v>
      </c>
    </row>
    <row r="393" spans="1:10">
      <c r="A393" s="118" t="str">
        <f t="shared" si="19"/>
        <v>4099300SCHMDT415852Powerdale Decommissioning Reg Asset - IDSITUS</v>
      </c>
      <c r="B393" s="125">
        <v>4099300</v>
      </c>
      <c r="C393" s="117" t="str">
        <f t="shared" si="20"/>
        <v>SCHMDT</v>
      </c>
      <c r="D393" s="125">
        <v>415852</v>
      </c>
      <c r="E393" s="121" t="s">
        <v>398</v>
      </c>
      <c r="F393" s="119" t="s">
        <v>372</v>
      </c>
      <c r="G393" s="138">
        <v>0</v>
      </c>
      <c r="H393" s="113" t="str">
        <f t="shared" si="18"/>
        <v>SITUS</v>
      </c>
      <c r="I393" s="113" t="e">
        <f>INDEX('SCH M Lookup'!$I:$I,MATCH($A393,'SCH M Lookup'!$A:$A,0))</f>
        <v>#N/A</v>
      </c>
      <c r="J393" s="113" t="str">
        <f>IF('SCH M Jun22data'!$G393=0,"NO",IF(ISNA('SCH M Jun22data'!$I393),"YES",IF(_xlfn.ISFORMULA('SCH M Jun22data'!$I393),"NO","YES")))</f>
        <v>NO</v>
      </c>
    </row>
    <row r="394" spans="1:10">
      <c r="A394" s="118" t="str">
        <f t="shared" si="19"/>
        <v>4099300SCHMDT415853Powerdale Decommissioning Reg Asset - ORSITUS</v>
      </c>
      <c r="B394" s="125">
        <v>4099300</v>
      </c>
      <c r="C394" s="117" t="str">
        <f t="shared" si="20"/>
        <v>SCHMDT</v>
      </c>
      <c r="D394" s="125">
        <v>415853</v>
      </c>
      <c r="E394" s="121" t="s">
        <v>3186</v>
      </c>
      <c r="F394" s="119" t="s">
        <v>343</v>
      </c>
      <c r="G394" s="138">
        <v>0</v>
      </c>
      <c r="H394" s="113" t="str">
        <f t="shared" si="18"/>
        <v>SITUS</v>
      </c>
      <c r="I394" s="113" t="e">
        <f>INDEX('SCH M Lookup'!$I:$I,MATCH($A394,'SCH M Lookup'!$A:$A,0))</f>
        <v>#N/A</v>
      </c>
      <c r="J394" s="113" t="str">
        <f>IF('SCH M Jun22data'!$G394=0,"NO",IF(ISNA('SCH M Jun22data'!$I394),"YES",IF(_xlfn.ISFORMULA('SCH M Jun22data'!$I394),"NO","YES")))</f>
        <v>NO</v>
      </c>
    </row>
    <row r="395" spans="1:10">
      <c r="A395" s="118" t="str">
        <f t="shared" si="19"/>
        <v>4099300SCHMDT415854Powerdale Decommissioning Reg Asset - WASITUS</v>
      </c>
      <c r="B395" s="125">
        <v>4099300</v>
      </c>
      <c r="C395" s="117" t="str">
        <f t="shared" si="20"/>
        <v>SCHMDT</v>
      </c>
      <c r="D395" s="125">
        <v>415854</v>
      </c>
      <c r="E395" s="121" t="s">
        <v>3187</v>
      </c>
      <c r="F395" s="119" t="s">
        <v>367</v>
      </c>
      <c r="G395" s="138">
        <v>0</v>
      </c>
      <c r="H395" s="113" t="str">
        <f t="shared" si="18"/>
        <v>SITUS</v>
      </c>
      <c r="I395" s="113" t="e">
        <f>INDEX('SCH M Lookup'!$I:$I,MATCH($A395,'SCH M Lookup'!$A:$A,0))</f>
        <v>#N/A</v>
      </c>
      <c r="J395" s="113" t="str">
        <f>IF('SCH M Jun22data'!$G395=0,"NO",IF(ISNA('SCH M Jun22data'!$I395),"YES",IF(_xlfn.ISFORMULA('SCH M Jun22data'!$I395),"NO","YES")))</f>
        <v>NO</v>
      </c>
    </row>
    <row r="396" spans="1:10">
      <c r="A396" s="118" t="str">
        <f t="shared" si="19"/>
        <v>4099300SCHMDT415855Ca - January 2010 Storm CostsOTHER</v>
      </c>
      <c r="B396" s="125">
        <v>4099300</v>
      </c>
      <c r="C396" s="117" t="str">
        <f t="shared" si="20"/>
        <v>SCHMDT</v>
      </c>
      <c r="D396" s="125">
        <v>415855</v>
      </c>
      <c r="E396" s="121" t="s">
        <v>3310</v>
      </c>
      <c r="F396" s="119" t="s">
        <v>306</v>
      </c>
      <c r="G396" s="138">
        <v>0</v>
      </c>
      <c r="H396" s="113" t="str">
        <f t="shared" si="18"/>
        <v>OTHER</v>
      </c>
      <c r="I396" s="113" t="e">
        <f>INDEX('SCH M Lookup'!$I:$I,MATCH($A396,'SCH M Lookup'!$A:$A,0))</f>
        <v>#N/A</v>
      </c>
      <c r="J396" s="113" t="str">
        <f>IF('SCH M Jun22data'!$G396=0,"NO",IF(ISNA('SCH M Jun22data'!$I396),"YES",IF(_xlfn.ISFORMULA('SCH M Jun22data'!$I396),"NO","YES")))</f>
        <v>NO</v>
      </c>
    </row>
    <row r="397" spans="1:10">
      <c r="A397" s="118" t="str">
        <f t="shared" si="19"/>
        <v>4099300SCHMDT415856Powerdale Decommissioning Reg Asset - WYSITUS</v>
      </c>
      <c r="B397" s="125">
        <v>4099300</v>
      </c>
      <c r="C397" s="117" t="str">
        <f t="shared" si="20"/>
        <v>SCHMDT</v>
      </c>
      <c r="D397" s="125">
        <v>415856</v>
      </c>
      <c r="E397" s="121" t="s">
        <v>3188</v>
      </c>
      <c r="F397" s="119" t="s">
        <v>386</v>
      </c>
      <c r="G397" s="138">
        <v>0</v>
      </c>
      <c r="H397" s="113" t="str">
        <f t="shared" si="18"/>
        <v>SITUS</v>
      </c>
      <c r="I397" s="113" t="e">
        <f>INDEX('SCH M Lookup'!$I:$I,MATCH($A397,'SCH M Lookup'!$A:$A,0))</f>
        <v>#N/A</v>
      </c>
      <c r="J397" s="113" t="str">
        <f>IF('SCH M Jun22data'!$G397=0,"NO",IF(ISNA('SCH M Jun22data'!$I397),"YES",IF(_xlfn.ISFORMULA('SCH M Jun22data'!$I397),"NO","YES")))</f>
        <v>NO</v>
      </c>
    </row>
    <row r="398" spans="1:10">
      <c r="A398" s="118" t="str">
        <f t="shared" si="19"/>
        <v>4099300SCHMDT415857ID - Deferred Overburden CostsOTHER</v>
      </c>
      <c r="B398" s="125">
        <v>4099300</v>
      </c>
      <c r="C398" s="117" t="str">
        <f t="shared" si="20"/>
        <v>SCHMDT</v>
      </c>
      <c r="D398" s="125">
        <v>415857</v>
      </c>
      <c r="E398" s="121" t="s">
        <v>400</v>
      </c>
      <c r="F398" s="119" t="s">
        <v>306</v>
      </c>
      <c r="G398" s="138">
        <v>0</v>
      </c>
      <c r="H398" s="113" t="str">
        <f t="shared" si="18"/>
        <v>OTHER</v>
      </c>
      <c r="I398" s="113" t="e">
        <f>INDEX('SCH M Lookup'!$I:$I,MATCH($A398,'SCH M Lookup'!$A:$A,0))</f>
        <v>#N/A</v>
      </c>
      <c r="J398" s="113" t="str">
        <f>IF('SCH M Jun22data'!$G398=0,"NO",IF(ISNA('SCH M Jun22data'!$I398),"YES",IF(_xlfn.ISFORMULA('SCH M Jun22data'!$I398),"NO","YES")))</f>
        <v>NO</v>
      </c>
    </row>
    <row r="399" spans="1:10">
      <c r="A399" s="118" t="str">
        <f t="shared" si="19"/>
        <v>4099300SCHMDT415858WY - Deferred Overburden CostsSITUS</v>
      </c>
      <c r="B399" s="125">
        <v>4099300</v>
      </c>
      <c r="C399" s="117" t="str">
        <f t="shared" si="20"/>
        <v>SCHMDT</v>
      </c>
      <c r="D399" s="125">
        <v>415858</v>
      </c>
      <c r="E399" s="121" t="s">
        <v>401</v>
      </c>
      <c r="F399" s="119" t="s">
        <v>386</v>
      </c>
      <c r="G399" s="138">
        <v>0</v>
      </c>
      <c r="H399" s="113" t="str">
        <f t="shared" si="18"/>
        <v>SITUS</v>
      </c>
      <c r="I399" s="113" t="e">
        <f>INDEX('SCH M Lookup'!$I:$I,MATCH($A399,'SCH M Lookup'!$A:$A,0))</f>
        <v>#N/A</v>
      </c>
      <c r="J399" s="113" t="str">
        <f>IF('SCH M Jun22data'!$G399=0,"NO",IF(ISNA('SCH M Jun22data'!$I399),"YES",IF(_xlfn.ISFORMULA('SCH M Jun22data'!$I399),"NO","YES")))</f>
        <v>NO</v>
      </c>
    </row>
    <row r="400" spans="1:10">
      <c r="A400" s="118" t="str">
        <f t="shared" si="19"/>
        <v>4099300SCHMDT415859WY - Deferred Advertising CostsOTHER</v>
      </c>
      <c r="B400" s="125">
        <v>4099300</v>
      </c>
      <c r="C400" s="117" t="str">
        <f t="shared" si="20"/>
        <v>SCHMDT</v>
      </c>
      <c r="D400" s="125">
        <v>415859</v>
      </c>
      <c r="E400" s="121" t="s">
        <v>3189</v>
      </c>
      <c r="F400" s="119" t="s">
        <v>306</v>
      </c>
      <c r="G400" s="138">
        <v>0</v>
      </c>
      <c r="H400" s="113" t="str">
        <f t="shared" si="18"/>
        <v>OTHER</v>
      </c>
      <c r="I400" s="113" t="e">
        <f>INDEX('SCH M Lookup'!$I:$I,MATCH($A400,'SCH M Lookup'!$A:$A,0))</f>
        <v>#N/A</v>
      </c>
      <c r="J400" s="113" t="str">
        <f>IF('SCH M Jun22data'!$G400=0,"NO",IF(ISNA('SCH M Jun22data'!$I400),"YES",IF(_xlfn.ISFORMULA('SCH M Jun22data'!$I400),"NO","YES")))</f>
        <v>NO</v>
      </c>
    </row>
    <row r="401" spans="1:10">
      <c r="A401" s="118" t="str">
        <f t="shared" si="19"/>
        <v>4099300SCHMDT415862Reg Asset - CA Mobile Home Park ConversiOTHER</v>
      </c>
      <c r="B401" s="125">
        <v>4099300</v>
      </c>
      <c r="C401" s="117" t="str">
        <f t="shared" si="20"/>
        <v>SCHMDT</v>
      </c>
      <c r="D401" s="125">
        <v>415862</v>
      </c>
      <c r="E401" s="121" t="s">
        <v>515</v>
      </c>
      <c r="F401" s="119" t="s">
        <v>306</v>
      </c>
      <c r="G401" s="138">
        <v>-5.6386799999999999</v>
      </c>
      <c r="H401" s="113" t="str">
        <f t="shared" si="18"/>
        <v>OTHER</v>
      </c>
      <c r="I401" s="113" t="str">
        <f>INDEX('SCH M Lookup'!$I:$I,MATCH($A401,'SCH M Lookup'!$A:$A,0))</f>
        <v>CUST</v>
      </c>
      <c r="J401" s="113" t="str">
        <f>IF('SCH M Jun22data'!$G401=0,"NO",IF(ISNA('SCH M Jun22data'!$I401),"YES",IF(_xlfn.ISFORMULA('SCH M Jun22data'!$I401),"NO","YES")))</f>
        <v>NO</v>
      </c>
    </row>
    <row r="402" spans="1:10">
      <c r="A402" s="118" t="str">
        <f t="shared" si="19"/>
        <v>4099300SCHMDT415863Reg Asset - UT Subscriber Solar ProgramSITUS</v>
      </c>
      <c r="B402" s="125">
        <v>4099300</v>
      </c>
      <c r="C402" s="117" t="str">
        <f t="shared" si="20"/>
        <v>SCHMDT</v>
      </c>
      <c r="D402" s="125">
        <v>415863</v>
      </c>
      <c r="E402" s="121" t="s">
        <v>516</v>
      </c>
      <c r="F402" s="119" t="s">
        <v>370</v>
      </c>
      <c r="G402" s="138">
        <v>-36.491439999999997</v>
      </c>
      <c r="H402" s="113" t="str">
        <f t="shared" si="18"/>
        <v>SITUS</v>
      </c>
      <c r="I402" s="113" t="str">
        <f>INDEX('SCH M Lookup'!$I:$I,MATCH($A402,'SCH M Lookup'!$A:$A,0))</f>
        <v>P</v>
      </c>
      <c r="J402" s="113" t="str">
        <f>IF('SCH M Jun22data'!$G402=0,"NO",IF(ISNA('SCH M Jun22data'!$I402),"YES",IF(_xlfn.ISFORMULA('SCH M Jun22data'!$I402),"NO","YES")))</f>
        <v>NO</v>
      </c>
    </row>
    <row r="403" spans="1:10">
      <c r="A403" s="118" t="str">
        <f t="shared" si="19"/>
        <v>4099300SCHMDT415865Reg Asset - Utah MPAOTHER</v>
      </c>
      <c r="B403" s="125">
        <v>4099300</v>
      </c>
      <c r="C403" s="117" t="str">
        <f t="shared" si="20"/>
        <v>SCHMDT</v>
      </c>
      <c r="D403" s="125">
        <v>415865</v>
      </c>
      <c r="E403" s="121" t="s">
        <v>3311</v>
      </c>
      <c r="F403" s="119" t="s">
        <v>306</v>
      </c>
      <c r="G403" s="138">
        <v>0</v>
      </c>
      <c r="H403" s="113" t="str">
        <f t="shared" si="18"/>
        <v>OTHER</v>
      </c>
      <c r="I403" s="113" t="e">
        <f>INDEX('SCH M Lookup'!$I:$I,MATCH($A403,'SCH M Lookup'!$A:$A,0))</f>
        <v>#N/A</v>
      </c>
      <c r="J403" s="113" t="str">
        <f>IF('SCH M Jun22data'!$G403=0,"NO",IF(ISNA('SCH M Jun22data'!$I403),"YES",IF(_xlfn.ISFORMULA('SCH M Jun22data'!$I403),"NO","YES")))</f>
        <v>NO</v>
      </c>
    </row>
    <row r="404" spans="1:10">
      <c r="A404" s="118" t="str">
        <f t="shared" si="19"/>
        <v>4099300SCHMDT415866Reg Asset - OR Solar Feed-in TariffOTHER</v>
      </c>
      <c r="B404" s="125">
        <v>4099300</v>
      </c>
      <c r="C404" s="117" t="str">
        <f t="shared" si="20"/>
        <v>SCHMDT</v>
      </c>
      <c r="D404" s="125">
        <v>415866</v>
      </c>
      <c r="E404" s="121" t="s">
        <v>517</v>
      </c>
      <c r="F404" s="119" t="s">
        <v>306</v>
      </c>
      <c r="G404" s="138">
        <v>-1033.6077399999999</v>
      </c>
      <c r="H404" s="113" t="str">
        <f t="shared" si="18"/>
        <v>OTHER</v>
      </c>
      <c r="I404" s="113" t="str">
        <f>INDEX('SCH M Lookup'!$I:$I,MATCH($A404,'SCH M Lookup'!$A:$A,0))</f>
        <v>P</v>
      </c>
      <c r="J404" s="113" t="str">
        <f>IF('SCH M Jun22data'!$G404=0,"NO",IF(ISNA('SCH M Jun22data'!$I404),"YES",IF(_xlfn.ISFORMULA('SCH M Jun22data'!$I404),"NO","YES")))</f>
        <v>NO</v>
      </c>
    </row>
    <row r="405" spans="1:10">
      <c r="A405" s="118" t="str">
        <f t="shared" si="19"/>
        <v>4099300SCHMDT415869Reg Asset - CA Deferred Net Power CostsOTHER</v>
      </c>
      <c r="B405" s="125">
        <v>4099300</v>
      </c>
      <c r="C405" s="117" t="str">
        <f t="shared" si="20"/>
        <v>SCHMDT</v>
      </c>
      <c r="D405" s="125">
        <v>415869</v>
      </c>
      <c r="E405" s="121" t="s">
        <v>518</v>
      </c>
      <c r="F405" s="119" t="s">
        <v>306</v>
      </c>
      <c r="G405" s="138">
        <v>0</v>
      </c>
      <c r="H405" s="113" t="str">
        <f t="shared" si="18"/>
        <v>OTHER</v>
      </c>
      <c r="I405" s="113" t="e">
        <f>INDEX('SCH M Lookup'!$I:$I,MATCH($A405,'SCH M Lookup'!$A:$A,0))</f>
        <v>#N/A</v>
      </c>
      <c r="J405" s="113" t="str">
        <f>IF('SCH M Jun22data'!$G405=0,"NO",IF(ISNA('SCH M Jun22data'!$I405),"YES",IF(_xlfn.ISFORMULA('SCH M Jun22data'!$I405),"NO","YES")))</f>
        <v>NO</v>
      </c>
    </row>
    <row r="406" spans="1:10">
      <c r="A406" s="118" t="str">
        <f t="shared" si="19"/>
        <v>4099300SCHMDT415870CA Def Excess NPCOTHER</v>
      </c>
      <c r="B406" s="125">
        <v>4099300</v>
      </c>
      <c r="C406" s="117" t="str">
        <f t="shared" si="20"/>
        <v>SCHMDT</v>
      </c>
      <c r="D406" s="125">
        <v>415870</v>
      </c>
      <c r="E406" s="121" t="s">
        <v>519</v>
      </c>
      <c r="F406" s="119" t="s">
        <v>306</v>
      </c>
      <c r="G406" s="138">
        <v>3263.4405299999999</v>
      </c>
      <c r="H406" s="113" t="str">
        <f t="shared" si="18"/>
        <v>OTHER</v>
      </c>
      <c r="I406" s="113" t="str">
        <f>INDEX('SCH M Lookup'!$I:$I,MATCH($A406,'SCH M Lookup'!$A:$A,0))</f>
        <v>P</v>
      </c>
      <c r="J406" s="113" t="str">
        <f>IF('SCH M Jun22data'!$G406=0,"NO",IF(ISNA('SCH M Jun22data'!$I406),"YES",IF(_xlfn.ISFORMULA('SCH M Jun22data'!$I406),"NO","YES")))</f>
        <v>NO</v>
      </c>
    </row>
    <row r="407" spans="1:10">
      <c r="A407" s="118" t="str">
        <f t="shared" si="19"/>
        <v>4099300SCHMDT415874Deferred Excess Net Power Costs - WY 08OTHER</v>
      </c>
      <c r="B407" s="125">
        <v>4099300</v>
      </c>
      <c r="C407" s="117" t="str">
        <f t="shared" si="20"/>
        <v>SCHMDT</v>
      </c>
      <c r="D407" s="125">
        <v>415874</v>
      </c>
      <c r="E407" s="121" t="s">
        <v>403</v>
      </c>
      <c r="F407" s="119" t="s">
        <v>306</v>
      </c>
      <c r="G407" s="138">
        <v>24183.819619999998</v>
      </c>
      <c r="H407" s="113" t="str">
        <f t="shared" si="18"/>
        <v>OTHER</v>
      </c>
      <c r="I407" s="113" t="str">
        <f>INDEX('SCH M Lookup'!$I:$I,MATCH($A407,'SCH M Lookup'!$A:$A,0))</f>
        <v>P</v>
      </c>
      <c r="J407" s="113" t="str">
        <f>IF('SCH M Jun22data'!$G407=0,"NO",IF(ISNA('SCH M Jun22data'!$I407),"YES",IF(_xlfn.ISFORMULA('SCH M Jun22data'!$I407),"NO","YES")))</f>
        <v>NO</v>
      </c>
    </row>
    <row r="408" spans="1:10">
      <c r="A408" s="118" t="str">
        <f t="shared" si="19"/>
        <v>4099300SCHMDT415875Deferred Excess Net Power Costs - UTOTHER</v>
      </c>
      <c r="B408" s="125">
        <v>4099300</v>
      </c>
      <c r="C408" s="117" t="str">
        <f t="shared" si="20"/>
        <v>SCHMDT</v>
      </c>
      <c r="D408" s="125">
        <v>415875</v>
      </c>
      <c r="E408" s="121" t="s">
        <v>520</v>
      </c>
      <c r="F408" s="119" t="s">
        <v>306</v>
      </c>
      <c r="G408" s="138">
        <v>21319.097809999999</v>
      </c>
      <c r="H408" s="113" t="str">
        <f t="shared" si="18"/>
        <v>OTHER</v>
      </c>
      <c r="I408" s="113" t="str">
        <f>INDEX('SCH M Lookup'!$I:$I,MATCH($A408,'SCH M Lookup'!$A:$A,0))</f>
        <v>P</v>
      </c>
      <c r="J408" s="113" t="str">
        <f>IF('SCH M Jun22data'!$G408=0,"NO",IF(ISNA('SCH M Jun22data'!$I408),"YES",IF(_xlfn.ISFORMULA('SCH M Jun22data'!$I408),"NO","YES")))</f>
        <v>NO</v>
      </c>
    </row>
    <row r="409" spans="1:10">
      <c r="A409" s="118" t="str">
        <f t="shared" si="19"/>
        <v>4099300SCHMDT415876Deferred Excess Net Power Costs - OROTHER</v>
      </c>
      <c r="B409" s="125">
        <v>4099300</v>
      </c>
      <c r="C409" s="117" t="str">
        <f t="shared" si="20"/>
        <v>SCHMDT</v>
      </c>
      <c r="D409" s="125">
        <v>415876</v>
      </c>
      <c r="E409" s="121" t="s">
        <v>3312</v>
      </c>
      <c r="F409" s="119" t="s">
        <v>306</v>
      </c>
      <c r="G409" s="138">
        <v>0</v>
      </c>
      <c r="H409" s="113" t="str">
        <f t="shared" si="18"/>
        <v>OTHER</v>
      </c>
      <c r="I409" s="113" t="e">
        <f>INDEX('SCH M Lookup'!$I:$I,MATCH($A409,'SCH M Lookup'!$A:$A,0))</f>
        <v>#N/A</v>
      </c>
      <c r="J409" s="113" t="str">
        <f>IF('SCH M Jun22data'!$G409=0,"NO",IF(ISNA('SCH M Jun22data'!$I409),"YES",IF(_xlfn.ISFORMULA('SCH M Jun22data'!$I409),"NO","YES")))</f>
        <v>NO</v>
      </c>
    </row>
    <row r="410" spans="1:10">
      <c r="A410" s="118" t="str">
        <f t="shared" si="19"/>
        <v>4099300SCHMDT415878REG ASSET - UT LIQUIDATED DAMAGES NAUGHTSITUS</v>
      </c>
      <c r="B410" s="125">
        <v>4099300</v>
      </c>
      <c r="C410" s="117" t="str">
        <f t="shared" si="20"/>
        <v>SCHMDT</v>
      </c>
      <c r="D410" s="125">
        <v>415878</v>
      </c>
      <c r="E410" s="121" t="s">
        <v>521</v>
      </c>
      <c r="F410" s="119" t="s">
        <v>370</v>
      </c>
      <c r="G410" s="138">
        <v>-35.000039999999998</v>
      </c>
      <c r="H410" s="113" t="str">
        <f t="shared" si="18"/>
        <v>SITUS</v>
      </c>
      <c r="I410" s="113" t="str">
        <f>INDEX('SCH M Lookup'!$I:$I,MATCH($A410,'SCH M Lookup'!$A:$A,0))</f>
        <v>P</v>
      </c>
      <c r="J410" s="113" t="str">
        <f>IF('SCH M Jun22data'!$G410=0,"NO",IF(ISNA('SCH M Jun22data'!$I410),"YES",IF(_xlfn.ISFORMULA('SCH M Jun22data'!$I410),"NO","YES")))</f>
        <v>NO</v>
      </c>
    </row>
    <row r="411" spans="1:10">
      <c r="A411" s="118" t="str">
        <f t="shared" si="19"/>
        <v>4099300SCHMDT415879Reg Asset - WY Liquidation Damages N2SITUS</v>
      </c>
      <c r="B411" s="125">
        <v>4099300</v>
      </c>
      <c r="C411" s="117" t="str">
        <f t="shared" si="20"/>
        <v>SCHMDT</v>
      </c>
      <c r="D411" s="125">
        <v>415879</v>
      </c>
      <c r="E411" s="121" t="s">
        <v>522</v>
      </c>
      <c r="F411" s="119" t="s">
        <v>386</v>
      </c>
      <c r="G411" s="138">
        <v>-5.70756</v>
      </c>
      <c r="H411" s="113" t="str">
        <f t="shared" si="18"/>
        <v>SITUS</v>
      </c>
      <c r="I411" s="113" t="str">
        <f>INDEX('SCH M Lookup'!$I:$I,MATCH($A411,'SCH M Lookup'!$A:$A,0))</f>
        <v>P</v>
      </c>
      <c r="J411" s="113" t="str">
        <f>IF('SCH M Jun22data'!$G411=0,"NO",IF(ISNA('SCH M Jun22data'!$I411),"YES",IF(_xlfn.ISFORMULA('SCH M Jun22data'!$I411),"NO","YES")))</f>
        <v>NO</v>
      </c>
    </row>
    <row r="412" spans="1:10">
      <c r="A412" s="118" t="str">
        <f t="shared" si="19"/>
        <v>4099300SCHMDT415882Deferral of Renewable Energy Credit - WAOTHER</v>
      </c>
      <c r="B412" s="125">
        <v>4099300</v>
      </c>
      <c r="C412" s="117" t="str">
        <f t="shared" si="20"/>
        <v>SCHMDT</v>
      </c>
      <c r="D412" s="125">
        <v>415882</v>
      </c>
      <c r="E412" s="121" t="s">
        <v>524</v>
      </c>
      <c r="F412" s="119" t="s">
        <v>306</v>
      </c>
      <c r="G412" s="138">
        <v>159.42397</v>
      </c>
      <c r="H412" s="113" t="str">
        <f t="shared" si="18"/>
        <v>OTHER</v>
      </c>
      <c r="I412" s="113" t="str">
        <f>INDEX('SCH M Lookup'!$I:$I,MATCH($A412,'SCH M Lookup'!$A:$A,0))</f>
        <v>P</v>
      </c>
      <c r="J412" s="113" t="str">
        <f>IF('SCH M Jun22data'!$G412=0,"NO",IF(ISNA('SCH M Jun22data'!$I412),"YES",IF(_xlfn.ISFORMULA('SCH M Jun22data'!$I412),"NO","YES")))</f>
        <v>NO</v>
      </c>
    </row>
    <row r="413" spans="1:10">
      <c r="A413" s="118" t="str">
        <f t="shared" si="19"/>
        <v>4099300SCHMDT415884Reg Asset - Current Reclass - OtherOTHER</v>
      </c>
      <c r="B413" s="125">
        <v>4099300</v>
      </c>
      <c r="C413" s="117" t="str">
        <f t="shared" si="20"/>
        <v>SCHMDT</v>
      </c>
      <c r="D413" s="125">
        <v>415884</v>
      </c>
      <c r="E413" s="121" t="s">
        <v>3313</v>
      </c>
      <c r="F413" s="119" t="s">
        <v>306</v>
      </c>
      <c r="G413" s="138">
        <v>0</v>
      </c>
      <c r="H413" s="113" t="str">
        <f t="shared" si="18"/>
        <v>OTHER</v>
      </c>
      <c r="I413" s="113" t="e">
        <f>INDEX('SCH M Lookup'!$I:$I,MATCH($A413,'SCH M Lookup'!$A:$A,0))</f>
        <v>#N/A</v>
      </c>
      <c r="J413" s="113" t="str">
        <f>IF('SCH M Jun22data'!$G413=0,"NO",IF(ISNA('SCH M Jun22data'!$I413),"YES",IF(_xlfn.ISFORMULA('SCH M Jun22data'!$I413),"NO","YES")))</f>
        <v>NO</v>
      </c>
    </row>
    <row r="414" spans="1:10">
      <c r="A414" s="118" t="str">
        <f t="shared" si="19"/>
        <v>4099300SCHMDT415885Reg Asset - Noncurrent Reclass - OtherOTHER</v>
      </c>
      <c r="B414" s="125">
        <v>4099300</v>
      </c>
      <c r="C414" s="117" t="str">
        <f t="shared" si="20"/>
        <v>SCHMDT</v>
      </c>
      <c r="D414" s="125">
        <v>415885</v>
      </c>
      <c r="E414" s="121" t="s">
        <v>525</v>
      </c>
      <c r="F414" s="119" t="s">
        <v>306</v>
      </c>
      <c r="G414" s="138">
        <v>-503.84079000000003</v>
      </c>
      <c r="H414" s="113" t="str">
        <f t="shared" si="18"/>
        <v>OTHER</v>
      </c>
      <c r="I414" s="113" t="str">
        <f>INDEX('SCH M Lookup'!$I:$I,MATCH($A414,'SCH M Lookup'!$A:$A,0))</f>
        <v>GP</v>
      </c>
      <c r="J414" s="113" t="str">
        <f>IF('SCH M Jun22data'!$G414=0,"NO",IF(ISNA('SCH M Jun22data'!$I414),"YES",IF(_xlfn.ISFORMULA('SCH M Jun22data'!$I414),"NO","YES")))</f>
        <v>NO</v>
      </c>
    </row>
    <row r="415" spans="1:10">
      <c r="A415" s="118" t="str">
        <f t="shared" si="19"/>
        <v>4099300SCHMDT415886Reg Asset - ID Deferred Excess Net PowerOTHER</v>
      </c>
      <c r="B415" s="125">
        <v>4099300</v>
      </c>
      <c r="C415" s="117" t="str">
        <f t="shared" si="20"/>
        <v>SCHMDT</v>
      </c>
      <c r="D415" s="125">
        <v>415886</v>
      </c>
      <c r="E415" s="121" t="s">
        <v>3314</v>
      </c>
      <c r="F415" s="119" t="s">
        <v>306</v>
      </c>
      <c r="G415" s="138">
        <v>0</v>
      </c>
      <c r="H415" s="113" t="str">
        <f t="shared" si="18"/>
        <v>OTHER</v>
      </c>
      <c r="I415" s="113" t="e">
        <f>INDEX('SCH M Lookup'!$I:$I,MATCH($A415,'SCH M Lookup'!$A:$A,0))</f>
        <v>#N/A</v>
      </c>
      <c r="J415" s="113" t="str">
        <f>IF('SCH M Jun22data'!$G415=0,"NO",IF(ISNA('SCH M Jun22data'!$I415),"YES",IF(_xlfn.ISFORMULA('SCH M Jun22data'!$I415),"NO","YES")))</f>
        <v>NO</v>
      </c>
    </row>
    <row r="416" spans="1:10">
      <c r="A416" s="118" t="str">
        <f t="shared" si="19"/>
        <v>4099300SCHMDT415888Reg Asset - UT Deferred Excess Net PowerOTHER</v>
      </c>
      <c r="B416" s="125">
        <v>4099300</v>
      </c>
      <c r="C416" s="117" t="str">
        <f t="shared" si="20"/>
        <v>SCHMDT</v>
      </c>
      <c r="D416" s="125">
        <v>415888</v>
      </c>
      <c r="E416" s="121" t="s">
        <v>3315</v>
      </c>
      <c r="F416" s="119" t="s">
        <v>306</v>
      </c>
      <c r="G416" s="138">
        <v>0</v>
      </c>
      <c r="H416" s="113" t="str">
        <f t="shared" si="18"/>
        <v>OTHER</v>
      </c>
      <c r="I416" s="113" t="e">
        <f>INDEX('SCH M Lookup'!$I:$I,MATCH($A416,'SCH M Lookup'!$A:$A,0))</f>
        <v>#N/A</v>
      </c>
      <c r="J416" s="113" t="str">
        <f>IF('SCH M Jun22data'!$G416=0,"NO",IF(ISNA('SCH M Jun22data'!$I416),"YES",IF(_xlfn.ISFORMULA('SCH M Jun22data'!$I416),"NO","YES")))</f>
        <v>NO</v>
      </c>
    </row>
    <row r="417" spans="1:10">
      <c r="A417" s="118" t="str">
        <f t="shared" si="19"/>
        <v>4099300SCHMDT415892Deferred Excess Net Power Costs - ID 09OTHER</v>
      </c>
      <c r="B417" s="125">
        <v>4099300</v>
      </c>
      <c r="C417" s="117" t="str">
        <f t="shared" si="20"/>
        <v>SCHMDT</v>
      </c>
      <c r="D417" s="125">
        <v>415892</v>
      </c>
      <c r="E417" s="121" t="s">
        <v>526</v>
      </c>
      <c r="F417" s="119" t="s">
        <v>306</v>
      </c>
      <c r="G417" s="138">
        <v>7774.0310900000004</v>
      </c>
      <c r="H417" s="113" t="str">
        <f t="shared" si="18"/>
        <v>OTHER</v>
      </c>
      <c r="I417" s="113" t="str">
        <f>INDEX('SCH M Lookup'!$I:$I,MATCH($A417,'SCH M Lookup'!$A:$A,0))</f>
        <v>P</v>
      </c>
      <c r="J417" s="113" t="str">
        <f>IF('SCH M Jun22data'!$G417=0,"NO",IF(ISNA('SCH M Jun22data'!$I417),"YES",IF(_xlfn.ISFORMULA('SCH M Jun22data'!$I417),"NO","YES")))</f>
        <v>NO</v>
      </c>
    </row>
    <row r="418" spans="1:10">
      <c r="A418" s="118" t="str">
        <f t="shared" si="19"/>
        <v>4099300SCHMDT415893OR - MEHC Transition Service CostsOTHER</v>
      </c>
      <c r="B418" s="125">
        <v>4099300</v>
      </c>
      <c r="C418" s="117" t="str">
        <f t="shared" si="20"/>
        <v>SCHMDT</v>
      </c>
      <c r="D418" s="125">
        <v>415893</v>
      </c>
      <c r="E418" s="121" t="s">
        <v>3196</v>
      </c>
      <c r="F418" s="119" t="s">
        <v>306</v>
      </c>
      <c r="G418" s="138">
        <v>0</v>
      </c>
      <c r="H418" s="113" t="str">
        <f t="shared" si="18"/>
        <v>OTHER</v>
      </c>
      <c r="I418" s="113" t="e">
        <f>INDEX('SCH M Lookup'!$I:$I,MATCH($A418,'SCH M Lookup'!$A:$A,0))</f>
        <v>#N/A</v>
      </c>
      <c r="J418" s="113" t="str">
        <f>IF('SCH M Jun22data'!$G418=0,"NO",IF(ISNA('SCH M Jun22data'!$I418),"YES",IF(_xlfn.ISFORMULA('SCH M Jun22data'!$I418),"NO","YES")))</f>
        <v>NO</v>
      </c>
    </row>
    <row r="419" spans="1:10">
      <c r="A419" s="118" t="str">
        <f t="shared" si="19"/>
        <v>4099300SCHMDT415894Reg Asset - REC Sales Deferral - CA - NoOTHER</v>
      </c>
      <c r="B419" s="125">
        <v>4099300</v>
      </c>
      <c r="C419" s="117" t="str">
        <f t="shared" si="20"/>
        <v>SCHMDT</v>
      </c>
      <c r="D419" s="125">
        <v>415894</v>
      </c>
      <c r="E419" s="121" t="s">
        <v>527</v>
      </c>
      <c r="F419" s="119" t="s">
        <v>306</v>
      </c>
      <c r="G419" s="138">
        <v>0</v>
      </c>
      <c r="H419" s="113" t="str">
        <f t="shared" si="18"/>
        <v>OTHER</v>
      </c>
      <c r="I419" s="113" t="str">
        <f>INDEX('SCH M Lookup'!$I:$I,MATCH($A419,'SCH M Lookup'!$A:$A,0))</f>
        <v>P</v>
      </c>
      <c r="J419" s="113" t="str">
        <f>IF('SCH M Jun22data'!$G419=0,"NO",IF(ISNA('SCH M Jun22data'!$I419),"YES",IF(_xlfn.ISFORMULA('SCH M Jun22data'!$I419),"NO","YES")))</f>
        <v>NO</v>
      </c>
    </row>
    <row r="420" spans="1:10">
      <c r="A420" s="118" t="str">
        <f t="shared" si="19"/>
        <v>4099300SCHMDT415896WA - Chehalis Plant Revenue RequirementSITUS</v>
      </c>
      <c r="B420" s="125">
        <v>4099300</v>
      </c>
      <c r="C420" s="117" t="str">
        <f t="shared" si="20"/>
        <v>SCHMDT</v>
      </c>
      <c r="D420" s="125">
        <v>415896</v>
      </c>
      <c r="E420" s="121" t="s">
        <v>3198</v>
      </c>
      <c r="F420" s="119" t="s">
        <v>367</v>
      </c>
      <c r="G420" s="138">
        <v>0</v>
      </c>
      <c r="H420" s="113" t="str">
        <f t="shared" si="18"/>
        <v>SITUS</v>
      </c>
      <c r="I420" s="113" t="e">
        <f>INDEX('SCH M Lookup'!$I:$I,MATCH($A420,'SCH M Lookup'!$A:$A,0))</f>
        <v>#N/A</v>
      </c>
      <c r="J420" s="113" t="str">
        <f>IF('SCH M Jun22data'!$G420=0,"NO",IF(ISNA('SCH M Jun22data'!$I420),"YES",IF(_xlfn.ISFORMULA('SCH M Jun22data'!$I420),"NO","YES")))</f>
        <v>NO</v>
      </c>
    </row>
    <row r="421" spans="1:10">
      <c r="A421" s="118" t="str">
        <f t="shared" si="19"/>
        <v>4099300SCHMDT415897Reg Asset MEHC Transition Service CostsSITUS</v>
      </c>
      <c r="B421" s="125">
        <v>4099300</v>
      </c>
      <c r="C421" s="117" t="str">
        <f t="shared" si="20"/>
        <v>SCHMDT</v>
      </c>
      <c r="D421" s="125">
        <v>415897</v>
      </c>
      <c r="E421" s="121" t="s">
        <v>3199</v>
      </c>
      <c r="F421" s="119" t="s">
        <v>387</v>
      </c>
      <c r="G421" s="138">
        <v>0</v>
      </c>
      <c r="H421" s="113" t="str">
        <f t="shared" si="18"/>
        <v>SITUS</v>
      </c>
      <c r="I421" s="113" t="e">
        <f>INDEX('SCH M Lookup'!$I:$I,MATCH($A421,'SCH M Lookup'!$A:$A,0))</f>
        <v>#N/A</v>
      </c>
      <c r="J421" s="113" t="str">
        <f>IF('SCH M Jun22data'!$G421=0,"NO",IF(ISNA('SCH M Jun22data'!$I421),"YES",IF(_xlfn.ISFORMULA('SCH M Jun22data'!$I421),"NO","YES")))</f>
        <v>NO</v>
      </c>
    </row>
    <row r="422" spans="1:10">
      <c r="A422" s="118" t="str">
        <f t="shared" si="19"/>
        <v>4099300SCHMDT415898Deferred Coal Costs - Naughton ContractSE</v>
      </c>
      <c r="B422" s="125">
        <v>4099300</v>
      </c>
      <c r="C422" s="117" t="str">
        <f t="shared" si="20"/>
        <v>SCHMDT</v>
      </c>
      <c r="D422" s="125">
        <v>415898</v>
      </c>
      <c r="E422" s="121" t="s">
        <v>407</v>
      </c>
      <c r="F422" s="119" t="s">
        <v>3110</v>
      </c>
      <c r="G422" s="138">
        <v>0</v>
      </c>
      <c r="H422" s="113" t="str">
        <f t="shared" si="18"/>
        <v>SE</v>
      </c>
      <c r="I422" s="113" t="e">
        <f>INDEX('SCH M Lookup'!$I:$I,MATCH($A422,'SCH M Lookup'!$A:$A,0))</f>
        <v>#N/A</v>
      </c>
      <c r="J422" s="113" t="str">
        <f>IF('SCH M Jun22data'!$G422=0,"NO",IF(ISNA('SCH M Jun22data'!$I422),"YES",IF(_xlfn.ISFORMULA('SCH M Jun22data'!$I422),"NO","YES")))</f>
        <v>NO</v>
      </c>
    </row>
    <row r="423" spans="1:10">
      <c r="A423" s="118" t="str">
        <f t="shared" si="19"/>
        <v>4099300SCHMDT415900OR SB 408 RecoveryOTHER</v>
      </c>
      <c r="B423" s="125">
        <v>4099300</v>
      </c>
      <c r="C423" s="117" t="str">
        <f t="shared" si="20"/>
        <v>SCHMDT</v>
      </c>
      <c r="D423" s="125">
        <v>415900</v>
      </c>
      <c r="E423" s="121" t="s">
        <v>3200</v>
      </c>
      <c r="F423" s="119" t="s">
        <v>306</v>
      </c>
      <c r="G423" s="138">
        <v>0</v>
      </c>
      <c r="H423" s="113" t="str">
        <f t="shared" si="18"/>
        <v>OTHER</v>
      </c>
      <c r="I423" s="113" t="e">
        <f>INDEX('SCH M Lookup'!$I:$I,MATCH($A423,'SCH M Lookup'!$A:$A,0))</f>
        <v>#N/A</v>
      </c>
      <c r="J423" s="113" t="str">
        <f>IF('SCH M Jun22data'!$G423=0,"NO",IF(ISNA('SCH M Jun22data'!$I423),"YES",IF(_xlfn.ISFORMULA('SCH M Jun22data'!$I423),"NO","YES")))</f>
        <v>NO</v>
      </c>
    </row>
    <row r="424" spans="1:10">
      <c r="A424" s="118" t="str">
        <f t="shared" si="19"/>
        <v>4099300SCHMDT415901Reg Asset - WY Deferred Excess Net PowerOTHER</v>
      </c>
      <c r="B424" s="125">
        <v>4099300</v>
      </c>
      <c r="C424" s="117" t="str">
        <f t="shared" si="20"/>
        <v>SCHMDT</v>
      </c>
      <c r="D424" s="125">
        <v>415901</v>
      </c>
      <c r="E424" s="121" t="s">
        <v>3316</v>
      </c>
      <c r="F424" s="119" t="s">
        <v>306</v>
      </c>
      <c r="G424" s="138">
        <v>0</v>
      </c>
      <c r="H424" s="113" t="str">
        <f t="shared" si="18"/>
        <v>OTHER</v>
      </c>
      <c r="I424" s="113" t="e">
        <f>INDEX('SCH M Lookup'!$I:$I,MATCH($A424,'SCH M Lookup'!$A:$A,0))</f>
        <v>#N/A</v>
      </c>
      <c r="J424" s="113" t="str">
        <f>IF('SCH M Jun22data'!$G424=0,"NO",IF(ISNA('SCH M Jun22data'!$I424),"YES",IF(_xlfn.ISFORMULA('SCH M Jun22data'!$I424),"NO","YES")))</f>
        <v>NO</v>
      </c>
    </row>
    <row r="425" spans="1:10">
      <c r="A425" s="118" t="str">
        <f t="shared" si="19"/>
        <v>4099300SCHMDT415903Reg Asset _ REC Sales Deferral - WAOTHER</v>
      </c>
      <c r="B425" s="125">
        <v>4099300</v>
      </c>
      <c r="C425" s="117" t="str">
        <f t="shared" si="20"/>
        <v>SCHMDT</v>
      </c>
      <c r="D425" s="125">
        <v>415903</v>
      </c>
      <c r="E425" s="121" t="s">
        <v>3317</v>
      </c>
      <c r="F425" s="119" t="s">
        <v>306</v>
      </c>
      <c r="G425" s="138">
        <v>0</v>
      </c>
      <c r="H425" s="113" t="str">
        <f t="shared" si="18"/>
        <v>OTHER</v>
      </c>
      <c r="I425" s="113" t="e">
        <f>INDEX('SCH M Lookup'!$I:$I,MATCH($A425,'SCH M Lookup'!$A:$A,0))</f>
        <v>#N/A</v>
      </c>
      <c r="J425" s="113" t="str">
        <f>IF('SCH M Jun22data'!$G425=0,"NO",IF(ISNA('SCH M Jun22data'!$I425),"YES",IF(_xlfn.ISFORMULA('SCH M Jun22data'!$I425),"NO","YES")))</f>
        <v>NO</v>
      </c>
    </row>
    <row r="426" spans="1:10">
      <c r="A426" s="118" t="str">
        <f t="shared" si="19"/>
        <v>4099300SCHMDT415904Reg Asset - WY REC's in Rates - CurrentOTHER</v>
      </c>
      <c r="B426" s="125">
        <v>4099300</v>
      </c>
      <c r="C426" s="117" t="str">
        <f t="shared" si="20"/>
        <v>SCHMDT</v>
      </c>
      <c r="D426" s="125">
        <v>415904</v>
      </c>
      <c r="E426" s="121" t="s">
        <v>3318</v>
      </c>
      <c r="F426" s="119" t="s">
        <v>306</v>
      </c>
      <c r="G426" s="138">
        <v>0</v>
      </c>
      <c r="H426" s="113" t="str">
        <f t="shared" si="18"/>
        <v>OTHER</v>
      </c>
      <c r="I426" s="113" t="e">
        <f>INDEX('SCH M Lookup'!$I:$I,MATCH($A426,'SCH M Lookup'!$A:$A,0))</f>
        <v>#N/A</v>
      </c>
      <c r="J426" s="113" t="str">
        <f>IF('SCH M Jun22data'!$G426=0,"NO",IF(ISNA('SCH M Jun22data'!$I426),"YES",IF(_xlfn.ISFORMULA('SCH M Jun22data'!$I426),"NO","YES")))</f>
        <v>NO</v>
      </c>
    </row>
    <row r="427" spans="1:10">
      <c r="A427" s="118" t="str">
        <f t="shared" si="19"/>
        <v>4099300SCHMDT415905Reg Asset - OR REC's in Rates - CurrentOTHER</v>
      </c>
      <c r="B427" s="125">
        <v>4099300</v>
      </c>
      <c r="C427" s="117" t="str">
        <f t="shared" si="20"/>
        <v>SCHMDT</v>
      </c>
      <c r="D427" s="125">
        <v>415905</v>
      </c>
      <c r="E427" s="121" t="s">
        <v>3319</v>
      </c>
      <c r="F427" s="119" t="s">
        <v>306</v>
      </c>
      <c r="G427" s="138">
        <v>0</v>
      </c>
      <c r="H427" s="113" t="str">
        <f t="shared" si="18"/>
        <v>OTHER</v>
      </c>
      <c r="I427" s="113" t="e">
        <f>INDEX('SCH M Lookup'!$I:$I,MATCH($A427,'SCH M Lookup'!$A:$A,0))</f>
        <v>#N/A</v>
      </c>
      <c r="J427" s="113" t="str">
        <f>IF('SCH M Jun22data'!$G427=0,"NO",IF(ISNA('SCH M Jun22data'!$I427),"YES",IF(_xlfn.ISFORMULA('SCH M Jun22data'!$I427),"NO","YES")))</f>
        <v>NO</v>
      </c>
    </row>
    <row r="428" spans="1:10">
      <c r="A428" s="118" t="str">
        <f t="shared" si="19"/>
        <v>4099300SCHMDT415906Reg Asset - REC Sales Deferral - OR - NoOTHER</v>
      </c>
      <c r="B428" s="125">
        <v>4099300</v>
      </c>
      <c r="C428" s="117" t="str">
        <f t="shared" si="20"/>
        <v>SCHMDT</v>
      </c>
      <c r="D428" s="125">
        <v>415906</v>
      </c>
      <c r="E428" s="121" t="s">
        <v>528</v>
      </c>
      <c r="F428" s="119" t="s">
        <v>306</v>
      </c>
      <c r="G428" s="138">
        <v>0</v>
      </c>
      <c r="H428" s="113" t="str">
        <f t="shared" si="18"/>
        <v>OTHER</v>
      </c>
      <c r="I428" s="113" t="str">
        <f>INDEX('SCH M Lookup'!$I:$I,MATCH($A428,'SCH M Lookup'!$A:$A,0))</f>
        <v>P</v>
      </c>
      <c r="J428" s="113" t="str">
        <f>IF('SCH M Jun22data'!$G428=0,"NO",IF(ISNA('SCH M Jun22data'!$I428),"YES",IF(_xlfn.ISFORMULA('SCH M Jun22data'!$I428),"NO","YES")))</f>
        <v>NO</v>
      </c>
    </row>
    <row r="429" spans="1:10">
      <c r="A429" s="118" t="str">
        <f t="shared" si="19"/>
        <v>4099300SCHMDT415907Reg Asset - CA Solar Feed-in Tariff - CuOTHER</v>
      </c>
      <c r="B429" s="125">
        <v>4099300</v>
      </c>
      <c r="C429" s="117" t="str">
        <f t="shared" si="20"/>
        <v>SCHMDT</v>
      </c>
      <c r="D429" s="125">
        <v>415907</v>
      </c>
      <c r="E429" s="121" t="s">
        <v>3320</v>
      </c>
      <c r="F429" s="119" t="s">
        <v>306</v>
      </c>
      <c r="G429" s="138">
        <v>0</v>
      </c>
      <c r="H429" s="113" t="str">
        <f t="shared" si="18"/>
        <v>OTHER</v>
      </c>
      <c r="I429" s="113" t="e">
        <f>INDEX('SCH M Lookup'!$I:$I,MATCH($A429,'SCH M Lookup'!$A:$A,0))</f>
        <v>#N/A</v>
      </c>
      <c r="J429" s="113" t="str">
        <f>IF('SCH M Jun22data'!$G429=0,"NO",IF(ISNA('SCH M Jun22data'!$I429),"YES",IF(_xlfn.ISFORMULA('SCH M Jun22data'!$I429),"NO","YES")))</f>
        <v>NO</v>
      </c>
    </row>
    <row r="430" spans="1:10">
      <c r="A430" s="118" t="str">
        <f t="shared" si="19"/>
        <v>4099300SCHMDT415908Reg Asset - OR Solar Feed-In Tariff - CuOTHER</v>
      </c>
      <c r="B430" s="125">
        <v>4099300</v>
      </c>
      <c r="C430" s="117" t="str">
        <f t="shared" si="20"/>
        <v>SCHMDT</v>
      </c>
      <c r="D430" s="125">
        <v>415908</v>
      </c>
      <c r="E430" s="121" t="s">
        <v>3321</v>
      </c>
      <c r="F430" s="119" t="s">
        <v>306</v>
      </c>
      <c r="G430" s="138">
        <v>0</v>
      </c>
      <c r="H430" s="113" t="str">
        <f t="shared" si="18"/>
        <v>OTHER</v>
      </c>
      <c r="I430" s="113" t="e">
        <f>INDEX('SCH M Lookup'!$I:$I,MATCH($A430,'SCH M Lookup'!$A:$A,0))</f>
        <v>#N/A</v>
      </c>
      <c r="J430" s="113" t="str">
        <f>IF('SCH M Jun22data'!$G430=0,"NO",IF(ISNA('SCH M Jun22data'!$I430),"YES",IF(_xlfn.ISFORMULA('SCH M Jun22data'!$I430),"NO","YES")))</f>
        <v>NO</v>
      </c>
    </row>
    <row r="431" spans="1:10">
      <c r="A431" s="118" t="str">
        <f t="shared" si="19"/>
        <v>4099300SCHMDT415910Reg Asset - Naughton Unit #3 CostsOTHER</v>
      </c>
      <c r="B431" s="125">
        <v>4099300</v>
      </c>
      <c r="C431" s="117" t="str">
        <f t="shared" si="20"/>
        <v>SCHMDT</v>
      </c>
      <c r="D431" s="125">
        <v>415910</v>
      </c>
      <c r="E431" s="121" t="s">
        <v>3322</v>
      </c>
      <c r="F431" s="119" t="s">
        <v>306</v>
      </c>
      <c r="G431" s="138">
        <v>0</v>
      </c>
      <c r="H431" s="113" t="str">
        <f t="shared" si="18"/>
        <v>OTHER</v>
      </c>
      <c r="I431" s="113" t="e">
        <f>INDEX('SCH M Lookup'!$I:$I,MATCH($A431,'SCH M Lookup'!$A:$A,0))</f>
        <v>#N/A</v>
      </c>
      <c r="J431" s="113" t="str">
        <f>IF('SCH M Jun22data'!$G431=0,"NO",IF(ISNA('SCH M Jun22data'!$I431),"YES",IF(_xlfn.ISFORMULA('SCH M Jun22data'!$I431),"NO","YES")))</f>
        <v>NO</v>
      </c>
    </row>
    <row r="432" spans="1:10">
      <c r="A432" s="118" t="str">
        <f t="shared" si="19"/>
        <v>4099300SCHMDT415917Reg Asset - Naughton Unit #3 Costs - CAOTHER</v>
      </c>
      <c r="B432" s="125">
        <v>4099300</v>
      </c>
      <c r="C432" s="117" t="str">
        <f t="shared" si="20"/>
        <v>SCHMDT</v>
      </c>
      <c r="D432" s="125">
        <v>415917</v>
      </c>
      <c r="E432" s="121" t="s">
        <v>3323</v>
      </c>
      <c r="F432" s="119" t="s">
        <v>306</v>
      </c>
      <c r="G432" s="138">
        <v>0</v>
      </c>
      <c r="H432" s="113" t="str">
        <f t="shared" si="18"/>
        <v>OTHER</v>
      </c>
      <c r="I432" s="113" t="e">
        <f>INDEX('SCH M Lookup'!$I:$I,MATCH($A432,'SCH M Lookup'!$A:$A,0))</f>
        <v>#N/A</v>
      </c>
      <c r="J432" s="113" t="str">
        <f>IF('SCH M Jun22data'!$G432=0,"NO",IF(ISNA('SCH M Jun22data'!$I432),"YES",IF(_xlfn.ISFORMULA('SCH M Jun22data'!$I432),"NO","YES")))</f>
        <v>NO</v>
      </c>
    </row>
    <row r="433" spans="1:10">
      <c r="A433" s="118" t="str">
        <f t="shared" si="19"/>
        <v>4099300SCHMDT415918Reg Asset - RPS Compliance PurchasesOTHER</v>
      </c>
      <c r="B433" s="125">
        <v>4099300</v>
      </c>
      <c r="C433" s="117" t="str">
        <f t="shared" si="20"/>
        <v>SCHMDT</v>
      </c>
      <c r="D433" s="125">
        <v>415918</v>
      </c>
      <c r="E433" s="121" t="s">
        <v>529</v>
      </c>
      <c r="F433" s="119" t="s">
        <v>306</v>
      </c>
      <c r="G433" s="138">
        <v>0</v>
      </c>
      <c r="H433" s="113" t="str">
        <f t="shared" si="18"/>
        <v>OTHER</v>
      </c>
      <c r="I433" s="113" t="str">
        <f>INDEX('SCH M Lookup'!$I:$I,MATCH($A433,'SCH M Lookup'!$A:$A,0))</f>
        <v>P</v>
      </c>
      <c r="J433" s="113" t="str">
        <f>IF('SCH M Jun22data'!$G433=0,"NO",IF(ISNA('SCH M Jun22data'!$I433),"YES",IF(_xlfn.ISFORMULA('SCH M Jun22data'!$I433),"NO","YES")))</f>
        <v>NO</v>
      </c>
    </row>
    <row r="434" spans="1:10">
      <c r="A434" s="118" t="str">
        <f t="shared" si="19"/>
        <v>4099300SCHMDT415920Reg Asset - Depreciation Increase - IDSITUS</v>
      </c>
      <c r="B434" s="125">
        <v>4099300</v>
      </c>
      <c r="C434" s="117" t="str">
        <f t="shared" si="20"/>
        <v>SCHMDT</v>
      </c>
      <c r="D434" s="125">
        <v>415920</v>
      </c>
      <c r="E434" s="121" t="s">
        <v>530</v>
      </c>
      <c r="F434" s="119" t="s">
        <v>372</v>
      </c>
      <c r="G434" s="138">
        <v>6251.1141699999998</v>
      </c>
      <c r="H434" s="113" t="str">
        <f t="shared" si="18"/>
        <v>SITUS</v>
      </c>
      <c r="I434" s="113" t="str">
        <f>INDEX('SCH M Lookup'!$I:$I,MATCH($A434,'SCH M Lookup'!$A:$A,0))</f>
        <v>DDS2</v>
      </c>
      <c r="J434" s="113" t="str">
        <f>IF('SCH M Jun22data'!$G434=0,"NO",IF(ISNA('SCH M Jun22data'!$I434),"YES",IF(_xlfn.ISFORMULA('SCH M Jun22data'!$I434),"NO","YES")))</f>
        <v>NO</v>
      </c>
    </row>
    <row r="435" spans="1:10">
      <c r="A435" s="118" t="str">
        <f t="shared" si="19"/>
        <v>4099300SCHMDT415921Reg Asset - Depreciation Increase - UTSITUS</v>
      </c>
      <c r="B435" s="125">
        <v>4099300</v>
      </c>
      <c r="C435" s="117" t="str">
        <f t="shared" si="20"/>
        <v>SCHMDT</v>
      </c>
      <c r="D435" s="125">
        <v>415921</v>
      </c>
      <c r="E435" s="121" t="s">
        <v>531</v>
      </c>
      <c r="F435" s="119" t="s">
        <v>370</v>
      </c>
      <c r="G435" s="138">
        <v>-128.04311999999999</v>
      </c>
      <c r="H435" s="113" t="str">
        <f t="shared" si="18"/>
        <v>SITUS</v>
      </c>
      <c r="I435" s="113" t="str">
        <f>INDEX('SCH M Lookup'!$I:$I,MATCH($A435,'SCH M Lookup'!$A:$A,0))</f>
        <v>DDS2</v>
      </c>
      <c r="J435" s="113" t="str">
        <f>IF('SCH M Jun22data'!$G435=0,"NO",IF(ISNA('SCH M Jun22data'!$I435),"YES",IF(_xlfn.ISFORMULA('SCH M Jun22data'!$I435),"NO","YES")))</f>
        <v>NO</v>
      </c>
    </row>
    <row r="436" spans="1:10">
      <c r="A436" s="118" t="str">
        <f t="shared" si="19"/>
        <v>4099300SCHMDT415922Reg Asset - Depreciation Increase - WYSITUS</v>
      </c>
      <c r="B436" s="125">
        <v>4099300</v>
      </c>
      <c r="C436" s="117" t="str">
        <f t="shared" si="20"/>
        <v>SCHMDT</v>
      </c>
      <c r="D436" s="125">
        <v>415922</v>
      </c>
      <c r="E436" s="121" t="s">
        <v>532</v>
      </c>
      <c r="F436" s="119" t="s">
        <v>386</v>
      </c>
      <c r="G436" s="138">
        <v>-442.19087999999999</v>
      </c>
      <c r="H436" s="113" t="str">
        <f t="shared" si="18"/>
        <v>SITUS</v>
      </c>
      <c r="I436" s="113" t="str">
        <f>INDEX('SCH M Lookup'!$I:$I,MATCH($A436,'SCH M Lookup'!$A:$A,0))</f>
        <v>DDS2</v>
      </c>
      <c r="J436" s="113" t="str">
        <f>IF('SCH M Jun22data'!$G436=0,"NO",IF(ISNA('SCH M Jun22data'!$I436),"YES",IF(_xlfn.ISFORMULA('SCH M Jun22data'!$I436),"NO","YES")))</f>
        <v>NO</v>
      </c>
    </row>
    <row r="437" spans="1:10">
      <c r="A437" s="118" t="str">
        <f t="shared" si="19"/>
        <v>4099300SCHMDT415923Reg Asset - Carbon Unrecovered Plant - ISITUS</v>
      </c>
      <c r="B437" s="125">
        <v>4099300</v>
      </c>
      <c r="C437" s="117" t="str">
        <f t="shared" si="20"/>
        <v>SCHMDT</v>
      </c>
      <c r="D437" s="125">
        <v>415923</v>
      </c>
      <c r="E437" s="121" t="s">
        <v>533</v>
      </c>
      <c r="F437" s="119" t="s">
        <v>372</v>
      </c>
      <c r="G437" s="138">
        <v>0</v>
      </c>
      <c r="H437" s="113" t="str">
        <f t="shared" si="18"/>
        <v>SITUS</v>
      </c>
      <c r="I437" s="113" t="str">
        <f>INDEX('SCH M Lookup'!$I:$I,MATCH($A437,'SCH M Lookup'!$A:$A,0))</f>
        <v>P</v>
      </c>
      <c r="J437" s="113" t="str">
        <f>IF('SCH M Jun22data'!$G437=0,"NO",IF(ISNA('SCH M Jun22data'!$I437),"YES",IF(_xlfn.ISFORMULA('SCH M Jun22data'!$I437),"NO","YES")))</f>
        <v>NO</v>
      </c>
    </row>
    <row r="438" spans="1:10">
      <c r="A438" s="118" t="str">
        <f t="shared" si="19"/>
        <v>4099300SCHMDT415924Reg Asset - Carbon Unrecovered Plant - USITUS</v>
      </c>
      <c r="B438" s="125">
        <v>4099300</v>
      </c>
      <c r="C438" s="117" t="str">
        <f t="shared" si="20"/>
        <v>SCHMDT</v>
      </c>
      <c r="D438" s="125">
        <v>415924</v>
      </c>
      <c r="E438" s="121" t="s">
        <v>534</v>
      </c>
      <c r="F438" s="119" t="s">
        <v>370</v>
      </c>
      <c r="G438" s="138">
        <v>4932.4836100000002</v>
      </c>
      <c r="H438" s="113" t="str">
        <f t="shared" si="18"/>
        <v>SITUS</v>
      </c>
      <c r="I438" s="113" t="str">
        <f>INDEX('SCH M Lookup'!$I:$I,MATCH($A438,'SCH M Lookup'!$A:$A,0))</f>
        <v>P</v>
      </c>
      <c r="J438" s="113" t="str">
        <f>IF('SCH M Jun22data'!$G438=0,"NO",IF(ISNA('SCH M Jun22data'!$I438),"YES",IF(_xlfn.ISFORMULA('SCH M Jun22data'!$I438),"NO","YES")))</f>
        <v>NO</v>
      </c>
    </row>
    <row r="439" spans="1:10">
      <c r="A439" s="118" t="str">
        <f t="shared" si="19"/>
        <v>4099300SCHMDT415925Reg Asset - Carbon Unrecovered Plant - WSITUS</v>
      </c>
      <c r="B439" s="125">
        <v>4099300</v>
      </c>
      <c r="C439" s="117" t="str">
        <f t="shared" si="20"/>
        <v>SCHMDT</v>
      </c>
      <c r="D439" s="125">
        <v>415925</v>
      </c>
      <c r="E439" s="121" t="s">
        <v>535</v>
      </c>
      <c r="F439" s="119" t="s">
        <v>386</v>
      </c>
      <c r="G439" s="138">
        <v>0</v>
      </c>
      <c r="H439" s="113" t="str">
        <f t="shared" si="18"/>
        <v>SITUS</v>
      </c>
      <c r="I439" s="113" t="str">
        <f>INDEX('SCH M Lookup'!$I:$I,MATCH($A439,'SCH M Lookup'!$A:$A,0))</f>
        <v>P</v>
      </c>
      <c r="J439" s="113" t="str">
        <f>IF('SCH M Jun22data'!$G439=0,"NO",IF(ISNA('SCH M Jun22data'!$I439),"YES",IF(_xlfn.ISFORMULA('SCH M Jun22data'!$I439),"NO","YES")))</f>
        <v>NO</v>
      </c>
    </row>
    <row r="440" spans="1:10">
      <c r="A440" s="118" t="str">
        <f t="shared" si="19"/>
        <v>4099300SCHMDT415929Reg Asset - Carbon Decommissioning - CASITUS</v>
      </c>
      <c r="B440" s="125">
        <v>4099300</v>
      </c>
      <c r="C440" s="117" t="str">
        <f t="shared" si="20"/>
        <v>SCHMDT</v>
      </c>
      <c r="D440" s="125">
        <v>415929</v>
      </c>
      <c r="E440" s="121" t="s">
        <v>1886</v>
      </c>
      <c r="F440" s="119" t="s">
        <v>387</v>
      </c>
      <c r="G440" s="138">
        <v>-345.89855999999997</v>
      </c>
      <c r="H440" s="113" t="str">
        <f t="shared" si="18"/>
        <v>SITUS</v>
      </c>
      <c r="I440" s="113" t="str">
        <f>INDEX('SCH M Lookup'!$I:$I,MATCH($A440,'SCH M Lookup'!$A:$A,0))</f>
        <v>P</v>
      </c>
      <c r="J440" s="113" t="str">
        <f>IF('SCH M Jun22data'!$G440=0,"NO",IF(ISNA('SCH M Jun22data'!$I440),"YES",IF(_xlfn.ISFORMULA('SCH M Jun22data'!$I440),"NO","YES")))</f>
        <v>NO</v>
      </c>
    </row>
    <row r="441" spans="1:10">
      <c r="A441" s="118" t="str">
        <f t="shared" si="19"/>
        <v>4099300SCHMDT415930Reg Asset - Carbon Decommissioning - IDSITUS</v>
      </c>
      <c r="B441" s="125">
        <v>4099300</v>
      </c>
      <c r="C441" s="117" t="str">
        <f t="shared" si="20"/>
        <v>SCHMDT</v>
      </c>
      <c r="D441" s="125">
        <v>415930</v>
      </c>
      <c r="E441" s="121" t="s">
        <v>3324</v>
      </c>
      <c r="F441" s="119" t="s">
        <v>372</v>
      </c>
      <c r="G441" s="138">
        <v>0</v>
      </c>
      <c r="H441" s="113" t="str">
        <f t="shared" si="18"/>
        <v>SITUS</v>
      </c>
      <c r="I441" s="113" t="e">
        <f>INDEX('SCH M Lookup'!$I:$I,MATCH($A441,'SCH M Lookup'!$A:$A,0))</f>
        <v>#N/A</v>
      </c>
      <c r="J441" s="113" t="str">
        <f>IF('SCH M Jun22data'!$G441=0,"NO",IF(ISNA('SCH M Jun22data'!$I441),"YES",IF(_xlfn.ISFORMULA('SCH M Jun22data'!$I441),"NO","YES")))</f>
        <v>NO</v>
      </c>
    </row>
    <row r="442" spans="1:10">
      <c r="A442" s="118" t="str">
        <f t="shared" si="19"/>
        <v>4099300SCHMDT415931Reg Asset - Carbon Decommissioning - UTSITUS</v>
      </c>
      <c r="B442" s="125">
        <v>4099300</v>
      </c>
      <c r="C442" s="117" t="str">
        <f t="shared" si="20"/>
        <v>SCHMDT</v>
      </c>
      <c r="D442" s="125">
        <v>415931</v>
      </c>
      <c r="E442" s="121" t="s">
        <v>3325</v>
      </c>
      <c r="F442" s="119" t="s">
        <v>370</v>
      </c>
      <c r="G442" s="138">
        <v>0</v>
      </c>
      <c r="H442" s="113" t="str">
        <f t="shared" si="18"/>
        <v>SITUS</v>
      </c>
      <c r="I442" s="113" t="e">
        <f>INDEX('SCH M Lookup'!$I:$I,MATCH($A442,'SCH M Lookup'!$A:$A,0))</f>
        <v>#N/A</v>
      </c>
      <c r="J442" s="113" t="str">
        <f>IF('SCH M Jun22data'!$G442=0,"NO",IF(ISNA('SCH M Jun22data'!$I442),"YES",IF(_xlfn.ISFORMULA('SCH M Jun22data'!$I442),"NO","YES")))</f>
        <v>NO</v>
      </c>
    </row>
    <row r="443" spans="1:10">
      <c r="A443" s="118" t="str">
        <f t="shared" si="19"/>
        <v>4099300SCHMDT415932Reg Asset - Carbon Decommissioning - WYSITUS</v>
      </c>
      <c r="B443" s="125">
        <v>4099300</v>
      </c>
      <c r="C443" s="117" t="str">
        <f t="shared" si="20"/>
        <v>SCHMDT</v>
      </c>
      <c r="D443" s="125">
        <v>415932</v>
      </c>
      <c r="E443" s="121" t="s">
        <v>3326</v>
      </c>
      <c r="F443" s="119" t="s">
        <v>386</v>
      </c>
      <c r="G443" s="138">
        <v>0</v>
      </c>
      <c r="H443" s="113" t="str">
        <f t="shared" si="18"/>
        <v>SITUS</v>
      </c>
      <c r="I443" s="113" t="e">
        <f>INDEX('SCH M Lookup'!$I:$I,MATCH($A443,'SCH M Lookup'!$A:$A,0))</f>
        <v>#N/A</v>
      </c>
      <c r="J443" s="113" t="str">
        <f>IF('SCH M Jun22data'!$G443=0,"NO",IF(ISNA('SCH M Jun22data'!$I443),"YES",IF(_xlfn.ISFORMULA('SCH M Jun22data'!$I443),"NO","YES")))</f>
        <v>NO</v>
      </c>
    </row>
    <row r="444" spans="1:10">
      <c r="A444" s="118" t="str">
        <f t="shared" si="19"/>
        <v>4099300SCHMDT415933Reg Liability - Contra - Carbon DecommisSITUS</v>
      </c>
      <c r="B444" s="125">
        <v>4099300</v>
      </c>
      <c r="C444" s="117" t="str">
        <f t="shared" si="20"/>
        <v>SCHMDT</v>
      </c>
      <c r="D444" s="125">
        <v>415933</v>
      </c>
      <c r="E444" s="121" t="s">
        <v>536</v>
      </c>
      <c r="F444" s="119" t="s">
        <v>372</v>
      </c>
      <c r="G444" s="138">
        <v>-1387.4968799999999</v>
      </c>
      <c r="H444" s="113" t="str">
        <f t="shared" si="18"/>
        <v>SITUS</v>
      </c>
      <c r="I444" s="113" t="str">
        <f>INDEX('SCH M Lookup'!$I:$I,MATCH($A444,'SCH M Lookup'!$A:$A,0))</f>
        <v>P</v>
      </c>
      <c r="J444" s="113" t="str">
        <f>IF('SCH M Jun22data'!$G444=0,"NO",IF(ISNA('SCH M Jun22data'!$I444),"YES",IF(_xlfn.ISFORMULA('SCH M Jun22data'!$I444),"NO","YES")))</f>
        <v>NO</v>
      </c>
    </row>
    <row r="445" spans="1:10">
      <c r="A445" s="118" t="str">
        <f t="shared" si="19"/>
        <v>4099300SCHMDT415934Reg Liability - Contra - Carbon DecommisSITUS</v>
      </c>
      <c r="B445" s="125">
        <v>4099300</v>
      </c>
      <c r="C445" s="117" t="str">
        <f t="shared" si="20"/>
        <v>SCHMDT</v>
      </c>
      <c r="D445" s="125">
        <v>415934</v>
      </c>
      <c r="E445" s="121" t="s">
        <v>536</v>
      </c>
      <c r="F445" s="119" t="s">
        <v>370</v>
      </c>
      <c r="G445" s="138">
        <v>-17053.629000000001</v>
      </c>
      <c r="H445" s="113" t="str">
        <f t="shared" si="18"/>
        <v>SITUS</v>
      </c>
      <c r="I445" s="113" t="str">
        <f>INDEX('SCH M Lookup'!$I:$I,MATCH($A445,'SCH M Lookup'!$A:$A,0))</f>
        <v>P</v>
      </c>
      <c r="J445" s="113" t="str">
        <f>IF('SCH M Jun22data'!$G445=0,"NO",IF(ISNA('SCH M Jun22data'!$I445),"YES",IF(_xlfn.ISFORMULA('SCH M Jun22data'!$I445),"NO","YES")))</f>
        <v>NO</v>
      </c>
    </row>
    <row r="446" spans="1:10">
      <c r="A446" s="118" t="str">
        <f t="shared" si="19"/>
        <v>4099300SCHMDT415935Reg Liability - Contra - Carbon DecommisSITUS</v>
      </c>
      <c r="B446" s="125">
        <v>4099300</v>
      </c>
      <c r="C446" s="117" t="str">
        <f t="shared" si="20"/>
        <v>SCHMDT</v>
      </c>
      <c r="D446" s="125">
        <v>415935</v>
      </c>
      <c r="E446" s="121" t="s">
        <v>536</v>
      </c>
      <c r="F446" s="119" t="s">
        <v>386</v>
      </c>
      <c r="G446" s="138">
        <v>-5668.8399600000002</v>
      </c>
      <c r="H446" s="113" t="str">
        <f t="shared" si="18"/>
        <v>SITUS</v>
      </c>
      <c r="I446" s="113" t="str">
        <f>INDEX('SCH M Lookup'!$I:$I,MATCH($A446,'SCH M Lookup'!$A:$A,0))</f>
        <v>P</v>
      </c>
      <c r="J446" s="113" t="str">
        <f>IF('SCH M Jun22data'!$G446=0,"NO",IF(ISNA('SCH M Jun22data'!$I446),"YES",IF(_xlfn.ISFORMULA('SCH M Jun22data'!$I446),"NO","YES")))</f>
        <v>NO</v>
      </c>
    </row>
    <row r="447" spans="1:10">
      <c r="A447" s="118" t="str">
        <f t="shared" si="19"/>
        <v>4099300SCHMDT415936REG ASSET - CARBON PLANT DECOMMISSIONINGSG</v>
      </c>
      <c r="B447" s="125">
        <v>4099300</v>
      </c>
      <c r="C447" s="117" t="str">
        <f t="shared" si="20"/>
        <v>SCHMDT</v>
      </c>
      <c r="D447" s="125">
        <v>415936</v>
      </c>
      <c r="E447" s="121" t="s">
        <v>537</v>
      </c>
      <c r="F447" s="119" t="s">
        <v>3106</v>
      </c>
      <c r="G447" s="138">
        <v>-464.56560000000002</v>
      </c>
      <c r="H447" s="113" t="str">
        <f t="shared" si="18"/>
        <v>SG</v>
      </c>
      <c r="I447" s="113" t="str">
        <f>INDEX('SCH M Lookup'!$I:$I,MATCH($A447,'SCH M Lookup'!$A:$A,0))</f>
        <v>P</v>
      </c>
      <c r="J447" s="113" t="str">
        <f>IF('SCH M Jun22data'!$G447=0,"NO",IF(ISNA('SCH M Jun22data'!$I447),"YES",IF(_xlfn.ISFORMULA('SCH M Jun22data'!$I447),"NO","YES")))</f>
        <v>NO</v>
      </c>
    </row>
    <row r="448" spans="1:10">
      <c r="A448" s="118" t="str">
        <f t="shared" si="19"/>
        <v>4099300SCHMDT415943Reg Asset - Covid-19 Bill Assistance ProOTHER</v>
      </c>
      <c r="B448" s="125">
        <v>4099300</v>
      </c>
      <c r="C448" s="117" t="str">
        <f t="shared" si="20"/>
        <v>SCHMDT</v>
      </c>
      <c r="D448" s="125">
        <v>415943</v>
      </c>
      <c r="E448" s="121" t="s">
        <v>2092</v>
      </c>
      <c r="F448" s="119" t="s">
        <v>306</v>
      </c>
      <c r="G448" s="138">
        <v>7353.3362699999998</v>
      </c>
      <c r="H448" s="113" t="str">
        <f t="shared" si="18"/>
        <v>OTHER</v>
      </c>
      <c r="I448" s="113" t="str">
        <f>INDEX('SCH M Lookup'!$I:$I,MATCH($A448,'SCH M Lookup'!$A:$A,0))</f>
        <v>CUST</v>
      </c>
      <c r="J448" s="113" t="str">
        <f>IF('SCH M Jun22data'!$G448=0,"NO",IF(ISNA('SCH M Jun22data'!$I448),"YES",IF(_xlfn.ISFORMULA('SCH M Jun22data'!$I448),"NO","YES")))</f>
        <v>NO</v>
      </c>
    </row>
    <row r="449" spans="1:10">
      <c r="A449" s="118" t="str">
        <f t="shared" si="19"/>
        <v>4099300SCHMDT415944Reg Asset - Covid-19 Bill Assistance ProOTHER</v>
      </c>
      <c r="B449" s="125">
        <v>4099300</v>
      </c>
      <c r="C449" s="117" t="str">
        <f t="shared" si="20"/>
        <v>SCHMDT</v>
      </c>
      <c r="D449" s="125">
        <v>415944</v>
      </c>
      <c r="E449" s="121" t="s">
        <v>2092</v>
      </c>
      <c r="F449" s="119" t="s">
        <v>306</v>
      </c>
      <c r="G449" s="138">
        <v>1625.8517899999999</v>
      </c>
      <c r="H449" s="113" t="str">
        <f t="shared" si="18"/>
        <v>OTHER</v>
      </c>
      <c r="I449" s="113" t="str">
        <f>INDEX('SCH M Lookup'!$I:$I,MATCH($A449,'SCH M Lookup'!$A:$A,0))</f>
        <v>CUST</v>
      </c>
      <c r="J449" s="113" t="str">
        <f>IF('SCH M Jun22data'!$G449=0,"NO",IF(ISNA('SCH M Jun22data'!$I449),"YES",IF(_xlfn.ISFORMULA('SCH M Jun22data'!$I449),"NO","YES")))</f>
        <v>NO</v>
      </c>
    </row>
    <row r="450" spans="1:10">
      <c r="A450" s="118" t="str">
        <f t="shared" si="19"/>
        <v>4099300SCHMDT425100Deferred Regulatory Expense-IDUSITUS</v>
      </c>
      <c r="B450" s="125">
        <v>4099300</v>
      </c>
      <c r="C450" s="117" t="str">
        <f t="shared" si="20"/>
        <v>SCHMDT</v>
      </c>
      <c r="D450" s="125">
        <v>425100</v>
      </c>
      <c r="E450" s="121" t="s">
        <v>538</v>
      </c>
      <c r="F450" s="119" t="s">
        <v>372</v>
      </c>
      <c r="G450" s="138">
        <v>-63.349629999999998</v>
      </c>
      <c r="H450" s="113" t="str">
        <f t="shared" ref="H450:H513" si="21">IF(OR(F450="IDU",F450="OR",F450="UT",F450="WYU",F450="WYP",F450="CA",F450="WA"),"SITUS",IF(OR(F450="CAEE",F450="JBE"),"SE",IF(OR(F450="CAGE",F450="CAGW",F450="JBG"),"SG",F450)))</f>
        <v>SITUS</v>
      </c>
      <c r="I450" s="113" t="str">
        <f>INDEX('SCH M Lookup'!$I:$I,MATCH($A450,'SCH M Lookup'!$A:$A,0))</f>
        <v>P</v>
      </c>
      <c r="J450" s="113" t="str">
        <f>IF('SCH M Jun22data'!$G450=0,"NO",IF(ISNA('SCH M Jun22data'!$I450),"YES",IF(_xlfn.ISFORMULA('SCH M Jun22data'!$I450),"NO","YES")))</f>
        <v>NO</v>
      </c>
    </row>
    <row r="451" spans="1:10">
      <c r="A451" s="118" t="str">
        <f t="shared" ref="A451:A514" si="22">CONCATENATE($B451,$C451,$D451,$E451,$H451)</f>
        <v>4099300SCHMDT425102Reg Asset - CA GreenHouse Gas AllowanceOTHER</v>
      </c>
      <c r="B451" s="125">
        <v>4099300</v>
      </c>
      <c r="C451" s="117" t="str">
        <f t="shared" ref="C451:C514" si="23">IF(B451=4098200,"SCHMAP",IF(B451=4098300,"SCHMAT",IF(B451=4099200,"SCHMDP",IF(B451=4099300,"SCHMDT"))))</f>
        <v>SCHMDT</v>
      </c>
      <c r="D451" s="125">
        <v>425102</v>
      </c>
      <c r="E451" s="121" t="s">
        <v>3327</v>
      </c>
      <c r="F451" s="119" t="s">
        <v>306</v>
      </c>
      <c r="G451" s="138">
        <v>0</v>
      </c>
      <c r="H451" s="113" t="str">
        <f t="shared" si="21"/>
        <v>OTHER</v>
      </c>
      <c r="I451" s="113" t="e">
        <f>INDEX('SCH M Lookup'!$I:$I,MATCH($A451,'SCH M Lookup'!$A:$A,0))</f>
        <v>#N/A</v>
      </c>
      <c r="J451" s="113" t="str">
        <f>IF('SCH M Jun22data'!$G451=0,"NO",IF(ISNA('SCH M Jun22data'!$I451),"YES",IF(_xlfn.ISFORMULA('SCH M Jun22data'!$I451),"NO","YES")))</f>
        <v>NO</v>
      </c>
    </row>
    <row r="452" spans="1:10">
      <c r="A452" s="118" t="str">
        <f t="shared" si="22"/>
        <v>4099300SCHMDT425103Reg Asset - Other Regulatory Assets - CuOTHER</v>
      </c>
      <c r="B452" s="125">
        <v>4099300</v>
      </c>
      <c r="C452" s="117" t="str">
        <f t="shared" si="23"/>
        <v>SCHMDT</v>
      </c>
      <c r="D452" s="125">
        <v>425103</v>
      </c>
      <c r="E452" s="121" t="s">
        <v>3328</v>
      </c>
      <c r="F452" s="119" t="s">
        <v>306</v>
      </c>
      <c r="G452" s="138">
        <v>0</v>
      </c>
      <c r="H452" s="113" t="str">
        <f t="shared" si="21"/>
        <v>OTHER</v>
      </c>
      <c r="I452" s="113" t="e">
        <f>INDEX('SCH M Lookup'!$I:$I,MATCH($A452,'SCH M Lookup'!$A:$A,0))</f>
        <v>#N/A</v>
      </c>
      <c r="J452" s="113" t="str">
        <f>IF('SCH M Jun22data'!$G452=0,"NO",IF(ISNA('SCH M Jun22data'!$I452),"YES",IF(_xlfn.ISFORMULA('SCH M Jun22data'!$I452),"NO","YES")))</f>
        <v>NO</v>
      </c>
    </row>
    <row r="453" spans="1:10">
      <c r="A453" s="118" t="str">
        <f t="shared" si="22"/>
        <v>4099300SCHMDT425104Reg Asset - OR Asset Sale Gain GivebackOTHER</v>
      </c>
      <c r="B453" s="125">
        <v>4099300</v>
      </c>
      <c r="C453" s="117" t="str">
        <f t="shared" si="23"/>
        <v>SCHMDT</v>
      </c>
      <c r="D453" s="125">
        <v>425104</v>
      </c>
      <c r="E453" s="121" t="s">
        <v>411</v>
      </c>
      <c r="F453" s="119" t="s">
        <v>306</v>
      </c>
      <c r="G453" s="138">
        <v>0</v>
      </c>
      <c r="H453" s="113" t="str">
        <f t="shared" si="21"/>
        <v>OTHER</v>
      </c>
      <c r="I453" s="113" t="e">
        <f>INDEX('SCH M Lookup'!$I:$I,MATCH($A453,'SCH M Lookup'!$A:$A,0))</f>
        <v>#N/A</v>
      </c>
      <c r="J453" s="113" t="str">
        <f>IF('SCH M Jun22data'!$G453=0,"NO",IF(ISNA('SCH M Jun22data'!$I453),"YES",IF(_xlfn.ISFORMULA('SCH M Jun22data'!$I453),"NO","YES")))</f>
        <v>NO</v>
      </c>
    </row>
    <row r="454" spans="1:10">
      <c r="A454" s="118" t="str">
        <f t="shared" si="22"/>
        <v>4099300SCHMDT425205Misc Def Dr-Prop Damage RepairsSO</v>
      </c>
      <c r="B454" s="125">
        <v>4099300</v>
      </c>
      <c r="C454" s="117" t="str">
        <f t="shared" si="23"/>
        <v>SCHMDT</v>
      </c>
      <c r="D454" s="125">
        <v>425205</v>
      </c>
      <c r="E454" s="121" t="s">
        <v>3209</v>
      </c>
      <c r="F454" s="119" t="s">
        <v>89</v>
      </c>
      <c r="G454" s="138">
        <v>0</v>
      </c>
      <c r="H454" s="113" t="str">
        <f t="shared" si="21"/>
        <v>SO</v>
      </c>
      <c r="I454" s="113" t="e">
        <f>INDEX('SCH M Lookup'!$I:$I,MATCH($A454,'SCH M Lookup'!$A:$A,0))</f>
        <v>#N/A</v>
      </c>
      <c r="J454" s="113" t="str">
        <f>IF('SCH M Jun22data'!$G454=0,"NO",IF(ISNA('SCH M Jun22data'!$I454),"YES",IF(_xlfn.ISFORMULA('SCH M Jun22data'!$I454),"NO","YES")))</f>
        <v>NO</v>
      </c>
    </row>
    <row r="455" spans="1:10">
      <c r="A455" s="118" t="str">
        <f t="shared" si="22"/>
        <v>4099300SCHMDT425210Amort of Debt Disc &amp; ExpSNP</v>
      </c>
      <c r="B455" s="125">
        <v>4099300</v>
      </c>
      <c r="C455" s="117" t="str">
        <f t="shared" si="23"/>
        <v>SCHMDT</v>
      </c>
      <c r="D455" s="125">
        <v>425210</v>
      </c>
      <c r="E455" s="121" t="s">
        <v>3329</v>
      </c>
      <c r="F455" s="119" t="s">
        <v>7</v>
      </c>
      <c r="G455" s="138">
        <v>0</v>
      </c>
      <c r="H455" s="113" t="str">
        <f t="shared" si="21"/>
        <v>SNP</v>
      </c>
      <c r="I455" s="113" t="e">
        <f>INDEX('SCH M Lookup'!$I:$I,MATCH($A455,'SCH M Lookup'!$A:$A,0))</f>
        <v>#N/A</v>
      </c>
      <c r="J455" s="113" t="str">
        <f>IF('SCH M Jun22data'!$G455=0,"NO",IF(ISNA('SCH M Jun22data'!$I455),"YES",IF(_xlfn.ISFORMULA('SCH M Jun22data'!$I455),"NO","YES")))</f>
        <v>NO</v>
      </c>
    </row>
    <row r="456" spans="1:10">
      <c r="A456" s="118" t="str">
        <f t="shared" si="22"/>
        <v>4099300SCHMDT425215Unearned Joint Use Pole Contact RevenueSNPD</v>
      </c>
      <c r="B456" s="125">
        <v>4099300</v>
      </c>
      <c r="C456" s="117" t="str">
        <f t="shared" si="23"/>
        <v>SCHMDT</v>
      </c>
      <c r="D456" s="125">
        <v>425215</v>
      </c>
      <c r="E456" s="121" t="s">
        <v>539</v>
      </c>
      <c r="F456" s="119" t="s">
        <v>11</v>
      </c>
      <c r="G456" s="138">
        <v>-40.393500040393498</v>
      </c>
      <c r="H456" s="113" t="str">
        <f t="shared" si="21"/>
        <v>SNPD</v>
      </c>
      <c r="I456" s="113" t="str">
        <f>INDEX('SCH M Lookup'!$I:$I,MATCH($A456,'SCH M Lookup'!$A:$A,0))</f>
        <v>DPW</v>
      </c>
      <c r="J456" s="113" t="str">
        <f>IF('SCH M Jun22data'!$G456=0,"NO",IF(ISNA('SCH M Jun22data'!$I456),"YES",IF(_xlfn.ISFORMULA('SCH M Jun22data'!$I456),"NO","YES")))</f>
        <v>NO</v>
      </c>
    </row>
    <row r="457" spans="1:10">
      <c r="A457" s="118" t="str">
        <f t="shared" si="22"/>
        <v>4099300SCHMDT425225Duke/Hermiston Contract RenegotiationSG</v>
      </c>
      <c r="B457" s="125">
        <v>4099300</v>
      </c>
      <c r="C457" s="117" t="str">
        <f t="shared" si="23"/>
        <v>SCHMDT</v>
      </c>
      <c r="D457" s="125">
        <v>425225</v>
      </c>
      <c r="E457" s="121" t="s">
        <v>3330</v>
      </c>
      <c r="F457" s="119" t="s">
        <v>3108</v>
      </c>
      <c r="G457" s="138">
        <v>0</v>
      </c>
      <c r="H457" s="113" t="str">
        <f t="shared" si="21"/>
        <v>SG</v>
      </c>
      <c r="I457" s="113" t="e">
        <f>INDEX('SCH M Lookup'!$I:$I,MATCH($A457,'SCH M Lookup'!$A:$A,0))</f>
        <v>#N/A</v>
      </c>
      <c r="J457" s="113" t="str">
        <f>IF('SCH M Jun22data'!$G457=0,"NO",IF(ISNA('SCH M Jun22data'!$I457),"YES",IF(_xlfn.ISFORMULA('SCH M Jun22data'!$I457),"NO","YES")))</f>
        <v>NO</v>
      </c>
    </row>
    <row r="458" spans="1:10">
      <c r="A458" s="118" t="str">
        <f t="shared" si="22"/>
        <v>4099300SCHMDT425295BPA Conservation Rate CreditSG</v>
      </c>
      <c r="B458" s="125">
        <v>4099300</v>
      </c>
      <c r="C458" s="117" t="str">
        <f t="shared" si="23"/>
        <v>SCHMDT</v>
      </c>
      <c r="D458" s="125">
        <v>425295</v>
      </c>
      <c r="E458" s="121" t="s">
        <v>3212</v>
      </c>
      <c r="F458" s="119" t="s">
        <v>3108</v>
      </c>
      <c r="G458" s="138">
        <v>0</v>
      </c>
      <c r="H458" s="113" t="str">
        <f t="shared" si="21"/>
        <v>SG</v>
      </c>
      <c r="I458" s="113" t="e">
        <f>INDEX('SCH M Lookup'!$I:$I,MATCH($A458,'SCH M Lookup'!$A:$A,0))</f>
        <v>#N/A</v>
      </c>
      <c r="J458" s="113" t="str">
        <f>IF('SCH M Jun22data'!$G458=0,"NO",IF(ISNA('SCH M Jun22data'!$I458),"YES",IF(_xlfn.ISFORMULA('SCH M Jun22data'!$I458),"NO","YES")))</f>
        <v>NO</v>
      </c>
    </row>
    <row r="459" spans="1:10">
      <c r="A459" s="118" t="str">
        <f t="shared" si="22"/>
        <v>4099300SCHMDT425380Idaho Customer Balancing AccountOTHER</v>
      </c>
      <c r="B459" s="125">
        <v>4099300</v>
      </c>
      <c r="C459" s="117" t="str">
        <f t="shared" si="23"/>
        <v>SCHMDT</v>
      </c>
      <c r="D459" s="125">
        <v>425380</v>
      </c>
      <c r="E459" s="121" t="s">
        <v>3214</v>
      </c>
      <c r="F459" s="119" t="s">
        <v>306</v>
      </c>
      <c r="G459" s="138">
        <v>0</v>
      </c>
      <c r="H459" s="113" t="str">
        <f t="shared" si="21"/>
        <v>OTHER</v>
      </c>
      <c r="I459" s="113" t="e">
        <f>INDEX('SCH M Lookup'!$I:$I,MATCH($A459,'SCH M Lookup'!$A:$A,0))</f>
        <v>#N/A</v>
      </c>
      <c r="J459" s="113" t="str">
        <f>IF('SCH M Jun22data'!$G459=0,"NO",IF(ISNA('SCH M Jun22data'!$I459),"YES",IF(_xlfn.ISFORMULA('SCH M Jun22data'!$I459),"NO","YES")))</f>
        <v>NO</v>
      </c>
    </row>
    <row r="460" spans="1:10">
      <c r="A460" s="118" t="str">
        <f t="shared" si="22"/>
        <v>4099300SCHMDT425400UT Kalamath Relicensing CostsOTHER</v>
      </c>
      <c r="B460" s="125">
        <v>4099300</v>
      </c>
      <c r="C460" s="117" t="str">
        <f t="shared" si="23"/>
        <v>SCHMDT</v>
      </c>
      <c r="D460" s="125">
        <v>425400</v>
      </c>
      <c r="E460" s="121" t="s">
        <v>366</v>
      </c>
      <c r="F460" s="119" t="s">
        <v>306</v>
      </c>
      <c r="G460" s="138">
        <v>-4083.9493499999999</v>
      </c>
      <c r="H460" s="113" t="str">
        <f t="shared" si="21"/>
        <v>OTHER</v>
      </c>
      <c r="I460" s="113" t="str">
        <f>INDEX('SCH M Lookup'!$I:$I,MATCH($A460,'SCH M Lookup'!$A:$A,0))</f>
        <v>P</v>
      </c>
      <c r="J460" s="113" t="str">
        <f>IF('SCH M Jun22data'!$G460=0,"NO",IF(ISNA('SCH M Jun22data'!$I460),"YES",IF(_xlfn.ISFORMULA('SCH M Jun22data'!$I460),"NO","YES")))</f>
        <v>NO</v>
      </c>
    </row>
    <row r="461" spans="1:10">
      <c r="A461" s="118" t="str">
        <f t="shared" si="22"/>
        <v>4099300SCHMDT425700Trojan Special Assessment -DOE-IRSTROJD</v>
      </c>
      <c r="B461" s="125">
        <v>4099300</v>
      </c>
      <c r="C461" s="117" t="str">
        <f t="shared" si="23"/>
        <v>SCHMDT</v>
      </c>
      <c r="D461" s="125">
        <v>425700</v>
      </c>
      <c r="E461" s="121" t="s">
        <v>3331</v>
      </c>
      <c r="F461" s="119" t="s">
        <v>252</v>
      </c>
      <c r="G461" s="138">
        <v>0</v>
      </c>
      <c r="H461" s="113" t="str">
        <f t="shared" si="21"/>
        <v>TROJD</v>
      </c>
      <c r="I461" s="113" t="e">
        <f>INDEX('SCH M Lookup'!$I:$I,MATCH($A461,'SCH M Lookup'!$A:$A,0))</f>
        <v>#N/A</v>
      </c>
      <c r="J461" s="113" t="str">
        <f>IF('SCH M Jun22data'!$G461=0,"NO",IF(ISNA('SCH M Jun22data'!$I461),"YES",IF(_xlfn.ISFORMULA('SCH M Jun22data'!$I461),"NO","YES")))</f>
        <v>NO</v>
      </c>
    </row>
    <row r="462" spans="1:10">
      <c r="A462" s="118" t="str">
        <f t="shared" si="22"/>
        <v>4099300SCHMDT425800Allowance for Doubtful A/C-Grid West W/OSG</v>
      </c>
      <c r="B462" s="125">
        <v>4099300</v>
      </c>
      <c r="C462" s="117" t="str">
        <f t="shared" si="23"/>
        <v>SCHMDT</v>
      </c>
      <c r="D462" s="125">
        <v>425800</v>
      </c>
      <c r="E462" s="121" t="s">
        <v>3332</v>
      </c>
      <c r="F462" s="119" t="s">
        <v>3108</v>
      </c>
      <c r="G462" s="138">
        <v>0</v>
      </c>
      <c r="H462" s="113" t="str">
        <f t="shared" si="21"/>
        <v>SG</v>
      </c>
      <c r="I462" s="113" t="e">
        <f>INDEX('SCH M Lookup'!$I:$I,MATCH($A462,'SCH M Lookup'!$A:$A,0))</f>
        <v>#N/A</v>
      </c>
      <c r="J462" s="113" t="str">
        <f>IF('SCH M Jun22data'!$G462=0,"NO",IF(ISNA('SCH M Jun22data'!$I462),"YES",IF(_xlfn.ISFORMULA('SCH M Jun22data'!$I462),"NO","YES")))</f>
        <v>NO</v>
      </c>
    </row>
    <row r="463" spans="1:10">
      <c r="A463" s="118" t="str">
        <f t="shared" si="22"/>
        <v>4099300SCHMDT430100Customer Service / WeatherizationOTHER</v>
      </c>
      <c r="B463" s="125">
        <v>4099300</v>
      </c>
      <c r="C463" s="117" t="str">
        <f t="shared" si="23"/>
        <v>SCHMDT</v>
      </c>
      <c r="D463" s="125">
        <v>430100</v>
      </c>
      <c r="E463" s="121" t="s">
        <v>415</v>
      </c>
      <c r="F463" s="119" t="s">
        <v>306</v>
      </c>
      <c r="G463" s="138">
        <v>0</v>
      </c>
      <c r="H463" s="113" t="str">
        <f t="shared" si="21"/>
        <v>OTHER</v>
      </c>
      <c r="I463" s="113" t="e">
        <f>INDEX('SCH M Lookup'!$I:$I,MATCH($A463,'SCH M Lookup'!$A:$A,0))</f>
        <v>#N/A</v>
      </c>
      <c r="J463" s="113" t="str">
        <f>IF('SCH M Jun22data'!$G463=0,"NO",IF(ISNA('SCH M Jun22data'!$I463),"YES",IF(_xlfn.ISFORMULA('SCH M Jun22data'!$I463),"NO","YES")))</f>
        <v>NO</v>
      </c>
    </row>
    <row r="464" spans="1:10">
      <c r="A464" s="118" t="str">
        <f t="shared" si="22"/>
        <v>4099300SCHMDT430110Reg Asset balance reclassOTHER</v>
      </c>
      <c r="B464" s="125">
        <v>4099300</v>
      </c>
      <c r="C464" s="117" t="str">
        <f t="shared" si="23"/>
        <v>SCHMDT</v>
      </c>
      <c r="D464" s="125">
        <v>430110</v>
      </c>
      <c r="E464" s="121" t="s">
        <v>540</v>
      </c>
      <c r="F464" s="119" t="s">
        <v>306</v>
      </c>
      <c r="G464" s="138">
        <v>-1372.85736</v>
      </c>
      <c r="H464" s="113" t="str">
        <f t="shared" si="21"/>
        <v>OTHER</v>
      </c>
      <c r="I464" s="113" t="str">
        <f>INDEX('SCH M Lookup'!$I:$I,MATCH($A464,'SCH M Lookup'!$A:$A,0))</f>
        <v>GP</v>
      </c>
      <c r="J464" s="113" t="str">
        <f>IF('SCH M Jun22data'!$G464=0,"NO",IF(ISNA('SCH M Jun22data'!$I464),"YES",IF(_xlfn.ISFORMULA('SCH M Jun22data'!$I464),"NO","YES")))</f>
        <v>NO</v>
      </c>
    </row>
    <row r="465" spans="1:10">
      <c r="A465" s="118" t="str">
        <f t="shared" si="22"/>
        <v>4099300SCHMDT430111Reg Asset - SB 1149 Balance ReclassOTHER</v>
      </c>
      <c r="B465" s="125">
        <v>4099300</v>
      </c>
      <c r="C465" s="117" t="str">
        <f t="shared" si="23"/>
        <v>SCHMDT</v>
      </c>
      <c r="D465" s="125">
        <v>430111</v>
      </c>
      <c r="E465" s="121" t="s">
        <v>3215</v>
      </c>
      <c r="F465" s="119" t="s">
        <v>306</v>
      </c>
      <c r="G465" s="138">
        <v>0</v>
      </c>
      <c r="H465" s="113" t="str">
        <f t="shared" si="21"/>
        <v>OTHER</v>
      </c>
      <c r="I465" s="113" t="e">
        <f>INDEX('SCH M Lookup'!$I:$I,MATCH($A465,'SCH M Lookup'!$A:$A,0))</f>
        <v>#N/A</v>
      </c>
      <c r="J465" s="113" t="str">
        <f>IF('SCH M Jun22data'!$G465=0,"NO",IF(ISNA('SCH M Jun22data'!$I465),"YES",IF(_xlfn.ISFORMULA('SCH M Jun22data'!$I465),"NO","YES")))</f>
        <v>NO</v>
      </c>
    </row>
    <row r="466" spans="1:10">
      <c r="A466" s="118" t="str">
        <f t="shared" si="22"/>
        <v>4099300SCHMDT430112Reg Asset - Other - Balance ReclassOTHER</v>
      </c>
      <c r="B466" s="125">
        <v>4099300</v>
      </c>
      <c r="C466" s="117" t="str">
        <f t="shared" si="23"/>
        <v>SCHMDT</v>
      </c>
      <c r="D466" s="125">
        <v>430112</v>
      </c>
      <c r="E466" s="121" t="s">
        <v>416</v>
      </c>
      <c r="F466" s="119" t="s">
        <v>306</v>
      </c>
      <c r="G466" s="138">
        <v>6916.5311499999998</v>
      </c>
      <c r="H466" s="113" t="str">
        <f t="shared" si="21"/>
        <v>OTHER</v>
      </c>
      <c r="I466" s="113" t="str">
        <f>INDEX('SCH M Lookup'!$I:$I,MATCH($A466,'SCH M Lookup'!$A:$A,0))</f>
        <v>GP</v>
      </c>
      <c r="J466" s="113" t="str">
        <f>IF('SCH M Jun22data'!$G466=0,"NO",IF(ISNA('SCH M Jun22data'!$I466),"YES",IF(_xlfn.ISFORMULA('SCH M Jun22data'!$I466),"NO","YES")))</f>
        <v>NO</v>
      </c>
    </row>
    <row r="467" spans="1:10">
      <c r="A467" s="118" t="str">
        <f t="shared" si="22"/>
        <v>4099300SCHMDT430113Reg Asset - Def NPC Balance ReclassOTHER</v>
      </c>
      <c r="B467" s="125">
        <v>4099300</v>
      </c>
      <c r="C467" s="117" t="str">
        <f t="shared" si="23"/>
        <v>SCHMDT</v>
      </c>
      <c r="D467" s="125">
        <v>430113</v>
      </c>
      <c r="E467" s="121" t="s">
        <v>3216</v>
      </c>
      <c r="F467" s="119" t="s">
        <v>306</v>
      </c>
      <c r="G467" s="138">
        <v>0</v>
      </c>
      <c r="H467" s="113" t="str">
        <f t="shared" si="21"/>
        <v>OTHER</v>
      </c>
      <c r="I467" s="113" t="e">
        <f>INDEX('SCH M Lookup'!$I:$I,MATCH($A467,'SCH M Lookup'!$A:$A,0))</f>
        <v>#N/A</v>
      </c>
      <c r="J467" s="113" t="str">
        <f>IF('SCH M Jun22data'!$G467=0,"NO",IF(ISNA('SCH M Jun22data'!$I467),"YES",IF(_xlfn.ISFORMULA('SCH M Jun22data'!$I467),"NO","YES")))</f>
        <v>NO</v>
      </c>
    </row>
    <row r="468" spans="1:10">
      <c r="A468" s="118" t="str">
        <f t="shared" si="22"/>
        <v>4099300SCHMDT505115Sales &amp; Use Tax AccrualSO</v>
      </c>
      <c r="B468" s="125">
        <v>4099300</v>
      </c>
      <c r="C468" s="117" t="str">
        <f t="shared" si="23"/>
        <v>SCHMDT</v>
      </c>
      <c r="D468" s="125">
        <v>505115</v>
      </c>
      <c r="E468" s="121" t="s">
        <v>3218</v>
      </c>
      <c r="F468" s="119" t="s">
        <v>89</v>
      </c>
      <c r="G468" s="138">
        <v>0</v>
      </c>
      <c r="H468" s="113" t="str">
        <f t="shared" si="21"/>
        <v>SO</v>
      </c>
      <c r="I468" s="113" t="e">
        <f>INDEX('SCH M Lookup'!$I:$I,MATCH($A468,'SCH M Lookup'!$A:$A,0))</f>
        <v>#N/A</v>
      </c>
      <c r="J468" s="113" t="str">
        <f>IF('SCH M Jun22data'!$G468=0,"NO",IF(ISNA('SCH M Jun22data'!$I468),"YES",IF(_xlfn.ISFORMULA('SCH M Jun22data'!$I468),"NO","YES")))</f>
        <v>NO</v>
      </c>
    </row>
    <row r="469" spans="1:10">
      <c r="A469" s="118" t="str">
        <f t="shared" si="22"/>
        <v>4099300SCHMDT505125Accrued RoyaltiesSE</v>
      </c>
      <c r="B469" s="125">
        <v>4099300</v>
      </c>
      <c r="C469" s="117" t="str">
        <f t="shared" si="23"/>
        <v>SCHMDT</v>
      </c>
      <c r="D469" s="125">
        <v>505125</v>
      </c>
      <c r="E469" s="121" t="s">
        <v>3333</v>
      </c>
      <c r="F469" s="119" t="s">
        <v>3110</v>
      </c>
      <c r="G469" s="138">
        <v>0</v>
      </c>
      <c r="H469" s="113" t="str">
        <f t="shared" si="21"/>
        <v>SE</v>
      </c>
      <c r="I469" s="113" t="e">
        <f>INDEX('SCH M Lookup'!$I:$I,MATCH($A469,'SCH M Lookup'!$A:$A,0))</f>
        <v>#N/A</v>
      </c>
      <c r="J469" s="113" t="str">
        <f>IF('SCH M Jun22data'!$G469=0,"NO",IF(ISNA('SCH M Jun22data'!$I469),"YES",IF(_xlfn.ISFORMULA('SCH M Jun22data'!$I469),"NO","YES")))</f>
        <v>NO</v>
      </c>
    </row>
    <row r="470" spans="1:10">
      <c r="A470" s="118" t="str">
        <f t="shared" si="22"/>
        <v>4099300SCHMDT505140Purchase Card Trans ProvisionSO</v>
      </c>
      <c r="B470" s="125">
        <v>4099300</v>
      </c>
      <c r="C470" s="117" t="str">
        <f t="shared" si="23"/>
        <v>SCHMDT</v>
      </c>
      <c r="D470" s="125">
        <v>505140</v>
      </c>
      <c r="E470" s="121" t="s">
        <v>3219</v>
      </c>
      <c r="F470" s="119" t="s">
        <v>89</v>
      </c>
      <c r="G470" s="138">
        <v>0</v>
      </c>
      <c r="H470" s="113" t="str">
        <f t="shared" si="21"/>
        <v>SO</v>
      </c>
      <c r="I470" s="113" t="e">
        <f>INDEX('SCH M Lookup'!$I:$I,MATCH($A470,'SCH M Lookup'!$A:$A,0))</f>
        <v>#N/A</v>
      </c>
      <c r="J470" s="113" t="str">
        <f>IF('SCH M Jun22data'!$G470=0,"NO",IF(ISNA('SCH M Jun22data'!$I470),"YES",IF(_xlfn.ISFORMULA('SCH M Jun22data'!$I470),"NO","YES")))</f>
        <v>NO</v>
      </c>
    </row>
    <row r="471" spans="1:10">
      <c r="A471" s="118" t="str">
        <f t="shared" si="22"/>
        <v>4099300SCHMDT505170West Valley Contract Termination Fee AccSG</v>
      </c>
      <c r="B471" s="125">
        <v>4099300</v>
      </c>
      <c r="C471" s="117" t="str">
        <f t="shared" si="23"/>
        <v>SCHMDT</v>
      </c>
      <c r="D471" s="125">
        <v>505170</v>
      </c>
      <c r="E471" s="121" t="s">
        <v>3221</v>
      </c>
      <c r="F471" s="119" t="s">
        <v>3106</v>
      </c>
      <c r="G471" s="138">
        <v>0</v>
      </c>
      <c r="H471" s="113" t="str">
        <f t="shared" si="21"/>
        <v>SG</v>
      </c>
      <c r="I471" s="113" t="e">
        <f>INDEX('SCH M Lookup'!$I:$I,MATCH($A471,'SCH M Lookup'!$A:$A,0))</f>
        <v>#N/A</v>
      </c>
      <c r="J471" s="113" t="str">
        <f>IF('SCH M Jun22data'!$G471=0,"NO",IF(ISNA('SCH M Jun22data'!$I471),"YES",IF(_xlfn.ISFORMULA('SCH M Jun22data'!$I471),"NO","YES")))</f>
        <v>NO</v>
      </c>
    </row>
    <row r="472" spans="1:10">
      <c r="A472" s="118" t="str">
        <f t="shared" si="22"/>
        <v>4099300SCHMDT505400Bonus LiabilitySO</v>
      </c>
      <c r="B472" s="125">
        <v>4099300</v>
      </c>
      <c r="C472" s="117" t="str">
        <f t="shared" si="23"/>
        <v>SCHMDT</v>
      </c>
      <c r="D472" s="125">
        <v>505400</v>
      </c>
      <c r="E472" s="121" t="s">
        <v>418</v>
      </c>
      <c r="F472" s="119" t="s">
        <v>89</v>
      </c>
      <c r="G472" s="138">
        <v>0</v>
      </c>
      <c r="H472" s="113" t="str">
        <f t="shared" si="21"/>
        <v>SO</v>
      </c>
      <c r="I472" s="113" t="e">
        <f>INDEX('SCH M Lookup'!$I:$I,MATCH($A472,'SCH M Lookup'!$A:$A,0))</f>
        <v>#N/A</v>
      </c>
      <c r="J472" s="113" t="str">
        <f>IF('SCH M Jun22data'!$G472=0,"NO",IF(ISNA('SCH M Jun22data'!$I472),"YES",IF(_xlfn.ISFORMULA('SCH M Jun22data'!$I472),"NO","YES")))</f>
        <v>NO</v>
      </c>
    </row>
    <row r="473" spans="1:10">
      <c r="A473" s="118" t="str">
        <f t="shared" si="22"/>
        <v>4099300SCHMDT505510Vacation Accrual - PMISE</v>
      </c>
      <c r="B473" s="125">
        <v>4099300</v>
      </c>
      <c r="C473" s="117" t="str">
        <f t="shared" si="23"/>
        <v>SCHMDT</v>
      </c>
      <c r="D473" s="125">
        <v>505510</v>
      </c>
      <c r="E473" s="121" t="s">
        <v>541</v>
      </c>
      <c r="F473" s="119" t="s">
        <v>3134</v>
      </c>
      <c r="G473" s="138">
        <v>326.05500000000001</v>
      </c>
      <c r="H473" s="113" t="str">
        <f t="shared" si="21"/>
        <v>SE</v>
      </c>
      <c r="I473" s="113" t="str">
        <f>INDEX('SCH M Lookup'!$I:$I,MATCH($A473,'SCH M Lookup'!$A:$A,0))</f>
        <v>P</v>
      </c>
      <c r="J473" s="113" t="str">
        <f>IF('SCH M Jun22data'!$G473=0,"NO",IF(ISNA('SCH M Jun22data'!$I473),"YES",IF(_xlfn.ISFORMULA('SCH M Jun22data'!$I473),"NO","YES")))</f>
        <v>NO</v>
      </c>
    </row>
    <row r="474" spans="1:10">
      <c r="A474" s="118" t="str">
        <f t="shared" si="22"/>
        <v>4099300SCHMDT505520PMI Bonus AccrualSE</v>
      </c>
      <c r="B474" s="125">
        <v>4099300</v>
      </c>
      <c r="C474" s="117" t="str">
        <f t="shared" si="23"/>
        <v>SCHMDT</v>
      </c>
      <c r="D474" s="125">
        <v>505520</v>
      </c>
      <c r="E474" s="121" t="s">
        <v>3334</v>
      </c>
      <c r="F474" s="119" t="s">
        <v>3134</v>
      </c>
      <c r="G474" s="138">
        <v>0</v>
      </c>
      <c r="H474" s="113" t="str">
        <f t="shared" si="21"/>
        <v>SE</v>
      </c>
      <c r="I474" s="113" t="e">
        <f>INDEX('SCH M Lookup'!$I:$I,MATCH($A474,'SCH M Lookup'!$A:$A,0))</f>
        <v>#N/A</v>
      </c>
      <c r="J474" s="113" t="str">
        <f>IF('SCH M Jun22data'!$G474=0,"NO",IF(ISNA('SCH M Jun22data'!$I474),"YES",IF(_xlfn.ISFORMULA('SCH M Jun22data'!$I474),"NO","YES")))</f>
        <v>NO</v>
      </c>
    </row>
    <row r="475" spans="1:10">
      <c r="A475" s="118" t="str">
        <f t="shared" si="22"/>
        <v>4099300SCHMDT505600IGC Vacation AccrualSO</v>
      </c>
      <c r="B475" s="125">
        <v>4099300</v>
      </c>
      <c r="C475" s="117" t="str">
        <f t="shared" si="23"/>
        <v>SCHMDT</v>
      </c>
      <c r="D475" s="125">
        <v>505600</v>
      </c>
      <c r="E475" s="121" t="s">
        <v>3335</v>
      </c>
      <c r="F475" s="119" t="s">
        <v>89</v>
      </c>
      <c r="G475" s="138">
        <v>0</v>
      </c>
      <c r="H475" s="113" t="str">
        <f t="shared" si="21"/>
        <v>SO</v>
      </c>
      <c r="I475" s="113" t="e">
        <f>INDEX('SCH M Lookup'!$I:$I,MATCH($A475,'SCH M Lookup'!$A:$A,0))</f>
        <v>#N/A</v>
      </c>
      <c r="J475" s="113" t="str">
        <f>IF('SCH M Jun22data'!$G475=0,"NO",IF(ISNA('SCH M Jun22data'!$I475),"YES",IF(_xlfn.ISFORMULA('SCH M Jun22data'!$I475),"NO","YES")))</f>
        <v>NO</v>
      </c>
    </row>
    <row r="476" spans="1:10">
      <c r="A476" s="118" t="str">
        <f t="shared" si="22"/>
        <v>4099300SCHMDT605101Trojan Decommissioning Costs - WASITUS</v>
      </c>
      <c r="B476" s="125">
        <v>4099300</v>
      </c>
      <c r="C476" s="117" t="str">
        <f t="shared" si="23"/>
        <v>SCHMDT</v>
      </c>
      <c r="D476" s="125">
        <v>605101</v>
      </c>
      <c r="E476" s="121" t="s">
        <v>3336</v>
      </c>
      <c r="F476" s="119" t="s">
        <v>367</v>
      </c>
      <c r="G476" s="138">
        <v>0</v>
      </c>
      <c r="H476" s="113" t="str">
        <f t="shared" si="21"/>
        <v>SITUS</v>
      </c>
      <c r="I476" s="113" t="e">
        <f>INDEX('SCH M Lookup'!$I:$I,MATCH($A476,'SCH M Lookup'!$A:$A,0))</f>
        <v>#N/A</v>
      </c>
      <c r="J476" s="113" t="str">
        <f>IF('SCH M Jun22data'!$G476=0,"NO",IF(ISNA('SCH M Jun22data'!$I476),"YES",IF(_xlfn.ISFORMULA('SCH M Jun22data'!$I476),"NO","YES")))</f>
        <v>NO</v>
      </c>
    </row>
    <row r="477" spans="1:10">
      <c r="A477" s="118" t="str">
        <f t="shared" si="22"/>
        <v>4099300SCHMDT605102Trojan Decommissioning Costs - ORSITUS</v>
      </c>
      <c r="B477" s="125">
        <v>4099300</v>
      </c>
      <c r="C477" s="117" t="str">
        <f t="shared" si="23"/>
        <v>SCHMDT</v>
      </c>
      <c r="D477" s="125">
        <v>605102</v>
      </c>
      <c r="E477" s="121" t="s">
        <v>3337</v>
      </c>
      <c r="F477" s="119" t="s">
        <v>343</v>
      </c>
      <c r="G477" s="138">
        <v>0</v>
      </c>
      <c r="H477" s="113" t="str">
        <f t="shared" si="21"/>
        <v>SITUS</v>
      </c>
      <c r="I477" s="113" t="e">
        <f>INDEX('SCH M Lookup'!$I:$I,MATCH($A477,'SCH M Lookup'!$A:$A,0))</f>
        <v>#N/A</v>
      </c>
      <c r="J477" s="113" t="str">
        <f>IF('SCH M Jun22data'!$G477=0,"NO",IF(ISNA('SCH M Jun22data'!$I477),"YES",IF(_xlfn.ISFORMULA('SCH M Jun22data'!$I477),"NO","YES")))</f>
        <v>NO</v>
      </c>
    </row>
    <row r="478" spans="1:10">
      <c r="A478" s="118" t="str">
        <f t="shared" si="22"/>
        <v>4099300SCHMDT605710Reverse Accrued Final ReclamationOTHER</v>
      </c>
      <c r="B478" s="125">
        <v>4099300</v>
      </c>
      <c r="C478" s="117" t="str">
        <f t="shared" si="23"/>
        <v>SCHMDT</v>
      </c>
      <c r="D478" s="125">
        <v>605710</v>
      </c>
      <c r="E478" s="121" t="s">
        <v>424</v>
      </c>
      <c r="F478" s="119" t="s">
        <v>306</v>
      </c>
      <c r="G478" s="138">
        <v>0</v>
      </c>
      <c r="H478" s="113" t="str">
        <f t="shared" si="21"/>
        <v>OTHER</v>
      </c>
      <c r="I478" s="113" t="e">
        <f>INDEX('SCH M Lookup'!$I:$I,MATCH($A478,'SCH M Lookup'!$A:$A,0))</f>
        <v>#N/A</v>
      </c>
      <c r="J478" s="113" t="str">
        <f>IF('SCH M Jun22data'!$G478=0,"NO",IF(ISNA('SCH M Jun22data'!$I478),"YES",IF(_xlfn.ISFORMULA('SCH M Jun22data'!$I478),"NO","YES")))</f>
        <v>NO</v>
      </c>
    </row>
    <row r="479" spans="1:10">
      <c r="A479" s="118" t="str">
        <f t="shared" si="22"/>
        <v>4099300SCHMDT610000PMI Coal Mine DevelopmentSE</v>
      </c>
      <c r="B479" s="125">
        <v>4099300</v>
      </c>
      <c r="C479" s="117" t="str">
        <f t="shared" si="23"/>
        <v>SCHMDT</v>
      </c>
      <c r="D479" s="125">
        <v>610000</v>
      </c>
      <c r="E479" s="121" t="s">
        <v>3338</v>
      </c>
      <c r="F479" s="119" t="s">
        <v>3134</v>
      </c>
      <c r="G479" s="138">
        <v>0</v>
      </c>
      <c r="H479" s="113" t="str">
        <f t="shared" si="21"/>
        <v>SE</v>
      </c>
      <c r="I479" s="113" t="e">
        <f>INDEX('SCH M Lookup'!$I:$I,MATCH($A479,'SCH M Lookup'!$A:$A,0))</f>
        <v>#N/A</v>
      </c>
      <c r="J479" s="113" t="str">
        <f>IF('SCH M Jun22data'!$G479=0,"NO",IF(ISNA('SCH M Jun22data'!$I479),"YES",IF(_xlfn.ISFORMULA('SCH M Jun22data'!$I479),"NO","YES")))</f>
        <v>NO</v>
      </c>
    </row>
    <row r="480" spans="1:10">
      <c r="A480" s="118" t="str">
        <f t="shared" si="22"/>
        <v>4099300SCHMDT610100PMIDEVT COST AMORTSE</v>
      </c>
      <c r="B480" s="125">
        <v>4099300</v>
      </c>
      <c r="C480" s="117" t="str">
        <f t="shared" si="23"/>
        <v>SCHMDT</v>
      </c>
      <c r="D480" s="125">
        <v>610100</v>
      </c>
      <c r="E480" s="121" t="s">
        <v>543</v>
      </c>
      <c r="F480" s="119" t="s">
        <v>3134</v>
      </c>
      <c r="G480" s="138">
        <v>-701.45100000000002</v>
      </c>
      <c r="H480" s="113" t="str">
        <f t="shared" si="21"/>
        <v>SE</v>
      </c>
      <c r="I480" s="113" t="str">
        <f>INDEX('SCH M Lookup'!$I:$I,MATCH($A480,'SCH M Lookup'!$A:$A,0))</f>
        <v>P</v>
      </c>
      <c r="J480" s="113" t="str">
        <f>IF('SCH M Jun22data'!$G480=0,"NO",IF(ISNA('SCH M Jun22data'!$I480),"YES",IF(_xlfn.ISFORMULA('SCH M Jun22data'!$I480),"NO","YES")))</f>
        <v>NO</v>
      </c>
    </row>
    <row r="481" spans="1:10">
      <c r="A481" s="118" t="str">
        <f t="shared" si="22"/>
        <v>4099300SCHMDT6101001AMORT NOPAS 99-00 RARSO</v>
      </c>
      <c r="B481" s="125">
        <v>4099300</v>
      </c>
      <c r="C481" s="117" t="str">
        <f t="shared" si="23"/>
        <v>SCHMDT</v>
      </c>
      <c r="D481" s="125">
        <v>6101001</v>
      </c>
      <c r="E481" s="121" t="s">
        <v>544</v>
      </c>
      <c r="F481" s="119" t="s">
        <v>89</v>
      </c>
      <c r="G481" s="138">
        <v>28.449000000000002</v>
      </c>
      <c r="H481" s="113" t="str">
        <f t="shared" si="21"/>
        <v>SO</v>
      </c>
      <c r="I481" s="113" t="str">
        <f>INDEX('SCH M Lookup'!$I:$I,MATCH($A481,'SCH M Lookup'!$A:$A,0))</f>
        <v>PTD</v>
      </c>
      <c r="J481" s="113" t="str">
        <f>IF('SCH M Jun22data'!$G481=0,"NO",IF(ISNA('SCH M Jun22data'!$I481),"YES",IF(_xlfn.ISFORMULA('SCH M Jun22data'!$I481),"NO","YES")))</f>
        <v>NO</v>
      </c>
    </row>
    <row r="482" spans="1:10">
      <c r="A482" s="118" t="str">
        <f t="shared" si="22"/>
        <v>4099300SCHMDT610110Ptax NOPAsSO</v>
      </c>
      <c r="B482" s="125">
        <v>4099300</v>
      </c>
      <c r="C482" s="117" t="str">
        <f t="shared" si="23"/>
        <v>SCHMDT</v>
      </c>
      <c r="D482" s="125">
        <v>610110</v>
      </c>
      <c r="E482" s="121" t="s">
        <v>3339</v>
      </c>
      <c r="F482" s="119" t="s">
        <v>89</v>
      </c>
      <c r="G482" s="138">
        <v>0</v>
      </c>
      <c r="H482" s="113" t="str">
        <f t="shared" si="21"/>
        <v>SO</v>
      </c>
      <c r="I482" s="113" t="e">
        <f>INDEX('SCH M Lookup'!$I:$I,MATCH($A482,'SCH M Lookup'!$A:$A,0))</f>
        <v>#N/A</v>
      </c>
      <c r="J482" s="113" t="str">
        <f>IF('SCH M Jun22data'!$G482=0,"NO",IF(ISNA('SCH M Jun22data'!$I482),"YES",IF(_xlfn.ISFORMULA('SCH M Jun22data'!$I482),"NO","YES")))</f>
        <v>NO</v>
      </c>
    </row>
    <row r="483" spans="1:10">
      <c r="A483" s="118" t="str">
        <f t="shared" si="22"/>
        <v>4099300SCHMDT610111Bridger Coal Company Gain/Loss on AssetsSE</v>
      </c>
      <c r="B483" s="125">
        <v>4099300</v>
      </c>
      <c r="C483" s="117" t="str">
        <f t="shared" si="23"/>
        <v>SCHMDT</v>
      </c>
      <c r="D483" s="125">
        <v>610111</v>
      </c>
      <c r="E483" s="121" t="s">
        <v>545</v>
      </c>
      <c r="F483" s="119" t="s">
        <v>3134</v>
      </c>
      <c r="G483" s="138">
        <v>-547.89499999999998</v>
      </c>
      <c r="H483" s="113" t="str">
        <f t="shared" si="21"/>
        <v>SE</v>
      </c>
      <c r="I483" s="113" t="str">
        <f>INDEX('SCH M Lookup'!$I:$I,MATCH($A483,'SCH M Lookup'!$A:$A,0))</f>
        <v>P</v>
      </c>
      <c r="J483" s="113" t="str">
        <f>IF('SCH M Jun22data'!$G483=0,"NO",IF(ISNA('SCH M Jun22data'!$I483),"YES",IF(_xlfn.ISFORMULA('SCH M Jun22data'!$I483),"NO","YES")))</f>
        <v>NO</v>
      </c>
    </row>
    <row r="484" spans="1:10">
      <c r="A484" s="118" t="str">
        <f t="shared" si="22"/>
        <v>4099300SCHMDT610114PMI EITF Pre Stripping CostsSE</v>
      </c>
      <c r="B484" s="125">
        <v>4099300</v>
      </c>
      <c r="C484" s="117" t="str">
        <f t="shared" si="23"/>
        <v>SCHMDT</v>
      </c>
      <c r="D484" s="125">
        <v>610114</v>
      </c>
      <c r="E484" s="121" t="s">
        <v>546</v>
      </c>
      <c r="F484" s="119" t="s">
        <v>3134</v>
      </c>
      <c r="G484" s="138">
        <v>-1118.133</v>
      </c>
      <c r="H484" s="113" t="str">
        <f t="shared" si="21"/>
        <v>SE</v>
      </c>
      <c r="I484" s="113" t="str">
        <f>INDEX('SCH M Lookup'!$I:$I,MATCH($A484,'SCH M Lookup'!$A:$A,0))</f>
        <v>P</v>
      </c>
      <c r="J484" s="113" t="str">
        <f>IF('SCH M Jun22data'!$G484=0,"NO",IF(ISNA('SCH M Jun22data'!$I484),"YES",IF(_xlfn.ISFORMULA('SCH M Jun22data'!$I484),"NO","YES")))</f>
        <v>NO</v>
      </c>
    </row>
    <row r="485" spans="1:10">
      <c r="A485" s="118" t="str">
        <f t="shared" si="22"/>
        <v>4099300SCHMDT610130781 Shopping Incentive_OROTHER</v>
      </c>
      <c r="B485" s="125">
        <v>4099300</v>
      </c>
      <c r="C485" s="117" t="str">
        <f t="shared" si="23"/>
        <v>SCHMDT</v>
      </c>
      <c r="D485" s="125">
        <v>610130</v>
      </c>
      <c r="E485" s="121" t="s">
        <v>3231</v>
      </c>
      <c r="F485" s="119" t="s">
        <v>306</v>
      </c>
      <c r="G485" s="138">
        <v>0</v>
      </c>
      <c r="H485" s="113" t="str">
        <f t="shared" si="21"/>
        <v>OTHER</v>
      </c>
      <c r="I485" s="113" t="e">
        <f>INDEX('SCH M Lookup'!$I:$I,MATCH($A485,'SCH M Lookup'!$A:$A,0))</f>
        <v>#N/A</v>
      </c>
      <c r="J485" s="113" t="str">
        <f>IF('SCH M Jun22data'!$G485=0,"NO",IF(ISNA('SCH M Jun22data'!$I485),"YES",IF(_xlfn.ISFORMULA('SCH M Jun22data'!$I485),"NO","YES")))</f>
        <v>NO</v>
      </c>
    </row>
    <row r="486" spans="1:10">
      <c r="A486" s="118" t="str">
        <f t="shared" si="22"/>
        <v>4099300SCHMDT610135SB1149 Costs_OR OTHEROTHER</v>
      </c>
      <c r="B486" s="125">
        <v>4099300</v>
      </c>
      <c r="C486" s="117" t="str">
        <f t="shared" si="23"/>
        <v>SCHMDT</v>
      </c>
      <c r="D486" s="125">
        <v>610135</v>
      </c>
      <c r="E486" s="121" t="s">
        <v>3232</v>
      </c>
      <c r="F486" s="119" t="s">
        <v>306</v>
      </c>
      <c r="G486" s="138">
        <v>0</v>
      </c>
      <c r="H486" s="113" t="str">
        <f t="shared" si="21"/>
        <v>OTHER</v>
      </c>
      <c r="I486" s="113" t="e">
        <f>INDEX('SCH M Lookup'!$I:$I,MATCH($A486,'SCH M Lookup'!$A:$A,0))</f>
        <v>#N/A</v>
      </c>
      <c r="J486" s="113" t="str">
        <f>IF('SCH M Jun22data'!$G486=0,"NO",IF(ISNA('SCH M Jun22data'!$I486),"YES",IF(_xlfn.ISFORMULA('SCH M Jun22data'!$I486),"NO","YES")))</f>
        <v>NO</v>
      </c>
    </row>
    <row r="487" spans="1:10">
      <c r="A487" s="118" t="str">
        <f t="shared" si="22"/>
        <v>4099300SCHMDT610140OR Rate RefundsOTHER</v>
      </c>
      <c r="B487" s="125">
        <v>4099300</v>
      </c>
      <c r="C487" s="117" t="str">
        <f t="shared" si="23"/>
        <v>SCHMDT</v>
      </c>
      <c r="D487" s="125">
        <v>610140</v>
      </c>
      <c r="E487" s="121" t="s">
        <v>3340</v>
      </c>
      <c r="F487" s="119" t="s">
        <v>306</v>
      </c>
      <c r="G487" s="138">
        <v>0</v>
      </c>
      <c r="H487" s="113" t="str">
        <f t="shared" si="21"/>
        <v>OTHER</v>
      </c>
      <c r="I487" s="113" t="e">
        <f>INDEX('SCH M Lookup'!$I:$I,MATCH($A487,'SCH M Lookup'!$A:$A,0))</f>
        <v>#N/A</v>
      </c>
      <c r="J487" s="113" t="str">
        <f>IF('SCH M Jun22data'!$G487=0,"NO",IF(ISNA('SCH M Jun22data'!$I487),"YES",IF(_xlfn.ISFORMULA('SCH M Jun22data'!$I487),"NO","YES")))</f>
        <v>NO</v>
      </c>
    </row>
    <row r="488" spans="1:10">
      <c r="A488" s="118" t="str">
        <f t="shared" si="22"/>
        <v>4099300SCHMDT610141WA Rate RefundsOTHER</v>
      </c>
      <c r="B488" s="125">
        <v>4099300</v>
      </c>
      <c r="C488" s="117" t="str">
        <f t="shared" si="23"/>
        <v>SCHMDT</v>
      </c>
      <c r="D488" s="125">
        <v>610141</v>
      </c>
      <c r="E488" s="121" t="s">
        <v>427</v>
      </c>
      <c r="F488" s="119" t="s">
        <v>306</v>
      </c>
      <c r="G488" s="138">
        <v>0</v>
      </c>
      <c r="H488" s="113" t="str">
        <f t="shared" si="21"/>
        <v>OTHER</v>
      </c>
      <c r="I488" s="113" t="e">
        <f>INDEX('SCH M Lookup'!$I:$I,MATCH($A488,'SCH M Lookup'!$A:$A,0))</f>
        <v>#N/A</v>
      </c>
      <c r="J488" s="113" t="str">
        <f>IF('SCH M Jun22data'!$G488=0,"NO",IF(ISNA('SCH M Jun22data'!$I488),"YES",IF(_xlfn.ISFORMULA('SCH M Jun22data'!$I488),"NO","YES")))</f>
        <v>NO</v>
      </c>
    </row>
    <row r="489" spans="1:10">
      <c r="A489" s="118" t="str">
        <f t="shared" si="22"/>
        <v>4099300SCHMDT610145REG LIAB-DSMOTHER</v>
      </c>
      <c r="B489" s="125">
        <v>4099300</v>
      </c>
      <c r="C489" s="117" t="str">
        <f t="shared" si="23"/>
        <v>SCHMDT</v>
      </c>
      <c r="D489" s="125">
        <v>610145</v>
      </c>
      <c r="E489" s="121" t="s">
        <v>430</v>
      </c>
      <c r="F489" s="119" t="s">
        <v>306</v>
      </c>
      <c r="G489" s="138">
        <v>0</v>
      </c>
      <c r="H489" s="113" t="str">
        <f t="shared" si="21"/>
        <v>OTHER</v>
      </c>
      <c r="I489" s="113" t="e">
        <f>INDEX('SCH M Lookup'!$I:$I,MATCH($A489,'SCH M Lookup'!$A:$A,0))</f>
        <v>#N/A</v>
      </c>
      <c r="J489" s="113" t="str">
        <f>IF('SCH M Jun22data'!$G489=0,"NO",IF(ISNA('SCH M Jun22data'!$I489),"YES",IF(_xlfn.ISFORMULA('SCH M Jun22data'!$I489),"NO","YES")))</f>
        <v>NO</v>
      </c>
    </row>
    <row r="490" spans="1:10">
      <c r="A490" s="118" t="str">
        <f t="shared" si="22"/>
        <v>4099300SCHMDT610146OR Reg Asset/Liability ConsolidationSITUS</v>
      </c>
      <c r="B490" s="125">
        <v>4099300</v>
      </c>
      <c r="C490" s="117" t="str">
        <f t="shared" si="23"/>
        <v>SCHMDT</v>
      </c>
      <c r="D490" s="125">
        <v>610146</v>
      </c>
      <c r="E490" s="121" t="s">
        <v>431</v>
      </c>
      <c r="F490" s="119" t="s">
        <v>343</v>
      </c>
      <c r="G490" s="138">
        <v>5.5910799999999998</v>
      </c>
      <c r="H490" s="113" t="str">
        <f t="shared" si="21"/>
        <v>SITUS</v>
      </c>
      <c r="I490" s="113" t="str">
        <f>INDEX('SCH M Lookup'!$I:$I,MATCH($A490,'SCH M Lookup'!$A:$A,0))</f>
        <v>PTD</v>
      </c>
      <c r="J490" s="113" t="str">
        <f>IF('SCH M Jun22data'!$G490=0,"NO",IF(ISNA('SCH M Jun22data'!$I490),"YES",IF(_xlfn.ISFORMULA('SCH M Jun22data'!$I490),"NO","YES")))</f>
        <v>NO</v>
      </c>
    </row>
    <row r="491" spans="1:10">
      <c r="A491" s="118" t="str">
        <f t="shared" si="22"/>
        <v>4099300SCHMDT610148Reg Liability - Def NPC Balance ReclassOTHER</v>
      </c>
      <c r="B491" s="125">
        <v>4099300</v>
      </c>
      <c r="C491" s="117" t="str">
        <f t="shared" si="23"/>
        <v>SCHMDT</v>
      </c>
      <c r="D491" s="125">
        <v>610148</v>
      </c>
      <c r="E491" s="121" t="s">
        <v>3234</v>
      </c>
      <c r="F491" s="119" t="s">
        <v>306</v>
      </c>
      <c r="G491" s="138">
        <v>0</v>
      </c>
      <c r="H491" s="113" t="str">
        <f t="shared" si="21"/>
        <v>OTHER</v>
      </c>
      <c r="I491" s="113" t="e">
        <f>INDEX('SCH M Lookup'!$I:$I,MATCH($A491,'SCH M Lookup'!$A:$A,0))</f>
        <v>#N/A</v>
      </c>
      <c r="J491" s="113" t="str">
        <f>IF('SCH M Jun22data'!$G491=0,"NO",IF(ISNA('SCH M Jun22data'!$I491),"YES",IF(_xlfn.ISFORMULA('SCH M Jun22data'!$I491),"NO","YES")))</f>
        <v>NO</v>
      </c>
    </row>
    <row r="492" spans="1:10">
      <c r="A492" s="118" t="str">
        <f t="shared" si="22"/>
        <v>4099300SCHMDT610149Reg Liability - SB 1149 Balance ReclassOTHER</v>
      </c>
      <c r="B492" s="125">
        <v>4099300</v>
      </c>
      <c r="C492" s="117" t="str">
        <f t="shared" si="23"/>
        <v>SCHMDT</v>
      </c>
      <c r="D492" s="125">
        <v>610149</v>
      </c>
      <c r="E492" s="121" t="s">
        <v>3235</v>
      </c>
      <c r="F492" s="119" t="s">
        <v>306</v>
      </c>
      <c r="G492" s="138">
        <v>0</v>
      </c>
      <c r="H492" s="113" t="str">
        <f t="shared" si="21"/>
        <v>OTHER</v>
      </c>
      <c r="I492" s="113" t="e">
        <f>INDEX('SCH M Lookup'!$I:$I,MATCH($A492,'SCH M Lookup'!$A:$A,0))</f>
        <v>#N/A</v>
      </c>
      <c r="J492" s="113" t="str">
        <f>IF('SCH M Jun22data'!$G492=0,"NO",IF(ISNA('SCH M Jun22data'!$I492),"YES",IF(_xlfn.ISFORMULA('SCH M Jun22data'!$I492),"NO","YES")))</f>
        <v>NO</v>
      </c>
    </row>
    <row r="493" spans="1:10">
      <c r="A493" s="118" t="str">
        <f t="shared" si="22"/>
        <v>4099300SCHMDT705200Oregon Gain on Sale of Halsey-OROTHER</v>
      </c>
      <c r="B493" s="125">
        <v>4099300</v>
      </c>
      <c r="C493" s="117" t="str">
        <f t="shared" si="23"/>
        <v>SCHMDT</v>
      </c>
      <c r="D493" s="125">
        <v>705200</v>
      </c>
      <c r="E493" s="121" t="s">
        <v>3341</v>
      </c>
      <c r="F493" s="119" t="s">
        <v>306</v>
      </c>
      <c r="G493" s="138">
        <v>0</v>
      </c>
      <c r="H493" s="113" t="str">
        <f t="shared" si="21"/>
        <v>OTHER</v>
      </c>
      <c r="I493" s="113" t="e">
        <f>INDEX('SCH M Lookup'!$I:$I,MATCH($A493,'SCH M Lookup'!$A:$A,0))</f>
        <v>#N/A</v>
      </c>
      <c r="J493" s="113" t="str">
        <f>IF('SCH M Jun22data'!$G493=0,"NO",IF(ISNA('SCH M Jun22data'!$I493),"YES",IF(_xlfn.ISFORMULA('SCH M Jun22data'!$I493),"NO","YES")))</f>
        <v>NO</v>
      </c>
    </row>
    <row r="494" spans="1:10">
      <c r="A494" s="118" t="str">
        <f t="shared" si="22"/>
        <v>4099300SCHMDT705210Property Insurance(Injuries &amp; Damages)SO</v>
      </c>
      <c r="B494" s="125">
        <v>4099300</v>
      </c>
      <c r="C494" s="117" t="str">
        <f t="shared" si="23"/>
        <v>SCHMDT</v>
      </c>
      <c r="D494" s="125">
        <v>705210</v>
      </c>
      <c r="E494" s="121" t="s">
        <v>3342</v>
      </c>
      <c r="F494" s="119" t="s">
        <v>89</v>
      </c>
      <c r="G494" s="138">
        <v>0</v>
      </c>
      <c r="H494" s="113" t="str">
        <f t="shared" si="21"/>
        <v>SO</v>
      </c>
      <c r="I494" s="113" t="e">
        <f>INDEX('SCH M Lookup'!$I:$I,MATCH($A494,'SCH M Lookup'!$A:$A,0))</f>
        <v>#N/A</v>
      </c>
      <c r="J494" s="113" t="str">
        <f>IF('SCH M Jun22data'!$G494=0,"NO",IF(ISNA('SCH M Jun22data'!$I494),"YES",IF(_xlfn.ISFORMULA('SCH M Jun22data'!$I494),"NO","YES")))</f>
        <v>NO</v>
      </c>
    </row>
    <row r="495" spans="1:10">
      <c r="A495" s="118" t="str">
        <f t="shared" si="22"/>
        <v>4099300SCHMDT705232CA West Valley Lease ReductionSITUS</v>
      </c>
      <c r="B495" s="125">
        <v>4099300</v>
      </c>
      <c r="C495" s="117" t="str">
        <f t="shared" si="23"/>
        <v>SCHMDT</v>
      </c>
      <c r="D495" s="125">
        <v>705232</v>
      </c>
      <c r="E495" s="121" t="s">
        <v>3343</v>
      </c>
      <c r="F495" s="119" t="s">
        <v>387</v>
      </c>
      <c r="G495" s="138">
        <v>0</v>
      </c>
      <c r="H495" s="113" t="str">
        <f t="shared" si="21"/>
        <v>SITUS</v>
      </c>
      <c r="I495" s="113" t="e">
        <f>INDEX('SCH M Lookup'!$I:$I,MATCH($A495,'SCH M Lookup'!$A:$A,0))</f>
        <v>#N/A</v>
      </c>
      <c r="J495" s="113" t="str">
        <f>IF('SCH M Jun22data'!$G495=0,"NO",IF(ISNA('SCH M Jun22data'!$I495),"YES",IF(_xlfn.ISFORMULA('SCH M Jun22data'!$I495),"NO","YES")))</f>
        <v>NO</v>
      </c>
    </row>
    <row r="496" spans="1:10">
      <c r="A496" s="118" t="str">
        <f t="shared" si="22"/>
        <v>4099300SCHMDT705233West Valley Lease Reduction - IDSITUS</v>
      </c>
      <c r="B496" s="125">
        <v>4099300</v>
      </c>
      <c r="C496" s="117" t="str">
        <f t="shared" si="23"/>
        <v>SCHMDT</v>
      </c>
      <c r="D496" s="125">
        <v>705233</v>
      </c>
      <c r="E496" s="121" t="s">
        <v>3240</v>
      </c>
      <c r="F496" s="119" t="s">
        <v>372</v>
      </c>
      <c r="G496" s="138">
        <v>0</v>
      </c>
      <c r="H496" s="113" t="str">
        <f t="shared" si="21"/>
        <v>SITUS</v>
      </c>
      <c r="I496" s="113" t="e">
        <f>INDEX('SCH M Lookup'!$I:$I,MATCH($A496,'SCH M Lookup'!$A:$A,0))</f>
        <v>#N/A</v>
      </c>
      <c r="J496" s="113" t="str">
        <f>IF('SCH M Jun22data'!$G496=0,"NO",IF(ISNA('SCH M Jun22data'!$I496),"YES",IF(_xlfn.ISFORMULA('SCH M Jun22data'!$I496),"NO","YES")))</f>
        <v>NO</v>
      </c>
    </row>
    <row r="497" spans="1:10">
      <c r="A497" s="118" t="str">
        <f t="shared" si="22"/>
        <v>4099300SCHMDT705234West Valley Lease Reduction - WYSITUS</v>
      </c>
      <c r="B497" s="125">
        <v>4099300</v>
      </c>
      <c r="C497" s="117" t="str">
        <f t="shared" si="23"/>
        <v>SCHMDT</v>
      </c>
      <c r="D497" s="125">
        <v>705234</v>
      </c>
      <c r="E497" s="121" t="s">
        <v>3241</v>
      </c>
      <c r="F497" s="119" t="s">
        <v>386</v>
      </c>
      <c r="G497" s="138">
        <v>0</v>
      </c>
      <c r="H497" s="113" t="str">
        <f t="shared" si="21"/>
        <v>SITUS</v>
      </c>
      <c r="I497" s="113" t="e">
        <f>INDEX('SCH M Lookup'!$I:$I,MATCH($A497,'SCH M Lookup'!$A:$A,0))</f>
        <v>#N/A</v>
      </c>
      <c r="J497" s="113" t="str">
        <f>IF('SCH M Jun22data'!$G497=0,"NO",IF(ISNA('SCH M Jun22data'!$I497),"YES",IF(_xlfn.ISFORMULA('SCH M Jun22data'!$I497),"NO","YES")))</f>
        <v>NO</v>
      </c>
    </row>
    <row r="498" spans="1:10">
      <c r="A498" s="118" t="str">
        <f t="shared" si="22"/>
        <v>4099300SCHMDT705235UT West Valley Lease ReductionSITUS</v>
      </c>
      <c r="B498" s="125">
        <v>4099300</v>
      </c>
      <c r="C498" s="117" t="str">
        <f t="shared" si="23"/>
        <v>SCHMDT</v>
      </c>
      <c r="D498" s="125">
        <v>705235</v>
      </c>
      <c r="E498" s="121" t="s">
        <v>3344</v>
      </c>
      <c r="F498" s="119" t="s">
        <v>370</v>
      </c>
      <c r="G498" s="138">
        <v>0</v>
      </c>
      <c r="H498" s="113" t="str">
        <f t="shared" si="21"/>
        <v>SITUS</v>
      </c>
      <c r="I498" s="113" t="e">
        <f>INDEX('SCH M Lookup'!$I:$I,MATCH($A498,'SCH M Lookup'!$A:$A,0))</f>
        <v>#N/A</v>
      </c>
      <c r="J498" s="113" t="str">
        <f>IF('SCH M Jun22data'!$G498=0,"NO",IF(ISNA('SCH M Jun22data'!$I498),"YES",IF(_xlfn.ISFORMULA('SCH M Jun22data'!$I498),"NO","YES")))</f>
        <v>NO</v>
      </c>
    </row>
    <row r="499" spans="1:10">
      <c r="A499" s="118" t="str">
        <f t="shared" si="22"/>
        <v>4099300SCHMDT705250A&amp;G Credit - WASITUS</v>
      </c>
      <c r="B499" s="125">
        <v>4099300</v>
      </c>
      <c r="C499" s="117" t="str">
        <f t="shared" si="23"/>
        <v>SCHMDT</v>
      </c>
      <c r="D499" s="125">
        <v>705250</v>
      </c>
      <c r="E499" s="121" t="s">
        <v>3345</v>
      </c>
      <c r="F499" s="119" t="s">
        <v>367</v>
      </c>
      <c r="G499" s="138">
        <v>0</v>
      </c>
      <c r="H499" s="113" t="str">
        <f t="shared" si="21"/>
        <v>SITUS</v>
      </c>
      <c r="I499" s="113" t="e">
        <f>INDEX('SCH M Lookup'!$I:$I,MATCH($A499,'SCH M Lookup'!$A:$A,0))</f>
        <v>#N/A</v>
      </c>
      <c r="J499" s="113" t="str">
        <f>IF('SCH M Jun22data'!$G499=0,"NO",IF(ISNA('SCH M Jun22data'!$I499),"YES",IF(_xlfn.ISFORMULA('SCH M Jun22data'!$I499),"NO","YES")))</f>
        <v>NO</v>
      </c>
    </row>
    <row r="500" spans="1:10">
      <c r="A500" s="118" t="str">
        <f t="shared" si="22"/>
        <v>4099300SCHMDT705251A&amp;G Credit-ORSITUS</v>
      </c>
      <c r="B500" s="125">
        <v>4099300</v>
      </c>
      <c r="C500" s="117" t="str">
        <f t="shared" si="23"/>
        <v>SCHMDT</v>
      </c>
      <c r="D500" s="125">
        <v>705251</v>
      </c>
      <c r="E500" s="121" t="s">
        <v>3244</v>
      </c>
      <c r="F500" s="119" t="s">
        <v>343</v>
      </c>
      <c r="G500" s="138">
        <v>0</v>
      </c>
      <c r="H500" s="113" t="str">
        <f t="shared" si="21"/>
        <v>SITUS</v>
      </c>
      <c r="I500" s="113" t="e">
        <f>INDEX('SCH M Lookup'!$I:$I,MATCH($A500,'SCH M Lookup'!$A:$A,0))</f>
        <v>#N/A</v>
      </c>
      <c r="J500" s="113" t="str">
        <f>IF('SCH M Jun22data'!$G500=0,"NO",IF(ISNA('SCH M Jun22data'!$I500),"YES",IF(_xlfn.ISFORMULA('SCH M Jun22data'!$I500),"NO","YES")))</f>
        <v>NO</v>
      </c>
    </row>
    <row r="501" spans="1:10">
      <c r="A501" s="118" t="str">
        <f t="shared" si="22"/>
        <v>4099300SCHMDT705252A&amp;G Credit-CASITUS</v>
      </c>
      <c r="B501" s="125">
        <v>4099300</v>
      </c>
      <c r="C501" s="117" t="str">
        <f t="shared" si="23"/>
        <v>SCHMDT</v>
      </c>
      <c r="D501" s="125">
        <v>705252</v>
      </c>
      <c r="E501" s="121" t="s">
        <v>3245</v>
      </c>
      <c r="F501" s="119" t="s">
        <v>387</v>
      </c>
      <c r="G501" s="138">
        <v>0</v>
      </c>
      <c r="H501" s="113" t="str">
        <f t="shared" si="21"/>
        <v>SITUS</v>
      </c>
      <c r="I501" s="113" t="e">
        <f>INDEX('SCH M Lookup'!$I:$I,MATCH($A501,'SCH M Lookup'!$A:$A,0))</f>
        <v>#N/A</v>
      </c>
      <c r="J501" s="113" t="str">
        <f>IF('SCH M Jun22data'!$G501=0,"NO",IF(ISNA('SCH M Jun22data'!$I501),"YES",IF(_xlfn.ISFORMULA('SCH M Jun22data'!$I501),"NO","YES")))</f>
        <v>NO</v>
      </c>
    </row>
    <row r="502" spans="1:10">
      <c r="A502" s="118" t="str">
        <f t="shared" si="22"/>
        <v>4099300SCHMDT705253A&amp;G Credit - IDSITUS</v>
      </c>
      <c r="B502" s="125">
        <v>4099300</v>
      </c>
      <c r="C502" s="117" t="str">
        <f t="shared" si="23"/>
        <v>SCHMDT</v>
      </c>
      <c r="D502" s="125">
        <v>705253</v>
      </c>
      <c r="E502" s="121" t="s">
        <v>3346</v>
      </c>
      <c r="F502" s="119" t="s">
        <v>372</v>
      </c>
      <c r="G502" s="138">
        <v>0</v>
      </c>
      <c r="H502" s="113" t="str">
        <f t="shared" si="21"/>
        <v>SITUS</v>
      </c>
      <c r="I502" s="113" t="e">
        <f>INDEX('SCH M Lookup'!$I:$I,MATCH($A502,'SCH M Lookup'!$A:$A,0))</f>
        <v>#N/A</v>
      </c>
      <c r="J502" s="113" t="str">
        <f>IF('SCH M Jun22data'!$G502=0,"NO",IF(ISNA('SCH M Jun22data'!$I502),"YES",IF(_xlfn.ISFORMULA('SCH M Jun22data'!$I502),"NO","YES")))</f>
        <v>NO</v>
      </c>
    </row>
    <row r="503" spans="1:10">
      <c r="A503" s="118" t="str">
        <f t="shared" si="22"/>
        <v>4099300SCHMDT705254A&amp;G Credit - WYSITUS</v>
      </c>
      <c r="B503" s="125">
        <v>4099300</v>
      </c>
      <c r="C503" s="117" t="str">
        <f t="shared" si="23"/>
        <v>SCHMDT</v>
      </c>
      <c r="D503" s="125">
        <v>705254</v>
      </c>
      <c r="E503" s="121" t="s">
        <v>3347</v>
      </c>
      <c r="F503" s="119" t="s">
        <v>386</v>
      </c>
      <c r="G503" s="138">
        <v>0</v>
      </c>
      <c r="H503" s="113" t="str">
        <f t="shared" si="21"/>
        <v>SITUS</v>
      </c>
      <c r="I503" s="113" t="e">
        <f>INDEX('SCH M Lookup'!$I:$I,MATCH($A503,'SCH M Lookup'!$A:$A,0))</f>
        <v>#N/A</v>
      </c>
      <c r="J503" s="113" t="str">
        <f>IF('SCH M Jun22data'!$G503=0,"NO",IF(ISNA('SCH M Jun22data'!$I503),"YES",IF(_xlfn.ISFORMULA('SCH M Jun22data'!$I503),"NO","YES")))</f>
        <v>NO</v>
      </c>
    </row>
    <row r="504" spans="1:10">
      <c r="A504" s="118" t="str">
        <f t="shared" si="22"/>
        <v>4099300SCHMDT705261Reg Liability - Sale of Renewable EnergyOTHER</v>
      </c>
      <c r="B504" s="125">
        <v>4099300</v>
      </c>
      <c r="C504" s="117" t="str">
        <f t="shared" si="23"/>
        <v>SCHMDT</v>
      </c>
      <c r="D504" s="125">
        <v>705261</v>
      </c>
      <c r="E504" s="121" t="s">
        <v>438</v>
      </c>
      <c r="F504" s="119" t="s">
        <v>306</v>
      </c>
      <c r="G504" s="138">
        <v>-468.15759000000003</v>
      </c>
      <c r="H504" s="113" t="str">
        <f t="shared" si="21"/>
        <v>OTHER</v>
      </c>
      <c r="I504" s="113" t="str">
        <f>INDEX('SCH M Lookup'!$I:$I,MATCH($A504,'SCH M Lookup'!$A:$A,0))</f>
        <v>P</v>
      </c>
      <c r="J504" s="113" t="str">
        <f>IF('SCH M Jun22data'!$G504=0,"NO",IF(ISNA('SCH M Jun22data'!$I504),"YES",IF(_xlfn.ISFORMULA('SCH M Jun22data'!$I504),"NO","YES")))</f>
        <v>NO</v>
      </c>
    </row>
    <row r="505" spans="1:10">
      <c r="A505" s="118" t="str">
        <f t="shared" si="22"/>
        <v>4099300SCHMDT705265Reg Liab - OR Energy Conservation ChargeOTHER</v>
      </c>
      <c r="B505" s="125">
        <v>4099300</v>
      </c>
      <c r="C505" s="117" t="str">
        <f t="shared" si="23"/>
        <v>SCHMDT</v>
      </c>
      <c r="D505" s="125">
        <v>705265</v>
      </c>
      <c r="E505" s="121" t="s">
        <v>435</v>
      </c>
      <c r="F505" s="119" t="s">
        <v>306</v>
      </c>
      <c r="G505" s="138">
        <v>-1967.0847799999999</v>
      </c>
      <c r="H505" s="113" t="str">
        <f t="shared" si="21"/>
        <v>OTHER</v>
      </c>
      <c r="I505" s="113" t="str">
        <f>INDEX('SCH M Lookup'!$I:$I,MATCH($A505,'SCH M Lookup'!$A:$A,0))</f>
        <v>DMSC</v>
      </c>
      <c r="J505" s="113" t="str">
        <f>IF('SCH M Jun22data'!$G505=0,"NO",IF(ISNA('SCH M Jun22data'!$I505),"YES",IF(_xlfn.ISFORMULA('SCH M Jun22data'!$I505),"NO","YES")))</f>
        <v>NO</v>
      </c>
    </row>
    <row r="506" spans="1:10">
      <c r="A506" s="118" t="str">
        <f t="shared" si="22"/>
        <v>4099300SCHMDT705300Reg. Liability - Deferred Benefit_Arch SSE</v>
      </c>
      <c r="B506" s="125">
        <v>4099300</v>
      </c>
      <c r="C506" s="117" t="str">
        <f t="shared" si="23"/>
        <v>SCHMDT</v>
      </c>
      <c r="D506" s="125">
        <v>705300</v>
      </c>
      <c r="E506" s="121" t="s">
        <v>3348</v>
      </c>
      <c r="F506" s="119" t="s">
        <v>3110</v>
      </c>
      <c r="G506" s="138">
        <v>0</v>
      </c>
      <c r="H506" s="113" t="str">
        <f t="shared" si="21"/>
        <v>SE</v>
      </c>
      <c r="I506" s="113" t="e">
        <f>INDEX('SCH M Lookup'!$I:$I,MATCH($A506,'SCH M Lookup'!$A:$A,0))</f>
        <v>#N/A</v>
      </c>
      <c r="J506" s="113" t="str">
        <f>IF('SCH M Jun22data'!$G506=0,"NO",IF(ISNA('SCH M Jun22data'!$I506),"YES",IF(_xlfn.ISFORMULA('SCH M Jun22data'!$I506),"NO","YES")))</f>
        <v>NO</v>
      </c>
    </row>
    <row r="507" spans="1:10">
      <c r="A507" s="118" t="str">
        <f t="shared" si="22"/>
        <v>4099300SCHMDT705305Reg Liability-CA Gain on Sale of AssetSITUS</v>
      </c>
      <c r="B507" s="125">
        <v>4099300</v>
      </c>
      <c r="C507" s="117" t="str">
        <f t="shared" si="23"/>
        <v>SCHMDT</v>
      </c>
      <c r="D507" s="125">
        <v>705305</v>
      </c>
      <c r="E507" s="121" t="s">
        <v>3252</v>
      </c>
      <c r="F507" s="119" t="s">
        <v>387</v>
      </c>
      <c r="G507" s="138">
        <v>0</v>
      </c>
      <c r="H507" s="113" t="str">
        <f t="shared" si="21"/>
        <v>SITUS</v>
      </c>
      <c r="I507" s="113" t="e">
        <f>INDEX('SCH M Lookup'!$I:$I,MATCH($A507,'SCH M Lookup'!$A:$A,0))</f>
        <v>#N/A</v>
      </c>
      <c r="J507" s="113" t="str">
        <f>IF('SCH M Jun22data'!$G507=0,"NO",IF(ISNA('SCH M Jun22data'!$I507),"YES",IF(_xlfn.ISFORMULA('SCH M Jun22data'!$I507),"NO","YES")))</f>
        <v>NO</v>
      </c>
    </row>
    <row r="508" spans="1:10">
      <c r="A508" s="118" t="str">
        <f t="shared" si="22"/>
        <v>4099300SCHMDT705310Reg Liability-UT Gain on Sale of AssetSITUS</v>
      </c>
      <c r="B508" s="125">
        <v>4099300</v>
      </c>
      <c r="C508" s="117" t="str">
        <f t="shared" si="23"/>
        <v>SCHMDT</v>
      </c>
      <c r="D508" s="125">
        <v>705310</v>
      </c>
      <c r="E508" s="121" t="s">
        <v>3349</v>
      </c>
      <c r="F508" s="119" t="s">
        <v>370</v>
      </c>
      <c r="G508" s="138">
        <v>0</v>
      </c>
      <c r="H508" s="113" t="str">
        <f t="shared" si="21"/>
        <v>SITUS</v>
      </c>
      <c r="I508" s="113" t="e">
        <f>INDEX('SCH M Lookup'!$I:$I,MATCH($A508,'SCH M Lookup'!$A:$A,0))</f>
        <v>#N/A</v>
      </c>
      <c r="J508" s="113" t="str">
        <f>IF('SCH M Jun22data'!$G508=0,"NO",IF(ISNA('SCH M Jun22data'!$I508),"YES",IF(_xlfn.ISFORMULA('SCH M Jun22data'!$I508),"NO","YES")))</f>
        <v>NO</v>
      </c>
    </row>
    <row r="509" spans="1:10">
      <c r="A509" s="118" t="str">
        <f t="shared" si="22"/>
        <v>4099300SCHMDT705320Reg Liability-ID Gain on Sale of AssetSITUS</v>
      </c>
      <c r="B509" s="125">
        <v>4099300</v>
      </c>
      <c r="C509" s="117" t="str">
        <f t="shared" si="23"/>
        <v>SCHMDT</v>
      </c>
      <c r="D509" s="125">
        <v>705320</v>
      </c>
      <c r="E509" s="121" t="s">
        <v>3350</v>
      </c>
      <c r="F509" s="119" t="s">
        <v>372</v>
      </c>
      <c r="G509" s="138">
        <v>0</v>
      </c>
      <c r="H509" s="113" t="str">
        <f t="shared" si="21"/>
        <v>SITUS</v>
      </c>
      <c r="I509" s="113" t="e">
        <f>INDEX('SCH M Lookup'!$I:$I,MATCH($A509,'SCH M Lookup'!$A:$A,0))</f>
        <v>#N/A</v>
      </c>
      <c r="J509" s="113" t="str">
        <f>IF('SCH M Jun22data'!$G509=0,"NO",IF(ISNA('SCH M Jun22data'!$I509),"YES",IF(_xlfn.ISFORMULA('SCH M Jun22data'!$I509),"NO","YES")))</f>
        <v>NO</v>
      </c>
    </row>
    <row r="510" spans="1:10">
      <c r="A510" s="118" t="str">
        <f t="shared" si="22"/>
        <v>4099300SCHMDT705330Reg Liability-WY Gain on Sale of AssetSITUS</v>
      </c>
      <c r="B510" s="125">
        <v>4099300</v>
      </c>
      <c r="C510" s="117" t="str">
        <f t="shared" si="23"/>
        <v>SCHMDT</v>
      </c>
      <c r="D510" s="125">
        <v>705330</v>
      </c>
      <c r="E510" s="121" t="s">
        <v>3351</v>
      </c>
      <c r="F510" s="119" t="s">
        <v>386</v>
      </c>
      <c r="G510" s="138">
        <v>0</v>
      </c>
      <c r="H510" s="113" t="str">
        <f t="shared" si="21"/>
        <v>SITUS</v>
      </c>
      <c r="I510" s="113" t="e">
        <f>INDEX('SCH M Lookup'!$I:$I,MATCH($A510,'SCH M Lookup'!$A:$A,0))</f>
        <v>#N/A</v>
      </c>
      <c r="J510" s="113" t="str">
        <f>IF('SCH M Jun22data'!$G510=0,"NO",IF(ISNA('SCH M Jun22data'!$I510),"YES",IF(_xlfn.ISFORMULA('SCH M Jun22data'!$I510),"NO","YES")))</f>
        <v>NO</v>
      </c>
    </row>
    <row r="511" spans="1:10">
      <c r="A511" s="118" t="str">
        <f t="shared" si="22"/>
        <v>4099300SCHMDT705337Reg Liability - Sale of Renewable EnergyOTHER</v>
      </c>
      <c r="B511" s="125">
        <v>4099300</v>
      </c>
      <c r="C511" s="117" t="str">
        <f t="shared" si="23"/>
        <v>SCHMDT</v>
      </c>
      <c r="D511" s="125">
        <v>705337</v>
      </c>
      <c r="E511" s="121" t="s">
        <v>438</v>
      </c>
      <c r="F511" s="119" t="s">
        <v>306</v>
      </c>
      <c r="G511" s="138">
        <v>-126.60248</v>
      </c>
      <c r="H511" s="113" t="str">
        <f t="shared" si="21"/>
        <v>OTHER</v>
      </c>
      <c r="I511" s="113" t="str">
        <f>INDEX('SCH M Lookup'!$I:$I,MATCH($A511,'SCH M Lookup'!$A:$A,0))</f>
        <v>P</v>
      </c>
      <c r="J511" s="113" t="str">
        <f>IF('SCH M Jun22data'!$G511=0,"NO",IF(ISNA('SCH M Jun22data'!$I511),"YES",IF(_xlfn.ISFORMULA('SCH M Jun22data'!$I511),"NO","YES")))</f>
        <v>NO</v>
      </c>
    </row>
    <row r="512" spans="1:10">
      <c r="A512" s="118" t="str">
        <f t="shared" si="22"/>
        <v>4099300SCHMDT705454Reg Liability - UT Property Insurance ReSITUS</v>
      </c>
      <c r="B512" s="125">
        <v>4099300</v>
      </c>
      <c r="C512" s="117" t="str">
        <f t="shared" si="23"/>
        <v>SCHMDT</v>
      </c>
      <c r="D512" s="125">
        <v>705454</v>
      </c>
      <c r="E512" s="121" t="s">
        <v>548</v>
      </c>
      <c r="F512" s="119" t="s">
        <v>370</v>
      </c>
      <c r="G512" s="138">
        <v>2126.7546699999998</v>
      </c>
      <c r="H512" s="113" t="str">
        <f t="shared" si="21"/>
        <v>SITUS</v>
      </c>
      <c r="I512" s="113" t="str">
        <f>INDEX('SCH M Lookup'!$I:$I,MATCH($A512,'SCH M Lookup'!$A:$A,0))</f>
        <v>P</v>
      </c>
      <c r="J512" s="113" t="str">
        <f>IF('SCH M Jun22data'!$G512=0,"NO",IF(ISNA('SCH M Jun22data'!$I512),"YES",IF(_xlfn.ISFORMULA('SCH M Jun22data'!$I512),"NO","YES")))</f>
        <v>NO</v>
      </c>
    </row>
    <row r="513" spans="1:10">
      <c r="A513" s="118" t="str">
        <f t="shared" si="22"/>
        <v>4099300SCHMDT705534Regulatory Liability - OR Asset Sale GaiOTHER</v>
      </c>
      <c r="B513" s="125">
        <v>4099300</v>
      </c>
      <c r="C513" s="117" t="str">
        <f t="shared" si="23"/>
        <v>SCHMDT</v>
      </c>
      <c r="D513" s="125">
        <v>705534</v>
      </c>
      <c r="E513" s="121" t="s">
        <v>3352</v>
      </c>
      <c r="F513" s="119" t="s">
        <v>306</v>
      </c>
      <c r="G513" s="138">
        <v>0</v>
      </c>
      <c r="H513" s="113" t="str">
        <f t="shared" si="21"/>
        <v>OTHER</v>
      </c>
      <c r="I513" s="113" t="e">
        <f>INDEX('SCH M Lookup'!$I:$I,MATCH($A513,'SCH M Lookup'!$A:$A,0))</f>
        <v>#N/A</v>
      </c>
      <c r="J513" s="113" t="str">
        <f>IF('SCH M Jun22data'!$G513=0,"NO",IF(ISNA('SCH M Jun22data'!$I513),"YES",IF(_xlfn.ISFORMULA('SCH M Jun22data'!$I513),"NO","YES")))</f>
        <v>NO</v>
      </c>
    </row>
    <row r="514" spans="1:10">
      <c r="A514" s="118" t="str">
        <f t="shared" si="22"/>
        <v>4099300SCHMDT705537Regulatory Liability - Other Reg LiabiliOTHER</v>
      </c>
      <c r="B514" s="125">
        <v>4099300</v>
      </c>
      <c r="C514" s="117" t="str">
        <f t="shared" si="23"/>
        <v>SCHMDT</v>
      </c>
      <c r="D514" s="125">
        <v>705537</v>
      </c>
      <c r="E514" s="121" t="s">
        <v>3353</v>
      </c>
      <c r="F514" s="119" t="s">
        <v>306</v>
      </c>
      <c r="G514" s="138">
        <v>0</v>
      </c>
      <c r="H514" s="113" t="str">
        <f t="shared" ref="H514:H533" si="24">IF(OR(F514="IDU",F514="OR",F514="UT",F514="WYU",F514="WYP",F514="CA",F514="WA"),"SITUS",IF(OR(F514="CAEE",F514="JBE"),"SE",IF(OR(F514="CAGE",F514="CAGW",F514="JBG"),"SG",F514)))</f>
        <v>OTHER</v>
      </c>
      <c r="I514" s="113" t="e">
        <f>INDEX('SCH M Lookup'!$I:$I,MATCH($A514,'SCH M Lookup'!$A:$A,0))</f>
        <v>#N/A</v>
      </c>
      <c r="J514" s="113" t="str">
        <f>IF('SCH M Jun22data'!$G514=0,"NO",IF(ISNA('SCH M Jun22data'!$I514),"YES",IF(_xlfn.ISFORMULA('SCH M Jun22data'!$I514),"NO","YES")))</f>
        <v>NO</v>
      </c>
    </row>
    <row r="515" spans="1:10">
      <c r="A515" s="118" t="str">
        <f t="shared" ref="A515:A533" si="25">CONCATENATE($B515,$C515,$D515,$E515,$H515)</f>
        <v>4099300SCHMDT705700Reg Liability - Current Reclass - OtherOTHER</v>
      </c>
      <c r="B515" s="125">
        <v>4099300</v>
      </c>
      <c r="C515" s="117" t="str">
        <f t="shared" ref="C515:C533" si="26">IF(B515=4098200,"SCHMAP",IF(B515=4098300,"SCHMAT",IF(B515=4099200,"SCHMDP",IF(B515=4099300,"SCHMDT"))))</f>
        <v>SCHMDT</v>
      </c>
      <c r="D515" s="125">
        <v>705700</v>
      </c>
      <c r="E515" s="121" t="s">
        <v>3260</v>
      </c>
      <c r="F515" s="119" t="s">
        <v>306</v>
      </c>
      <c r="G515" s="138">
        <v>0</v>
      </c>
      <c r="H515" s="113" t="str">
        <f t="shared" si="24"/>
        <v>OTHER</v>
      </c>
      <c r="I515" s="113" t="e">
        <f>INDEX('SCH M Lookup'!$I:$I,MATCH($A515,'SCH M Lookup'!$A:$A,0))</f>
        <v>#N/A</v>
      </c>
      <c r="J515" s="113" t="str">
        <f>IF('SCH M Jun22data'!$G515=0,"NO",IF(ISNA('SCH M Jun22data'!$I515),"YES",IF(_xlfn.ISFORMULA('SCH M Jun22data'!$I515),"NO","YES")))</f>
        <v>NO</v>
      </c>
    </row>
    <row r="516" spans="1:10">
      <c r="A516" s="118" t="str">
        <f t="shared" si="25"/>
        <v>4099300SCHMDT705755Reg Liability - Non current Reclass - OtOTHER</v>
      </c>
      <c r="B516" s="125">
        <v>4099300</v>
      </c>
      <c r="C516" s="117" t="str">
        <f t="shared" si="26"/>
        <v>SCHMDT</v>
      </c>
      <c r="D516" s="125">
        <v>705755</v>
      </c>
      <c r="E516" s="121" t="s">
        <v>549</v>
      </c>
      <c r="F516" s="119" t="s">
        <v>306</v>
      </c>
      <c r="G516" s="138">
        <v>503.84079000000003</v>
      </c>
      <c r="H516" s="113" t="str">
        <f t="shared" si="24"/>
        <v>OTHER</v>
      </c>
      <c r="I516" s="113" t="str">
        <f>INDEX('SCH M Lookup'!$I:$I,MATCH($A516,'SCH M Lookup'!$A:$A,0))</f>
        <v>GP</v>
      </c>
      <c r="J516" s="113" t="str">
        <f>IF('SCH M Jun22data'!$G516=0,"NO",IF(ISNA('SCH M Jun22data'!$I516),"YES",IF(_xlfn.ISFORMULA('SCH M Jun22data'!$I516),"NO","YES")))</f>
        <v>NO</v>
      </c>
    </row>
    <row r="517" spans="1:10">
      <c r="A517" s="118" t="str">
        <f t="shared" si="25"/>
        <v>4099300SCHMDT715050Microsoft Software License LiabilitySO</v>
      </c>
      <c r="B517" s="125">
        <v>4099300</v>
      </c>
      <c r="C517" s="117" t="str">
        <f t="shared" si="26"/>
        <v>SCHMDT</v>
      </c>
      <c r="D517" s="125">
        <v>715050</v>
      </c>
      <c r="E517" s="121" t="s">
        <v>3261</v>
      </c>
      <c r="F517" s="119" t="s">
        <v>89</v>
      </c>
      <c r="G517" s="138">
        <v>0</v>
      </c>
      <c r="H517" s="113" t="str">
        <f t="shared" si="24"/>
        <v>SO</v>
      </c>
      <c r="I517" s="113" t="e">
        <f>INDEX('SCH M Lookup'!$I:$I,MATCH($A517,'SCH M Lookup'!$A:$A,0))</f>
        <v>#N/A</v>
      </c>
      <c r="J517" s="113" t="str">
        <f>IF('SCH M Jun22data'!$G517=0,"NO",IF(ISNA('SCH M Jun22data'!$I517),"YES",IF(_xlfn.ISFORMULA('SCH M Jun22data'!$I517),"NO","YES")))</f>
        <v>NO</v>
      </c>
    </row>
    <row r="518" spans="1:10">
      <c r="A518" s="118" t="str">
        <f t="shared" si="25"/>
        <v>4099300SCHMDT715100University of WY Contract Amort.SITUS</v>
      </c>
      <c r="B518" s="125">
        <v>4099300</v>
      </c>
      <c r="C518" s="117" t="str">
        <f t="shared" si="26"/>
        <v>SCHMDT</v>
      </c>
      <c r="D518" s="125">
        <v>715100</v>
      </c>
      <c r="E518" s="121" t="s">
        <v>3354</v>
      </c>
      <c r="F518" s="119" t="s">
        <v>386</v>
      </c>
      <c r="G518" s="138">
        <v>0</v>
      </c>
      <c r="H518" s="113" t="str">
        <f t="shared" si="24"/>
        <v>SITUS</v>
      </c>
      <c r="I518" s="113" t="e">
        <f>INDEX('SCH M Lookup'!$I:$I,MATCH($A518,'SCH M Lookup'!$A:$A,0))</f>
        <v>#N/A</v>
      </c>
      <c r="J518" s="113" t="str">
        <f>IF('SCH M Jun22data'!$G518=0,"NO",IF(ISNA('SCH M Jun22data'!$I518),"YES",IF(_xlfn.ISFORMULA('SCH M Jun22data'!$I518),"NO","YES")))</f>
        <v>NO</v>
      </c>
    </row>
    <row r="519" spans="1:10">
      <c r="A519" s="118" t="str">
        <f t="shared" si="25"/>
        <v>4099300SCHMDT715350Misc Deferred CreditsSO</v>
      </c>
      <c r="B519" s="125">
        <v>4099300</v>
      </c>
      <c r="C519" s="117" t="str">
        <f t="shared" si="26"/>
        <v>SCHMDT</v>
      </c>
      <c r="D519" s="125">
        <v>715350</v>
      </c>
      <c r="E519" s="121" t="s">
        <v>3355</v>
      </c>
      <c r="F519" s="119" t="s">
        <v>89</v>
      </c>
      <c r="G519" s="138">
        <v>0</v>
      </c>
      <c r="H519" s="113" t="str">
        <f t="shared" si="24"/>
        <v>SO</v>
      </c>
      <c r="I519" s="113" t="e">
        <f>INDEX('SCH M Lookup'!$I:$I,MATCH($A519,'SCH M Lookup'!$A:$A,0))</f>
        <v>#N/A</v>
      </c>
      <c r="J519" s="113" t="str">
        <f>IF('SCH M Jun22data'!$G519=0,"NO",IF(ISNA('SCH M Jun22data'!$I519),"YES",IF(_xlfn.ISFORMULA('SCH M Jun22data'!$I519),"NO","YES")))</f>
        <v>NO</v>
      </c>
    </row>
    <row r="520" spans="1:10">
      <c r="A520" s="118" t="str">
        <f t="shared" si="25"/>
        <v>4099300SCHMDT715800Redding Renegotiated ContractSG</v>
      </c>
      <c r="B520" s="125">
        <v>4099300</v>
      </c>
      <c r="C520" s="117" t="str">
        <f t="shared" si="26"/>
        <v>SCHMDT</v>
      </c>
      <c r="D520" s="125">
        <v>715800</v>
      </c>
      <c r="E520" s="121" t="s">
        <v>3356</v>
      </c>
      <c r="F520" s="119" t="s">
        <v>3108</v>
      </c>
      <c r="G520" s="138">
        <v>0</v>
      </c>
      <c r="H520" s="113" t="str">
        <f t="shared" si="24"/>
        <v>SG</v>
      </c>
      <c r="I520" s="113" t="e">
        <f>INDEX('SCH M Lookup'!$I:$I,MATCH($A520,'SCH M Lookup'!$A:$A,0))</f>
        <v>#N/A</v>
      </c>
      <c r="J520" s="113" t="str">
        <f>IF('SCH M Jun22data'!$G520=0,"NO",IF(ISNA('SCH M Jun22data'!$I520),"YES",IF(_xlfn.ISFORMULA('SCH M Jun22data'!$I520),"NO","YES")))</f>
        <v>NO</v>
      </c>
    </row>
    <row r="521" spans="1:10">
      <c r="A521" s="118" t="str">
        <f t="shared" si="25"/>
        <v>4099300SCHMDT720100FAS 106 AccrualsSO</v>
      </c>
      <c r="B521" s="125">
        <v>4099300</v>
      </c>
      <c r="C521" s="117" t="str">
        <f t="shared" si="26"/>
        <v>SCHMDT</v>
      </c>
      <c r="D521" s="125">
        <v>720100</v>
      </c>
      <c r="E521" s="121" t="s">
        <v>3357</v>
      </c>
      <c r="F521" s="119" t="s">
        <v>89</v>
      </c>
      <c r="G521" s="138">
        <v>0</v>
      </c>
      <c r="H521" s="113" t="str">
        <f t="shared" si="24"/>
        <v>SO</v>
      </c>
      <c r="I521" s="113" t="e">
        <f>INDEX('SCH M Lookup'!$I:$I,MATCH($A521,'SCH M Lookup'!$A:$A,0))</f>
        <v>#N/A</v>
      </c>
      <c r="J521" s="113" t="str">
        <f>IF('SCH M Jun22data'!$G521=0,"NO",IF(ISNA('SCH M Jun22data'!$I521),"YES",IF(_xlfn.ISFORMULA('SCH M Jun22data'!$I521),"NO","YES")))</f>
        <v>NO</v>
      </c>
    </row>
    <row r="522" spans="1:10">
      <c r="A522" s="118" t="str">
        <f t="shared" si="25"/>
        <v>4099300SCHMDT720200Deferred Comp Plan Benefits-PPLSO</v>
      </c>
      <c r="B522" s="125">
        <v>4099300</v>
      </c>
      <c r="C522" s="117" t="str">
        <f t="shared" si="26"/>
        <v>SCHMDT</v>
      </c>
      <c r="D522" s="125">
        <v>720200</v>
      </c>
      <c r="E522" s="121" t="s">
        <v>453</v>
      </c>
      <c r="F522" s="119" t="s">
        <v>89</v>
      </c>
      <c r="G522" s="138">
        <v>1951.8228999999999</v>
      </c>
      <c r="H522" s="113" t="str">
        <f t="shared" si="24"/>
        <v>SO</v>
      </c>
      <c r="I522" s="113" t="str">
        <f>INDEX('SCH M Lookup'!$I:$I,MATCH($A522,'SCH M Lookup'!$A:$A,0))</f>
        <v>LABOR</v>
      </c>
      <c r="J522" s="113" t="str">
        <f>IF('SCH M Jun22data'!$G522=0,"NO",IF(ISNA('SCH M Jun22data'!$I522),"YES",IF(_xlfn.ISFORMULA('SCH M Jun22data'!$I522),"NO","YES")))</f>
        <v>NO</v>
      </c>
    </row>
    <row r="523" spans="1:10">
      <c r="A523" s="118" t="str">
        <f t="shared" si="25"/>
        <v>4099300SCHMDT720300PENSION / RETIREMENT ACCRUAL - CASH BASISO</v>
      </c>
      <c r="B523" s="125">
        <v>4099300</v>
      </c>
      <c r="C523" s="117" t="str">
        <f t="shared" si="26"/>
        <v>SCHMDT</v>
      </c>
      <c r="D523" s="125">
        <v>720300</v>
      </c>
      <c r="E523" s="121" t="s">
        <v>3358</v>
      </c>
      <c r="F523" s="119" t="s">
        <v>89</v>
      </c>
      <c r="G523" s="138">
        <v>0</v>
      </c>
      <c r="H523" s="113" t="str">
        <f t="shared" si="24"/>
        <v>SO</v>
      </c>
      <c r="I523" s="113" t="e">
        <f>INDEX('SCH M Lookup'!$I:$I,MATCH($A523,'SCH M Lookup'!$A:$A,0))</f>
        <v>#N/A</v>
      </c>
      <c r="J523" s="113" t="str">
        <f>IF('SCH M Jun22data'!$G523=0,"NO",IF(ISNA('SCH M Jun22data'!$I523),"YES",IF(_xlfn.ISFORMULA('SCH M Jun22data'!$I523),"NO","YES")))</f>
        <v>NO</v>
      </c>
    </row>
    <row r="524" spans="1:10">
      <c r="A524" s="118" t="str">
        <f t="shared" si="25"/>
        <v>4099300SCHMDT720400SUPPL. EXEC. RETIREMENT PLAN (SERP)SO</v>
      </c>
      <c r="B524" s="125">
        <v>4099300</v>
      </c>
      <c r="C524" s="117" t="str">
        <f t="shared" si="26"/>
        <v>SCHMDT</v>
      </c>
      <c r="D524" s="125">
        <v>720400</v>
      </c>
      <c r="E524" s="121" t="s">
        <v>3359</v>
      </c>
      <c r="F524" s="119" t="s">
        <v>89</v>
      </c>
      <c r="G524" s="138">
        <v>0</v>
      </c>
      <c r="H524" s="113" t="str">
        <f t="shared" si="24"/>
        <v>SO</v>
      </c>
      <c r="I524" s="113" t="e">
        <f>INDEX('SCH M Lookup'!$I:$I,MATCH($A524,'SCH M Lookup'!$A:$A,0))</f>
        <v>#N/A</v>
      </c>
      <c r="J524" s="113" t="str">
        <f>IF('SCH M Jun22data'!$G524=0,"NO",IF(ISNA('SCH M Jun22data'!$I524),"YES",IF(_xlfn.ISFORMULA('SCH M Jun22data'!$I524),"NO","YES")))</f>
        <v>NO</v>
      </c>
    </row>
    <row r="525" spans="1:10">
      <c r="A525" s="118" t="str">
        <f t="shared" si="25"/>
        <v>4099300SCHMDT720500Severance AccrualSO</v>
      </c>
      <c r="B525" s="125">
        <v>4099300</v>
      </c>
      <c r="C525" s="117" t="str">
        <f t="shared" si="26"/>
        <v>SCHMDT</v>
      </c>
      <c r="D525" s="125">
        <v>720500</v>
      </c>
      <c r="E525" s="121" t="s">
        <v>550</v>
      </c>
      <c r="F525" s="119" t="s">
        <v>89</v>
      </c>
      <c r="G525" s="138">
        <v>423.20645000000002</v>
      </c>
      <c r="H525" s="113" t="str">
        <f t="shared" si="24"/>
        <v>SO</v>
      </c>
      <c r="I525" s="113" t="str">
        <f>INDEX('SCH M Lookup'!$I:$I,MATCH($A525,'SCH M Lookup'!$A:$A,0))</f>
        <v>LABOR</v>
      </c>
      <c r="J525" s="113" t="str">
        <f>IF('SCH M Jun22data'!$G525=0,"NO",IF(ISNA('SCH M Jun22data'!$I525),"YES",IF(_xlfn.ISFORMULA('SCH M Jun22data'!$I525),"NO","YES")))</f>
        <v>NO</v>
      </c>
    </row>
    <row r="526" spans="1:10">
      <c r="A526" s="118" t="str">
        <f t="shared" si="25"/>
        <v>4099300SCHMDT720550Accrued CIC SeverenceSO</v>
      </c>
      <c r="B526" s="125">
        <v>4099300</v>
      </c>
      <c r="C526" s="117" t="str">
        <f t="shared" si="26"/>
        <v>SCHMDT</v>
      </c>
      <c r="D526" s="125">
        <v>720550</v>
      </c>
      <c r="E526" s="121" t="s">
        <v>3264</v>
      </c>
      <c r="F526" s="119" t="s">
        <v>89</v>
      </c>
      <c r="G526" s="138">
        <v>0</v>
      </c>
      <c r="H526" s="113" t="str">
        <f t="shared" si="24"/>
        <v>SO</v>
      </c>
      <c r="I526" s="113" t="e">
        <f>INDEX('SCH M Lookup'!$I:$I,MATCH($A526,'SCH M Lookup'!$A:$A,0))</f>
        <v>#N/A</v>
      </c>
      <c r="J526" s="113" t="str">
        <f>IF('SCH M Jun22data'!$G526=0,"NO",IF(ISNA('SCH M Jun22data'!$I526),"YES",IF(_xlfn.ISFORMULA('SCH M Jun22data'!$I526),"NO","YES")))</f>
        <v>NO</v>
      </c>
    </row>
    <row r="527" spans="1:10">
      <c r="A527" s="118" t="str">
        <f t="shared" si="25"/>
        <v>4099300SCHMDT740100Post Merger Loss-Reacquired DebtSNP</v>
      </c>
      <c r="B527" s="125">
        <v>4099300</v>
      </c>
      <c r="C527" s="117" t="str">
        <f t="shared" si="26"/>
        <v>SCHMDT</v>
      </c>
      <c r="D527" s="125">
        <v>740100</v>
      </c>
      <c r="E527" s="121" t="s">
        <v>456</v>
      </c>
      <c r="F527" s="119" t="s">
        <v>7</v>
      </c>
      <c r="G527" s="138">
        <v>0</v>
      </c>
      <c r="H527" s="113" t="str">
        <f t="shared" si="24"/>
        <v>SNP</v>
      </c>
      <c r="I527" s="113" t="e">
        <f>INDEX('SCH M Lookup'!$I:$I,MATCH($A527,'SCH M Lookup'!$A:$A,0))</f>
        <v>#N/A</v>
      </c>
      <c r="J527" s="113" t="str">
        <f>IF('SCH M Jun22data'!$G527=0,"NO",IF(ISNA('SCH M Jun22data'!$I527),"YES",IF(_xlfn.ISFORMULA('SCH M Jun22data'!$I527),"NO","YES")))</f>
        <v>NO</v>
      </c>
    </row>
    <row r="528" spans="1:10">
      <c r="A528" s="118" t="str">
        <f t="shared" si="25"/>
        <v>4099300SCHMDT910240190LEGAL RESERVESO</v>
      </c>
      <c r="B528" s="125">
        <v>4099300</v>
      </c>
      <c r="C528" s="117" t="str">
        <f t="shared" si="26"/>
        <v>SCHMDT</v>
      </c>
      <c r="D528" s="125">
        <v>910240</v>
      </c>
      <c r="E528" s="121" t="s">
        <v>3360</v>
      </c>
      <c r="F528" s="119" t="s">
        <v>89</v>
      </c>
      <c r="G528" s="138">
        <v>0</v>
      </c>
      <c r="H528" s="113" t="str">
        <f t="shared" si="24"/>
        <v>SO</v>
      </c>
      <c r="I528" s="113" t="e">
        <f>INDEX('SCH M Lookup'!$I:$I,MATCH($A528,'SCH M Lookup'!$A:$A,0))</f>
        <v>#N/A</v>
      </c>
      <c r="J528" s="113" t="str">
        <f>IF('SCH M Jun22data'!$G528=0,"NO",IF(ISNA('SCH M Jun22data'!$I528),"YES",IF(_xlfn.ISFORMULA('SCH M Jun22data'!$I528),"NO","YES")))</f>
        <v>NO</v>
      </c>
    </row>
    <row r="529" spans="1:10">
      <c r="A529" s="118" t="str">
        <f t="shared" si="25"/>
        <v>4099300SCHMDT910530Injuries and Damages ReserveSO</v>
      </c>
      <c r="B529" s="125">
        <v>4099300</v>
      </c>
      <c r="C529" s="117" t="str">
        <f t="shared" si="26"/>
        <v>SCHMDT</v>
      </c>
      <c r="D529" s="125">
        <v>910530</v>
      </c>
      <c r="E529" s="121" t="s">
        <v>458</v>
      </c>
      <c r="F529" s="119" t="s">
        <v>89</v>
      </c>
      <c r="G529" s="138">
        <v>-228404.3</v>
      </c>
      <c r="H529" s="113" t="str">
        <f t="shared" si="24"/>
        <v>SO</v>
      </c>
      <c r="I529" s="113" t="str">
        <f>INDEX('SCH M Lookup'!$I:$I,MATCH($A529,'SCH M Lookup'!$A:$A,0))</f>
        <v>LABOR</v>
      </c>
      <c r="J529" s="113" t="str">
        <f>IF('SCH M Jun22data'!$G529=0,"NO",IF(ISNA('SCH M Jun22data'!$I529),"YES",IF(_xlfn.ISFORMULA('SCH M Jun22data'!$I529),"NO","YES")))</f>
        <v>NO</v>
      </c>
    </row>
    <row r="530" spans="1:10">
      <c r="A530" s="118" t="str">
        <f t="shared" si="25"/>
        <v>4099300SCHMDT910560283SMUD REVENUE IMPUTATION-UT REG LIABOTHER</v>
      </c>
      <c r="B530" s="125">
        <v>4099300</v>
      </c>
      <c r="C530" s="117" t="str">
        <f t="shared" si="26"/>
        <v>SCHMDT</v>
      </c>
      <c r="D530" s="125">
        <v>910560</v>
      </c>
      <c r="E530" s="121" t="s">
        <v>3361</v>
      </c>
      <c r="F530" s="119" t="s">
        <v>306</v>
      </c>
      <c r="G530" s="138">
        <v>0</v>
      </c>
      <c r="H530" s="113" t="str">
        <f t="shared" si="24"/>
        <v>OTHER</v>
      </c>
      <c r="I530" s="113" t="e">
        <f>INDEX('SCH M Lookup'!$I:$I,MATCH($A530,'SCH M Lookup'!$A:$A,0))</f>
        <v>#N/A</v>
      </c>
      <c r="J530" s="113" t="str">
        <f>IF('SCH M Jun22data'!$G530=0,"NO",IF(ISNA('SCH M Jun22data'!$I530),"YES",IF(_xlfn.ISFORMULA('SCH M Jun22data'!$I530),"NO","YES")))</f>
        <v>NO</v>
      </c>
    </row>
    <row r="531" spans="1:10">
      <c r="A531" s="118" t="str">
        <f t="shared" si="25"/>
        <v>4099300SCHMDT910905PMI Underground Mine Cost DepletionSE</v>
      </c>
      <c r="B531" s="125">
        <v>4099300</v>
      </c>
      <c r="C531" s="117" t="str">
        <f t="shared" si="26"/>
        <v>SCHMDT</v>
      </c>
      <c r="D531" s="125">
        <v>910905</v>
      </c>
      <c r="E531" s="121" t="s">
        <v>3362</v>
      </c>
      <c r="F531" s="119" t="s">
        <v>3134</v>
      </c>
      <c r="G531" s="138">
        <v>0</v>
      </c>
      <c r="H531" s="113" t="str">
        <f t="shared" si="24"/>
        <v>SE</v>
      </c>
      <c r="I531" s="113" t="e">
        <f>INDEX('SCH M Lookup'!$I:$I,MATCH($A531,'SCH M Lookup'!$A:$A,0))</f>
        <v>#N/A</v>
      </c>
      <c r="J531" s="113" t="str">
        <f>IF('SCH M Jun22data'!$G531=0,"NO",IF(ISNA('SCH M Jun22data'!$I531),"YES",IF(_xlfn.ISFORMULA('SCH M Jun22data'!$I531),"NO","YES")))</f>
        <v>NO</v>
      </c>
    </row>
    <row r="532" spans="1:10">
      <c r="A532" s="118" t="str">
        <f t="shared" si="25"/>
        <v>4099300SCHMDT910925CA RefundOTHER</v>
      </c>
      <c r="B532" s="125">
        <v>4099300</v>
      </c>
      <c r="C532" s="117" t="str">
        <f t="shared" si="26"/>
        <v>SCHMDT</v>
      </c>
      <c r="D532" s="125">
        <v>910925</v>
      </c>
      <c r="E532" s="121" t="s">
        <v>3363</v>
      </c>
      <c r="F532" s="119" t="s">
        <v>306</v>
      </c>
      <c r="G532" s="138">
        <v>0</v>
      </c>
      <c r="H532" s="113" t="str">
        <f t="shared" si="24"/>
        <v>OTHER</v>
      </c>
      <c r="I532" s="113" t="e">
        <f>INDEX('SCH M Lookup'!$I:$I,MATCH($A532,'SCH M Lookup'!$A:$A,0))</f>
        <v>#N/A</v>
      </c>
      <c r="J532" s="113" t="str">
        <f>IF('SCH M Jun22data'!$G532=0,"NO",IF(ISNA('SCH M Jun22data'!$I532),"YES",IF(_xlfn.ISFORMULA('SCH M Jun22data'!$I532),"NO","YES")))</f>
        <v>NO</v>
      </c>
    </row>
    <row r="533" spans="1:10">
      <c r="A533" s="118" t="str">
        <f t="shared" si="25"/>
        <v>4099300SCHMDT920110PMI WY Extraction TaxSE</v>
      </c>
      <c r="B533" s="125">
        <v>4099300</v>
      </c>
      <c r="C533" s="117" t="str">
        <f t="shared" si="26"/>
        <v>SCHMDT</v>
      </c>
      <c r="D533" s="125">
        <v>920110</v>
      </c>
      <c r="E533" s="121" t="s">
        <v>3364</v>
      </c>
      <c r="F533" s="119" t="s">
        <v>3134</v>
      </c>
      <c r="G533" s="138">
        <v>0</v>
      </c>
      <c r="H533" s="113" t="str">
        <f t="shared" si="24"/>
        <v>SE</v>
      </c>
      <c r="I533" s="113" t="e">
        <f>INDEX('SCH M Lookup'!$I:$I,MATCH($A533,'SCH M Lookup'!$A:$A,0))</f>
        <v>#N/A</v>
      </c>
      <c r="J533" s="113" t="str">
        <f>IF('SCH M Jun22data'!$G533=0,"NO",IF(ISNA('SCH M Jun22data'!$I533),"YES",IF(_xlfn.ISFORMULA('SCH M Jun22data'!$I533),"NO","YES")))</f>
        <v>NO</v>
      </c>
    </row>
  </sheetData>
  <autoFilter ref="A1:J533" xr:uid="{00000000-0009-0000-0000-000012000000}"/>
  <conditionalFormatting sqref="J2">
    <cfRule type="cellIs" dxfId="9" priority="6" operator="equal">
      <formula>"YES"</formula>
    </cfRule>
  </conditionalFormatting>
  <conditionalFormatting sqref="J3:J533">
    <cfRule type="cellIs" dxfId="8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CCFFFF"/>
  </sheetPr>
  <dimension ref="A1:J331"/>
  <sheetViews>
    <sheetView view="pageBreakPreview" zoomScaleNormal="77" zoomScaleSheetLayoutView="100" workbookViewId="0"/>
  </sheetViews>
  <sheetFormatPr defaultRowHeight="12.75"/>
  <cols>
    <col min="1" max="1" width="34" style="22" bestFit="1" customWidth="1"/>
    <col min="2" max="2" width="15.5703125" style="22" bestFit="1" customWidth="1"/>
    <col min="3" max="7" width="15.7109375" style="22" customWidth="1"/>
    <col min="8" max="8" width="17.28515625" bestFit="1" customWidth="1"/>
    <col min="9" max="9" width="8.85546875" bestFit="1" customWidth="1"/>
    <col min="10" max="10" width="60.5703125" bestFit="1" customWidth="1"/>
  </cols>
  <sheetData>
    <row r="1" spans="1:10" ht="15.75">
      <c r="A1" s="100" t="str">
        <f>+'TOTAL FUNCFAC'!$A$1</f>
        <v>PacifiCorp</v>
      </c>
      <c r="B1" s="100"/>
      <c r="C1" s="100"/>
      <c r="D1" s="100"/>
      <c r="E1" s="100"/>
      <c r="F1" s="100"/>
      <c r="G1" s="100"/>
    </row>
    <row r="2" spans="1:10" ht="15.75">
      <c r="A2" s="152" t="str">
        <f>'TOTAL FUNCFAC'!$A$2</f>
        <v>12 Months Ended June 2022</v>
      </c>
      <c r="B2" s="152"/>
      <c r="C2" s="152"/>
      <c r="D2" s="152"/>
      <c r="E2" s="152"/>
      <c r="F2" s="152"/>
      <c r="G2" s="152"/>
    </row>
    <row r="3" spans="1:10" ht="15.75">
      <c r="A3" s="100" t="s">
        <v>256</v>
      </c>
      <c r="B3" s="153"/>
      <c r="C3" s="153"/>
      <c r="D3" s="153"/>
      <c r="E3" s="153"/>
      <c r="F3" s="145"/>
      <c r="G3" s="145"/>
    </row>
    <row r="4" spans="1:10">
      <c r="F4" s="158"/>
    </row>
    <row r="5" spans="1:10">
      <c r="A5" s="10"/>
      <c r="B5" s="11" t="s">
        <v>72</v>
      </c>
      <c r="C5" s="11" t="s">
        <v>63</v>
      </c>
      <c r="D5" s="11" t="s">
        <v>64</v>
      </c>
      <c r="E5" s="11" t="s">
        <v>65</v>
      </c>
      <c r="F5" s="154" t="s">
        <v>66</v>
      </c>
      <c r="G5" s="11" t="s">
        <v>135</v>
      </c>
    </row>
    <row r="6" spans="1:10">
      <c r="A6" s="18"/>
      <c r="B6" s="18"/>
      <c r="C6" s="77"/>
      <c r="D6" s="77"/>
      <c r="E6" s="77"/>
      <c r="F6" s="155"/>
      <c r="G6" s="77"/>
    </row>
    <row r="7" spans="1:10">
      <c r="B7" s="104"/>
      <c r="C7" s="104"/>
      <c r="D7" s="104"/>
      <c r="E7" s="104"/>
      <c r="F7" s="159"/>
      <c r="G7" s="104"/>
    </row>
    <row r="8" spans="1:10" ht="13.5" thickBot="1">
      <c r="A8" s="12" t="s">
        <v>72</v>
      </c>
      <c r="B8" s="160">
        <f>SUM(C8:G8)</f>
        <v>1408006405.5</v>
      </c>
      <c r="C8" s="288">
        <v>797517858.5</v>
      </c>
      <c r="D8" s="288">
        <v>259331927.5</v>
      </c>
      <c r="E8" s="288">
        <v>213971158.5</v>
      </c>
      <c r="F8" s="289">
        <v>137185461</v>
      </c>
      <c r="G8" s="160">
        <v>0</v>
      </c>
      <c r="H8" s="140"/>
      <c r="I8" s="111" t="s">
        <v>305</v>
      </c>
      <c r="J8" s="131" t="s">
        <v>3468</v>
      </c>
    </row>
    <row r="9" spans="1:10" ht="13.5" thickTop="1"/>
    <row r="10" spans="1:10">
      <c r="C10" s="104"/>
      <c r="D10" s="102"/>
      <c r="E10" s="102"/>
      <c r="F10" s="102"/>
      <c r="G10" s="102"/>
    </row>
    <row r="11" spans="1:10">
      <c r="A11" s="18"/>
      <c r="B11" s="18"/>
      <c r="C11" s="77"/>
      <c r="D11" s="77"/>
      <c r="E11" s="77"/>
      <c r="F11" s="77"/>
      <c r="G11" s="77"/>
    </row>
    <row r="12" spans="1:10">
      <c r="A12" s="161" t="s">
        <v>260</v>
      </c>
      <c r="B12" s="161" t="s">
        <v>72</v>
      </c>
      <c r="C12" s="162" t="s">
        <v>257</v>
      </c>
      <c r="D12" s="162" t="s">
        <v>258</v>
      </c>
      <c r="E12" s="162" t="s">
        <v>259</v>
      </c>
      <c r="F12" s="162" t="s">
        <v>234</v>
      </c>
      <c r="G12" s="162" t="s">
        <v>235</v>
      </c>
    </row>
    <row r="13" spans="1:10">
      <c r="B13" s="161"/>
      <c r="C13" s="162"/>
      <c r="D13" s="162"/>
      <c r="E13" s="162"/>
      <c r="F13" s="162"/>
      <c r="G13" s="162"/>
    </row>
    <row r="14" spans="1:10" s="4" customFormat="1">
      <c r="A14" s="22" t="s">
        <v>261</v>
      </c>
      <c r="B14" s="163">
        <f>SUM(C14:F14)</f>
        <v>1</v>
      </c>
      <c r="C14" s="277">
        <v>0.35837230753036176</v>
      </c>
      <c r="D14" s="277">
        <v>0.26616058383034574</v>
      </c>
      <c r="E14" s="277">
        <v>0.28892689341697608</v>
      </c>
      <c r="F14" s="277">
        <v>8.6540215222316405E-2</v>
      </c>
      <c r="G14" s="102">
        <v>0</v>
      </c>
      <c r="H14" s="140"/>
      <c r="I14" s="111" t="s">
        <v>305</v>
      </c>
      <c r="J14" s="131" t="s">
        <v>342</v>
      </c>
    </row>
    <row r="15" spans="1:10">
      <c r="A15" s="147"/>
      <c r="C15" s="102"/>
      <c r="D15" s="102"/>
      <c r="E15" s="102"/>
      <c r="F15" s="102"/>
      <c r="G15" s="102"/>
    </row>
    <row r="16" spans="1:10">
      <c r="A16" s="147"/>
      <c r="C16" s="102"/>
      <c r="D16" s="102"/>
      <c r="E16" s="102"/>
      <c r="F16" s="102"/>
      <c r="G16" s="102"/>
    </row>
    <row r="17" spans="1:7">
      <c r="C17" s="102"/>
      <c r="D17" s="102"/>
      <c r="E17" s="102"/>
      <c r="F17" s="102"/>
      <c r="G17" s="102"/>
    </row>
    <row r="18" spans="1:7">
      <c r="A18" s="22" t="s">
        <v>262</v>
      </c>
      <c r="B18" s="164">
        <f>SUM(C18:F18)</f>
        <v>137185461</v>
      </c>
      <c r="C18" s="104">
        <f>+$F$8*C14</f>
        <v>49163470.218186446</v>
      </c>
      <c r="D18" s="104">
        <f>+$F$8*D14</f>
        <v>36513362.392795123</v>
      </c>
      <c r="E18" s="104">
        <f>+$F$8*E14</f>
        <v>39636569.06870573</v>
      </c>
      <c r="F18" s="104">
        <f>+$F$8*F14</f>
        <v>11872059.320312694</v>
      </c>
      <c r="G18" s="104">
        <f>+$F$8*G14</f>
        <v>0</v>
      </c>
    </row>
    <row r="19" spans="1:7">
      <c r="A19" s="22" t="s">
        <v>263</v>
      </c>
      <c r="B19" s="165">
        <f>SUM(C19:F19)</f>
        <v>0</v>
      </c>
      <c r="C19" s="105">
        <f>G8</f>
        <v>0</v>
      </c>
      <c r="D19" s="166"/>
      <c r="E19" s="166"/>
      <c r="F19" s="166"/>
      <c r="G19" s="166"/>
    </row>
    <row r="20" spans="1:7">
      <c r="B20" s="167"/>
      <c r="C20" s="168"/>
      <c r="D20" s="169"/>
      <c r="E20" s="169"/>
      <c r="F20" s="169"/>
      <c r="G20" s="169"/>
    </row>
    <row r="21" spans="1:7">
      <c r="A21" s="106" t="s">
        <v>264</v>
      </c>
      <c r="B21" s="164">
        <f>SUM(C21:F21)</f>
        <v>1408006405.5000002</v>
      </c>
      <c r="C21" s="104">
        <f>+C8+C18+C19</f>
        <v>846681328.7181865</v>
      </c>
      <c r="D21" s="104">
        <f>+D8+D18+D19</f>
        <v>295845289.89279515</v>
      </c>
      <c r="E21" s="104">
        <f>+E8+E18+E19</f>
        <v>253607727.56870574</v>
      </c>
      <c r="F21" s="104">
        <f>+F18+F19</f>
        <v>11872059.320312694</v>
      </c>
      <c r="G21" s="104">
        <f>+G18+G19</f>
        <v>0</v>
      </c>
    </row>
    <row r="22" spans="1:7">
      <c r="C22" s="102"/>
      <c r="D22" s="102"/>
      <c r="E22" s="102"/>
      <c r="F22" s="102"/>
      <c r="G22" s="102"/>
    </row>
    <row r="23" spans="1:7">
      <c r="C23" s="170"/>
      <c r="D23" s="170"/>
      <c r="E23" s="170"/>
      <c r="F23" s="170"/>
      <c r="G23" s="170"/>
    </row>
    <row r="24" spans="1:7" ht="13.5" thickBot="1">
      <c r="A24" s="170" t="s">
        <v>265</v>
      </c>
      <c r="B24" s="157">
        <f>SUM(C24:F24)</f>
        <v>0.99999999999999989</v>
      </c>
      <c r="C24" s="157">
        <f>C21/$B$21</f>
        <v>0.60133343528186556</v>
      </c>
      <c r="D24" s="157">
        <f t="shared" ref="D24:G24" si="0">D21/$B$21</f>
        <v>0.21011643749428602</v>
      </c>
      <c r="E24" s="157">
        <f t="shared" si="0"/>
        <v>0.18011830527052647</v>
      </c>
      <c r="F24" s="157">
        <f t="shared" si="0"/>
        <v>8.4318219533218528E-3</v>
      </c>
      <c r="G24" s="157">
        <f t="shared" si="0"/>
        <v>0</v>
      </c>
    </row>
    <row r="25" spans="1:7" ht="13.5" thickTop="1">
      <c r="A25" s="18"/>
      <c r="B25" s="18"/>
      <c r="C25" s="77"/>
      <c r="D25" s="77"/>
      <c r="E25" s="77"/>
      <c r="F25" s="77"/>
      <c r="G25" s="77"/>
    </row>
    <row r="26" spans="1:7">
      <c r="A26" s="18"/>
      <c r="B26" s="18"/>
      <c r="C26" s="77"/>
      <c r="D26" s="77"/>
      <c r="E26" s="77"/>
      <c r="F26" s="77"/>
      <c r="G26" s="77"/>
    </row>
    <row r="27" spans="1:7">
      <c r="A27" s="18"/>
      <c r="B27" s="18"/>
      <c r="C27" s="77"/>
      <c r="D27" s="77"/>
      <c r="E27" s="77"/>
      <c r="F27" s="77"/>
      <c r="G27" s="77"/>
    </row>
    <row r="28" spans="1:7">
      <c r="A28" s="18"/>
      <c r="B28" s="18"/>
      <c r="C28" s="18"/>
      <c r="D28" s="18"/>
      <c r="E28" s="18"/>
      <c r="F28" s="18"/>
      <c r="G28" s="18"/>
    </row>
    <row r="29" spans="1:7">
      <c r="A29" s="18"/>
      <c r="B29" s="18"/>
      <c r="C29" s="77"/>
      <c r="D29" s="77"/>
      <c r="E29" s="77"/>
      <c r="F29" s="77"/>
      <c r="G29" s="77"/>
    </row>
    <row r="30" spans="1:7">
      <c r="A30" s="18"/>
      <c r="B30" s="18"/>
      <c r="C30" s="77"/>
      <c r="D30" s="77"/>
      <c r="E30" s="77"/>
      <c r="F30" s="77"/>
      <c r="G30" s="77"/>
    </row>
    <row r="31" spans="1:7">
      <c r="A31" s="18"/>
      <c r="B31" s="18"/>
      <c r="C31" s="77"/>
      <c r="D31" s="77"/>
      <c r="E31" s="77"/>
      <c r="F31" s="77"/>
      <c r="G31" s="77"/>
    </row>
    <row r="32" spans="1:7">
      <c r="A32" s="18"/>
      <c r="B32" s="18"/>
      <c r="C32" s="77"/>
      <c r="D32" s="77"/>
      <c r="E32" s="77"/>
      <c r="F32" s="77"/>
      <c r="G32" s="77"/>
    </row>
    <row r="33" spans="1:7">
      <c r="A33" s="18"/>
      <c r="B33" s="18"/>
      <c r="C33" s="77"/>
      <c r="D33" s="77"/>
      <c r="E33" s="77"/>
      <c r="F33" s="77"/>
      <c r="G33" s="77"/>
    </row>
    <row r="34" spans="1:7">
      <c r="A34" s="18"/>
      <c r="B34" s="18"/>
      <c r="C34" s="77"/>
      <c r="D34" s="77"/>
      <c r="E34" s="77"/>
      <c r="F34" s="77"/>
      <c r="G34" s="77"/>
    </row>
    <row r="35" spans="1:7">
      <c r="A35" s="18"/>
      <c r="B35" s="18"/>
      <c r="C35" s="77"/>
      <c r="D35" s="77"/>
      <c r="E35" s="77"/>
      <c r="F35" s="77"/>
      <c r="G35" s="77"/>
    </row>
    <row r="36" spans="1:7">
      <c r="A36" s="18"/>
      <c r="B36" s="18"/>
      <c r="C36" s="77"/>
      <c r="D36" s="77"/>
      <c r="E36" s="77"/>
      <c r="F36" s="77"/>
      <c r="G36" s="77"/>
    </row>
    <row r="37" spans="1:7">
      <c r="A37" s="18"/>
      <c r="B37" s="18"/>
      <c r="C37" s="77"/>
      <c r="D37" s="77"/>
      <c r="E37" s="77"/>
      <c r="F37" s="77"/>
      <c r="G37" s="77"/>
    </row>
    <row r="38" spans="1:7">
      <c r="A38" s="18"/>
      <c r="B38" s="18"/>
      <c r="C38" s="77"/>
      <c r="D38" s="77"/>
      <c r="E38" s="77"/>
      <c r="F38" s="77"/>
      <c r="G38" s="77"/>
    </row>
    <row r="39" spans="1:7">
      <c r="A39" s="18"/>
      <c r="B39" s="18"/>
      <c r="C39" s="77"/>
      <c r="D39" s="77"/>
      <c r="E39" s="77"/>
      <c r="F39" s="77"/>
      <c r="G39" s="77"/>
    </row>
    <row r="40" spans="1:7">
      <c r="A40" s="18"/>
      <c r="B40" s="18"/>
      <c r="C40" s="77"/>
      <c r="D40" s="77"/>
      <c r="E40" s="77"/>
      <c r="F40" s="77"/>
      <c r="G40" s="77"/>
    </row>
    <row r="41" spans="1:7">
      <c r="A41" s="18"/>
      <c r="B41" s="18"/>
      <c r="C41" s="77"/>
      <c r="D41" s="77"/>
      <c r="E41" s="77"/>
      <c r="F41" s="77"/>
      <c r="G41" s="77"/>
    </row>
    <row r="42" spans="1:7">
      <c r="A42" s="18"/>
      <c r="B42" s="18"/>
      <c r="C42" s="77"/>
      <c r="D42" s="77"/>
      <c r="E42" s="77"/>
      <c r="F42" s="77"/>
      <c r="G42" s="77"/>
    </row>
    <row r="43" spans="1:7">
      <c r="A43" s="18"/>
      <c r="B43" s="18"/>
      <c r="C43" s="77"/>
      <c r="D43" s="77"/>
      <c r="E43" s="77"/>
      <c r="F43" s="77"/>
      <c r="G43" s="77"/>
    </row>
    <row r="44" spans="1:7">
      <c r="A44" s="18"/>
      <c r="B44" s="18"/>
      <c r="C44" s="77"/>
      <c r="D44" s="77"/>
      <c r="E44" s="77"/>
      <c r="F44" s="77"/>
      <c r="G44" s="77"/>
    </row>
    <row r="45" spans="1:7">
      <c r="A45" s="18"/>
      <c r="B45" s="18"/>
      <c r="C45" s="77"/>
      <c r="D45" s="77"/>
      <c r="E45" s="77"/>
      <c r="F45" s="77"/>
      <c r="G45" s="77"/>
    </row>
    <row r="46" spans="1:7">
      <c r="A46" s="18"/>
      <c r="B46" s="18"/>
      <c r="C46" s="77"/>
      <c r="D46" s="77"/>
      <c r="E46" s="77"/>
      <c r="F46" s="77"/>
      <c r="G46" s="77"/>
    </row>
    <row r="47" spans="1:7">
      <c r="A47" s="18"/>
      <c r="B47" s="18"/>
      <c r="C47" s="77"/>
      <c r="D47" s="77"/>
      <c r="E47" s="77"/>
      <c r="F47" s="77"/>
      <c r="G47" s="77"/>
    </row>
    <row r="48" spans="1:7">
      <c r="A48" s="18"/>
      <c r="B48" s="18"/>
      <c r="C48" s="77"/>
      <c r="D48" s="77"/>
      <c r="E48" s="77"/>
      <c r="F48" s="77"/>
      <c r="G48" s="77"/>
    </row>
    <row r="49" spans="1:7">
      <c r="A49" s="18"/>
      <c r="B49" s="18"/>
      <c r="C49" s="77"/>
      <c r="D49" s="77"/>
      <c r="E49" s="77"/>
      <c r="F49" s="77"/>
      <c r="G49" s="77"/>
    </row>
    <row r="50" spans="1:7">
      <c r="A50" s="18"/>
      <c r="B50" s="18"/>
      <c r="C50" s="77"/>
      <c r="D50" s="77"/>
      <c r="E50" s="77"/>
      <c r="F50" s="77"/>
      <c r="G50" s="77"/>
    </row>
    <row r="51" spans="1:7">
      <c r="A51" s="18"/>
      <c r="B51" s="18"/>
      <c r="C51" s="77"/>
      <c r="D51" s="77"/>
      <c r="E51" s="77"/>
      <c r="F51" s="77"/>
      <c r="G51" s="77"/>
    </row>
    <row r="52" spans="1:7">
      <c r="A52" s="18"/>
      <c r="B52" s="18"/>
      <c r="C52" s="77"/>
      <c r="D52" s="77"/>
      <c r="E52" s="77"/>
      <c r="F52" s="77"/>
      <c r="G52" s="77"/>
    </row>
    <row r="53" spans="1:7">
      <c r="A53" s="18"/>
      <c r="B53" s="18"/>
      <c r="C53" s="77"/>
      <c r="D53" s="77"/>
      <c r="E53" s="77"/>
      <c r="F53" s="77"/>
      <c r="G53" s="77"/>
    </row>
    <row r="54" spans="1:7">
      <c r="A54" s="18"/>
      <c r="B54" s="18"/>
      <c r="C54" s="77"/>
      <c r="D54" s="77"/>
      <c r="E54" s="77"/>
      <c r="F54" s="77"/>
      <c r="G54" s="77"/>
    </row>
    <row r="55" spans="1:7">
      <c r="A55" s="18"/>
      <c r="B55" s="18"/>
      <c r="C55" s="77"/>
      <c r="D55" s="77"/>
      <c r="E55" s="77"/>
      <c r="F55" s="77"/>
      <c r="G55" s="77"/>
    </row>
    <row r="56" spans="1:7">
      <c r="A56" s="18"/>
      <c r="B56" s="18"/>
      <c r="C56" s="77"/>
      <c r="D56" s="77"/>
      <c r="E56" s="77"/>
      <c r="F56" s="77"/>
      <c r="G56" s="77"/>
    </row>
    <row r="57" spans="1:7">
      <c r="A57" s="18"/>
      <c r="B57" s="18"/>
      <c r="C57" s="77"/>
      <c r="D57" s="77"/>
      <c r="E57" s="77"/>
      <c r="F57" s="77"/>
      <c r="G57" s="77"/>
    </row>
    <row r="58" spans="1:7">
      <c r="A58" s="18"/>
      <c r="B58" s="18"/>
      <c r="C58" s="77"/>
      <c r="D58" s="77"/>
      <c r="E58" s="77"/>
      <c r="F58" s="77"/>
      <c r="G58" s="77"/>
    </row>
    <row r="59" spans="1:7">
      <c r="A59" s="18"/>
      <c r="B59" s="18"/>
      <c r="C59" s="77"/>
      <c r="D59" s="77"/>
      <c r="E59" s="77"/>
      <c r="F59" s="77"/>
      <c r="G59" s="77"/>
    </row>
    <row r="60" spans="1:7">
      <c r="A60" s="18"/>
      <c r="B60" s="18"/>
      <c r="C60" s="77"/>
      <c r="D60" s="77"/>
      <c r="E60" s="77"/>
      <c r="F60" s="77"/>
      <c r="G60" s="77"/>
    </row>
    <row r="61" spans="1:7">
      <c r="A61" s="18"/>
      <c r="B61" s="18"/>
      <c r="C61" s="77"/>
      <c r="D61" s="77"/>
      <c r="E61" s="77"/>
      <c r="F61" s="77"/>
      <c r="G61" s="77"/>
    </row>
    <row r="62" spans="1:7">
      <c r="A62" s="18"/>
      <c r="B62" s="18"/>
      <c r="C62" s="77"/>
      <c r="D62" s="77"/>
      <c r="E62" s="77"/>
      <c r="F62" s="77"/>
      <c r="G62" s="77"/>
    </row>
    <row r="63" spans="1:7">
      <c r="A63" s="18"/>
      <c r="B63" s="18"/>
      <c r="C63" s="77"/>
      <c r="D63" s="77"/>
      <c r="E63" s="77"/>
      <c r="F63" s="77"/>
      <c r="G63" s="77"/>
    </row>
    <row r="64" spans="1:7">
      <c r="A64" s="18"/>
      <c r="B64" s="18"/>
      <c r="C64" s="77"/>
      <c r="D64" s="77"/>
      <c r="E64" s="77"/>
      <c r="F64" s="77"/>
      <c r="G64" s="77"/>
    </row>
    <row r="65" spans="1:7">
      <c r="A65" s="18"/>
      <c r="B65" s="18"/>
      <c r="C65" s="77"/>
      <c r="D65" s="77"/>
      <c r="E65" s="77"/>
      <c r="F65" s="77"/>
      <c r="G65" s="77"/>
    </row>
    <row r="66" spans="1:7">
      <c r="A66" s="18"/>
      <c r="B66" s="18"/>
      <c r="C66" s="77"/>
      <c r="D66" s="77"/>
      <c r="E66" s="77"/>
      <c r="F66" s="77"/>
      <c r="G66" s="77"/>
    </row>
    <row r="67" spans="1:7">
      <c r="A67" s="18"/>
      <c r="B67" s="18"/>
      <c r="C67" s="77"/>
      <c r="D67" s="77"/>
      <c r="E67" s="77"/>
      <c r="F67" s="77"/>
      <c r="G67" s="77"/>
    </row>
    <row r="68" spans="1:7">
      <c r="A68" s="18"/>
      <c r="B68" s="18"/>
      <c r="C68" s="77"/>
      <c r="D68" s="77"/>
      <c r="E68" s="77"/>
      <c r="F68" s="77"/>
      <c r="G68" s="77"/>
    </row>
    <row r="69" spans="1:7">
      <c r="A69" s="18"/>
      <c r="B69" s="18"/>
      <c r="C69" s="77"/>
      <c r="D69" s="77"/>
      <c r="E69" s="77"/>
      <c r="F69" s="77"/>
      <c r="G69" s="77"/>
    </row>
    <row r="70" spans="1:7">
      <c r="A70" s="18"/>
      <c r="B70" s="18"/>
      <c r="C70" s="77"/>
      <c r="D70" s="77"/>
      <c r="E70" s="77"/>
      <c r="F70" s="77"/>
      <c r="G70" s="77"/>
    </row>
    <row r="71" spans="1:7">
      <c r="A71" s="18"/>
      <c r="B71" s="18"/>
      <c r="C71" s="77"/>
      <c r="D71" s="77"/>
      <c r="E71" s="77"/>
      <c r="F71" s="77"/>
      <c r="G71" s="77"/>
    </row>
    <row r="72" spans="1:7">
      <c r="A72" s="18"/>
      <c r="B72" s="18"/>
      <c r="C72" s="77"/>
      <c r="D72" s="77"/>
      <c r="E72" s="77"/>
      <c r="F72" s="77"/>
      <c r="G72" s="77"/>
    </row>
    <row r="73" spans="1:7">
      <c r="A73" s="18"/>
      <c r="B73" s="18"/>
      <c r="C73" s="77"/>
      <c r="D73" s="77"/>
      <c r="E73" s="77"/>
      <c r="F73" s="77"/>
      <c r="G73" s="77"/>
    </row>
    <row r="74" spans="1:7">
      <c r="A74" s="18"/>
      <c r="B74" s="18"/>
      <c r="C74" s="77"/>
      <c r="D74" s="77"/>
      <c r="E74" s="77"/>
      <c r="F74" s="77"/>
      <c r="G74" s="77"/>
    </row>
    <row r="75" spans="1:7">
      <c r="A75" s="18"/>
      <c r="B75" s="18"/>
      <c r="C75" s="77"/>
      <c r="D75" s="77"/>
      <c r="E75" s="77"/>
      <c r="F75" s="77"/>
      <c r="G75" s="77"/>
    </row>
    <row r="76" spans="1:7">
      <c r="A76" s="18"/>
      <c r="B76" s="18"/>
      <c r="C76" s="77"/>
      <c r="D76" s="77"/>
      <c r="E76" s="77"/>
      <c r="F76" s="77"/>
      <c r="G76" s="77"/>
    </row>
    <row r="77" spans="1:7">
      <c r="A77" s="18"/>
      <c r="B77" s="18"/>
      <c r="C77" s="77"/>
      <c r="D77" s="77"/>
      <c r="E77" s="77"/>
      <c r="F77" s="77"/>
      <c r="G77" s="77"/>
    </row>
    <row r="78" spans="1:7">
      <c r="A78" s="18"/>
      <c r="B78" s="18"/>
      <c r="C78" s="77"/>
      <c r="D78" s="77"/>
      <c r="E78" s="77"/>
      <c r="F78" s="77"/>
      <c r="G78" s="77"/>
    </row>
    <row r="79" spans="1:7">
      <c r="A79" s="18"/>
      <c r="B79" s="18"/>
      <c r="C79" s="77"/>
      <c r="D79" s="77"/>
      <c r="E79" s="77"/>
      <c r="F79" s="77"/>
      <c r="G79" s="77"/>
    </row>
    <row r="80" spans="1:7">
      <c r="A80" s="18"/>
      <c r="B80" s="18"/>
      <c r="C80" s="77"/>
      <c r="D80" s="77"/>
      <c r="E80" s="77"/>
      <c r="F80" s="77"/>
      <c r="G80" s="77"/>
    </row>
    <row r="81" spans="1:7">
      <c r="A81" s="18"/>
      <c r="B81" s="18"/>
      <c r="C81" s="77"/>
      <c r="D81" s="77"/>
      <c r="E81" s="77"/>
      <c r="F81" s="77"/>
      <c r="G81" s="77"/>
    </row>
    <row r="82" spans="1:7">
      <c r="A82" s="18"/>
      <c r="B82" s="18"/>
      <c r="C82" s="77"/>
      <c r="D82" s="77"/>
      <c r="E82" s="77"/>
      <c r="F82" s="77"/>
      <c r="G82" s="77"/>
    </row>
    <row r="83" spans="1:7">
      <c r="A83" s="18"/>
      <c r="B83" s="18"/>
      <c r="C83" s="77"/>
      <c r="D83" s="77"/>
      <c r="E83" s="77"/>
      <c r="F83" s="77"/>
      <c r="G83" s="77"/>
    </row>
    <row r="84" spans="1:7">
      <c r="A84" s="18"/>
      <c r="B84" s="18"/>
      <c r="C84" s="77"/>
      <c r="D84" s="77"/>
      <c r="E84" s="77"/>
      <c r="F84" s="77"/>
      <c r="G84" s="77"/>
    </row>
    <row r="85" spans="1:7">
      <c r="A85" s="18"/>
      <c r="B85" s="18"/>
      <c r="C85" s="77"/>
      <c r="D85" s="77"/>
      <c r="E85" s="77"/>
      <c r="F85" s="77"/>
      <c r="G85" s="77"/>
    </row>
    <row r="86" spans="1:7">
      <c r="A86" s="18"/>
      <c r="B86" s="18"/>
      <c r="C86" s="77"/>
      <c r="D86" s="77"/>
      <c r="E86" s="77"/>
      <c r="F86" s="77"/>
      <c r="G86" s="77"/>
    </row>
    <row r="87" spans="1:7">
      <c r="A87" s="18"/>
      <c r="B87" s="18"/>
      <c r="C87" s="77"/>
      <c r="D87" s="77"/>
      <c r="E87" s="77"/>
      <c r="F87" s="77"/>
      <c r="G87" s="77"/>
    </row>
    <row r="88" spans="1:7">
      <c r="A88" s="18"/>
      <c r="B88" s="18"/>
      <c r="C88" s="77"/>
      <c r="D88" s="77"/>
      <c r="E88" s="77"/>
      <c r="F88" s="77"/>
      <c r="G88" s="77"/>
    </row>
    <row r="89" spans="1:7">
      <c r="A89" s="18"/>
      <c r="B89" s="18"/>
      <c r="C89" s="77"/>
      <c r="D89" s="77"/>
      <c r="E89" s="77"/>
      <c r="F89" s="77"/>
      <c r="G89" s="77"/>
    </row>
    <row r="90" spans="1:7">
      <c r="A90" s="18"/>
      <c r="B90" s="18"/>
      <c r="C90" s="77"/>
      <c r="D90" s="77"/>
      <c r="E90" s="77"/>
      <c r="F90" s="77"/>
      <c r="G90" s="77"/>
    </row>
    <row r="91" spans="1:7">
      <c r="A91" s="18"/>
      <c r="B91" s="18"/>
      <c r="C91" s="77"/>
      <c r="D91" s="77"/>
      <c r="E91" s="77"/>
      <c r="F91" s="77"/>
      <c r="G91" s="77"/>
    </row>
    <row r="92" spans="1:7">
      <c r="A92" s="18"/>
      <c r="B92" s="18"/>
      <c r="C92" s="77"/>
      <c r="D92" s="77"/>
      <c r="E92" s="77"/>
      <c r="F92" s="77"/>
      <c r="G92" s="77"/>
    </row>
    <row r="93" spans="1:7">
      <c r="A93" s="18"/>
      <c r="B93" s="18"/>
      <c r="C93" s="77"/>
      <c r="D93" s="77"/>
      <c r="E93" s="77"/>
      <c r="F93" s="77"/>
      <c r="G93" s="77"/>
    </row>
    <row r="94" spans="1:7">
      <c r="A94" s="18"/>
      <c r="B94" s="18"/>
      <c r="C94" s="77"/>
      <c r="D94" s="77"/>
      <c r="E94" s="77"/>
      <c r="F94" s="77"/>
      <c r="G94" s="77"/>
    </row>
    <row r="95" spans="1:7">
      <c r="A95" s="18"/>
      <c r="B95" s="18"/>
      <c r="C95" s="77"/>
      <c r="D95" s="77"/>
      <c r="E95" s="77"/>
      <c r="F95" s="77"/>
      <c r="G95" s="77"/>
    </row>
    <row r="96" spans="1:7">
      <c r="A96" s="18"/>
      <c r="B96" s="18"/>
      <c r="C96" s="77"/>
      <c r="D96" s="77"/>
      <c r="E96" s="77"/>
      <c r="F96" s="77"/>
      <c r="G96" s="77"/>
    </row>
    <row r="97" spans="1:7">
      <c r="A97" s="18"/>
      <c r="B97" s="18"/>
      <c r="C97" s="77"/>
      <c r="D97" s="77"/>
      <c r="E97" s="77"/>
      <c r="F97" s="77"/>
      <c r="G97" s="77"/>
    </row>
    <row r="98" spans="1:7">
      <c r="A98" s="18"/>
      <c r="B98" s="18"/>
      <c r="C98" s="77"/>
      <c r="D98" s="77"/>
      <c r="E98" s="77"/>
      <c r="F98" s="77"/>
      <c r="G98" s="77"/>
    </row>
    <row r="99" spans="1:7">
      <c r="A99" s="18"/>
      <c r="B99" s="18"/>
      <c r="C99" s="77"/>
      <c r="D99" s="77"/>
      <c r="E99" s="77"/>
      <c r="F99" s="77"/>
      <c r="G99" s="77"/>
    </row>
    <row r="100" spans="1:7">
      <c r="A100" s="18"/>
      <c r="B100" s="18"/>
      <c r="C100" s="77"/>
      <c r="D100" s="77"/>
      <c r="E100" s="77"/>
      <c r="F100" s="77"/>
      <c r="G100" s="77"/>
    </row>
    <row r="101" spans="1:7">
      <c r="A101" s="18"/>
      <c r="B101" s="18"/>
      <c r="C101" s="77"/>
      <c r="D101" s="77"/>
      <c r="E101" s="77"/>
      <c r="F101" s="77"/>
      <c r="G101" s="77"/>
    </row>
    <row r="102" spans="1:7">
      <c r="A102" s="18"/>
      <c r="B102" s="18"/>
      <c r="C102" s="77"/>
      <c r="D102" s="77"/>
      <c r="E102" s="77"/>
      <c r="F102" s="77"/>
      <c r="G102" s="77"/>
    </row>
    <row r="103" spans="1:7">
      <c r="A103" s="18"/>
      <c r="B103" s="18"/>
      <c r="C103" s="77"/>
      <c r="D103" s="77"/>
      <c r="E103" s="77"/>
      <c r="F103" s="77"/>
      <c r="G103" s="77"/>
    </row>
    <row r="104" spans="1:7">
      <c r="A104" s="18"/>
      <c r="B104" s="18"/>
      <c r="C104" s="77"/>
      <c r="D104" s="77"/>
      <c r="E104" s="77"/>
      <c r="F104" s="77"/>
      <c r="G104" s="77"/>
    </row>
    <row r="105" spans="1:7">
      <c r="A105" s="18"/>
      <c r="B105" s="18"/>
      <c r="C105" s="77"/>
      <c r="D105" s="77"/>
      <c r="E105" s="77"/>
      <c r="F105" s="77"/>
      <c r="G105" s="77"/>
    </row>
    <row r="106" spans="1:7">
      <c r="A106" s="18"/>
      <c r="B106" s="18"/>
      <c r="C106" s="77"/>
      <c r="D106" s="77"/>
      <c r="E106" s="77"/>
      <c r="F106" s="77"/>
      <c r="G106" s="77"/>
    </row>
    <row r="107" spans="1:7">
      <c r="A107" s="18"/>
      <c r="B107" s="18"/>
      <c r="C107" s="77"/>
      <c r="D107" s="77"/>
      <c r="E107" s="77"/>
      <c r="F107" s="77"/>
      <c r="G107" s="77"/>
    </row>
    <row r="108" spans="1:7">
      <c r="A108" s="18"/>
      <c r="B108" s="18"/>
      <c r="C108" s="77"/>
      <c r="D108" s="77"/>
      <c r="E108" s="77"/>
      <c r="F108" s="77"/>
      <c r="G108" s="77"/>
    </row>
    <row r="109" spans="1:7">
      <c r="A109" s="18"/>
      <c r="B109" s="18"/>
      <c r="C109" s="77"/>
      <c r="D109" s="77"/>
      <c r="E109" s="77"/>
      <c r="F109" s="77"/>
      <c r="G109" s="77"/>
    </row>
    <row r="110" spans="1:7">
      <c r="A110" s="18"/>
      <c r="B110" s="18"/>
      <c r="C110" s="77"/>
      <c r="D110" s="77"/>
      <c r="E110" s="77"/>
      <c r="F110" s="77"/>
      <c r="G110" s="77"/>
    </row>
    <row r="111" spans="1:7">
      <c r="A111" s="18"/>
      <c r="B111" s="18"/>
      <c r="C111" s="77"/>
      <c r="D111" s="77"/>
      <c r="E111" s="77"/>
      <c r="F111" s="77"/>
      <c r="G111" s="77"/>
    </row>
    <row r="112" spans="1:7">
      <c r="A112" s="18"/>
      <c r="B112" s="18"/>
      <c r="C112" s="77"/>
      <c r="D112" s="77"/>
      <c r="E112" s="77"/>
      <c r="F112" s="77"/>
      <c r="G112" s="77"/>
    </row>
    <row r="113" spans="1:7">
      <c r="A113" s="18"/>
      <c r="B113" s="18"/>
      <c r="C113" s="77"/>
      <c r="D113" s="77"/>
      <c r="E113" s="77"/>
      <c r="F113" s="77"/>
      <c r="G113" s="77"/>
    </row>
    <row r="114" spans="1:7">
      <c r="A114" s="18"/>
      <c r="B114" s="18"/>
      <c r="C114" s="77"/>
      <c r="D114" s="77"/>
      <c r="E114" s="77"/>
      <c r="F114" s="77"/>
      <c r="G114" s="77"/>
    </row>
    <row r="115" spans="1:7">
      <c r="A115" s="18"/>
      <c r="B115" s="18"/>
      <c r="C115" s="77"/>
      <c r="D115" s="77"/>
      <c r="E115" s="77"/>
      <c r="F115" s="77"/>
      <c r="G115" s="77"/>
    </row>
    <row r="116" spans="1:7">
      <c r="A116" s="18"/>
      <c r="B116" s="18"/>
      <c r="C116" s="77"/>
      <c r="D116" s="77"/>
      <c r="E116" s="77"/>
      <c r="F116" s="77"/>
      <c r="G116" s="77"/>
    </row>
    <row r="117" spans="1:7">
      <c r="A117" s="18"/>
      <c r="B117" s="18"/>
      <c r="C117" s="77"/>
      <c r="D117" s="77"/>
      <c r="E117" s="77"/>
      <c r="F117" s="77"/>
      <c r="G117" s="77"/>
    </row>
    <row r="118" spans="1:7">
      <c r="A118" s="18"/>
      <c r="B118" s="18"/>
      <c r="C118" s="77"/>
      <c r="D118" s="77"/>
      <c r="E118" s="77"/>
      <c r="F118" s="77"/>
      <c r="G118" s="77"/>
    </row>
    <row r="119" spans="1:7">
      <c r="A119" s="18"/>
      <c r="B119" s="18"/>
      <c r="C119" s="77"/>
      <c r="D119" s="77"/>
      <c r="E119" s="77"/>
      <c r="F119" s="77"/>
      <c r="G119" s="77"/>
    </row>
    <row r="120" spans="1:7">
      <c r="A120" s="18"/>
      <c r="B120" s="18"/>
      <c r="C120" s="77"/>
      <c r="D120" s="77"/>
      <c r="E120" s="77"/>
      <c r="F120" s="77"/>
      <c r="G120" s="77"/>
    </row>
    <row r="121" spans="1:7">
      <c r="A121" s="18"/>
      <c r="B121" s="18"/>
      <c r="C121" s="77"/>
      <c r="D121" s="77"/>
      <c r="E121" s="77"/>
      <c r="F121" s="77"/>
      <c r="G121" s="77"/>
    </row>
    <row r="122" spans="1:7">
      <c r="A122" s="18"/>
      <c r="B122" s="18"/>
      <c r="C122" s="77"/>
      <c r="D122" s="77"/>
      <c r="E122" s="77"/>
      <c r="F122" s="77"/>
      <c r="G122" s="77"/>
    </row>
    <row r="123" spans="1:7">
      <c r="A123" s="18"/>
      <c r="B123" s="18"/>
      <c r="C123" s="77"/>
      <c r="D123" s="77"/>
      <c r="E123" s="77"/>
      <c r="F123" s="77"/>
      <c r="G123" s="77"/>
    </row>
    <row r="124" spans="1:7">
      <c r="A124" s="18"/>
      <c r="B124" s="18"/>
      <c r="C124" s="77"/>
      <c r="D124" s="77"/>
      <c r="E124" s="77"/>
      <c r="F124" s="77"/>
      <c r="G124" s="77"/>
    </row>
    <row r="125" spans="1:7">
      <c r="A125" s="18"/>
      <c r="B125" s="18"/>
      <c r="C125" s="77"/>
      <c r="D125" s="77"/>
      <c r="E125" s="77"/>
      <c r="F125" s="77"/>
      <c r="G125" s="77"/>
    </row>
    <row r="126" spans="1:7">
      <c r="A126" s="18"/>
      <c r="B126" s="18"/>
      <c r="C126" s="77"/>
      <c r="D126" s="77"/>
      <c r="E126" s="77"/>
      <c r="F126" s="77"/>
      <c r="G126" s="77"/>
    </row>
    <row r="127" spans="1:7">
      <c r="A127" s="18"/>
      <c r="B127" s="18"/>
      <c r="C127" s="77"/>
      <c r="D127" s="77"/>
      <c r="E127" s="77"/>
      <c r="F127" s="77"/>
      <c r="G127" s="77"/>
    </row>
    <row r="128" spans="1:7">
      <c r="A128" s="18"/>
      <c r="B128" s="18"/>
      <c r="C128" s="77"/>
      <c r="D128" s="77"/>
      <c r="E128" s="77"/>
      <c r="F128" s="77"/>
      <c r="G128" s="77"/>
    </row>
    <row r="129" spans="1:7">
      <c r="A129" s="18"/>
      <c r="B129" s="18"/>
      <c r="C129" s="77"/>
      <c r="D129" s="77"/>
      <c r="E129" s="77"/>
      <c r="F129" s="77"/>
      <c r="G129" s="77"/>
    </row>
    <row r="130" spans="1:7">
      <c r="A130" s="18"/>
      <c r="B130" s="18"/>
      <c r="C130" s="77"/>
      <c r="D130" s="77"/>
      <c r="E130" s="77"/>
      <c r="F130" s="77"/>
      <c r="G130" s="77"/>
    </row>
    <row r="131" spans="1:7">
      <c r="A131" s="18"/>
      <c r="B131" s="18"/>
      <c r="C131" s="77"/>
      <c r="D131" s="77"/>
      <c r="E131" s="77"/>
      <c r="F131" s="77"/>
      <c r="G131" s="77"/>
    </row>
    <row r="132" spans="1:7">
      <c r="A132" s="18"/>
      <c r="B132" s="18"/>
      <c r="C132" s="77"/>
      <c r="D132" s="77"/>
      <c r="E132" s="77"/>
      <c r="F132" s="77"/>
      <c r="G132" s="77"/>
    </row>
    <row r="133" spans="1:7">
      <c r="A133" s="18"/>
      <c r="B133" s="18"/>
      <c r="C133" s="77"/>
      <c r="D133" s="77"/>
      <c r="E133" s="77"/>
      <c r="F133" s="77"/>
      <c r="G133" s="77"/>
    </row>
    <row r="134" spans="1:7">
      <c r="A134" s="18"/>
      <c r="B134" s="18"/>
      <c r="C134" s="77"/>
      <c r="D134" s="77"/>
      <c r="E134" s="77"/>
      <c r="F134" s="77"/>
      <c r="G134" s="77"/>
    </row>
    <row r="135" spans="1:7">
      <c r="A135" s="18"/>
      <c r="B135" s="18"/>
      <c r="C135" s="77"/>
      <c r="D135" s="77"/>
      <c r="E135" s="77"/>
      <c r="F135" s="77"/>
      <c r="G135" s="77"/>
    </row>
    <row r="136" spans="1:7">
      <c r="A136" s="18"/>
      <c r="B136" s="18"/>
      <c r="C136" s="77"/>
      <c r="D136" s="77"/>
      <c r="E136" s="77"/>
      <c r="F136" s="77"/>
      <c r="G136" s="77"/>
    </row>
    <row r="137" spans="1:7">
      <c r="A137" s="18"/>
      <c r="B137" s="18"/>
      <c r="C137" s="77"/>
      <c r="D137" s="77"/>
      <c r="E137" s="77"/>
      <c r="F137" s="77"/>
      <c r="G137" s="77"/>
    </row>
    <row r="138" spans="1:7">
      <c r="A138" s="18"/>
      <c r="B138" s="18"/>
      <c r="C138" s="77"/>
      <c r="D138" s="77"/>
      <c r="E138" s="77"/>
      <c r="F138" s="77"/>
      <c r="G138" s="77"/>
    </row>
    <row r="139" spans="1:7">
      <c r="A139" s="18"/>
      <c r="B139" s="18"/>
      <c r="C139" s="77"/>
      <c r="D139" s="77"/>
      <c r="E139" s="77"/>
      <c r="F139" s="77"/>
      <c r="G139" s="77"/>
    </row>
    <row r="140" spans="1:7">
      <c r="A140" s="18"/>
      <c r="B140" s="18"/>
      <c r="C140" s="77"/>
      <c r="D140" s="77"/>
      <c r="E140" s="77"/>
      <c r="F140" s="77"/>
      <c r="G140" s="77"/>
    </row>
    <row r="141" spans="1:7">
      <c r="A141" s="18"/>
      <c r="B141" s="18"/>
      <c r="C141" s="77"/>
      <c r="D141" s="77"/>
      <c r="E141" s="77"/>
      <c r="F141" s="77"/>
      <c r="G141" s="77"/>
    </row>
    <row r="142" spans="1:7">
      <c r="A142" s="18"/>
      <c r="B142" s="18"/>
      <c r="C142" s="77"/>
      <c r="D142" s="77"/>
      <c r="E142" s="77"/>
      <c r="F142" s="77"/>
      <c r="G142" s="77"/>
    </row>
    <row r="143" spans="1:7">
      <c r="A143" s="18"/>
      <c r="B143" s="18"/>
      <c r="C143" s="77"/>
      <c r="D143" s="77"/>
      <c r="E143" s="77"/>
      <c r="F143" s="77"/>
      <c r="G143" s="77"/>
    </row>
    <row r="144" spans="1:7">
      <c r="A144" s="18"/>
      <c r="B144" s="18"/>
      <c r="C144" s="77"/>
      <c r="D144" s="77"/>
      <c r="E144" s="77"/>
      <c r="F144" s="77"/>
      <c r="G144" s="77"/>
    </row>
    <row r="145" spans="1:7">
      <c r="A145" s="18"/>
      <c r="B145" s="18"/>
      <c r="C145" s="77"/>
      <c r="D145" s="77"/>
      <c r="E145" s="77"/>
      <c r="F145" s="77"/>
      <c r="G145" s="77"/>
    </row>
    <row r="146" spans="1:7">
      <c r="A146" s="18"/>
      <c r="B146" s="18"/>
      <c r="C146" s="77"/>
      <c r="D146" s="77"/>
      <c r="E146" s="77"/>
      <c r="F146" s="77"/>
      <c r="G146" s="77"/>
    </row>
    <row r="147" spans="1:7">
      <c r="A147" s="18"/>
      <c r="B147" s="18"/>
      <c r="C147" s="77"/>
      <c r="D147" s="77"/>
      <c r="E147" s="77"/>
      <c r="F147" s="77"/>
      <c r="G147" s="77"/>
    </row>
    <row r="148" spans="1:7">
      <c r="A148" s="18"/>
      <c r="B148" s="18"/>
      <c r="C148" s="77"/>
      <c r="D148" s="77"/>
      <c r="E148" s="77"/>
      <c r="F148" s="77"/>
      <c r="G148" s="77"/>
    </row>
    <row r="149" spans="1:7">
      <c r="A149" s="18"/>
      <c r="B149" s="18"/>
      <c r="C149" s="77"/>
      <c r="D149" s="77"/>
      <c r="E149" s="77"/>
      <c r="F149" s="77"/>
      <c r="G149" s="77"/>
    </row>
    <row r="150" spans="1:7">
      <c r="A150" s="18"/>
      <c r="B150" s="18"/>
      <c r="C150" s="77"/>
      <c r="D150" s="77"/>
      <c r="E150" s="77"/>
      <c r="F150" s="77"/>
      <c r="G150" s="77"/>
    </row>
    <row r="151" spans="1:7">
      <c r="A151" s="18"/>
      <c r="B151" s="18"/>
      <c r="C151" s="77"/>
      <c r="D151" s="77"/>
      <c r="E151" s="77"/>
      <c r="F151" s="77"/>
      <c r="G151" s="77"/>
    </row>
    <row r="152" spans="1:7">
      <c r="A152" s="18"/>
      <c r="B152" s="18"/>
      <c r="C152" s="77"/>
      <c r="D152" s="77"/>
      <c r="E152" s="77"/>
      <c r="F152" s="77"/>
      <c r="G152" s="77"/>
    </row>
    <row r="153" spans="1:7">
      <c r="A153" s="18"/>
      <c r="B153" s="18"/>
      <c r="C153" s="77"/>
      <c r="D153" s="77"/>
      <c r="E153" s="77"/>
      <c r="F153" s="77"/>
      <c r="G153" s="77"/>
    </row>
    <row r="154" spans="1:7">
      <c r="A154" s="18"/>
      <c r="B154" s="18"/>
      <c r="C154" s="77"/>
      <c r="D154" s="77"/>
      <c r="E154" s="77"/>
      <c r="F154" s="77"/>
      <c r="G154" s="77"/>
    </row>
    <row r="155" spans="1:7">
      <c r="A155" s="18"/>
      <c r="B155" s="18"/>
      <c r="C155" s="77"/>
      <c r="D155" s="77"/>
      <c r="E155" s="77"/>
      <c r="F155" s="77"/>
      <c r="G155" s="77"/>
    </row>
    <row r="156" spans="1:7">
      <c r="A156" s="18"/>
      <c r="B156" s="18"/>
      <c r="C156" s="77"/>
      <c r="D156" s="77"/>
      <c r="E156" s="77"/>
      <c r="F156" s="77"/>
      <c r="G156" s="77"/>
    </row>
    <row r="157" spans="1:7">
      <c r="A157" s="18"/>
      <c r="B157" s="18"/>
      <c r="C157" s="77"/>
      <c r="D157" s="77"/>
      <c r="E157" s="77"/>
      <c r="F157" s="77"/>
      <c r="G157" s="77"/>
    </row>
    <row r="158" spans="1:7">
      <c r="A158" s="18"/>
      <c r="B158" s="18"/>
      <c r="C158" s="77"/>
      <c r="D158" s="77"/>
      <c r="E158" s="77"/>
      <c r="F158" s="77"/>
      <c r="G158" s="77"/>
    </row>
    <row r="159" spans="1:7">
      <c r="A159" s="18"/>
      <c r="B159" s="18"/>
      <c r="C159" s="77"/>
      <c r="D159" s="77"/>
      <c r="E159" s="77"/>
      <c r="F159" s="77"/>
      <c r="G159" s="77"/>
    </row>
    <row r="160" spans="1:7">
      <c r="A160" s="18"/>
      <c r="B160" s="18"/>
      <c r="C160" s="77"/>
      <c r="D160" s="77"/>
      <c r="E160" s="77"/>
      <c r="F160" s="77"/>
      <c r="G160" s="77"/>
    </row>
    <row r="161" spans="1:7">
      <c r="A161" s="18"/>
      <c r="B161" s="18"/>
      <c r="C161" s="77"/>
      <c r="D161" s="77"/>
      <c r="E161" s="77"/>
      <c r="F161" s="77"/>
      <c r="G161" s="77"/>
    </row>
    <row r="162" spans="1:7">
      <c r="A162" s="18"/>
      <c r="B162" s="18"/>
      <c r="C162" s="77"/>
      <c r="D162" s="77"/>
      <c r="E162" s="77"/>
      <c r="F162" s="77"/>
      <c r="G162" s="77"/>
    </row>
    <row r="163" spans="1:7">
      <c r="A163" s="18"/>
      <c r="B163" s="18"/>
      <c r="C163" s="77"/>
      <c r="D163" s="77"/>
      <c r="E163" s="77"/>
      <c r="F163" s="77"/>
      <c r="G163" s="77"/>
    </row>
    <row r="164" spans="1:7">
      <c r="A164" s="18"/>
      <c r="B164" s="18"/>
      <c r="C164" s="77"/>
      <c r="D164" s="77"/>
      <c r="E164" s="77"/>
      <c r="F164" s="77"/>
      <c r="G164" s="77"/>
    </row>
    <row r="165" spans="1:7">
      <c r="A165" s="18"/>
      <c r="B165" s="18"/>
      <c r="C165" s="77"/>
      <c r="D165" s="77"/>
      <c r="E165" s="77"/>
      <c r="F165" s="77"/>
      <c r="G165" s="77"/>
    </row>
    <row r="166" spans="1:7">
      <c r="A166" s="18"/>
      <c r="B166" s="18"/>
      <c r="C166" s="77"/>
      <c r="D166" s="77"/>
      <c r="E166" s="77"/>
      <c r="F166" s="77"/>
      <c r="G166" s="77"/>
    </row>
    <row r="167" spans="1:7">
      <c r="A167" s="18"/>
      <c r="B167" s="18"/>
      <c r="C167" s="77"/>
      <c r="D167" s="77"/>
      <c r="E167" s="77"/>
      <c r="F167" s="77"/>
      <c r="G167" s="77"/>
    </row>
    <row r="168" spans="1:7">
      <c r="A168" s="18"/>
      <c r="B168" s="18"/>
      <c r="C168" s="77"/>
      <c r="D168" s="77"/>
      <c r="E168" s="77"/>
      <c r="F168" s="77"/>
      <c r="G168" s="77"/>
    </row>
    <row r="169" spans="1:7">
      <c r="A169" s="18"/>
      <c r="B169" s="18"/>
      <c r="C169" s="77"/>
      <c r="D169" s="77"/>
      <c r="E169" s="77"/>
      <c r="F169" s="77"/>
      <c r="G169" s="77"/>
    </row>
    <row r="170" spans="1:7">
      <c r="A170" s="18"/>
      <c r="B170" s="18"/>
      <c r="C170" s="77"/>
      <c r="D170" s="77"/>
      <c r="E170" s="77"/>
      <c r="F170" s="77"/>
      <c r="G170" s="77"/>
    </row>
    <row r="171" spans="1:7">
      <c r="A171" s="18"/>
      <c r="B171" s="18"/>
      <c r="C171" s="77"/>
      <c r="D171" s="77"/>
      <c r="E171" s="77"/>
      <c r="F171" s="77"/>
      <c r="G171" s="77"/>
    </row>
    <row r="172" spans="1:7">
      <c r="A172" s="18"/>
      <c r="B172" s="18"/>
      <c r="C172" s="77"/>
      <c r="D172" s="77"/>
      <c r="E172" s="77"/>
      <c r="F172" s="77"/>
      <c r="G172" s="77"/>
    </row>
    <row r="173" spans="1:7">
      <c r="A173" s="18"/>
      <c r="B173" s="18"/>
      <c r="C173" s="77"/>
      <c r="D173" s="77"/>
      <c r="E173" s="77"/>
      <c r="F173" s="77"/>
      <c r="G173" s="77"/>
    </row>
    <row r="174" spans="1:7">
      <c r="A174" s="18"/>
      <c r="B174" s="18"/>
      <c r="C174" s="77"/>
      <c r="D174" s="77"/>
      <c r="E174" s="77"/>
      <c r="F174" s="77"/>
      <c r="G174" s="77"/>
    </row>
    <row r="175" spans="1:7">
      <c r="A175" s="18"/>
      <c r="B175" s="18"/>
      <c r="C175" s="77"/>
      <c r="D175" s="77"/>
      <c r="E175" s="77"/>
      <c r="F175" s="77"/>
      <c r="G175" s="77"/>
    </row>
    <row r="176" spans="1:7">
      <c r="A176" s="18"/>
      <c r="B176" s="18"/>
      <c r="C176" s="77"/>
      <c r="D176" s="77"/>
      <c r="E176" s="77"/>
      <c r="F176" s="77"/>
      <c r="G176" s="77"/>
    </row>
    <row r="177" spans="1:7">
      <c r="A177" s="18"/>
      <c r="B177" s="18"/>
      <c r="C177" s="77"/>
      <c r="D177" s="77"/>
      <c r="E177" s="77"/>
      <c r="F177" s="77"/>
      <c r="G177" s="77"/>
    </row>
    <row r="178" spans="1:7">
      <c r="A178" s="18"/>
      <c r="B178" s="18"/>
      <c r="C178" s="77"/>
      <c r="D178" s="77"/>
      <c r="E178" s="77"/>
      <c r="F178" s="77"/>
      <c r="G178" s="77"/>
    </row>
    <row r="179" spans="1:7">
      <c r="A179" s="18"/>
      <c r="B179" s="18"/>
      <c r="C179" s="77"/>
      <c r="D179" s="77"/>
      <c r="E179" s="77"/>
      <c r="F179" s="77"/>
      <c r="G179" s="77"/>
    </row>
    <row r="180" spans="1:7">
      <c r="A180" s="18"/>
      <c r="B180" s="18"/>
      <c r="C180" s="77"/>
      <c r="D180" s="77"/>
      <c r="E180" s="77"/>
      <c r="F180" s="77"/>
      <c r="G180" s="77"/>
    </row>
    <row r="181" spans="1:7">
      <c r="A181" s="18"/>
      <c r="B181" s="18"/>
      <c r="C181" s="77"/>
      <c r="D181" s="77"/>
      <c r="E181" s="77"/>
      <c r="F181" s="77"/>
      <c r="G181" s="77"/>
    </row>
    <row r="182" spans="1:7">
      <c r="A182" s="18"/>
      <c r="B182" s="18"/>
      <c r="C182" s="77"/>
      <c r="D182" s="77"/>
      <c r="E182" s="77"/>
      <c r="F182" s="77"/>
      <c r="G182" s="77"/>
    </row>
    <row r="183" spans="1:7">
      <c r="A183" s="18"/>
      <c r="B183" s="18"/>
      <c r="C183" s="77"/>
      <c r="D183" s="77"/>
      <c r="E183" s="77"/>
      <c r="F183" s="77"/>
      <c r="G183" s="77"/>
    </row>
    <row r="184" spans="1:7">
      <c r="A184" s="18"/>
      <c r="B184" s="18"/>
      <c r="C184" s="77"/>
      <c r="D184" s="77"/>
      <c r="E184" s="77"/>
      <c r="F184" s="77"/>
      <c r="G184" s="77"/>
    </row>
    <row r="185" spans="1:7">
      <c r="A185" s="18"/>
      <c r="B185" s="18"/>
      <c r="C185" s="77"/>
      <c r="D185" s="77"/>
      <c r="E185" s="77"/>
      <c r="F185" s="77"/>
      <c r="G185" s="77"/>
    </row>
    <row r="186" spans="1:7">
      <c r="A186" s="18"/>
      <c r="B186" s="18"/>
      <c r="C186" s="77"/>
      <c r="D186" s="77"/>
      <c r="E186" s="77"/>
      <c r="F186" s="77"/>
      <c r="G186" s="77"/>
    </row>
    <row r="187" spans="1:7">
      <c r="A187" s="18"/>
      <c r="B187" s="18"/>
      <c r="C187" s="77"/>
      <c r="D187" s="77"/>
      <c r="E187" s="77"/>
      <c r="F187" s="77"/>
      <c r="G187" s="77"/>
    </row>
    <row r="188" spans="1:7">
      <c r="A188" s="18"/>
      <c r="B188" s="18"/>
      <c r="C188" s="77"/>
      <c r="D188" s="77"/>
      <c r="E188" s="77"/>
      <c r="F188" s="77"/>
      <c r="G188" s="77"/>
    </row>
    <row r="189" spans="1:7">
      <c r="A189" s="18"/>
      <c r="B189" s="18"/>
      <c r="C189" s="77"/>
      <c r="D189" s="77"/>
      <c r="E189" s="77"/>
      <c r="F189" s="77"/>
      <c r="G189" s="77"/>
    </row>
    <row r="190" spans="1:7">
      <c r="A190" s="18"/>
      <c r="B190" s="18"/>
      <c r="C190" s="77"/>
      <c r="D190" s="77"/>
      <c r="E190" s="77"/>
      <c r="F190" s="77"/>
      <c r="G190" s="77"/>
    </row>
    <row r="191" spans="1:7">
      <c r="A191" s="18"/>
      <c r="B191" s="18"/>
      <c r="C191" s="77"/>
      <c r="D191" s="77"/>
      <c r="E191" s="77"/>
      <c r="F191" s="77"/>
      <c r="G191" s="77"/>
    </row>
    <row r="192" spans="1:7">
      <c r="A192" s="18"/>
      <c r="B192" s="18"/>
      <c r="C192" s="77"/>
      <c r="D192" s="77"/>
      <c r="E192" s="77"/>
      <c r="F192" s="77"/>
      <c r="G192" s="77"/>
    </row>
    <row r="193" spans="1:7">
      <c r="A193" s="18"/>
      <c r="B193" s="18"/>
      <c r="C193" s="77"/>
      <c r="D193" s="77"/>
      <c r="E193" s="77"/>
      <c r="F193" s="77"/>
      <c r="G193" s="77"/>
    </row>
    <row r="194" spans="1:7">
      <c r="A194" s="18"/>
      <c r="B194" s="18"/>
      <c r="C194" s="77"/>
      <c r="D194" s="77"/>
      <c r="E194" s="77"/>
      <c r="F194" s="77"/>
      <c r="G194" s="77"/>
    </row>
    <row r="195" spans="1:7">
      <c r="A195" s="18"/>
      <c r="B195" s="18"/>
      <c r="C195" s="77"/>
      <c r="D195" s="77"/>
      <c r="E195" s="77"/>
      <c r="F195" s="77"/>
      <c r="G195" s="77"/>
    </row>
    <row r="196" spans="1:7">
      <c r="A196" s="18"/>
      <c r="B196" s="18"/>
      <c r="C196" s="77"/>
      <c r="D196" s="77"/>
      <c r="E196" s="77"/>
      <c r="F196" s="77"/>
      <c r="G196" s="77"/>
    </row>
    <row r="197" spans="1:7">
      <c r="A197" s="18"/>
      <c r="B197" s="18"/>
      <c r="C197" s="77"/>
      <c r="D197" s="77"/>
      <c r="E197" s="77"/>
      <c r="F197" s="77"/>
      <c r="G197" s="77"/>
    </row>
    <row r="198" spans="1:7">
      <c r="A198" s="18"/>
      <c r="B198" s="18"/>
      <c r="C198" s="77"/>
      <c r="D198" s="77"/>
      <c r="E198" s="77"/>
      <c r="F198" s="77"/>
      <c r="G198" s="77"/>
    </row>
    <row r="199" spans="1:7">
      <c r="A199" s="18"/>
      <c r="B199" s="18"/>
      <c r="C199" s="77"/>
      <c r="D199" s="77"/>
      <c r="E199" s="77"/>
      <c r="F199" s="77"/>
      <c r="G199" s="77"/>
    </row>
    <row r="200" spans="1:7">
      <c r="A200" s="18"/>
      <c r="B200" s="18"/>
      <c r="C200" s="77"/>
      <c r="D200" s="77"/>
      <c r="E200" s="77"/>
      <c r="F200" s="77"/>
      <c r="G200" s="77"/>
    </row>
    <row r="201" spans="1:7">
      <c r="A201" s="18"/>
      <c r="B201" s="18"/>
      <c r="C201" s="77"/>
      <c r="D201" s="77"/>
      <c r="E201" s="77"/>
      <c r="F201" s="77"/>
      <c r="G201" s="77"/>
    </row>
    <row r="202" spans="1:7">
      <c r="A202" s="18"/>
      <c r="B202" s="18"/>
      <c r="C202" s="77"/>
      <c r="D202" s="77"/>
      <c r="E202" s="77"/>
      <c r="F202" s="77"/>
      <c r="G202" s="77"/>
    </row>
    <row r="203" spans="1:7">
      <c r="A203" s="18"/>
      <c r="B203" s="18"/>
      <c r="C203" s="77"/>
      <c r="D203" s="77"/>
      <c r="E203" s="77"/>
      <c r="F203" s="77"/>
      <c r="G203" s="77"/>
    </row>
    <row r="204" spans="1:7">
      <c r="A204" s="18"/>
      <c r="B204" s="18"/>
      <c r="C204" s="77"/>
      <c r="D204" s="77"/>
      <c r="E204" s="77"/>
      <c r="F204" s="77"/>
      <c r="G204" s="77"/>
    </row>
    <row r="205" spans="1:7">
      <c r="A205" s="18"/>
      <c r="B205" s="18"/>
      <c r="C205" s="77"/>
      <c r="D205" s="77"/>
      <c r="E205" s="77"/>
      <c r="F205" s="77"/>
      <c r="G205" s="77"/>
    </row>
    <row r="206" spans="1:7">
      <c r="A206" s="18"/>
      <c r="B206" s="18"/>
      <c r="C206" s="77"/>
      <c r="D206" s="77"/>
      <c r="E206" s="77"/>
      <c r="F206" s="77"/>
      <c r="G206" s="77"/>
    </row>
    <row r="207" spans="1:7">
      <c r="A207" s="18"/>
      <c r="B207" s="18"/>
      <c r="C207" s="77"/>
      <c r="D207" s="77"/>
      <c r="E207" s="77"/>
      <c r="F207" s="77"/>
      <c r="G207" s="77"/>
    </row>
    <row r="208" spans="1:7">
      <c r="A208" s="18"/>
      <c r="B208" s="18"/>
      <c r="C208" s="77"/>
      <c r="D208" s="77"/>
      <c r="E208" s="77"/>
      <c r="F208" s="77"/>
      <c r="G208" s="77"/>
    </row>
    <row r="209" spans="1:7">
      <c r="A209" s="18"/>
      <c r="B209" s="18"/>
      <c r="C209" s="77"/>
      <c r="D209" s="77"/>
      <c r="E209" s="77"/>
      <c r="F209" s="77"/>
      <c r="G209" s="77"/>
    </row>
    <row r="210" spans="1:7">
      <c r="A210" s="18"/>
      <c r="B210" s="18"/>
      <c r="C210" s="77"/>
      <c r="D210" s="77"/>
      <c r="E210" s="77"/>
      <c r="F210" s="77"/>
      <c r="G210" s="77"/>
    </row>
    <row r="211" spans="1:7">
      <c r="A211" s="18"/>
      <c r="B211" s="18"/>
      <c r="C211" s="77"/>
      <c r="D211" s="77"/>
      <c r="E211" s="77"/>
      <c r="F211" s="77"/>
      <c r="G211" s="77"/>
    </row>
    <row r="212" spans="1:7">
      <c r="A212" s="18"/>
      <c r="B212" s="18"/>
      <c r="C212" s="77"/>
      <c r="D212" s="77"/>
      <c r="E212" s="77"/>
      <c r="F212" s="77"/>
      <c r="G212" s="77"/>
    </row>
    <row r="213" spans="1:7">
      <c r="A213" s="18"/>
      <c r="B213" s="18"/>
      <c r="C213" s="77"/>
      <c r="D213" s="77"/>
      <c r="E213" s="77"/>
      <c r="F213" s="77"/>
      <c r="G213" s="77"/>
    </row>
    <row r="214" spans="1:7">
      <c r="A214" s="18"/>
      <c r="B214" s="18"/>
      <c r="C214" s="77"/>
      <c r="D214" s="77"/>
      <c r="E214" s="77"/>
      <c r="F214" s="77"/>
      <c r="G214" s="77"/>
    </row>
    <row r="215" spans="1:7">
      <c r="A215" s="18"/>
      <c r="B215" s="18"/>
      <c r="C215" s="77"/>
      <c r="D215" s="77"/>
      <c r="E215" s="77"/>
      <c r="F215" s="77"/>
      <c r="G215" s="77"/>
    </row>
    <row r="216" spans="1:7">
      <c r="A216" s="18"/>
      <c r="B216" s="18"/>
      <c r="C216" s="77"/>
      <c r="D216" s="77"/>
      <c r="E216" s="77"/>
      <c r="F216" s="77"/>
      <c r="G216" s="77"/>
    </row>
    <row r="217" spans="1:7">
      <c r="A217" s="18"/>
      <c r="B217" s="18"/>
      <c r="C217" s="77"/>
      <c r="D217" s="77"/>
      <c r="E217" s="77"/>
      <c r="F217" s="77"/>
      <c r="G217" s="77"/>
    </row>
    <row r="218" spans="1:7">
      <c r="A218" s="18"/>
      <c r="B218" s="18"/>
      <c r="C218" s="77"/>
      <c r="D218" s="77"/>
      <c r="E218" s="77"/>
      <c r="F218" s="77"/>
      <c r="G218" s="77"/>
    </row>
    <row r="219" spans="1:7">
      <c r="A219" s="18"/>
      <c r="B219" s="18"/>
      <c r="C219" s="77"/>
      <c r="D219" s="77"/>
      <c r="E219" s="77"/>
      <c r="F219" s="77"/>
      <c r="G219" s="77"/>
    </row>
    <row r="220" spans="1:7">
      <c r="A220" s="18"/>
      <c r="B220" s="18"/>
      <c r="C220" s="77"/>
      <c r="D220" s="77"/>
      <c r="E220" s="77"/>
      <c r="F220" s="77"/>
      <c r="G220" s="77"/>
    </row>
    <row r="221" spans="1:7">
      <c r="A221" s="18"/>
      <c r="B221" s="18"/>
      <c r="C221" s="77"/>
      <c r="D221" s="77"/>
      <c r="E221" s="77"/>
      <c r="F221" s="77"/>
      <c r="G221" s="77"/>
    </row>
    <row r="222" spans="1:7">
      <c r="A222" s="18"/>
      <c r="B222" s="18"/>
      <c r="C222" s="77"/>
      <c r="D222" s="77"/>
      <c r="E222" s="77"/>
      <c r="F222" s="77"/>
      <c r="G222" s="77"/>
    </row>
    <row r="223" spans="1:7">
      <c r="A223" s="18"/>
      <c r="B223" s="18"/>
      <c r="C223" s="77"/>
      <c r="D223" s="77"/>
      <c r="E223" s="77"/>
      <c r="F223" s="77"/>
      <c r="G223" s="77"/>
    </row>
    <row r="224" spans="1:7">
      <c r="A224" s="18"/>
      <c r="B224" s="18"/>
      <c r="C224" s="77"/>
      <c r="D224" s="77"/>
      <c r="E224" s="77"/>
      <c r="F224" s="77"/>
      <c r="G224" s="77"/>
    </row>
    <row r="225" spans="1:7">
      <c r="A225" s="18"/>
      <c r="B225" s="18"/>
      <c r="C225" s="77"/>
      <c r="D225" s="77"/>
      <c r="E225" s="77"/>
      <c r="F225" s="77"/>
      <c r="G225" s="77"/>
    </row>
    <row r="226" spans="1:7">
      <c r="A226" s="18"/>
      <c r="B226" s="18"/>
      <c r="C226" s="77"/>
      <c r="D226" s="77"/>
      <c r="E226" s="77"/>
      <c r="F226" s="77"/>
      <c r="G226" s="77"/>
    </row>
    <row r="227" spans="1:7">
      <c r="A227" s="18"/>
      <c r="B227" s="18"/>
      <c r="C227" s="77"/>
      <c r="D227" s="77"/>
      <c r="E227" s="77"/>
      <c r="F227" s="77"/>
      <c r="G227" s="77"/>
    </row>
    <row r="228" spans="1:7">
      <c r="A228" s="18"/>
      <c r="B228" s="18"/>
      <c r="C228" s="77"/>
      <c r="D228" s="77"/>
      <c r="E228" s="77"/>
      <c r="F228" s="77"/>
      <c r="G228" s="77"/>
    </row>
    <row r="229" spans="1:7">
      <c r="A229" s="18"/>
      <c r="B229" s="18"/>
      <c r="C229" s="77"/>
      <c r="D229" s="77"/>
      <c r="E229" s="77"/>
      <c r="F229" s="77"/>
      <c r="G229" s="77"/>
    </row>
    <row r="230" spans="1:7">
      <c r="A230" s="18"/>
      <c r="B230" s="18"/>
      <c r="C230" s="77"/>
      <c r="D230" s="77"/>
      <c r="E230" s="77"/>
      <c r="F230" s="77"/>
      <c r="G230" s="77"/>
    </row>
    <row r="231" spans="1:7">
      <c r="A231" s="18"/>
      <c r="B231" s="18"/>
      <c r="C231" s="77"/>
      <c r="D231" s="77"/>
      <c r="E231" s="77"/>
      <c r="F231" s="77"/>
      <c r="G231" s="77"/>
    </row>
    <row r="232" spans="1:7">
      <c r="A232" s="18"/>
      <c r="B232" s="18"/>
      <c r="C232" s="77"/>
      <c r="D232" s="77"/>
      <c r="E232" s="77"/>
      <c r="F232" s="77"/>
      <c r="G232" s="77"/>
    </row>
    <row r="233" spans="1:7">
      <c r="A233" s="18"/>
      <c r="B233" s="18"/>
      <c r="C233" s="77"/>
      <c r="D233" s="77"/>
      <c r="E233" s="77"/>
      <c r="F233" s="77"/>
      <c r="G233" s="77"/>
    </row>
    <row r="234" spans="1:7">
      <c r="A234" s="18"/>
      <c r="B234" s="18"/>
      <c r="C234" s="77"/>
      <c r="D234" s="77"/>
      <c r="E234" s="77"/>
      <c r="F234" s="77"/>
      <c r="G234" s="77"/>
    </row>
    <row r="235" spans="1:7">
      <c r="A235" s="18"/>
      <c r="B235" s="18"/>
      <c r="C235" s="77"/>
      <c r="D235" s="77"/>
      <c r="E235" s="77"/>
      <c r="F235" s="77"/>
      <c r="G235" s="77"/>
    </row>
    <row r="236" spans="1:7">
      <c r="A236" s="18"/>
      <c r="B236" s="18"/>
      <c r="C236" s="77"/>
      <c r="D236" s="77"/>
      <c r="E236" s="77"/>
      <c r="F236" s="77"/>
      <c r="G236" s="77"/>
    </row>
    <row r="237" spans="1:7">
      <c r="A237" s="18"/>
      <c r="B237" s="18"/>
      <c r="C237" s="77"/>
      <c r="D237" s="77"/>
      <c r="E237" s="77"/>
      <c r="F237" s="77"/>
      <c r="G237" s="77"/>
    </row>
    <row r="238" spans="1:7">
      <c r="A238" s="18"/>
      <c r="B238" s="18"/>
      <c r="C238" s="77"/>
      <c r="D238" s="77"/>
      <c r="E238" s="77"/>
      <c r="F238" s="77"/>
      <c r="G238" s="77"/>
    </row>
    <row r="239" spans="1:7">
      <c r="A239" s="18"/>
      <c r="B239" s="18"/>
      <c r="C239" s="77"/>
      <c r="D239" s="77"/>
      <c r="E239" s="77"/>
      <c r="F239" s="77"/>
      <c r="G239" s="77"/>
    </row>
    <row r="240" spans="1:7">
      <c r="A240" s="18"/>
      <c r="B240" s="18"/>
      <c r="C240" s="77"/>
      <c r="D240" s="77"/>
      <c r="E240" s="77"/>
      <c r="F240" s="77"/>
      <c r="G240" s="77"/>
    </row>
    <row r="241" spans="1:7">
      <c r="A241" s="18"/>
      <c r="B241" s="18"/>
      <c r="C241" s="77"/>
      <c r="D241" s="77"/>
      <c r="E241" s="77"/>
      <c r="F241" s="77"/>
      <c r="G241" s="77"/>
    </row>
    <row r="242" spans="1:7">
      <c r="A242" s="18"/>
      <c r="B242" s="18"/>
      <c r="C242" s="77"/>
      <c r="D242" s="77"/>
      <c r="E242" s="77"/>
      <c r="F242" s="77"/>
      <c r="G242" s="77"/>
    </row>
    <row r="243" spans="1:7">
      <c r="A243" s="18"/>
      <c r="B243" s="18"/>
      <c r="C243" s="77"/>
      <c r="D243" s="77"/>
      <c r="E243" s="77"/>
      <c r="F243" s="77"/>
      <c r="G243" s="77"/>
    </row>
    <row r="244" spans="1:7">
      <c r="A244" s="18"/>
      <c r="B244" s="18"/>
      <c r="C244" s="77"/>
      <c r="D244" s="77"/>
      <c r="E244" s="77"/>
      <c r="F244" s="77"/>
      <c r="G244" s="77"/>
    </row>
    <row r="245" spans="1:7">
      <c r="A245" s="18"/>
      <c r="B245" s="18"/>
      <c r="C245" s="77"/>
      <c r="D245" s="77"/>
      <c r="E245" s="77"/>
      <c r="F245" s="77"/>
      <c r="G245" s="77"/>
    </row>
    <row r="246" spans="1:7">
      <c r="A246" s="18"/>
      <c r="B246" s="18"/>
      <c r="C246" s="77"/>
      <c r="D246" s="77"/>
      <c r="E246" s="77"/>
      <c r="F246" s="77"/>
      <c r="G246" s="77"/>
    </row>
    <row r="247" spans="1:7">
      <c r="A247" s="18"/>
      <c r="B247" s="18"/>
      <c r="C247" s="77"/>
      <c r="D247" s="77"/>
      <c r="E247" s="77"/>
      <c r="F247" s="77"/>
      <c r="G247" s="77"/>
    </row>
    <row r="248" spans="1:7">
      <c r="A248" s="18"/>
      <c r="B248" s="18"/>
      <c r="C248" s="77"/>
      <c r="D248" s="77"/>
      <c r="E248" s="77"/>
      <c r="F248" s="77"/>
      <c r="G248" s="77"/>
    </row>
    <row r="249" spans="1:7">
      <c r="A249" s="18"/>
      <c r="B249" s="18"/>
      <c r="C249" s="77"/>
      <c r="D249" s="77"/>
      <c r="E249" s="77"/>
      <c r="F249" s="77"/>
      <c r="G249" s="77"/>
    </row>
    <row r="250" spans="1:7">
      <c r="A250" s="18"/>
      <c r="B250" s="18"/>
      <c r="C250" s="77"/>
      <c r="D250" s="77"/>
      <c r="E250" s="77"/>
      <c r="F250" s="77"/>
      <c r="G250" s="77"/>
    </row>
    <row r="251" spans="1:7">
      <c r="A251" s="18"/>
      <c r="B251" s="18"/>
      <c r="C251" s="77"/>
      <c r="D251" s="77"/>
      <c r="E251" s="77"/>
      <c r="F251" s="77"/>
      <c r="G251" s="77"/>
    </row>
    <row r="252" spans="1:7">
      <c r="A252" s="18"/>
      <c r="B252" s="18"/>
      <c r="C252" s="77"/>
      <c r="D252" s="77"/>
      <c r="E252" s="77"/>
      <c r="F252" s="77"/>
      <c r="G252" s="77"/>
    </row>
    <row r="253" spans="1:7">
      <c r="A253" s="18"/>
      <c r="B253" s="18"/>
      <c r="C253" s="77"/>
      <c r="D253" s="77"/>
      <c r="E253" s="77"/>
      <c r="F253" s="77"/>
      <c r="G253" s="77"/>
    </row>
    <row r="254" spans="1:7">
      <c r="A254" s="18"/>
      <c r="B254" s="18"/>
      <c r="C254" s="77"/>
      <c r="D254" s="77"/>
      <c r="E254" s="77"/>
      <c r="F254" s="77"/>
      <c r="G254" s="77"/>
    </row>
    <row r="255" spans="1:7">
      <c r="A255" s="18"/>
      <c r="B255" s="18"/>
      <c r="C255" s="77"/>
      <c r="D255" s="77"/>
      <c r="E255" s="77"/>
      <c r="F255" s="77"/>
      <c r="G255" s="77"/>
    </row>
    <row r="256" spans="1:7">
      <c r="A256" s="18"/>
      <c r="B256" s="18"/>
      <c r="C256" s="77"/>
      <c r="D256" s="77"/>
      <c r="E256" s="77"/>
      <c r="F256" s="77"/>
      <c r="G256" s="77"/>
    </row>
    <row r="257" spans="1:7">
      <c r="A257" s="18"/>
      <c r="B257" s="18"/>
      <c r="C257" s="77"/>
      <c r="D257" s="77"/>
      <c r="E257" s="77"/>
      <c r="F257" s="77"/>
      <c r="G257" s="77"/>
    </row>
    <row r="258" spans="1:7">
      <c r="A258" s="18"/>
      <c r="B258" s="18"/>
      <c r="C258" s="77"/>
      <c r="D258" s="77"/>
      <c r="E258" s="77"/>
      <c r="F258" s="77"/>
      <c r="G258" s="77"/>
    </row>
    <row r="259" spans="1:7">
      <c r="A259" s="18"/>
      <c r="B259" s="18"/>
      <c r="C259" s="77"/>
      <c r="D259" s="77"/>
      <c r="E259" s="77"/>
      <c r="F259" s="77"/>
      <c r="G259" s="77"/>
    </row>
    <row r="260" spans="1:7">
      <c r="A260" s="18"/>
      <c r="B260" s="18"/>
      <c r="C260" s="77"/>
      <c r="D260" s="77"/>
      <c r="E260" s="77"/>
      <c r="F260" s="77"/>
      <c r="G260" s="77"/>
    </row>
    <row r="261" spans="1:7">
      <c r="A261" s="18"/>
      <c r="B261" s="18"/>
      <c r="C261" s="77"/>
      <c r="D261" s="77"/>
      <c r="E261" s="77"/>
      <c r="F261" s="77"/>
      <c r="G261" s="77"/>
    </row>
    <row r="262" spans="1:7">
      <c r="A262" s="18"/>
      <c r="B262" s="18"/>
      <c r="C262" s="77"/>
      <c r="D262" s="77"/>
      <c r="E262" s="77"/>
      <c r="F262" s="77"/>
      <c r="G262" s="77"/>
    </row>
    <row r="263" spans="1:7">
      <c r="A263" s="18"/>
      <c r="B263" s="18"/>
      <c r="C263" s="77"/>
      <c r="D263" s="77"/>
      <c r="E263" s="77"/>
      <c r="F263" s="77"/>
      <c r="G263" s="77"/>
    </row>
    <row r="264" spans="1:7">
      <c r="A264" s="18"/>
      <c r="B264" s="18"/>
      <c r="C264" s="77"/>
      <c r="D264" s="77"/>
      <c r="E264" s="77"/>
      <c r="F264" s="77"/>
      <c r="G264" s="77"/>
    </row>
    <row r="265" spans="1:7">
      <c r="A265" s="18"/>
      <c r="B265" s="18"/>
      <c r="C265" s="77"/>
      <c r="D265" s="77"/>
      <c r="E265" s="77"/>
      <c r="F265" s="77"/>
      <c r="G265" s="77"/>
    </row>
    <row r="266" spans="1:7">
      <c r="A266" s="18"/>
      <c r="B266" s="18"/>
      <c r="C266" s="77"/>
      <c r="D266" s="77"/>
      <c r="E266" s="77"/>
      <c r="F266" s="77"/>
      <c r="G266" s="77"/>
    </row>
    <row r="267" spans="1:7">
      <c r="A267" s="18"/>
      <c r="B267" s="18"/>
      <c r="C267" s="77"/>
      <c r="D267" s="77"/>
      <c r="E267" s="77"/>
      <c r="F267" s="77"/>
      <c r="G267" s="77"/>
    </row>
    <row r="268" spans="1:7">
      <c r="A268" s="18"/>
      <c r="B268" s="18"/>
      <c r="C268" s="77"/>
      <c r="D268" s="77"/>
      <c r="E268" s="77"/>
      <c r="F268" s="77"/>
      <c r="G268" s="77"/>
    </row>
    <row r="269" spans="1:7">
      <c r="A269" s="18"/>
      <c r="B269" s="18"/>
      <c r="C269" s="77"/>
      <c r="D269" s="77"/>
      <c r="E269" s="77"/>
      <c r="F269" s="77"/>
      <c r="G269" s="77"/>
    </row>
    <row r="270" spans="1:7">
      <c r="A270" s="18"/>
      <c r="B270" s="18"/>
      <c r="C270" s="77"/>
      <c r="D270" s="77"/>
      <c r="E270" s="77"/>
      <c r="F270" s="77"/>
      <c r="G270" s="77"/>
    </row>
    <row r="271" spans="1:7">
      <c r="A271" s="18"/>
      <c r="B271" s="18"/>
      <c r="C271" s="77"/>
      <c r="D271" s="77"/>
      <c r="E271" s="77"/>
      <c r="F271" s="77"/>
      <c r="G271" s="77"/>
    </row>
    <row r="272" spans="1:7">
      <c r="A272" s="18"/>
      <c r="B272" s="18"/>
      <c r="C272" s="77"/>
      <c r="D272" s="77"/>
      <c r="E272" s="77"/>
      <c r="F272" s="77"/>
      <c r="G272" s="77"/>
    </row>
    <row r="273" spans="1:7">
      <c r="A273" s="18"/>
      <c r="B273" s="18"/>
      <c r="C273" s="77"/>
      <c r="D273" s="77"/>
      <c r="E273" s="77"/>
      <c r="F273" s="77"/>
      <c r="G273" s="77"/>
    </row>
    <row r="274" spans="1:7">
      <c r="A274" s="18"/>
      <c r="B274" s="18"/>
      <c r="C274" s="77"/>
      <c r="D274" s="77"/>
      <c r="E274" s="77"/>
      <c r="F274" s="77"/>
      <c r="G274" s="77"/>
    </row>
    <row r="275" spans="1:7">
      <c r="A275" s="18"/>
      <c r="B275" s="18"/>
      <c r="C275" s="77"/>
      <c r="D275" s="77"/>
      <c r="E275" s="77"/>
      <c r="F275" s="77"/>
      <c r="G275" s="77"/>
    </row>
    <row r="276" spans="1:7">
      <c r="A276" s="18"/>
      <c r="B276" s="18"/>
      <c r="C276" s="77"/>
      <c r="D276" s="77"/>
      <c r="E276" s="77"/>
      <c r="F276" s="77"/>
      <c r="G276" s="77"/>
    </row>
    <row r="277" spans="1:7">
      <c r="A277" s="18"/>
      <c r="B277" s="18"/>
      <c r="C277" s="77"/>
      <c r="D277" s="77"/>
      <c r="E277" s="77"/>
      <c r="F277" s="77"/>
      <c r="G277" s="77"/>
    </row>
    <row r="278" spans="1:7">
      <c r="A278" s="18"/>
      <c r="B278" s="18"/>
      <c r="C278" s="77"/>
      <c r="D278" s="77"/>
      <c r="E278" s="77"/>
      <c r="F278" s="77"/>
      <c r="G278" s="77"/>
    </row>
    <row r="279" spans="1:7">
      <c r="A279" s="18"/>
      <c r="B279" s="18"/>
      <c r="C279" s="77"/>
      <c r="D279" s="77"/>
      <c r="E279" s="77"/>
      <c r="F279" s="77"/>
      <c r="G279" s="77"/>
    </row>
    <row r="280" spans="1:7">
      <c r="A280" s="18"/>
      <c r="B280" s="18"/>
      <c r="C280" s="77"/>
      <c r="D280" s="77"/>
      <c r="E280" s="77"/>
      <c r="F280" s="77"/>
      <c r="G280" s="77"/>
    </row>
    <row r="281" spans="1:7">
      <c r="A281" s="18"/>
      <c r="B281" s="18"/>
      <c r="C281" s="77"/>
      <c r="D281" s="77"/>
      <c r="E281" s="77"/>
      <c r="F281" s="77"/>
      <c r="G281" s="77"/>
    </row>
    <row r="282" spans="1:7">
      <c r="A282" s="18"/>
      <c r="B282" s="18"/>
      <c r="C282" s="77"/>
      <c r="D282" s="77"/>
      <c r="E282" s="77"/>
      <c r="F282" s="77"/>
      <c r="G282" s="77"/>
    </row>
    <row r="283" spans="1:7">
      <c r="A283" s="18"/>
      <c r="B283" s="18"/>
      <c r="C283" s="77"/>
      <c r="D283" s="77"/>
      <c r="E283" s="77"/>
      <c r="F283" s="77"/>
      <c r="G283" s="77"/>
    </row>
    <row r="284" spans="1:7">
      <c r="A284" s="18"/>
      <c r="B284" s="18"/>
      <c r="C284" s="77"/>
      <c r="D284" s="77"/>
      <c r="E284" s="77"/>
      <c r="F284" s="77"/>
      <c r="G284" s="77"/>
    </row>
    <row r="285" spans="1:7">
      <c r="A285" s="18"/>
      <c r="B285" s="18"/>
      <c r="C285" s="77"/>
      <c r="D285" s="77"/>
      <c r="E285" s="77"/>
      <c r="F285" s="77"/>
      <c r="G285" s="77"/>
    </row>
    <row r="286" spans="1:7">
      <c r="A286" s="18"/>
      <c r="B286" s="18"/>
      <c r="C286" s="77"/>
      <c r="D286" s="77"/>
      <c r="E286" s="77"/>
      <c r="F286" s="77"/>
      <c r="G286" s="77"/>
    </row>
    <row r="287" spans="1:7">
      <c r="A287" s="18"/>
      <c r="B287" s="18"/>
      <c r="C287" s="77"/>
      <c r="D287" s="77"/>
      <c r="E287" s="77"/>
      <c r="F287" s="77"/>
      <c r="G287" s="77"/>
    </row>
    <row r="288" spans="1:7">
      <c r="A288" s="18"/>
      <c r="B288" s="18"/>
      <c r="C288" s="77"/>
      <c r="D288" s="77"/>
      <c r="E288" s="77"/>
      <c r="F288" s="77"/>
      <c r="G288" s="77"/>
    </row>
    <row r="289" spans="1:7">
      <c r="A289" s="18"/>
      <c r="B289" s="18"/>
      <c r="C289" s="77"/>
      <c r="D289" s="77"/>
      <c r="E289" s="77"/>
      <c r="F289" s="77"/>
      <c r="G289" s="77"/>
    </row>
    <row r="290" spans="1:7">
      <c r="A290" s="18"/>
      <c r="B290" s="18"/>
      <c r="C290" s="77"/>
      <c r="D290" s="77"/>
      <c r="E290" s="77"/>
      <c r="F290" s="77"/>
      <c r="G290" s="77"/>
    </row>
    <row r="291" spans="1:7">
      <c r="A291" s="18"/>
      <c r="B291" s="18"/>
      <c r="C291" s="77"/>
      <c r="D291" s="77"/>
      <c r="E291" s="77"/>
      <c r="F291" s="77"/>
      <c r="G291" s="77"/>
    </row>
    <row r="292" spans="1:7">
      <c r="A292" s="18"/>
      <c r="B292" s="18"/>
      <c r="C292" s="77"/>
      <c r="D292" s="77"/>
      <c r="E292" s="77"/>
      <c r="F292" s="77"/>
      <c r="G292" s="77"/>
    </row>
    <row r="293" spans="1:7">
      <c r="A293" s="18"/>
      <c r="B293" s="18"/>
      <c r="C293" s="77"/>
      <c r="D293" s="77"/>
      <c r="E293" s="77"/>
      <c r="F293" s="77"/>
      <c r="G293" s="77"/>
    </row>
    <row r="294" spans="1:7">
      <c r="A294" s="18"/>
      <c r="B294" s="18"/>
      <c r="C294" s="77"/>
      <c r="D294" s="77"/>
      <c r="E294" s="77"/>
      <c r="F294" s="77"/>
      <c r="G294" s="77"/>
    </row>
    <row r="295" spans="1:7">
      <c r="A295" s="18"/>
      <c r="B295" s="18"/>
      <c r="C295" s="77"/>
      <c r="D295" s="77"/>
      <c r="E295" s="77"/>
      <c r="F295" s="77"/>
      <c r="G295" s="77"/>
    </row>
    <row r="296" spans="1:7">
      <c r="A296" s="18"/>
      <c r="B296" s="18"/>
      <c r="C296" s="77"/>
      <c r="D296" s="77"/>
      <c r="E296" s="77"/>
      <c r="F296" s="77"/>
      <c r="G296" s="77"/>
    </row>
    <row r="297" spans="1:7">
      <c r="A297" s="18"/>
      <c r="B297" s="18"/>
      <c r="C297" s="77"/>
      <c r="D297" s="77"/>
      <c r="E297" s="77"/>
      <c r="F297" s="77"/>
      <c r="G297" s="77"/>
    </row>
    <row r="298" spans="1:7">
      <c r="A298" s="18"/>
      <c r="B298" s="18"/>
      <c r="C298" s="77"/>
      <c r="D298" s="77"/>
      <c r="E298" s="77"/>
      <c r="F298" s="77"/>
      <c r="G298" s="77"/>
    </row>
    <row r="299" spans="1:7">
      <c r="A299" s="18"/>
      <c r="B299" s="18"/>
      <c r="C299" s="77"/>
      <c r="D299" s="77"/>
      <c r="E299" s="77"/>
      <c r="F299" s="77"/>
      <c r="G299" s="77"/>
    </row>
    <row r="300" spans="1:7">
      <c r="A300" s="18"/>
      <c r="B300" s="18"/>
      <c r="C300" s="77"/>
      <c r="D300" s="77"/>
      <c r="E300" s="77"/>
      <c r="F300" s="77"/>
      <c r="G300" s="77"/>
    </row>
    <row r="301" spans="1:7">
      <c r="A301" s="18"/>
      <c r="B301" s="18"/>
      <c r="C301" s="77"/>
      <c r="D301" s="77"/>
      <c r="E301" s="77"/>
      <c r="F301" s="77"/>
      <c r="G301" s="77"/>
    </row>
    <row r="302" spans="1:7">
      <c r="A302" s="18"/>
      <c r="B302" s="18"/>
      <c r="C302" s="77"/>
      <c r="D302" s="77"/>
      <c r="E302" s="77"/>
      <c r="F302" s="77"/>
      <c r="G302" s="77"/>
    </row>
    <row r="303" spans="1:7">
      <c r="A303" s="18"/>
      <c r="B303" s="18"/>
      <c r="C303" s="77"/>
      <c r="D303" s="77"/>
      <c r="E303" s="77"/>
      <c r="F303" s="77"/>
      <c r="G303" s="77"/>
    </row>
    <row r="304" spans="1:7">
      <c r="A304" s="18"/>
      <c r="B304" s="18"/>
      <c r="C304" s="77"/>
      <c r="D304" s="77"/>
      <c r="E304" s="77"/>
      <c r="F304" s="77"/>
      <c r="G304" s="77"/>
    </row>
    <row r="305" spans="1:7">
      <c r="A305" s="18"/>
      <c r="B305" s="18"/>
      <c r="C305" s="77"/>
      <c r="D305" s="77"/>
      <c r="E305" s="77"/>
      <c r="F305" s="77"/>
      <c r="G305" s="77"/>
    </row>
    <row r="306" spans="1:7">
      <c r="A306" s="18"/>
      <c r="B306" s="18"/>
      <c r="C306" s="77"/>
      <c r="D306" s="77"/>
      <c r="E306" s="77"/>
      <c r="F306" s="77"/>
      <c r="G306" s="77"/>
    </row>
    <row r="307" spans="1:7">
      <c r="A307" s="18"/>
      <c r="B307" s="18"/>
      <c r="C307" s="77"/>
      <c r="D307" s="77"/>
      <c r="E307" s="77"/>
      <c r="F307" s="77"/>
      <c r="G307" s="77"/>
    </row>
    <row r="308" spans="1:7">
      <c r="A308" s="18"/>
      <c r="B308" s="18"/>
      <c r="C308" s="77"/>
      <c r="D308" s="77"/>
      <c r="E308" s="77"/>
      <c r="F308" s="77"/>
      <c r="G308" s="77"/>
    </row>
    <row r="309" spans="1:7">
      <c r="A309" s="18"/>
      <c r="B309" s="18"/>
      <c r="C309" s="77"/>
      <c r="D309" s="77"/>
      <c r="E309" s="77"/>
      <c r="F309" s="77"/>
      <c r="G309" s="77"/>
    </row>
    <row r="310" spans="1:7">
      <c r="A310" s="18"/>
      <c r="B310" s="18"/>
      <c r="C310" s="77"/>
      <c r="D310" s="77"/>
      <c r="E310" s="77"/>
      <c r="F310" s="77"/>
      <c r="G310" s="77"/>
    </row>
    <row r="311" spans="1:7">
      <c r="A311" s="18"/>
      <c r="B311" s="18"/>
      <c r="C311" s="77"/>
      <c r="D311" s="77"/>
      <c r="E311" s="77"/>
      <c r="F311" s="77"/>
      <c r="G311" s="77"/>
    </row>
    <row r="312" spans="1:7">
      <c r="A312" s="18"/>
      <c r="B312" s="18"/>
      <c r="C312" s="77"/>
      <c r="D312" s="77"/>
      <c r="E312" s="77"/>
      <c r="F312" s="77"/>
      <c r="G312" s="77"/>
    </row>
    <row r="313" spans="1:7">
      <c r="A313" s="18"/>
      <c r="B313" s="18"/>
      <c r="C313" s="77"/>
      <c r="D313" s="77"/>
      <c r="E313" s="77"/>
      <c r="F313" s="77"/>
      <c r="G313" s="77"/>
    </row>
    <row r="314" spans="1:7">
      <c r="A314" s="18"/>
      <c r="B314" s="18"/>
      <c r="C314" s="77"/>
      <c r="D314" s="77"/>
      <c r="E314" s="77"/>
      <c r="F314" s="77"/>
      <c r="G314" s="77"/>
    </row>
    <row r="315" spans="1:7">
      <c r="A315" s="18"/>
      <c r="B315" s="18"/>
      <c r="C315" s="77"/>
      <c r="D315" s="77"/>
      <c r="E315" s="77"/>
      <c r="F315" s="77"/>
      <c r="G315" s="77"/>
    </row>
    <row r="316" spans="1:7">
      <c r="A316" s="18"/>
      <c r="B316" s="18"/>
      <c r="C316" s="77"/>
      <c r="D316" s="77"/>
      <c r="E316" s="77"/>
      <c r="F316" s="77"/>
      <c r="G316" s="77"/>
    </row>
    <row r="317" spans="1:7">
      <c r="A317" s="18"/>
      <c r="B317" s="18"/>
      <c r="C317" s="77"/>
      <c r="D317" s="77"/>
      <c r="E317" s="77"/>
      <c r="F317" s="77"/>
      <c r="G317" s="77"/>
    </row>
    <row r="318" spans="1:7">
      <c r="A318" s="18"/>
      <c r="B318" s="18"/>
      <c r="C318" s="77"/>
      <c r="D318" s="77"/>
      <c r="E318" s="77"/>
      <c r="F318" s="77"/>
      <c r="G318" s="77"/>
    </row>
    <row r="319" spans="1:7">
      <c r="A319" s="18"/>
      <c r="B319" s="18"/>
      <c r="C319" s="77"/>
      <c r="D319" s="77"/>
      <c r="E319" s="77"/>
      <c r="F319" s="77"/>
      <c r="G319" s="77"/>
    </row>
    <row r="320" spans="1:7">
      <c r="A320" s="18"/>
      <c r="B320" s="18"/>
      <c r="C320" s="77"/>
      <c r="D320" s="77"/>
      <c r="E320" s="77"/>
      <c r="F320" s="77"/>
      <c r="G320" s="77"/>
    </row>
    <row r="321" spans="1:7">
      <c r="A321" s="18"/>
      <c r="B321" s="18"/>
      <c r="C321" s="77"/>
      <c r="D321" s="77"/>
      <c r="E321" s="77"/>
      <c r="F321" s="77"/>
      <c r="G321" s="77"/>
    </row>
    <row r="322" spans="1:7">
      <c r="A322" s="18"/>
      <c r="B322" s="18"/>
      <c r="C322" s="77"/>
      <c r="D322" s="77"/>
      <c r="E322" s="77"/>
      <c r="F322" s="77"/>
      <c r="G322" s="77"/>
    </row>
    <row r="323" spans="1:7">
      <c r="A323" s="18"/>
      <c r="B323" s="18"/>
      <c r="C323" s="77"/>
      <c r="D323" s="77"/>
      <c r="E323" s="77"/>
      <c r="F323" s="77"/>
      <c r="G323" s="77"/>
    </row>
    <row r="324" spans="1:7">
      <c r="A324" s="18"/>
      <c r="B324" s="18"/>
      <c r="C324" s="77"/>
      <c r="D324" s="77"/>
      <c r="E324" s="77"/>
      <c r="F324" s="77"/>
      <c r="G324" s="77"/>
    </row>
    <row r="325" spans="1:7">
      <c r="A325" s="18"/>
      <c r="B325" s="18"/>
      <c r="C325" s="77"/>
      <c r="D325" s="77"/>
      <c r="E325" s="77"/>
      <c r="F325" s="77"/>
      <c r="G325" s="77"/>
    </row>
    <row r="326" spans="1:7">
      <c r="A326" s="18"/>
      <c r="B326" s="18"/>
      <c r="C326" s="77"/>
      <c r="D326" s="77"/>
      <c r="E326" s="77"/>
      <c r="F326" s="77"/>
      <c r="G326" s="77"/>
    </row>
    <row r="327" spans="1:7">
      <c r="A327" s="18"/>
      <c r="B327" s="18"/>
      <c r="C327" s="77"/>
      <c r="D327" s="77"/>
      <c r="E327" s="77"/>
      <c r="F327" s="77"/>
      <c r="G327" s="77"/>
    </row>
    <row r="328" spans="1:7">
      <c r="A328" s="18"/>
      <c r="B328" s="18"/>
      <c r="C328" s="77"/>
      <c r="D328" s="77"/>
      <c r="E328" s="77"/>
      <c r="F328" s="77"/>
      <c r="G328" s="77"/>
    </row>
    <row r="329" spans="1:7">
      <c r="C329" s="167"/>
      <c r="D329" s="167"/>
      <c r="E329" s="167"/>
      <c r="F329" s="167"/>
      <c r="G329" s="167"/>
    </row>
    <row r="330" spans="1:7" ht="13.5" thickBot="1">
      <c r="A330" s="156" t="s">
        <v>165</v>
      </c>
      <c r="B330" s="171"/>
      <c r="C330" s="157" t="e">
        <f>#REF!/#REF!</f>
        <v>#REF!</v>
      </c>
      <c r="D330" s="157" t="e">
        <f>#REF!/#REF!</f>
        <v>#REF!</v>
      </c>
      <c r="E330" s="157" t="e">
        <f>#REF!/#REF!</f>
        <v>#REF!</v>
      </c>
      <c r="F330" s="157" t="e">
        <f>#REF!/#REF!</f>
        <v>#REF!</v>
      </c>
      <c r="G330" s="157" t="e">
        <f>#REF!/#REF!</f>
        <v>#REF!</v>
      </c>
    </row>
    <row r="331" spans="1:7" ht="13.5" thickTop="1"/>
  </sheetData>
  <customSheetViews>
    <customSheetView guid="{20A63875-964B-11D5-AAED-0004762A99E9}" fitToPage="1" showRuler="0" topLeftCell="A3">
      <selection activeCell="A4" sqref="A4"/>
      <pageMargins left="0.75" right="0.75" top="1" bottom="1" header="0.5" footer="0.5"/>
      <printOptions horizontalCentered="1"/>
      <pageSetup scale="74" orientation="landscape" horizontalDpi="0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7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01"/>
  <sheetViews>
    <sheetView zoomScale="80" zoomScaleNormal="80" workbookViewId="0"/>
  </sheetViews>
  <sheetFormatPr defaultRowHeight="12.75"/>
  <cols>
    <col min="1" max="1" width="18.7109375" style="118" customWidth="1"/>
    <col min="2" max="2" width="18.7109375" style="127" customWidth="1"/>
    <col min="3" max="3" width="18.7109375" style="274" customWidth="1"/>
    <col min="4" max="4" width="18.7109375" style="127" customWidth="1"/>
    <col min="5" max="5" width="39" style="128" customWidth="1"/>
    <col min="6" max="6" width="18.7109375" style="127" customWidth="1"/>
    <col min="7" max="7" width="18.7109375" style="272" customWidth="1"/>
    <col min="8" max="8" width="18.7109375" style="274" customWidth="1"/>
    <col min="9" max="9" width="18.7109375" style="117" customWidth="1"/>
    <col min="10" max="10" width="18.7109375" style="115" customWidth="1"/>
    <col min="11" max="13" width="18.7109375" customWidth="1"/>
  </cols>
  <sheetData>
    <row r="1" spans="1:10">
      <c r="A1" s="118" t="s">
        <v>1672</v>
      </c>
      <c r="B1" s="127" t="s">
        <v>345</v>
      </c>
      <c r="C1" s="117" t="s">
        <v>346</v>
      </c>
      <c r="D1" s="127" t="s">
        <v>347</v>
      </c>
      <c r="E1" s="128" t="s">
        <v>348</v>
      </c>
      <c r="F1" s="127" t="s">
        <v>349</v>
      </c>
      <c r="G1" s="127" t="s">
        <v>1676</v>
      </c>
      <c r="H1" s="117" t="s">
        <v>351</v>
      </c>
      <c r="I1" s="117" t="s">
        <v>352</v>
      </c>
      <c r="J1"/>
    </row>
    <row r="2" spans="1:10">
      <c r="A2" s="118" t="str">
        <f>CONCATENATE($B2,$C2,$D2,$E2,$H2)</f>
        <v>4098300SCHMAT415858WY - Deferred Overburden CostsSITUS</v>
      </c>
      <c r="B2" s="127">
        <v>4098300</v>
      </c>
      <c r="C2" s="117" t="str">
        <f>IF('SCH M Lookup'!$B2=4098200,"SCHMAP",IF('SCH M Lookup'!$B2=4098300,"SCHMAT",IF('SCH M Lookup'!$B2=4099200,"SCHMDP",IF('SCH M Lookup'!$B2=4099300,"SCHMDT"))))</f>
        <v>SCHMAT</v>
      </c>
      <c r="D2" s="127">
        <v>415858</v>
      </c>
      <c r="E2" s="128" t="s">
        <v>401</v>
      </c>
      <c r="F2" s="127" t="s">
        <v>12</v>
      </c>
      <c r="G2" s="129"/>
      <c r="H2" s="117" t="str">
        <f>IF(OR(F2="IDU",F2="OR",F2="UT",F2="WYU",F2="WYP",F2="CA",F2="WA"),"SITUS",F2)</f>
        <v>SITUS</v>
      </c>
      <c r="I2" s="117" t="s">
        <v>68</v>
      </c>
      <c r="J2"/>
    </row>
    <row r="3" spans="1:10">
      <c r="A3" s="118" t="str">
        <f t="shared" ref="A3:A66" si="0">CONCATENATE($B3,$C3,$D3,$E3,$H3)</f>
        <v>4098300SCHMAT415510WA Disallowed Colstrip #3 Write-offSITUS</v>
      </c>
      <c r="B3" s="127">
        <v>4098300</v>
      </c>
      <c r="C3" s="117" t="str">
        <f>IF('SCH M Lookup'!$B3=4098200,"SCHMAP",IF('SCH M Lookup'!$B3=4098300,"SCHMAT",IF('SCH M Lookup'!$B3=4099200,"SCHMDP",IF('SCH M Lookup'!$B3=4099300,"SCHMDT"))))</f>
        <v>SCHMAT</v>
      </c>
      <c r="D3" s="127">
        <v>415510</v>
      </c>
      <c r="E3" s="128" t="s">
        <v>385</v>
      </c>
      <c r="F3" s="127" t="s">
        <v>12</v>
      </c>
      <c r="G3" s="129"/>
      <c r="H3" s="117" t="str">
        <f t="shared" ref="H3:H66" si="1">IF(OR(F3="IDU",F3="OR",F3="UT",F3="WYU",F3="WYP",F3="CA",F3="WA"),"SITUS",F3)</f>
        <v>SITUS</v>
      </c>
      <c r="I3" s="117" t="s">
        <v>68</v>
      </c>
      <c r="J3"/>
    </row>
    <row r="4" spans="1:10">
      <c r="A4" s="118" t="str">
        <f t="shared" si="0"/>
        <v>4099300SCHMDT505510Vacation Accrual - PMISE</v>
      </c>
      <c r="B4" s="127">
        <v>4099300</v>
      </c>
      <c r="C4" s="117" t="str">
        <f>IF('SCH M Lookup'!$B4=4098200,"SCHMAP",IF('SCH M Lookup'!$B4=4098300,"SCHMAT",IF('SCH M Lookup'!$B4=4099200,"SCHMDP",IF('SCH M Lookup'!$B4=4099300,"SCHMDT"))))</f>
        <v>SCHMDT</v>
      </c>
      <c r="D4" s="127">
        <v>505510</v>
      </c>
      <c r="E4" s="128" t="s">
        <v>541</v>
      </c>
      <c r="F4" s="127" t="s">
        <v>85</v>
      </c>
      <c r="G4" s="129"/>
      <c r="H4" s="117" t="str">
        <f t="shared" si="1"/>
        <v>SE</v>
      </c>
      <c r="I4" s="117" t="s">
        <v>68</v>
      </c>
      <c r="J4"/>
    </row>
    <row r="5" spans="1:10">
      <c r="A5" s="118" t="str">
        <f t="shared" si="0"/>
        <v>4099300SCHMDT425400UT Kalamath Relicensing CostsOTHER</v>
      </c>
      <c r="B5" s="127">
        <v>4099300</v>
      </c>
      <c r="C5" s="117" t="str">
        <f>IF('SCH M Lookup'!$B5=4098200,"SCHMAP",IF('SCH M Lookup'!$B5=4098300,"SCHMAT",IF('SCH M Lookup'!$B5=4099200,"SCHMDP",IF('SCH M Lookup'!$B5=4099300,"SCHMDT"))))</f>
        <v>SCHMDT</v>
      </c>
      <c r="D5" s="127">
        <v>425400</v>
      </c>
      <c r="E5" s="128" t="s">
        <v>366</v>
      </c>
      <c r="F5" s="127" t="s">
        <v>306</v>
      </c>
      <c r="G5" s="129"/>
      <c r="H5" s="117" t="str">
        <f t="shared" si="1"/>
        <v>OTHER</v>
      </c>
      <c r="I5" s="117" t="s">
        <v>68</v>
      </c>
      <c r="J5"/>
    </row>
    <row r="6" spans="1:10">
      <c r="A6" s="118" t="str">
        <f t="shared" si="0"/>
        <v>4099300SCHMDT415880UT Def Independent Evaluation FeeSITUS</v>
      </c>
      <c r="B6" s="127">
        <v>4099300</v>
      </c>
      <c r="C6" s="117" t="str">
        <f>IF('SCH M Lookup'!$B6=4098200,"SCHMAP",IF('SCH M Lookup'!$B6=4098300,"SCHMAT",IF('SCH M Lookup'!$B6=4099200,"SCHMDP",IF('SCH M Lookup'!$B6=4099300,"SCHMDT"))))</f>
        <v>SCHMDT</v>
      </c>
      <c r="D6" s="126">
        <v>415880</v>
      </c>
      <c r="E6" s="128" t="s">
        <v>523</v>
      </c>
      <c r="F6" s="127" t="s">
        <v>370</v>
      </c>
      <c r="G6" s="129"/>
      <c r="H6" s="117" t="str">
        <f t="shared" si="1"/>
        <v>SITUS</v>
      </c>
      <c r="I6" s="117" t="s">
        <v>110</v>
      </c>
      <c r="J6"/>
    </row>
    <row r="7" spans="1:10">
      <c r="A7" s="118" t="str">
        <f t="shared" si="0"/>
        <v>4099300SCHMDT425215Unearned Joint Use Pole Contact RevenueSNPD</v>
      </c>
      <c r="B7" s="127">
        <v>4099300</v>
      </c>
      <c r="C7" s="117" t="str">
        <f>IF('SCH M Lookup'!$B7=4098200,"SCHMAP",IF('SCH M Lookup'!$B7=4098300,"SCHMAT",IF('SCH M Lookup'!$B7=4099200,"SCHMDP",IF('SCH M Lookup'!$B7=4099300,"SCHMDT"))))</f>
        <v>SCHMDT</v>
      </c>
      <c r="D7" s="127">
        <v>425215</v>
      </c>
      <c r="E7" s="128" t="s">
        <v>539</v>
      </c>
      <c r="F7" s="127" t="s">
        <v>11</v>
      </c>
      <c r="G7" s="129"/>
      <c r="H7" s="117" t="str">
        <f t="shared" si="1"/>
        <v>SNPD</v>
      </c>
      <c r="I7" s="117" t="s">
        <v>70</v>
      </c>
      <c r="J7"/>
    </row>
    <row r="8" spans="1:10">
      <c r="A8" s="118" t="str">
        <f t="shared" si="0"/>
        <v>4098300SCHMAT605100Trojan Decomissioning CostsTROJD</v>
      </c>
      <c r="B8" s="127">
        <v>4098300</v>
      </c>
      <c r="C8" s="117" t="str">
        <f>IF('SCH M Lookup'!$B8=4098200,"SCHMAP",IF('SCH M Lookup'!$B8=4098300,"SCHMAT",IF('SCH M Lookup'!$B8=4099200,"SCHMDP",IF('SCH M Lookup'!$B8=4099300,"SCHMDT"))))</f>
        <v>SCHMAT</v>
      </c>
      <c r="D8" s="127">
        <v>605100</v>
      </c>
      <c r="E8" s="128" t="s">
        <v>422</v>
      </c>
      <c r="F8" s="127" t="s">
        <v>252</v>
      </c>
      <c r="G8" s="129"/>
      <c r="H8" s="117" t="str">
        <f t="shared" si="1"/>
        <v>TROJD</v>
      </c>
      <c r="I8" s="117" t="s">
        <v>68</v>
      </c>
      <c r="J8"/>
    </row>
    <row r="9" spans="1:10">
      <c r="A9" s="118" t="str">
        <f t="shared" si="0"/>
        <v>4098300SCHMAT605715Trapper Mine Contract ObligationSE</v>
      </c>
      <c r="B9" s="127">
        <v>4098300</v>
      </c>
      <c r="C9" s="117" t="str">
        <f>IF('SCH M Lookup'!$B9=4098200,"SCHMAP",IF('SCH M Lookup'!$B9=4098300,"SCHMAT",IF('SCH M Lookup'!$B9=4099200,"SCHMDP",IF('SCH M Lookup'!$B9=4099300,"SCHMDT"))))</f>
        <v>SCHMAT</v>
      </c>
      <c r="D9" s="127">
        <v>605715</v>
      </c>
      <c r="E9" s="128" t="s">
        <v>425</v>
      </c>
      <c r="F9" s="127" t="s">
        <v>85</v>
      </c>
      <c r="G9" s="129"/>
      <c r="H9" s="117" t="str">
        <f t="shared" si="1"/>
        <v>SE</v>
      </c>
      <c r="I9" s="117" t="s">
        <v>68</v>
      </c>
      <c r="J9"/>
    </row>
    <row r="10" spans="1:10">
      <c r="A10" s="118" t="str">
        <f t="shared" si="0"/>
        <v>4098300SCHMAT425250TGS Buyout-SGSG</v>
      </c>
      <c r="B10" s="127">
        <v>4098300</v>
      </c>
      <c r="C10" s="117" t="str">
        <f>IF('SCH M Lookup'!$B10=4098200,"SCHMAP",IF('SCH M Lookup'!$B10=4098300,"SCHMAT",IF('SCH M Lookup'!$B10=4099200,"SCHMDP",IF('SCH M Lookup'!$B10=4099300,"SCHMDT"))))</f>
        <v>SCHMAT</v>
      </c>
      <c r="D10" s="127">
        <v>425250</v>
      </c>
      <c r="E10" s="128" t="s">
        <v>412</v>
      </c>
      <c r="F10" s="127" t="s">
        <v>87</v>
      </c>
      <c r="G10" s="129"/>
      <c r="H10" s="117" t="str">
        <f t="shared" si="1"/>
        <v>SG</v>
      </c>
      <c r="I10" s="117" t="s">
        <v>68</v>
      </c>
      <c r="J10"/>
    </row>
    <row r="11" spans="1:10">
      <c r="A11" s="118" t="str">
        <f t="shared" si="0"/>
        <v>4099300SCHMDT1102051Tax Percentage Depletion - DeductionSE</v>
      </c>
      <c r="B11" s="127">
        <v>4099300</v>
      </c>
      <c r="C11" s="117" t="str">
        <f>IF('SCH M Lookup'!$B11=4098200,"SCHMAP",IF('SCH M Lookup'!$B11=4098300,"SCHMAT",IF('SCH M Lookup'!$B11=4099200,"SCHMDP",IF('SCH M Lookup'!$B11=4099300,"SCHMDT"))))</f>
        <v>SCHMDT</v>
      </c>
      <c r="D11" s="127">
        <v>1102051</v>
      </c>
      <c r="E11" s="128" t="s">
        <v>479</v>
      </c>
      <c r="F11" s="127" t="s">
        <v>85</v>
      </c>
      <c r="G11" s="129"/>
      <c r="H11" s="117" t="str">
        <f t="shared" si="1"/>
        <v>SE</v>
      </c>
      <c r="I11" s="117" t="s">
        <v>68</v>
      </c>
      <c r="J11"/>
    </row>
    <row r="12" spans="1:10">
      <c r="A12" s="118" t="str">
        <f t="shared" si="0"/>
        <v>4099300SCHMDT105125Tax DepreciationTAXDEPR</v>
      </c>
      <c r="B12" s="127">
        <v>4099300</v>
      </c>
      <c r="C12" s="117" t="str">
        <f>IF('SCH M Lookup'!$B12=4098200,"SCHMAP",IF('SCH M Lookup'!$B12=4098300,"SCHMAT",IF('SCH M Lookup'!$B12=4099200,"SCHMDP",IF('SCH M Lookup'!$B12=4099300,"SCHMDT"))))</f>
        <v>SCHMDT</v>
      </c>
      <c r="D12" s="127">
        <v>105125</v>
      </c>
      <c r="E12" s="128" t="s">
        <v>256</v>
      </c>
      <c r="F12" s="127" t="s">
        <v>111</v>
      </c>
      <c r="G12" s="129"/>
      <c r="H12" s="117" t="str">
        <f t="shared" si="1"/>
        <v>TAXDEPR</v>
      </c>
      <c r="I12" s="117" t="s">
        <v>111</v>
      </c>
      <c r="J12"/>
    </row>
    <row r="13" spans="1:10">
      <c r="A13" s="118" t="str">
        <f t="shared" si="0"/>
        <v>4098300SCHMAT505600Sick Leave Vacation &amp; Personal TimeSO</v>
      </c>
      <c r="B13" s="127">
        <v>4098300</v>
      </c>
      <c r="C13" s="117" t="str">
        <f>IF('SCH M Lookup'!$B13=4098200,"SCHMAP",IF('SCH M Lookup'!$B13=4098300,"SCHMAT",IF('SCH M Lookup'!$B13=4099200,"SCHMDP",IF('SCH M Lookup'!$B13=4099300,"SCHMDT"))))</f>
        <v>SCHMAT</v>
      </c>
      <c r="D13" s="127">
        <v>505600</v>
      </c>
      <c r="E13" s="128" t="s">
        <v>419</v>
      </c>
      <c r="F13" s="127" t="s">
        <v>89</v>
      </c>
      <c r="G13" s="129"/>
      <c r="H13" s="117" t="str">
        <f t="shared" si="1"/>
        <v>SO</v>
      </c>
      <c r="I13" s="117" t="s">
        <v>102</v>
      </c>
      <c r="J13"/>
    </row>
    <row r="14" spans="1:10">
      <c r="A14" s="118" t="str">
        <f t="shared" si="0"/>
        <v>4098300SCHMAT505601Sick Leave Accrual - PMISE</v>
      </c>
      <c r="B14" s="127">
        <v>4098300</v>
      </c>
      <c r="C14" s="117" t="str">
        <f>IF('SCH M Lookup'!$B14=4098200,"SCHMAP",IF('SCH M Lookup'!$B14=4098300,"SCHMAT",IF('SCH M Lookup'!$B14=4099200,"SCHMDP",IF('SCH M Lookup'!$B14=4099300,"SCHMDT"))))</f>
        <v>SCHMAT</v>
      </c>
      <c r="D14" s="127">
        <v>505601</v>
      </c>
      <c r="E14" s="128" t="s">
        <v>420</v>
      </c>
      <c r="F14" s="127" t="s">
        <v>85</v>
      </c>
      <c r="G14" s="129"/>
      <c r="H14" s="117" t="str">
        <f t="shared" si="1"/>
        <v>SE</v>
      </c>
      <c r="I14" s="117" t="s">
        <v>102</v>
      </c>
      <c r="J14"/>
    </row>
    <row r="15" spans="1:10">
      <c r="A15" s="118" t="str">
        <f t="shared" si="0"/>
        <v>4099300SCHMDT720500Severance AccrualSO</v>
      </c>
      <c r="B15" s="127">
        <v>4099300</v>
      </c>
      <c r="C15" s="117" t="str">
        <f>IF('SCH M Lookup'!$B15=4098200,"SCHMAP",IF('SCH M Lookup'!$B15=4098300,"SCHMAT",IF('SCH M Lookup'!$B15=4099200,"SCHMDP",IF('SCH M Lookup'!$B15=4099300,"SCHMDT"))))</f>
        <v>SCHMDT</v>
      </c>
      <c r="D15" s="127">
        <v>720500</v>
      </c>
      <c r="E15" s="128" t="s">
        <v>550</v>
      </c>
      <c r="F15" s="127" t="s">
        <v>89</v>
      </c>
      <c r="G15" s="129"/>
      <c r="H15" s="117" t="str">
        <f t="shared" si="1"/>
        <v>SO</v>
      </c>
      <c r="I15" s="117" t="s">
        <v>102</v>
      </c>
      <c r="J15"/>
    </row>
    <row r="16" spans="1:10">
      <c r="A16" s="118" t="str">
        <f t="shared" si="0"/>
        <v>4098300SCHMAT605710Reverse Accrued Final ReclamationOTHER</v>
      </c>
      <c r="B16" s="127">
        <v>4098300</v>
      </c>
      <c r="C16" s="117" t="str">
        <f>IF('SCH M Lookup'!$B16=4098200,"SCHMAP",IF('SCH M Lookup'!$B16=4098300,"SCHMAT",IF('SCH M Lookup'!$B16=4099200,"SCHMDP",IF('SCH M Lookup'!$B16=4099300,"SCHMDT"))))</f>
        <v>SCHMAT</v>
      </c>
      <c r="D16" s="127">
        <v>605710</v>
      </c>
      <c r="E16" s="128" t="s">
        <v>424</v>
      </c>
      <c r="F16" s="127" t="s">
        <v>306</v>
      </c>
      <c r="G16" s="129"/>
      <c r="H16" s="117" t="str">
        <f t="shared" si="1"/>
        <v>OTHER</v>
      </c>
      <c r="I16" s="117" t="s">
        <v>68</v>
      </c>
      <c r="J16"/>
    </row>
    <row r="17" spans="1:10">
      <c r="A17" s="118" t="str">
        <f t="shared" si="0"/>
        <v>4099300SCHMDT105122Repair DeductionSG</v>
      </c>
      <c r="B17" s="127">
        <v>4099300</v>
      </c>
      <c r="C17" s="117" t="str">
        <f>IF('SCH M Lookup'!$B17=4098200,"SCHMAP",IF('SCH M Lookup'!$B17=4098300,"SCHMAT",IF('SCH M Lookup'!$B17=4099200,"SCHMDP",IF('SCH M Lookup'!$B17=4099300,"SCHMDT"))))</f>
        <v>SCHMDT</v>
      </c>
      <c r="D17" s="127">
        <v>105122</v>
      </c>
      <c r="E17" s="128" t="s">
        <v>467</v>
      </c>
      <c r="F17" s="127" t="s">
        <v>87</v>
      </c>
      <c r="G17" s="129"/>
      <c r="H17" s="117" t="str">
        <f t="shared" si="1"/>
        <v>SG</v>
      </c>
      <c r="I17" s="117" t="s">
        <v>68</v>
      </c>
      <c r="J17"/>
    </row>
    <row r="18" spans="1:10">
      <c r="A18" s="118" t="str">
        <f t="shared" si="0"/>
        <v>4099300SCHMDT105175Removal Cost (net of salvage)GPS</v>
      </c>
      <c r="B18" s="127">
        <v>4099300</v>
      </c>
      <c r="C18" s="117" t="str">
        <f>IF('SCH M Lookup'!$B18=4098200,"SCHMAP",IF('SCH M Lookup'!$B18=4098300,"SCHMAT",IF('SCH M Lookup'!$B18=4099200,"SCHMDP",IF('SCH M Lookup'!$B18=4099300,"SCHMDT"))))</f>
        <v>SCHMDT</v>
      </c>
      <c r="D18" s="127">
        <v>105175</v>
      </c>
      <c r="E18" s="128" t="s">
        <v>476</v>
      </c>
      <c r="F18" s="127" t="s">
        <v>9</v>
      </c>
      <c r="G18" s="129"/>
      <c r="H18" s="117" t="str">
        <f t="shared" si="1"/>
        <v>GPS</v>
      </c>
      <c r="I18" s="117" t="s">
        <v>92</v>
      </c>
      <c r="J18"/>
    </row>
    <row r="19" spans="1:10">
      <c r="A19" s="118" t="str">
        <f t="shared" si="0"/>
        <v>4098300SCHMAT705521Regulatory Liability - WY Deferred ExcesOTHER</v>
      </c>
      <c r="B19" s="127">
        <v>4098300</v>
      </c>
      <c r="C19" s="117" t="str">
        <f>IF('SCH M Lookup'!$B19=4098200,"SCHMAP",IF('SCH M Lookup'!$B19=4098300,"SCHMAT",IF('SCH M Lookup'!$B19=4099200,"SCHMDP",IF('SCH M Lookup'!$B19=4099300,"SCHMDT"))))</f>
        <v>SCHMAT</v>
      </c>
      <c r="D19" s="127">
        <v>705521</v>
      </c>
      <c r="E19" s="128" t="s">
        <v>447</v>
      </c>
      <c r="F19" s="127" t="s">
        <v>306</v>
      </c>
      <c r="G19" s="129"/>
      <c r="H19" s="117" t="str">
        <f t="shared" si="1"/>
        <v>OTHER</v>
      </c>
      <c r="I19" s="117" t="s">
        <v>68</v>
      </c>
      <c r="J19"/>
    </row>
    <row r="20" spans="1:10">
      <c r="A20" s="118" t="str">
        <f t="shared" si="0"/>
        <v>4098300SCHMAT705519Regulatory Liability - WA Deferred ExcesOTHER</v>
      </c>
      <c r="B20" s="127">
        <v>4098300</v>
      </c>
      <c r="C20" s="117" t="str">
        <f>IF('SCH M Lookup'!$B20=4098200,"SCHMAP",IF('SCH M Lookup'!$B20=4098300,"SCHMAT",IF('SCH M Lookup'!$B20=4099200,"SCHMDP",IF('SCH M Lookup'!$B20=4099300,"SCHMDT"))))</f>
        <v>SCHMAT</v>
      </c>
      <c r="D20" s="127">
        <v>705519</v>
      </c>
      <c r="E20" s="128" t="s">
        <v>446</v>
      </c>
      <c r="F20" s="127" t="s">
        <v>306</v>
      </c>
      <c r="G20" s="129"/>
      <c r="H20" s="117" t="str">
        <f t="shared" si="1"/>
        <v>OTHER</v>
      </c>
      <c r="I20" s="117" t="s">
        <v>68</v>
      </c>
      <c r="J20"/>
    </row>
    <row r="21" spans="1:10">
      <c r="A21" s="118" t="str">
        <f t="shared" si="0"/>
        <v>4098300SCHMAT705531Regulatory Liability - UT Solar Feed-inOTHER</v>
      </c>
      <c r="B21" s="127">
        <v>4098300</v>
      </c>
      <c r="C21" s="117" t="str">
        <f>IF('SCH M Lookup'!$B21=4098200,"SCHMAP",IF('SCH M Lookup'!$B21=4098300,"SCHMAT",IF('SCH M Lookup'!$B21=4099200,"SCHMDP",IF('SCH M Lookup'!$B21=4099300,"SCHMDT"))))</f>
        <v>SCHMAT</v>
      </c>
      <c r="D21" s="127">
        <v>705531</v>
      </c>
      <c r="E21" s="128" t="s">
        <v>449</v>
      </c>
      <c r="F21" s="127" t="s">
        <v>306</v>
      </c>
      <c r="G21" s="129"/>
      <c r="H21" s="117" t="str">
        <f t="shared" si="1"/>
        <v>OTHER</v>
      </c>
      <c r="I21" s="117" t="s">
        <v>74</v>
      </c>
      <c r="J21"/>
    </row>
    <row r="22" spans="1:10">
      <c r="A22" s="118" t="str">
        <f t="shared" si="0"/>
        <v>4098300SCHMAT705517Regulatory Liability - UT Deferred ExcesOTHER</v>
      </c>
      <c r="B22" s="127">
        <v>4098300</v>
      </c>
      <c r="C22" s="117" t="str">
        <f>IF('SCH M Lookup'!$B22=4098200,"SCHMAP",IF('SCH M Lookup'!$B22=4098300,"SCHMAT",IF('SCH M Lookup'!$B22=4099200,"SCHMDP",IF('SCH M Lookup'!$B22=4099300,"SCHMDT"))))</f>
        <v>SCHMAT</v>
      </c>
      <c r="D22" s="127">
        <v>705517</v>
      </c>
      <c r="E22" s="128" t="s">
        <v>445</v>
      </c>
      <c r="F22" s="127" t="s">
        <v>306</v>
      </c>
      <c r="G22" s="129"/>
      <c r="H22" s="117" t="str">
        <f t="shared" si="1"/>
        <v>OTHER</v>
      </c>
      <c r="I22" s="117" t="s">
        <v>68</v>
      </c>
      <c r="J22"/>
    </row>
    <row r="23" spans="1:10">
      <c r="A23" s="118" t="str">
        <f t="shared" si="0"/>
        <v>4098300SCHMAT705515Regulatory Liability - OR Deferred ExcesOTHER</v>
      </c>
      <c r="B23" s="127">
        <v>4098300</v>
      </c>
      <c r="C23" s="117" t="str">
        <f>IF('SCH M Lookup'!$B23=4098200,"SCHMAP",IF('SCH M Lookup'!$B23=4098300,"SCHMAT",IF('SCH M Lookup'!$B23=4099200,"SCHMDP",IF('SCH M Lookup'!$B23=4099300,"SCHMDT"))))</f>
        <v>SCHMAT</v>
      </c>
      <c r="D23" s="127">
        <v>705515</v>
      </c>
      <c r="E23" s="128" t="s">
        <v>444</v>
      </c>
      <c r="F23" s="127" t="s">
        <v>306</v>
      </c>
      <c r="G23" s="129"/>
      <c r="H23" s="117" t="str">
        <f t="shared" si="1"/>
        <v>OTHER</v>
      </c>
      <c r="I23" s="117" t="s">
        <v>68</v>
      </c>
      <c r="J23"/>
    </row>
    <row r="24" spans="1:10">
      <c r="A24" s="118" t="str">
        <f t="shared" si="0"/>
        <v>4098300SCHMAT705527Regulatory Liability - CA Solar Feed-inOTHER</v>
      </c>
      <c r="B24" s="127">
        <v>4098300</v>
      </c>
      <c r="C24" s="117" t="str">
        <f>IF('SCH M Lookup'!$B24=4098200,"SCHMAP",IF('SCH M Lookup'!$B24=4098300,"SCHMAT",IF('SCH M Lookup'!$B24=4099200,"SCHMDP",IF('SCH M Lookup'!$B24=4099300,"SCHMDT"))))</f>
        <v>SCHMAT</v>
      </c>
      <c r="D24" s="127">
        <v>705527</v>
      </c>
      <c r="E24" s="128" t="s">
        <v>448</v>
      </c>
      <c r="F24" s="127" t="s">
        <v>306</v>
      </c>
      <c r="G24" s="129"/>
      <c r="H24" s="117" t="str">
        <f t="shared" si="1"/>
        <v>OTHER</v>
      </c>
      <c r="I24" s="117" t="s">
        <v>74</v>
      </c>
      <c r="J24"/>
    </row>
    <row r="25" spans="1:10">
      <c r="A25" s="118" t="str">
        <f t="shared" si="0"/>
        <v>4098300SCHMAT415827Regulatory Asset - Post -Ret MMT -ORSITUS</v>
      </c>
      <c r="B25" s="127">
        <v>4098300</v>
      </c>
      <c r="C25" s="117" t="str">
        <f>IF('SCH M Lookup'!$B25=4098200,"SCHMAP",IF('SCH M Lookup'!$B25=4098300,"SCHMAT",IF('SCH M Lookup'!$B25=4099200,"SCHMDP",IF('SCH M Lookup'!$B25=4099300,"SCHMDT"))))</f>
        <v>SCHMAT</v>
      </c>
      <c r="D25" s="127">
        <v>415827</v>
      </c>
      <c r="E25" s="128" t="s">
        <v>394</v>
      </c>
      <c r="F25" s="127" t="s">
        <v>12</v>
      </c>
      <c r="G25" s="129"/>
      <c r="H25" s="117" t="str">
        <f t="shared" si="1"/>
        <v>SITUS</v>
      </c>
      <c r="I25" s="117" t="s">
        <v>102</v>
      </c>
      <c r="J25"/>
    </row>
    <row r="26" spans="1:10">
      <c r="A26" s="118" t="str">
        <f t="shared" si="0"/>
        <v>4098300SCHMAT415831Regulatory Asset - Post - Ret MMT -CASITUS</v>
      </c>
      <c r="B26" s="127">
        <v>4098300</v>
      </c>
      <c r="C26" s="117" t="str">
        <f>IF('SCH M Lookup'!$B26=4098200,"SCHMAP",IF('SCH M Lookup'!$B26=4098300,"SCHMAT",IF('SCH M Lookup'!$B26=4099200,"SCHMDP",IF('SCH M Lookup'!$B26=4099300,"SCHMDT"))))</f>
        <v>SCHMAT</v>
      </c>
      <c r="D26" s="127">
        <v>415831</v>
      </c>
      <c r="E26" s="128" t="s">
        <v>396</v>
      </c>
      <c r="F26" s="127" t="s">
        <v>12</v>
      </c>
      <c r="G26" s="129"/>
      <c r="H26" s="117" t="str">
        <f t="shared" si="1"/>
        <v>SITUS</v>
      </c>
      <c r="I26" s="117" t="s">
        <v>102</v>
      </c>
      <c r="J26"/>
    </row>
    <row r="27" spans="1:10">
      <c r="A27" s="118" t="str">
        <f t="shared" si="0"/>
        <v>4099300SCHMDT610142Reg. Liability - UT Home Energy LifelineSITUS</v>
      </c>
      <c r="B27" s="127">
        <v>4099300</v>
      </c>
      <c r="C27" s="117" t="str">
        <f>IF('SCH M Lookup'!$B27=4098200,"SCHMAP",IF('SCH M Lookup'!$B27=4098300,"SCHMAT",IF('SCH M Lookup'!$B27=4099200,"SCHMDP",IF('SCH M Lookup'!$B27=4099300,"SCHMDT"))))</f>
        <v>SCHMDT</v>
      </c>
      <c r="D27" s="127">
        <v>610142</v>
      </c>
      <c r="E27" s="128" t="s">
        <v>547</v>
      </c>
      <c r="F27" s="127" t="s">
        <v>12</v>
      </c>
      <c r="G27" s="129"/>
      <c r="H27" s="117" t="str">
        <f t="shared" si="1"/>
        <v>SITUS</v>
      </c>
      <c r="I27" s="117" t="s">
        <v>74</v>
      </c>
      <c r="J27"/>
    </row>
    <row r="28" spans="1:10">
      <c r="A28" s="118" t="str">
        <f t="shared" si="0"/>
        <v>4098300SCHMAT705455Reg Liability - WY Property Insurance ReSITUS</v>
      </c>
      <c r="B28" s="127">
        <v>4098300</v>
      </c>
      <c r="C28" s="117" t="str">
        <f>IF('SCH M Lookup'!$B28=4098200,"SCHMAP",IF('SCH M Lookup'!$B28=4098300,"SCHMAT",IF('SCH M Lookup'!$B28=4099200,"SCHMDP",IF('SCH M Lookup'!$B28=4099300,"SCHMDT"))))</f>
        <v>SCHMAT</v>
      </c>
      <c r="D28" s="127">
        <v>705455</v>
      </c>
      <c r="E28" s="128" t="s">
        <v>443</v>
      </c>
      <c r="F28" s="127" t="s">
        <v>12</v>
      </c>
      <c r="G28" s="129"/>
      <c r="H28" s="117" t="str">
        <f t="shared" si="1"/>
        <v>SITUS</v>
      </c>
      <c r="I28" s="117" t="s">
        <v>92</v>
      </c>
      <c r="J28"/>
    </row>
    <row r="29" spans="1:10">
      <c r="A29" s="118" t="str">
        <f t="shared" si="0"/>
        <v>4098300SCHMAT610143Reg Liability - WA Low Energy ProgramSITUS</v>
      </c>
      <c r="B29" s="127">
        <v>4098300</v>
      </c>
      <c r="C29" s="117" t="str">
        <f>IF('SCH M Lookup'!$B29=4098200,"SCHMAP",IF('SCH M Lookup'!$B29=4098300,"SCHMAT",IF('SCH M Lookup'!$B29=4099200,"SCHMDP",IF('SCH M Lookup'!$B29=4099300,"SCHMDT"))))</f>
        <v>SCHMAT</v>
      </c>
      <c r="D29" s="127">
        <v>610143</v>
      </c>
      <c r="E29" s="128" t="s">
        <v>428</v>
      </c>
      <c r="F29" s="127" t="s">
        <v>12</v>
      </c>
      <c r="G29" s="129"/>
      <c r="H29" s="117" t="str">
        <f t="shared" si="1"/>
        <v>SITUS</v>
      </c>
      <c r="I29" s="117" t="s">
        <v>70</v>
      </c>
      <c r="J29"/>
    </row>
    <row r="30" spans="1:10">
      <c r="A30" s="118" t="str">
        <f t="shared" si="0"/>
        <v>4098300SCHMAT705267Reg Liability - WA Decoupling MechanismOTHER</v>
      </c>
      <c r="B30" s="127">
        <v>4098300</v>
      </c>
      <c r="C30" s="117" t="str">
        <f>IF('SCH M Lookup'!$B30=4098200,"SCHMAP",IF('SCH M Lookup'!$B30=4098300,"SCHMAT",IF('SCH M Lookup'!$B30=4099200,"SCHMDP",IF('SCH M Lookup'!$B30=4099300,"SCHMDT"))))</f>
        <v>SCHMAT</v>
      </c>
      <c r="D30" s="127">
        <v>705267</v>
      </c>
      <c r="E30" s="128" t="s">
        <v>437</v>
      </c>
      <c r="F30" s="127" t="s">
        <v>306</v>
      </c>
      <c r="G30" s="129"/>
      <c r="H30" s="117" t="str">
        <f t="shared" si="1"/>
        <v>OTHER</v>
      </c>
      <c r="I30" s="117" t="s">
        <v>92</v>
      </c>
      <c r="J30"/>
    </row>
    <row r="31" spans="1:10">
      <c r="A31" s="118" t="str">
        <f t="shared" si="0"/>
        <v>4098300SCHMAT415710Reg Liability - WA - Accelerated DepreciSITUS</v>
      </c>
      <c r="B31" s="127">
        <v>4098300</v>
      </c>
      <c r="C31" s="117" t="str">
        <f>IF('SCH M Lookup'!$B31=4098200,"SCHMAP",IF('SCH M Lookup'!$B31=4098300,"SCHMAT",IF('SCH M Lookup'!$B31=4099200,"SCHMDP",IF('SCH M Lookup'!$B31=4099300,"SCHMDT"))))</f>
        <v>SCHMAT</v>
      </c>
      <c r="D31" s="127">
        <v>415710</v>
      </c>
      <c r="E31" s="128" t="s">
        <v>392</v>
      </c>
      <c r="F31" s="127" t="s">
        <v>12</v>
      </c>
      <c r="G31" s="129"/>
      <c r="H31" s="117" t="str">
        <f t="shared" si="1"/>
        <v>SITUS</v>
      </c>
      <c r="I31" s="117" t="s">
        <v>68</v>
      </c>
      <c r="J31"/>
    </row>
    <row r="32" spans="1:10">
      <c r="A32" s="118" t="str">
        <f t="shared" si="0"/>
        <v>4099300SCHMDT705454Reg Liability - UT Property Insurance ReSITUS</v>
      </c>
      <c r="B32" s="127">
        <v>4099300</v>
      </c>
      <c r="C32" s="117" t="str">
        <f>IF('SCH M Lookup'!$B32=4098200,"SCHMAP",IF('SCH M Lookup'!$B32=4098300,"SCHMAT",IF('SCH M Lookup'!$B32=4099200,"SCHMDP",IF('SCH M Lookup'!$B32=4099300,"SCHMDT"))))</f>
        <v>SCHMDT</v>
      </c>
      <c r="D32" s="127">
        <v>705454</v>
      </c>
      <c r="E32" s="128" t="s">
        <v>548</v>
      </c>
      <c r="F32" s="127" t="s">
        <v>12</v>
      </c>
      <c r="G32" s="129"/>
      <c r="H32" s="117" t="str">
        <f t="shared" si="1"/>
        <v>SITUS</v>
      </c>
      <c r="I32" s="117" t="s">
        <v>68</v>
      </c>
      <c r="J32"/>
    </row>
    <row r="33" spans="1:10">
      <c r="A33" s="118" t="str">
        <f t="shared" si="0"/>
        <v>4098300SCHMAT415705Reg Liability - Tax Revenue Adjustment -SITUS</v>
      </c>
      <c r="B33" s="127">
        <v>4098300</v>
      </c>
      <c r="C33" s="117" t="str">
        <f>IF('SCH M Lookup'!$B33=4098200,"SCHMAP",IF('SCH M Lookup'!$B33=4098300,"SCHMAT",IF('SCH M Lookup'!$B33=4099200,"SCHMDP",IF('SCH M Lookup'!$B33=4099300,"SCHMDT"))))</f>
        <v>SCHMAT</v>
      </c>
      <c r="D33" s="127">
        <v>415705</v>
      </c>
      <c r="E33" s="128" t="s">
        <v>391</v>
      </c>
      <c r="F33" s="127" t="s">
        <v>12</v>
      </c>
      <c r="G33" s="129"/>
      <c r="H33" s="117" t="str">
        <f t="shared" si="1"/>
        <v>SITUS</v>
      </c>
      <c r="I33" s="117" t="s">
        <v>92</v>
      </c>
      <c r="J33"/>
    </row>
    <row r="34" spans="1:10">
      <c r="A34" s="118" t="str">
        <f t="shared" si="0"/>
        <v>4098300SCHMAT705336Reg Liability - Sale of Renewable EnergyOTHER</v>
      </c>
      <c r="B34" s="127">
        <v>4098300</v>
      </c>
      <c r="C34" s="117" t="str">
        <f>IF('SCH M Lookup'!$B34=4098200,"SCHMAP",IF('SCH M Lookup'!$B34=4098300,"SCHMAT",IF('SCH M Lookup'!$B34=4099200,"SCHMDP",IF('SCH M Lookup'!$B34=4099300,"SCHMDT"))))</f>
        <v>SCHMAT</v>
      </c>
      <c r="D34" s="127">
        <v>705336</v>
      </c>
      <c r="E34" s="128" t="s">
        <v>438</v>
      </c>
      <c r="F34" s="127" t="s">
        <v>306</v>
      </c>
      <c r="G34" s="129"/>
      <c r="H34" s="117" t="str">
        <f t="shared" si="1"/>
        <v>OTHER</v>
      </c>
      <c r="I34" s="117" t="s">
        <v>68</v>
      </c>
      <c r="J34"/>
    </row>
    <row r="35" spans="1:10">
      <c r="A35" s="118" t="str">
        <f t="shared" si="0"/>
        <v>4099300SCHMDT705261Reg Liability - Sale of Renewable EnergyOTHER</v>
      </c>
      <c r="B35" s="127">
        <v>4099300</v>
      </c>
      <c r="C35" s="117" t="str">
        <f>IF('SCH M Lookup'!$B35=4098200,"SCHMAP",IF('SCH M Lookup'!$B35=4098300,"SCHMAT",IF('SCH M Lookup'!$B35=4099200,"SCHMDP",IF('SCH M Lookup'!$B35=4099300,"SCHMDT"))))</f>
        <v>SCHMDT</v>
      </c>
      <c r="D35" s="127">
        <v>705261</v>
      </c>
      <c r="E35" s="128" t="s">
        <v>438</v>
      </c>
      <c r="F35" s="127" t="s">
        <v>306</v>
      </c>
      <c r="G35" s="129"/>
      <c r="H35" s="117" t="str">
        <f t="shared" si="1"/>
        <v>OTHER</v>
      </c>
      <c r="I35" s="117" t="s">
        <v>68</v>
      </c>
      <c r="J35"/>
    </row>
    <row r="36" spans="1:10">
      <c r="A36" s="118" t="str">
        <f t="shared" si="0"/>
        <v>4099300SCHMDT705337Reg Liability - Sale of Renewable EnergyOTHER</v>
      </c>
      <c r="B36" s="127">
        <v>4099300</v>
      </c>
      <c r="C36" s="117" t="str">
        <f>IF('SCH M Lookup'!$B36=4098200,"SCHMAP",IF('SCH M Lookup'!$B36=4098300,"SCHMAT",IF('SCH M Lookup'!$B36=4099200,"SCHMDP",IF('SCH M Lookup'!$B36=4099300,"SCHMDT"))))</f>
        <v>SCHMDT</v>
      </c>
      <c r="D36" s="127">
        <v>705337</v>
      </c>
      <c r="E36" s="128" t="s">
        <v>438</v>
      </c>
      <c r="F36" s="127" t="s">
        <v>306</v>
      </c>
      <c r="G36" s="129"/>
      <c r="H36" s="117" t="str">
        <f t="shared" si="1"/>
        <v>OTHER</v>
      </c>
      <c r="I36" s="117" t="s">
        <v>68</v>
      </c>
      <c r="J36"/>
    </row>
    <row r="37" spans="1:10">
      <c r="A37" s="118" t="str">
        <f t="shared" si="0"/>
        <v>4098300SCHMAT705263Reg Liability - Sale of REC's-WAOTHER</v>
      </c>
      <c r="B37" s="127">
        <v>4098300</v>
      </c>
      <c r="C37" s="117" t="str">
        <f>IF('SCH M Lookup'!$B37=4098200,"SCHMAP",IF('SCH M Lookup'!$B37=4098300,"SCHMAT",IF('SCH M Lookup'!$B37=4099200,"SCHMDP",IF('SCH M Lookup'!$B37=4099300,"SCHMDT"))))</f>
        <v>SCHMAT</v>
      </c>
      <c r="D37" s="127">
        <v>705263</v>
      </c>
      <c r="E37" s="128" t="s">
        <v>434</v>
      </c>
      <c r="F37" s="127" t="s">
        <v>306</v>
      </c>
      <c r="G37" s="129"/>
      <c r="H37" s="117" t="str">
        <f t="shared" si="1"/>
        <v>OTHER</v>
      </c>
      <c r="I37" s="117" t="s">
        <v>68</v>
      </c>
      <c r="J37"/>
    </row>
    <row r="38" spans="1:10">
      <c r="A38" s="118" t="str">
        <f t="shared" si="0"/>
        <v>4098300SCHMAT705451Reg Liability - OR Property Insurance ReSITUS</v>
      </c>
      <c r="B38" s="127">
        <v>4098300</v>
      </c>
      <c r="C38" s="117" t="str">
        <f>IF('SCH M Lookup'!$B38=4098200,"SCHMAP",IF('SCH M Lookup'!$B38=4098300,"SCHMAT",IF('SCH M Lookup'!$B38=4099200,"SCHMDP",IF('SCH M Lookup'!$B38=4099300,"SCHMDT"))))</f>
        <v>SCHMAT</v>
      </c>
      <c r="D38" s="127">
        <v>705451</v>
      </c>
      <c r="E38" s="128" t="s">
        <v>441</v>
      </c>
      <c r="F38" s="127" t="s">
        <v>12</v>
      </c>
      <c r="G38" s="129"/>
      <c r="H38" s="117" t="str">
        <f t="shared" si="1"/>
        <v>SITUS</v>
      </c>
      <c r="I38" s="117" t="s">
        <v>92</v>
      </c>
      <c r="J38"/>
    </row>
    <row r="39" spans="1:10">
      <c r="A39" s="118" t="str">
        <f t="shared" si="0"/>
        <v>4098300SCHMAT705400Reg Liability - OR Injuries &amp; Damages ReSITUS</v>
      </c>
      <c r="B39" s="127">
        <v>4098300</v>
      </c>
      <c r="C39" s="117" t="str">
        <f>IF('SCH M Lookup'!$B39=4098200,"SCHMAP",IF('SCH M Lookup'!$B39=4098300,"SCHMAT",IF('SCH M Lookup'!$B39=4099200,"SCHMDP",IF('SCH M Lookup'!$B39=4099300,"SCHMDT"))))</f>
        <v>SCHMAT</v>
      </c>
      <c r="D39" s="127">
        <v>705400</v>
      </c>
      <c r="E39" s="128" t="s">
        <v>439</v>
      </c>
      <c r="F39" s="127" t="s">
        <v>12</v>
      </c>
      <c r="G39" s="129"/>
      <c r="H39" s="117" t="str">
        <f t="shared" si="1"/>
        <v>SITUS</v>
      </c>
      <c r="I39" s="117" t="s">
        <v>102</v>
      </c>
      <c r="J39"/>
    </row>
    <row r="40" spans="1:10">
      <c r="A40" s="118" t="str">
        <f t="shared" si="0"/>
        <v>4098300SCHMAT705245REG LIABILITY - OR DIRECT ACCESS 5 YEAROTHER</v>
      </c>
      <c r="B40" s="127">
        <v>4098300</v>
      </c>
      <c r="C40" s="117" t="str">
        <f>IF('SCH M Lookup'!$B40=4098200,"SCHMAP",IF('SCH M Lookup'!$B40=4098300,"SCHMAT",IF('SCH M Lookup'!$B40=4099200,"SCHMDP",IF('SCH M Lookup'!$B40=4099300,"SCHMDT"))))</f>
        <v>SCHMAT</v>
      </c>
      <c r="D40" s="127">
        <v>705245</v>
      </c>
      <c r="E40" s="128" t="s">
        <v>433</v>
      </c>
      <c r="F40" s="127" t="s">
        <v>306</v>
      </c>
      <c r="G40" s="129"/>
      <c r="H40" s="117" t="str">
        <f t="shared" si="1"/>
        <v>OTHER</v>
      </c>
      <c r="I40" s="117" t="s">
        <v>92</v>
      </c>
      <c r="J40"/>
    </row>
    <row r="41" spans="1:10">
      <c r="A41" s="118" t="str">
        <f t="shared" si="0"/>
        <v>4099300SCHMDT705755Reg Liability - Non current Reclass - OtOTHER</v>
      </c>
      <c r="B41" s="127">
        <v>4099300</v>
      </c>
      <c r="C41" s="117" t="str">
        <f>IF('SCH M Lookup'!$B41=4098200,"SCHMAP",IF('SCH M Lookup'!$B41=4098300,"SCHMAT",IF('SCH M Lookup'!$B41=4099200,"SCHMDP",IF('SCH M Lookup'!$B41=4099300,"SCHMDT"))))</f>
        <v>SCHMDT</v>
      </c>
      <c r="D41" s="127">
        <v>705755</v>
      </c>
      <c r="E41" s="128" t="s">
        <v>549</v>
      </c>
      <c r="F41" s="127" t="s">
        <v>306</v>
      </c>
      <c r="G41" s="129"/>
      <c r="H41" s="117" t="str">
        <f t="shared" si="1"/>
        <v>OTHER</v>
      </c>
      <c r="I41" s="117" t="s">
        <v>110</v>
      </c>
      <c r="J41"/>
    </row>
    <row r="42" spans="1:10">
      <c r="A42" s="118" t="str">
        <f t="shared" si="0"/>
        <v>4098300SCHMAT705453Reg Liability - ID Property Insurance ReSITUS</v>
      </c>
      <c r="B42" s="127">
        <v>4098300</v>
      </c>
      <c r="C42" s="117" t="str">
        <f>IF('SCH M Lookup'!$B42=4098200,"SCHMAP",IF('SCH M Lookup'!$B42=4098300,"SCHMAT",IF('SCH M Lookup'!$B42=4099200,"SCHMDP",IF('SCH M Lookup'!$B42=4099300,"SCHMDT"))))</f>
        <v>SCHMAT</v>
      </c>
      <c r="D42" s="127">
        <v>705453</v>
      </c>
      <c r="E42" s="128" t="s">
        <v>442</v>
      </c>
      <c r="F42" s="127" t="s">
        <v>12</v>
      </c>
      <c r="G42" s="129"/>
      <c r="H42" s="117" t="str">
        <f t="shared" si="1"/>
        <v>SITUS</v>
      </c>
      <c r="I42" s="117" t="s">
        <v>92</v>
      </c>
      <c r="J42"/>
    </row>
    <row r="43" spans="1:10">
      <c r="A43" s="118" t="str">
        <f t="shared" si="0"/>
        <v>4099300SCHMDT320279Reg Liability - FAS 158 Post RetirementSO</v>
      </c>
      <c r="B43" s="126">
        <v>4099300</v>
      </c>
      <c r="C43" s="117" t="str">
        <f>IF('SCH M Lookup'!$B43=4098200,"SCHMAP",IF('SCH M Lookup'!$B43=4098300,"SCHMAT",IF('SCH M Lookup'!$B43=4099200,"SCHMDP",IF('SCH M Lookup'!$B43=4099300,"SCHMDT"))))</f>
        <v>SCHMDT</v>
      </c>
      <c r="D43" s="126">
        <v>320279</v>
      </c>
      <c r="E43" s="128" t="s">
        <v>1686</v>
      </c>
      <c r="F43" s="127" t="s">
        <v>89</v>
      </c>
      <c r="G43" s="129"/>
      <c r="H43" s="117" t="str">
        <f t="shared" si="1"/>
        <v>SO</v>
      </c>
      <c r="I43" s="117" t="s">
        <v>102</v>
      </c>
      <c r="J43"/>
    </row>
    <row r="44" spans="1:10">
      <c r="A44" s="118" t="str">
        <f t="shared" si="0"/>
        <v>4098300SCHMAT705340Reg Liability - Excess Income Tax DeferrOTHER</v>
      </c>
      <c r="B44" s="127">
        <v>4098300</v>
      </c>
      <c r="C44" s="117" t="str">
        <f>IF('SCH M Lookup'!$B44=4098200,"SCHMAP",IF('SCH M Lookup'!$B44=4098300,"SCHMAT",IF('SCH M Lookup'!$B44=4099200,"SCHMDP",IF('SCH M Lookup'!$B44=4099300,"SCHMDT"))))</f>
        <v>SCHMAT</v>
      </c>
      <c r="D44" s="127">
        <v>705340</v>
      </c>
      <c r="E44" s="128" t="s">
        <v>1684</v>
      </c>
      <c r="F44" s="127" t="s">
        <v>306</v>
      </c>
      <c r="G44" s="129"/>
      <c r="H44" s="117" t="str">
        <f t="shared" si="1"/>
        <v>OTHER</v>
      </c>
      <c r="I44" s="117" t="s">
        <v>110</v>
      </c>
      <c r="J44"/>
    </row>
    <row r="45" spans="1:10">
      <c r="A45" s="118" t="str">
        <f t="shared" si="0"/>
        <v>4098300SCHMAT705341Reg Liability - Excess Income Tax DeferrOTHER</v>
      </c>
      <c r="B45" s="127">
        <v>4098300</v>
      </c>
      <c r="C45" s="117" t="str">
        <f>IF('SCH M Lookup'!$B45=4098200,"SCHMAP",IF('SCH M Lookup'!$B45=4098300,"SCHMAT",IF('SCH M Lookup'!$B45=4099200,"SCHMDP",IF('SCH M Lookup'!$B45=4099300,"SCHMDT"))))</f>
        <v>SCHMAT</v>
      </c>
      <c r="D45" s="127">
        <v>705341</v>
      </c>
      <c r="E45" s="128" t="s">
        <v>1684</v>
      </c>
      <c r="F45" s="127" t="s">
        <v>306</v>
      </c>
      <c r="G45" s="129"/>
      <c r="H45" s="117" t="str">
        <f t="shared" si="1"/>
        <v>OTHER</v>
      </c>
      <c r="I45" s="117" t="s">
        <v>110</v>
      </c>
      <c r="J45"/>
    </row>
    <row r="46" spans="1:10">
      <c r="A46" s="118" t="str">
        <f t="shared" si="0"/>
        <v>4098300SCHMAT705342Reg Liability - Excess Income Tax DeferrOTHER</v>
      </c>
      <c r="B46" s="127">
        <v>4098300</v>
      </c>
      <c r="C46" s="117" t="str">
        <f>IF('SCH M Lookup'!$B46=4098200,"SCHMAP",IF('SCH M Lookup'!$B46=4098300,"SCHMAT",IF('SCH M Lookup'!$B46=4099200,"SCHMDP",IF('SCH M Lookup'!$B46=4099300,"SCHMDT"))))</f>
        <v>SCHMAT</v>
      </c>
      <c r="D46" s="127">
        <v>705342</v>
      </c>
      <c r="E46" s="128" t="s">
        <v>1684</v>
      </c>
      <c r="F46" s="127" t="s">
        <v>306</v>
      </c>
      <c r="G46" s="129"/>
      <c r="H46" s="117" t="str">
        <f t="shared" si="1"/>
        <v>OTHER</v>
      </c>
      <c r="I46" s="117" t="s">
        <v>110</v>
      </c>
      <c r="J46"/>
    </row>
    <row r="47" spans="1:10">
      <c r="A47" s="118" t="str">
        <f t="shared" si="0"/>
        <v>4098300SCHMAT705343Reg Liability - Excess Income Tax DeferrOTHER</v>
      </c>
      <c r="B47" s="127">
        <v>4098300</v>
      </c>
      <c r="C47" s="117" t="str">
        <f>IF('SCH M Lookup'!$B47=4098200,"SCHMAP",IF('SCH M Lookup'!$B47=4098300,"SCHMAT",IF('SCH M Lookup'!$B47=4099200,"SCHMDP",IF('SCH M Lookup'!$B47=4099300,"SCHMDT"))))</f>
        <v>SCHMAT</v>
      </c>
      <c r="D47" s="127">
        <v>705343</v>
      </c>
      <c r="E47" s="128" t="s">
        <v>1684</v>
      </c>
      <c r="F47" s="127" t="s">
        <v>306</v>
      </c>
      <c r="G47" s="129"/>
      <c r="H47" s="117" t="str">
        <f t="shared" si="1"/>
        <v>OTHER</v>
      </c>
      <c r="I47" s="117" t="s">
        <v>110</v>
      </c>
      <c r="J47"/>
    </row>
    <row r="48" spans="1:10">
      <c r="A48" s="118" t="str">
        <f t="shared" si="0"/>
        <v>4098300SCHMAT705344Reg Liability - Excess Income Tax DeferrOTHER</v>
      </c>
      <c r="B48" s="127">
        <v>4098300</v>
      </c>
      <c r="C48" s="117" t="str">
        <f>IF('SCH M Lookup'!$B48=4098200,"SCHMAP",IF('SCH M Lookup'!$B48=4098300,"SCHMAT",IF('SCH M Lookup'!$B48=4099200,"SCHMDP",IF('SCH M Lookup'!$B48=4099300,"SCHMDT"))))</f>
        <v>SCHMAT</v>
      </c>
      <c r="D48" s="127">
        <v>705344</v>
      </c>
      <c r="E48" s="128" t="s">
        <v>1684</v>
      </c>
      <c r="F48" s="127" t="s">
        <v>306</v>
      </c>
      <c r="G48" s="129"/>
      <c r="H48" s="117" t="str">
        <f t="shared" si="1"/>
        <v>OTHER</v>
      </c>
      <c r="I48" s="117" t="s">
        <v>110</v>
      </c>
      <c r="J48"/>
    </row>
    <row r="49" spans="1:10">
      <c r="A49" s="118" t="str">
        <f t="shared" si="0"/>
        <v>4098300SCHMAT705345Reg Liability - Excess Income Tax DeferrOTHER</v>
      </c>
      <c r="B49" s="127">
        <v>4098300</v>
      </c>
      <c r="C49" s="117" t="str">
        <f>IF('SCH M Lookup'!$B49=4098200,"SCHMAP",IF('SCH M Lookup'!$B49=4098300,"SCHMAT",IF('SCH M Lookup'!$B49=4099200,"SCHMDP",IF('SCH M Lookup'!$B49=4099300,"SCHMDT"))))</f>
        <v>SCHMAT</v>
      </c>
      <c r="D49" s="127">
        <v>705345</v>
      </c>
      <c r="E49" s="128" t="s">
        <v>1684</v>
      </c>
      <c r="F49" s="127" t="s">
        <v>306</v>
      </c>
      <c r="G49" s="129"/>
      <c r="H49" s="117" t="str">
        <f t="shared" si="1"/>
        <v>OTHER</v>
      </c>
      <c r="I49" s="117" t="s">
        <v>110</v>
      </c>
      <c r="J49"/>
    </row>
    <row r="50" spans="1:10">
      <c r="A50" s="118" t="str">
        <f t="shared" si="0"/>
        <v>4098300SCHMAT705266Reg Liability - Energy Savings AssistancOTHER</v>
      </c>
      <c r="B50" s="127">
        <v>4098300</v>
      </c>
      <c r="C50" s="117" t="str">
        <f>IF('SCH M Lookup'!$B50=4098200,"SCHMAP",IF('SCH M Lookup'!$B50=4098300,"SCHMAT",IF('SCH M Lookup'!$B50=4099200,"SCHMDP",IF('SCH M Lookup'!$B50=4099300,"SCHMDT"))))</f>
        <v>SCHMAT</v>
      </c>
      <c r="D50" s="127">
        <v>705266</v>
      </c>
      <c r="E50" s="128" t="s">
        <v>436</v>
      </c>
      <c r="F50" s="127" t="s">
        <v>306</v>
      </c>
      <c r="G50" s="129"/>
      <c r="H50" s="117" t="str">
        <f t="shared" si="1"/>
        <v>OTHER</v>
      </c>
      <c r="I50" s="117" t="s">
        <v>73</v>
      </c>
      <c r="J50"/>
    </row>
    <row r="51" spans="1:10">
      <c r="A51" s="118" t="str">
        <f t="shared" si="0"/>
        <v>4098300SCHMAT415927Reg Liability - Depreciation Decrease DeSITUS</v>
      </c>
      <c r="B51" s="127">
        <v>4098300</v>
      </c>
      <c r="C51" s="117" t="str">
        <f>IF('SCH M Lookup'!$B51=4098200,"SCHMAP",IF('SCH M Lookup'!$B51=4098300,"SCHMAT",IF('SCH M Lookup'!$B51=4099200,"SCHMDP",IF('SCH M Lookup'!$B51=4099300,"SCHMDT"))))</f>
        <v>SCHMAT</v>
      </c>
      <c r="D51" s="127">
        <v>415927</v>
      </c>
      <c r="E51" s="128" t="s">
        <v>409</v>
      </c>
      <c r="F51" s="127" t="s">
        <v>12</v>
      </c>
      <c r="G51" s="129"/>
      <c r="H51" s="117" t="str">
        <f t="shared" si="1"/>
        <v>SITUS</v>
      </c>
      <c r="I51" s="117" t="s">
        <v>68</v>
      </c>
      <c r="J51"/>
    </row>
    <row r="52" spans="1:10">
      <c r="A52" s="118" t="str">
        <f t="shared" si="0"/>
        <v>4098300SCHMAT415926Reg Liability - Depreciation Decrease -SITUS</v>
      </c>
      <c r="B52" s="127">
        <v>4098300</v>
      </c>
      <c r="C52" s="117" t="str">
        <f>IF('SCH M Lookup'!$B52=4098200,"SCHMAP",IF('SCH M Lookup'!$B52=4098300,"SCHMAT",IF('SCH M Lookup'!$B52=4099200,"SCHMDP",IF('SCH M Lookup'!$B52=4099300,"SCHMDT"))))</f>
        <v>SCHMAT</v>
      </c>
      <c r="D52" s="127">
        <v>415926</v>
      </c>
      <c r="E52" s="128" t="s">
        <v>408</v>
      </c>
      <c r="F52" s="127" t="s">
        <v>12</v>
      </c>
      <c r="G52" s="129"/>
      <c r="H52" s="117" t="str">
        <f t="shared" si="1"/>
        <v>SITUS</v>
      </c>
      <c r="I52" s="117" t="s">
        <v>68</v>
      </c>
      <c r="J52"/>
    </row>
    <row r="53" spans="1:10">
      <c r="A53" s="118" t="str">
        <f t="shared" si="0"/>
        <v>4098300SCHMAT415926Reg Liability - Depreciation Decrease -OTHER</v>
      </c>
      <c r="B53" s="127">
        <v>4098300</v>
      </c>
      <c r="C53" s="117" t="str">
        <f>IF('SCH M Lookup'!$B53=4098200,"SCHMAP",IF('SCH M Lookup'!$B53=4098300,"SCHMAT",IF('SCH M Lookup'!$B53=4099200,"SCHMDP",IF('SCH M Lookup'!$B53=4099300,"SCHMDT"))))</f>
        <v>SCHMAT</v>
      </c>
      <c r="D53" s="127">
        <v>415926</v>
      </c>
      <c r="E53" s="128" t="s">
        <v>408</v>
      </c>
      <c r="F53" s="127" t="s">
        <v>306</v>
      </c>
      <c r="G53" s="129"/>
      <c r="H53" s="117" t="str">
        <f t="shared" si="1"/>
        <v>OTHER</v>
      </c>
      <c r="I53" s="117" t="s">
        <v>68</v>
      </c>
      <c r="J53"/>
    </row>
    <row r="54" spans="1:10">
      <c r="A54" s="118" t="str">
        <f t="shared" si="0"/>
        <v>4099300SCHMDT415935Reg Liability - Contra - Carbon DecommisSITUS</v>
      </c>
      <c r="B54" s="127">
        <v>4099300</v>
      </c>
      <c r="C54" s="117" t="str">
        <f>IF('SCH M Lookup'!$B54=4098200,"SCHMAP",IF('SCH M Lookup'!$B54=4098300,"SCHMAT",IF('SCH M Lookup'!$B54=4099200,"SCHMDP",IF('SCH M Lookup'!$B54=4099300,"SCHMDT"))))</f>
        <v>SCHMDT</v>
      </c>
      <c r="D54" s="127">
        <v>415935</v>
      </c>
      <c r="E54" s="128" t="s">
        <v>536</v>
      </c>
      <c r="F54" s="127" t="s">
        <v>12</v>
      </c>
      <c r="G54" s="129"/>
      <c r="H54" s="117" t="str">
        <f t="shared" si="1"/>
        <v>SITUS</v>
      </c>
      <c r="I54" s="117" t="s">
        <v>68</v>
      </c>
      <c r="J54"/>
    </row>
    <row r="55" spans="1:10">
      <c r="A55" s="118" t="str">
        <f t="shared" si="0"/>
        <v>4098300SCHMAT705420Reg Liability - CA GHG Allowance RevenueOTHER</v>
      </c>
      <c r="B55" s="127">
        <v>4098300</v>
      </c>
      <c r="C55" s="117" t="str">
        <f>IF('SCH M Lookup'!$B55=4098200,"SCHMAP",IF('SCH M Lookup'!$B55=4098300,"SCHMAT",IF('SCH M Lookup'!$B55=4099200,"SCHMDP",IF('SCH M Lookup'!$B55=4099300,"SCHMDT"))))</f>
        <v>SCHMAT</v>
      </c>
      <c r="D55" s="127">
        <v>705420</v>
      </c>
      <c r="E55" s="128" t="s">
        <v>440</v>
      </c>
      <c r="F55" s="127" t="s">
        <v>306</v>
      </c>
      <c r="G55" s="129"/>
      <c r="H55" s="117" t="str">
        <f t="shared" si="1"/>
        <v>OTHER</v>
      </c>
      <c r="I55" s="117" t="s">
        <v>92</v>
      </c>
      <c r="J55"/>
    </row>
    <row r="56" spans="1:10">
      <c r="A56" s="118" t="str">
        <f t="shared" si="0"/>
        <v>4098300SCHMAT610145REG LIAB-DSMOTHER</v>
      </c>
      <c r="B56" s="127">
        <v>4098300</v>
      </c>
      <c r="C56" s="117" t="str">
        <f>IF('SCH M Lookup'!$B56=4098200,"SCHMAP",IF('SCH M Lookup'!$B56=4098300,"SCHMAT",IF('SCH M Lookup'!$B56=4099200,"SCHMDP",IF('SCH M Lookup'!$B56=4099300,"SCHMDT"))))</f>
        <v>SCHMAT</v>
      </c>
      <c r="D56" s="127">
        <v>610145</v>
      </c>
      <c r="E56" s="128" t="s">
        <v>430</v>
      </c>
      <c r="F56" s="127" t="s">
        <v>306</v>
      </c>
      <c r="G56" s="129"/>
      <c r="H56" s="117" t="str">
        <f t="shared" si="1"/>
        <v>OTHER</v>
      </c>
      <c r="I56" s="117" t="s">
        <v>92</v>
      </c>
      <c r="J56"/>
    </row>
    <row r="57" spans="1:10">
      <c r="A57" s="118" t="str">
        <f t="shared" si="0"/>
        <v>4099300SCHMDT705265Reg Liab - OR Energy Conservation ChargeOTHER</v>
      </c>
      <c r="B57" s="127">
        <v>4099300</v>
      </c>
      <c r="C57" s="117" t="str">
        <f>IF('SCH M Lookup'!$B57=4098200,"SCHMAP",IF('SCH M Lookup'!$B57=4098300,"SCHMAT",IF('SCH M Lookup'!$B57=4099200,"SCHMDP",IF('SCH M Lookup'!$B57=4099300,"SCHMDT"))))</f>
        <v>SCHMDT</v>
      </c>
      <c r="D57" s="127">
        <v>705265</v>
      </c>
      <c r="E57" s="128" t="s">
        <v>435</v>
      </c>
      <c r="F57" s="127" t="s">
        <v>306</v>
      </c>
      <c r="G57" s="129"/>
      <c r="H57" s="117" t="str">
        <f t="shared" si="1"/>
        <v>OTHER</v>
      </c>
      <c r="I57" s="117" t="s">
        <v>74</v>
      </c>
      <c r="J57"/>
    </row>
    <row r="58" spans="1:10">
      <c r="A58" s="118" t="str">
        <f t="shared" si="0"/>
        <v>4099300SCHMDT320285Reg Asset-Post Employment CostsSO</v>
      </c>
      <c r="B58" s="127">
        <v>4099300</v>
      </c>
      <c r="C58" s="117" t="str">
        <f>IF('SCH M Lookup'!$B58=4098200,"SCHMAP",IF('SCH M Lookup'!$B58=4098300,"SCHMAT",IF('SCH M Lookup'!$B58=4099200,"SCHMDP",IF('SCH M Lookup'!$B58=4099300,"SCHMDT"))))</f>
        <v>SCHMDT</v>
      </c>
      <c r="D58" s="127">
        <v>320285</v>
      </c>
      <c r="E58" s="128" t="s">
        <v>489</v>
      </c>
      <c r="F58" s="127" t="s">
        <v>89</v>
      </c>
      <c r="G58" s="129"/>
      <c r="H58" s="117" t="str">
        <f t="shared" si="1"/>
        <v>SO</v>
      </c>
      <c r="I58" s="117" t="s">
        <v>102</v>
      </c>
      <c r="J58"/>
    </row>
    <row r="59" spans="1:10">
      <c r="A59" s="118" t="str">
        <f t="shared" si="0"/>
        <v>4098300SCHMAT320280Reg Asset FAS 158 Post Retire LiabSO</v>
      </c>
      <c r="B59" s="127">
        <v>4098300</v>
      </c>
      <c r="C59" s="117" t="str">
        <f>IF('SCH M Lookup'!$B59=4098200,"SCHMAP",IF('SCH M Lookup'!$B59=4098300,"SCHMAT",IF('SCH M Lookup'!$B59=4099200,"SCHMDP",IF('SCH M Lookup'!$B59=4099300,"SCHMDT"))))</f>
        <v>SCHMAT</v>
      </c>
      <c r="D59" s="127">
        <v>320280</v>
      </c>
      <c r="E59" s="128" t="s">
        <v>376</v>
      </c>
      <c r="F59" s="127" t="s">
        <v>89</v>
      </c>
      <c r="G59" s="129"/>
      <c r="H59" s="117" t="str">
        <f t="shared" si="1"/>
        <v>SO</v>
      </c>
      <c r="I59" s="117" t="s">
        <v>102</v>
      </c>
      <c r="J59"/>
    </row>
    <row r="60" spans="1:10">
      <c r="A60" s="118" t="str">
        <f t="shared" si="0"/>
        <v>4098300SCHMAT320270Reg Asset FAS 158 Pension Liab AdjSO</v>
      </c>
      <c r="B60" s="127">
        <v>4098300</v>
      </c>
      <c r="C60" s="117" t="str">
        <f>IF('SCH M Lookup'!$B60=4098200,"SCHMAP",IF('SCH M Lookup'!$B60=4098300,"SCHMAT",IF('SCH M Lookup'!$B60=4099200,"SCHMDP",IF('SCH M Lookup'!$B60=4099300,"SCHMDT"))))</f>
        <v>SCHMAT</v>
      </c>
      <c r="D60" s="127">
        <v>320270</v>
      </c>
      <c r="E60" s="128" t="s">
        <v>375</v>
      </c>
      <c r="F60" s="127" t="s">
        <v>89</v>
      </c>
      <c r="G60" s="129"/>
      <c r="H60" s="117" t="str">
        <f t="shared" si="1"/>
        <v>SO</v>
      </c>
      <c r="I60" s="117" t="s">
        <v>102</v>
      </c>
      <c r="J60"/>
    </row>
    <row r="61" spans="1:10">
      <c r="A61" s="118" t="str">
        <f t="shared" si="0"/>
        <v>4099300SCHMDT430110Reg Asset balance reclassOTHER</v>
      </c>
      <c r="B61" s="127">
        <v>4099300</v>
      </c>
      <c r="C61" s="117" t="str">
        <f>IF('SCH M Lookup'!$B61=4098200,"SCHMAP",IF('SCH M Lookup'!$B61=4098300,"SCHMAT",IF('SCH M Lookup'!$B61=4099200,"SCHMDP",IF('SCH M Lookup'!$B61=4099300,"SCHMDT"))))</f>
        <v>SCHMDT</v>
      </c>
      <c r="D61" s="127">
        <v>430110</v>
      </c>
      <c r="E61" s="128" t="s">
        <v>540</v>
      </c>
      <c r="F61" s="127" t="s">
        <v>306</v>
      </c>
      <c r="G61" s="129"/>
      <c r="H61" s="117" t="str">
        <f t="shared" si="1"/>
        <v>OTHER</v>
      </c>
      <c r="I61" s="117" t="s">
        <v>110</v>
      </c>
      <c r="J61"/>
    </row>
    <row r="62" spans="1:10">
      <c r="A62" s="118" t="str">
        <f t="shared" si="0"/>
        <v>4098300SCHMAT415822Reg Asset _ Pension MMT -UTSITUS</v>
      </c>
      <c r="B62" s="127">
        <v>4098300</v>
      </c>
      <c r="C62" s="117" t="str">
        <f>IF('SCH M Lookup'!$B62=4098200,"SCHMAP",IF('SCH M Lookup'!$B62=4098300,"SCHMAT",IF('SCH M Lookup'!$B62=4099200,"SCHMDP",IF('SCH M Lookup'!$B62=4099300,"SCHMDT"))))</f>
        <v>SCHMAT</v>
      </c>
      <c r="D62" s="127">
        <v>415822</v>
      </c>
      <c r="E62" s="128" t="s">
        <v>393</v>
      </c>
      <c r="F62" s="127" t="s">
        <v>12</v>
      </c>
      <c r="G62" s="129"/>
      <c r="H62" s="117" t="str">
        <f t="shared" si="1"/>
        <v>SITUS</v>
      </c>
      <c r="I62" s="117" t="s">
        <v>102</v>
      </c>
      <c r="J62"/>
    </row>
    <row r="63" spans="1:10">
      <c r="A63" s="118" t="str">
        <f t="shared" si="0"/>
        <v>4099300SCHMDT415879Reg Asset - WY Liquidation Damages N2SITUS</v>
      </c>
      <c r="B63" s="127">
        <v>4099300</v>
      </c>
      <c r="C63" s="117" t="str">
        <f>IF('SCH M Lookup'!$B63=4098200,"SCHMAP",IF('SCH M Lookup'!$B63=4098300,"SCHMAT",IF('SCH M Lookup'!$B63=4099200,"SCHMDP",IF('SCH M Lookup'!$B63=4099300,"SCHMDT"))))</f>
        <v>SCHMDT</v>
      </c>
      <c r="D63" s="127">
        <v>415879</v>
      </c>
      <c r="E63" s="128" t="s">
        <v>522</v>
      </c>
      <c r="F63" s="127" t="s">
        <v>12</v>
      </c>
      <c r="G63" s="129"/>
      <c r="H63" s="117" t="str">
        <f t="shared" si="1"/>
        <v>SITUS</v>
      </c>
      <c r="I63" s="117" t="s">
        <v>68</v>
      </c>
      <c r="J63"/>
    </row>
    <row r="64" spans="1:10">
      <c r="A64" s="118" t="str">
        <f t="shared" si="0"/>
        <v>4099300SCHMDT415532Reg Asset - WY 2017 Protocol - MSP DeferSITUS</v>
      </c>
      <c r="B64" s="127">
        <v>4099300</v>
      </c>
      <c r="C64" s="117" t="str">
        <f>IF('SCH M Lookup'!$B64=4098200,"SCHMAP",IF('SCH M Lookup'!$B64=4098300,"SCHMAT",IF('SCH M Lookup'!$B64=4099200,"SCHMDP",IF('SCH M Lookup'!$B64=4099300,"SCHMDT"))))</f>
        <v>SCHMDT</v>
      </c>
      <c r="D64" s="126">
        <v>415532</v>
      </c>
      <c r="E64" s="128" t="s">
        <v>505</v>
      </c>
      <c r="F64" s="127" t="s">
        <v>386</v>
      </c>
      <c r="G64" s="129"/>
      <c r="H64" s="117" t="str">
        <f t="shared" si="1"/>
        <v>SITUS</v>
      </c>
      <c r="I64" s="117" t="s">
        <v>68</v>
      </c>
      <c r="J64"/>
    </row>
    <row r="65" spans="1:10">
      <c r="A65" s="118" t="str">
        <f t="shared" si="0"/>
        <v>4099300SCHMDT415676Reg Asset - WY - Deferred Stock RedemptiOTHER</v>
      </c>
      <c r="B65" s="127">
        <v>4099300</v>
      </c>
      <c r="C65" s="117" t="str">
        <f>IF('SCH M Lookup'!$B65=4098200,"SCHMAP",IF('SCH M Lookup'!$B65=4098300,"SCHMAT",IF('SCH M Lookup'!$B65=4099200,"SCHMDP",IF('SCH M Lookup'!$B65=4099300,"SCHMDT"))))</f>
        <v>SCHMDT</v>
      </c>
      <c r="D65" s="127">
        <v>415676</v>
      </c>
      <c r="E65" s="128" t="s">
        <v>509</v>
      </c>
      <c r="F65" s="127" t="s">
        <v>306</v>
      </c>
      <c r="G65" s="129"/>
      <c r="H65" s="117" t="str">
        <f t="shared" si="1"/>
        <v>OTHER</v>
      </c>
      <c r="I65" s="117" t="s">
        <v>176</v>
      </c>
      <c r="J65"/>
    </row>
    <row r="66" spans="1:10">
      <c r="A66" s="118" t="str">
        <f t="shared" si="0"/>
        <v>4099300SCHMDT415545Reg Asset - WA Merwin ProjectOTHER</v>
      </c>
      <c r="B66" s="127">
        <v>4099300</v>
      </c>
      <c r="C66" s="117" t="str">
        <f>IF('SCH M Lookup'!$B66=4098200,"SCHMAP",IF('SCH M Lookup'!$B66=4098300,"SCHMAT",IF('SCH M Lookup'!$B66=4099200,"SCHMDP",IF('SCH M Lookup'!$B66=4099300,"SCHMDT"))))</f>
        <v>SCHMDT</v>
      </c>
      <c r="D66" s="127">
        <v>415545</v>
      </c>
      <c r="E66" s="128" t="s">
        <v>506</v>
      </c>
      <c r="F66" s="127" t="s">
        <v>306</v>
      </c>
      <c r="G66" s="129"/>
      <c r="H66" s="117" t="str">
        <f t="shared" si="1"/>
        <v>OTHER</v>
      </c>
      <c r="I66" s="117" t="s">
        <v>68</v>
      </c>
      <c r="J66"/>
    </row>
    <row r="67" spans="1:10">
      <c r="A67" s="118" t="str">
        <f t="shared" ref="A67:A130" si="2">CONCATENATE($B67,$C67,$D67,$E67,$H67)</f>
        <v>4099300SCHMDT415863Reg Asset - UT Subscriber Solar ProgramSITUS</v>
      </c>
      <c r="B67" s="127">
        <v>4099300</v>
      </c>
      <c r="C67" s="117" t="str">
        <f>IF('SCH M Lookup'!$B67=4098200,"SCHMAP",IF('SCH M Lookup'!$B67=4098300,"SCHMAT",IF('SCH M Lookup'!$B67=4099200,"SCHMDP",IF('SCH M Lookup'!$B67=4099300,"SCHMDT"))))</f>
        <v>SCHMDT</v>
      </c>
      <c r="D67" s="127">
        <v>415863</v>
      </c>
      <c r="E67" s="128" t="s">
        <v>516</v>
      </c>
      <c r="F67" s="127" t="s">
        <v>12</v>
      </c>
      <c r="G67" s="129"/>
      <c r="H67" s="117" t="str">
        <f t="shared" ref="H67:H130" si="3">IF(OR(F67="IDU",F67="OR",F67="UT",F67="WYU",F67="WYP",F67="CA",F67="WA"),"SITUS",F67)</f>
        <v>SITUS</v>
      </c>
      <c r="I67" s="117" t="s">
        <v>68</v>
      </c>
      <c r="J67"/>
    </row>
    <row r="68" spans="1:10">
      <c r="A68" s="118" t="str">
        <f t="shared" si="2"/>
        <v>4098300SCHMAT415115Reg Asset - UT STEP Pilot Programs BalanOTHER</v>
      </c>
      <c r="B68" s="127">
        <v>4098300</v>
      </c>
      <c r="C68" s="117" t="str">
        <f>IF('SCH M Lookup'!$B68=4098200,"SCHMAP",IF('SCH M Lookup'!$B68=4098300,"SCHMAT",IF('SCH M Lookup'!$B68=4099200,"SCHMDP",IF('SCH M Lookup'!$B68=4099300,"SCHMDT"))))</f>
        <v>SCHMAT</v>
      </c>
      <c r="D68" s="127">
        <v>415115</v>
      </c>
      <c r="E68" s="128" t="s">
        <v>380</v>
      </c>
      <c r="F68" s="127" t="s">
        <v>306</v>
      </c>
      <c r="G68" s="129"/>
      <c r="H68" s="117" t="str">
        <f t="shared" si="3"/>
        <v>OTHER</v>
      </c>
      <c r="I68" s="117" t="s">
        <v>92</v>
      </c>
      <c r="J68"/>
    </row>
    <row r="69" spans="1:10">
      <c r="A69" s="118" t="str">
        <f t="shared" si="2"/>
        <v>4099300SCHMDT415878REG ASSET - UT LIQUIDATED DAMAGES NAUGHTSITUS</v>
      </c>
      <c r="B69" s="127">
        <v>4099300</v>
      </c>
      <c r="C69" s="117" t="str">
        <f>IF('SCH M Lookup'!$B69=4098200,"SCHMAP",IF('SCH M Lookup'!$B69=4098300,"SCHMAT",IF('SCH M Lookup'!$B69=4099200,"SCHMDP",IF('SCH M Lookup'!$B69=4099300,"SCHMDT"))))</f>
        <v>SCHMDT</v>
      </c>
      <c r="D69" s="127">
        <v>415878</v>
      </c>
      <c r="E69" s="128" t="s">
        <v>521</v>
      </c>
      <c r="F69" s="127" t="s">
        <v>370</v>
      </c>
      <c r="G69" s="129"/>
      <c r="H69" s="117" t="str">
        <f t="shared" si="3"/>
        <v>SITUS</v>
      </c>
      <c r="I69" s="117" t="s">
        <v>68</v>
      </c>
      <c r="J69"/>
    </row>
    <row r="70" spans="1:10">
      <c r="A70" s="118" t="str">
        <f t="shared" si="2"/>
        <v>4099300SCHMDT415531Reg Asset - UT 2017 Protocol - MSP DeferSITUS</v>
      </c>
      <c r="B70" s="127">
        <v>4099300</v>
      </c>
      <c r="C70" s="117" t="str">
        <f>IF('SCH M Lookup'!$B70=4098200,"SCHMAP",IF('SCH M Lookup'!$B70=4098300,"SCHMAT",IF('SCH M Lookup'!$B70=4099200,"SCHMDP",IF('SCH M Lookup'!$B70=4099300,"SCHMDT"))))</f>
        <v>SCHMDT</v>
      </c>
      <c r="D70" s="127">
        <v>415531</v>
      </c>
      <c r="E70" s="128" t="s">
        <v>504</v>
      </c>
      <c r="F70" s="127" t="s">
        <v>12</v>
      </c>
      <c r="G70" s="129"/>
      <c r="H70" s="117" t="str">
        <f t="shared" si="3"/>
        <v>SITUS</v>
      </c>
      <c r="I70" s="117" t="s">
        <v>68</v>
      </c>
      <c r="J70"/>
    </row>
    <row r="71" spans="1:10">
      <c r="A71" s="118" t="str">
        <f t="shared" si="2"/>
        <v>4098300SCHMAT415868Reg Asset - UT - Solar Incentive ProgramOTHER</v>
      </c>
      <c r="B71" s="127">
        <v>4098300</v>
      </c>
      <c r="C71" s="117" t="str">
        <f>IF('SCH M Lookup'!$B71=4098200,"SCHMAP",IF('SCH M Lookup'!$B71=4098300,"SCHMAT",IF('SCH M Lookup'!$B71=4099200,"SCHMDP",IF('SCH M Lookup'!$B71=4099300,"SCHMDT"))))</f>
        <v>SCHMAT</v>
      </c>
      <c r="D71" s="127">
        <v>415868</v>
      </c>
      <c r="E71" s="128" t="s">
        <v>402</v>
      </c>
      <c r="F71" s="127" t="s">
        <v>306</v>
      </c>
      <c r="G71" s="129"/>
      <c r="H71" s="117" t="str">
        <f t="shared" si="3"/>
        <v>OTHER</v>
      </c>
      <c r="I71" s="117" t="s">
        <v>74</v>
      </c>
      <c r="J71"/>
    </row>
    <row r="72" spans="1:10">
      <c r="A72" s="118" t="str">
        <f t="shared" si="2"/>
        <v>4099300SCHMDT415675Reg Asset - UT - Deferred Stock RedemptiOTHER</v>
      </c>
      <c r="B72" s="127">
        <v>4099300</v>
      </c>
      <c r="C72" s="117" t="str">
        <f>IF('SCH M Lookup'!$B72=4098200,"SCHMAP",IF('SCH M Lookup'!$B72=4098300,"SCHMAT",IF('SCH M Lookup'!$B72=4099200,"SCHMDP",IF('SCH M Lookup'!$B72=4099300,"SCHMDT"))))</f>
        <v>SCHMDT</v>
      </c>
      <c r="D72" s="127">
        <v>415675</v>
      </c>
      <c r="E72" s="128" t="s">
        <v>508</v>
      </c>
      <c r="F72" s="127" t="s">
        <v>306</v>
      </c>
      <c r="G72" s="129"/>
      <c r="H72" s="117" t="str">
        <f t="shared" si="3"/>
        <v>OTHER</v>
      </c>
      <c r="I72" s="117" t="s">
        <v>176</v>
      </c>
      <c r="J72"/>
    </row>
    <row r="73" spans="1:10">
      <c r="A73" s="118" t="str">
        <f t="shared" si="2"/>
        <v>4099300SCHMDT415918Reg Asset - RPS Compliance PurchasesOTHER</v>
      </c>
      <c r="B73" s="127">
        <v>4099300</v>
      </c>
      <c r="C73" s="117" t="str">
        <f>IF('SCH M Lookup'!$B73=4098200,"SCHMAP",IF('SCH M Lookup'!$B73=4098300,"SCHMAT",IF('SCH M Lookup'!$B73=4099200,"SCHMDP",IF('SCH M Lookup'!$B73=4099300,"SCHMDT"))))</f>
        <v>SCHMDT</v>
      </c>
      <c r="D73" s="127">
        <v>415918</v>
      </c>
      <c r="E73" s="128" t="s">
        <v>529</v>
      </c>
      <c r="F73" s="127" t="s">
        <v>306</v>
      </c>
      <c r="G73" s="129"/>
      <c r="H73" s="117" t="str">
        <f t="shared" si="3"/>
        <v>OTHER</v>
      </c>
      <c r="I73" s="117" t="s">
        <v>68</v>
      </c>
      <c r="J73"/>
    </row>
    <row r="74" spans="1:10">
      <c r="A74" s="118" t="str">
        <f t="shared" si="2"/>
        <v>4099300SCHMDT415906Reg Asset - REC Sales Deferral - OR - NoOTHER</v>
      </c>
      <c r="B74" s="127">
        <v>4099300</v>
      </c>
      <c r="C74" s="117" t="str">
        <f>IF('SCH M Lookup'!$B74=4098200,"SCHMAP",IF('SCH M Lookup'!$B74=4098300,"SCHMAT",IF('SCH M Lookup'!$B74=4099200,"SCHMDP",IF('SCH M Lookup'!$B74=4099300,"SCHMDT"))))</f>
        <v>SCHMDT</v>
      </c>
      <c r="D74" s="127">
        <v>415906</v>
      </c>
      <c r="E74" s="128" t="s">
        <v>528</v>
      </c>
      <c r="F74" s="127" t="s">
        <v>306</v>
      </c>
      <c r="G74" s="129"/>
      <c r="H74" s="117" t="str">
        <f t="shared" si="3"/>
        <v>OTHER</v>
      </c>
      <c r="I74" s="117" t="s">
        <v>68</v>
      </c>
      <c r="J74"/>
    </row>
    <row r="75" spans="1:10">
      <c r="A75" s="118" t="str">
        <f t="shared" si="2"/>
        <v>4099300SCHMDT415894Reg Asset - REC Sales Deferral - CA - NoOTHER</v>
      </c>
      <c r="B75" s="127">
        <v>4099300</v>
      </c>
      <c r="C75" s="117" t="str">
        <f>IF('SCH M Lookup'!$B75=4098200,"SCHMAP",IF('SCH M Lookup'!$B75=4098300,"SCHMAT",IF('SCH M Lookup'!$B75=4099200,"SCHMDP",IF('SCH M Lookup'!$B75=4099300,"SCHMDT"))))</f>
        <v>SCHMDT</v>
      </c>
      <c r="D75" s="127">
        <v>415894</v>
      </c>
      <c r="E75" s="128" t="s">
        <v>527</v>
      </c>
      <c r="F75" s="127" t="s">
        <v>306</v>
      </c>
      <c r="G75" s="129"/>
      <c r="H75" s="117" t="str">
        <f t="shared" si="3"/>
        <v>OTHER</v>
      </c>
      <c r="I75" s="117" t="s">
        <v>68</v>
      </c>
      <c r="J75"/>
    </row>
    <row r="76" spans="1:10">
      <c r="A76" s="118" t="str">
        <f t="shared" si="2"/>
        <v>4099300SCHMDT415677Reg Asset - Pref Stock Redemp Loss WAOTHER</v>
      </c>
      <c r="B76" s="127">
        <v>4099300</v>
      </c>
      <c r="C76" s="117" t="str">
        <f>IF('SCH M Lookup'!$B76=4098200,"SCHMAP",IF('SCH M Lookup'!$B76=4098300,"SCHMAT",IF('SCH M Lookup'!$B76=4099200,"SCHMDP",IF('SCH M Lookup'!$B76=4099300,"SCHMDT"))))</f>
        <v>SCHMDT</v>
      </c>
      <c r="D76" s="127">
        <v>415677</v>
      </c>
      <c r="E76" s="128" t="s">
        <v>510</v>
      </c>
      <c r="F76" s="127" t="s">
        <v>306</v>
      </c>
      <c r="G76" s="129"/>
      <c r="H76" s="117" t="str">
        <f t="shared" si="3"/>
        <v>OTHER</v>
      </c>
      <c r="I76" s="117" t="s">
        <v>176</v>
      </c>
      <c r="J76"/>
    </row>
    <row r="77" spans="1:10">
      <c r="A77" s="118" t="str">
        <f t="shared" si="2"/>
        <v>4098300SCHMAT320281Reg Asset - Post-Retirement Settlement LSO</v>
      </c>
      <c r="B77" s="127">
        <v>4098300</v>
      </c>
      <c r="C77" s="117" t="str">
        <f>IF('SCH M Lookup'!$B77=4098200,"SCHMAP",IF('SCH M Lookup'!$B77=4098300,"SCHMAT",IF('SCH M Lookup'!$B77=4099200,"SCHMDP",IF('SCH M Lookup'!$B77=4099300,"SCHMDT"))))</f>
        <v>SCHMAT</v>
      </c>
      <c r="D77" s="127">
        <v>320281</v>
      </c>
      <c r="E77" s="128" t="s">
        <v>377</v>
      </c>
      <c r="F77" s="127" t="s">
        <v>89</v>
      </c>
      <c r="G77" s="129"/>
      <c r="H77" s="117" t="str">
        <f t="shared" si="3"/>
        <v>SO</v>
      </c>
      <c r="I77" s="117" t="s">
        <v>102</v>
      </c>
      <c r="J77"/>
    </row>
    <row r="78" spans="1:10">
      <c r="A78" s="118" t="str">
        <f t="shared" si="2"/>
        <v>4098300SCHMAT320282Reg Asset - Post-Retirement Settlement LSITUS</v>
      </c>
      <c r="B78" s="127">
        <v>4098300</v>
      </c>
      <c r="C78" s="117" t="str">
        <f>IF('SCH M Lookup'!$B78=4098200,"SCHMAP",IF('SCH M Lookup'!$B78=4098300,"SCHMAT",IF('SCH M Lookup'!$B78=4099200,"SCHMDP",IF('SCH M Lookup'!$B78=4099300,"SCHMDT"))))</f>
        <v>SCHMAT</v>
      </c>
      <c r="D78" s="127">
        <v>320282</v>
      </c>
      <c r="E78" s="128" t="s">
        <v>377</v>
      </c>
      <c r="F78" s="127" t="s">
        <v>12</v>
      </c>
      <c r="G78" s="129"/>
      <c r="H78" s="117" t="str">
        <f t="shared" si="3"/>
        <v>SITUS</v>
      </c>
      <c r="I78" s="117" t="s">
        <v>102</v>
      </c>
      <c r="J78"/>
    </row>
    <row r="79" spans="1:10">
      <c r="A79" s="118" t="str">
        <f t="shared" si="2"/>
        <v>4098300SCHMAT320283Reg Asset - Post-Retirement Settlement LSITUS</v>
      </c>
      <c r="B79" s="127">
        <v>4098300</v>
      </c>
      <c r="C79" s="117" t="str">
        <f>IF('SCH M Lookup'!$B79=4098200,"SCHMAP",IF('SCH M Lookup'!$B79=4098300,"SCHMAT",IF('SCH M Lookup'!$B79=4099200,"SCHMDP",IF('SCH M Lookup'!$B79=4099300,"SCHMDT"))))</f>
        <v>SCHMAT</v>
      </c>
      <c r="D79" s="127">
        <v>320283</v>
      </c>
      <c r="E79" s="128" t="s">
        <v>377</v>
      </c>
      <c r="F79" s="127" t="s">
        <v>12</v>
      </c>
      <c r="G79" s="129"/>
      <c r="H79" s="117" t="str">
        <f t="shared" si="3"/>
        <v>SITUS</v>
      </c>
      <c r="I79" s="117" t="s">
        <v>102</v>
      </c>
      <c r="J79"/>
    </row>
    <row r="80" spans="1:10">
      <c r="A80" s="118" t="str">
        <f t="shared" si="2"/>
        <v>4098300SCHMAT415829Reg Asset - Post - Ret MMT -UTSITUS</v>
      </c>
      <c r="B80" s="127">
        <v>4098300</v>
      </c>
      <c r="C80" s="117" t="str">
        <f>IF('SCH M Lookup'!$B80=4098200,"SCHMAP",IF('SCH M Lookup'!$B80=4098300,"SCHMAT",IF('SCH M Lookup'!$B80=4099200,"SCHMDP",IF('SCH M Lookup'!$B80=4099300,"SCHMDT"))))</f>
        <v>SCHMAT</v>
      </c>
      <c r="D80" s="127">
        <v>415829</v>
      </c>
      <c r="E80" s="128" t="s">
        <v>395</v>
      </c>
      <c r="F80" s="127" t="s">
        <v>12</v>
      </c>
      <c r="G80" s="129"/>
      <c r="H80" s="117" t="str">
        <f t="shared" si="3"/>
        <v>SITUS</v>
      </c>
      <c r="I80" s="117" t="s">
        <v>102</v>
      </c>
      <c r="J80"/>
    </row>
    <row r="81" spans="1:10">
      <c r="A81" s="118" t="str">
        <f t="shared" si="2"/>
        <v>4099300SCHMDT430112Reg Asset - Other - Balance ReclassOTHER</v>
      </c>
      <c r="B81" s="127">
        <v>4099300</v>
      </c>
      <c r="C81" s="117" t="str">
        <f>IF('SCH M Lookup'!$B81=4098200,"SCHMAP",IF('SCH M Lookup'!$B81=4098300,"SCHMAT",IF('SCH M Lookup'!$B81=4099200,"SCHMDP",IF('SCH M Lookup'!$B81=4099300,"SCHMDT"))))</f>
        <v>SCHMDT</v>
      </c>
      <c r="D81" s="127">
        <v>430112</v>
      </c>
      <c r="E81" s="128" t="s">
        <v>416</v>
      </c>
      <c r="F81" s="127" t="s">
        <v>306</v>
      </c>
      <c r="G81" s="129"/>
      <c r="H81" s="117" t="str">
        <f t="shared" si="3"/>
        <v>OTHER</v>
      </c>
      <c r="I81" s="117" t="s">
        <v>110</v>
      </c>
      <c r="J81"/>
    </row>
    <row r="82" spans="1:10">
      <c r="A82" s="118" t="str">
        <f t="shared" si="2"/>
        <v>4099300SCHMDT415866Reg Asset - OR Solar Feed-in TariffOTHER</v>
      </c>
      <c r="B82" s="127">
        <v>4099300</v>
      </c>
      <c r="C82" s="117" t="str">
        <f>IF('SCH M Lookup'!$B82=4098200,"SCHMAP",IF('SCH M Lookup'!$B82=4098300,"SCHMAT",IF('SCH M Lookup'!$B82=4099200,"SCHMDP",IF('SCH M Lookup'!$B82=4099300,"SCHMDT"))))</f>
        <v>SCHMDT</v>
      </c>
      <c r="D82" s="127">
        <v>415866</v>
      </c>
      <c r="E82" s="128" t="s">
        <v>517</v>
      </c>
      <c r="F82" s="127" t="s">
        <v>306</v>
      </c>
      <c r="G82" s="129"/>
      <c r="H82" s="117" t="str">
        <f t="shared" si="3"/>
        <v>OTHER</v>
      </c>
      <c r="I82" s="117" t="s">
        <v>68</v>
      </c>
      <c r="J82"/>
    </row>
    <row r="83" spans="1:10">
      <c r="A83" s="118" t="str">
        <f t="shared" si="2"/>
        <v>4098300SCHMAT425105Reg Asset - OR Asset Sale Gain GivebackOTHER</v>
      </c>
      <c r="B83" s="127">
        <v>4098300</v>
      </c>
      <c r="C83" s="117" t="str">
        <f>IF('SCH M Lookup'!$B83=4098200,"SCHMAP",IF('SCH M Lookup'!$B83=4098300,"SCHMAT",IF('SCH M Lookup'!$B83=4099200,"SCHMDP",IF('SCH M Lookup'!$B83=4099300,"SCHMDT"))))</f>
        <v>SCHMAT</v>
      </c>
      <c r="D83" s="127">
        <v>425105</v>
      </c>
      <c r="E83" s="128" t="s">
        <v>411</v>
      </c>
      <c r="F83" s="127" t="s">
        <v>306</v>
      </c>
      <c r="G83" s="129"/>
      <c r="H83" s="117" t="str">
        <f t="shared" si="3"/>
        <v>OTHER</v>
      </c>
      <c r="I83" s="117" t="s">
        <v>68</v>
      </c>
      <c r="J83"/>
    </row>
    <row r="84" spans="1:10">
      <c r="A84" s="118" t="str">
        <f t="shared" si="2"/>
        <v>4099300SCHMDT415885Reg Asset - Noncurrent Reclass - OtherOTHER</v>
      </c>
      <c r="B84" s="127">
        <v>4099300</v>
      </c>
      <c r="C84" s="117" t="str">
        <f>IF('SCH M Lookup'!$B84=4098200,"SCHMAP",IF('SCH M Lookup'!$B84=4098300,"SCHMAT",IF('SCH M Lookup'!$B84=4099200,"SCHMDP",IF('SCH M Lookup'!$B84=4099300,"SCHMDT"))))</f>
        <v>SCHMDT</v>
      </c>
      <c r="D84" s="127">
        <v>415885</v>
      </c>
      <c r="E84" s="128" t="s">
        <v>525</v>
      </c>
      <c r="F84" s="127" t="s">
        <v>306</v>
      </c>
      <c r="G84" s="129"/>
      <c r="H84" s="117" t="str">
        <f t="shared" si="3"/>
        <v>OTHER</v>
      </c>
      <c r="I84" s="117" t="s">
        <v>110</v>
      </c>
      <c r="J84"/>
    </row>
    <row r="85" spans="1:10">
      <c r="A85" s="118" t="str">
        <f t="shared" si="2"/>
        <v>4098300SCHMAT415702Reg Asset - Lake Side Liq.SITUS</v>
      </c>
      <c r="B85" s="127">
        <v>4098300</v>
      </c>
      <c r="C85" s="117" t="str">
        <f>IF('SCH M Lookup'!$B85=4098200,"SCHMAP",IF('SCH M Lookup'!$B85=4098300,"SCHMAT",IF('SCH M Lookup'!$B85=4099200,"SCHMDP",IF('SCH M Lookup'!$B85=4099300,"SCHMDT"))))</f>
        <v>SCHMAT</v>
      </c>
      <c r="D85" s="127">
        <v>415702</v>
      </c>
      <c r="E85" s="128" t="s">
        <v>389</v>
      </c>
      <c r="F85" s="127" t="s">
        <v>12</v>
      </c>
      <c r="G85" s="129"/>
      <c r="H85" s="117" t="str">
        <f t="shared" si="3"/>
        <v>SITUS</v>
      </c>
      <c r="I85" s="117" t="s">
        <v>68</v>
      </c>
      <c r="J85"/>
    </row>
    <row r="86" spans="1:10">
      <c r="A86" s="118" t="str">
        <f t="shared" si="2"/>
        <v>4099300SCHMDT415530Reg Asset - ID 2017 Protocol - MSP DeferSITUS</v>
      </c>
      <c r="B86" s="127">
        <v>4099300</v>
      </c>
      <c r="C86" s="117" t="str">
        <f>IF('SCH M Lookup'!$B86=4098200,"SCHMAP",IF('SCH M Lookup'!$B86=4098300,"SCHMAT",IF('SCH M Lookup'!$B86=4099200,"SCHMDP",IF('SCH M Lookup'!$B86=4099300,"SCHMDT"))))</f>
        <v>SCHMDT</v>
      </c>
      <c r="D86" s="126">
        <v>415530</v>
      </c>
      <c r="E86" s="128" t="s">
        <v>503</v>
      </c>
      <c r="F86" s="127" t="s">
        <v>372</v>
      </c>
      <c r="G86" s="129"/>
      <c r="H86" s="117" t="str">
        <f t="shared" si="3"/>
        <v>SITUS</v>
      </c>
      <c r="I86" s="117" t="s">
        <v>68</v>
      </c>
      <c r="J86"/>
    </row>
    <row r="87" spans="1:10">
      <c r="A87" s="118" t="str">
        <f t="shared" si="2"/>
        <v>4099300SCHMDT415410Reg Asset - Energy West MiningSE</v>
      </c>
      <c r="B87" s="127">
        <v>4099300</v>
      </c>
      <c r="C87" s="117" t="str">
        <f>IF('SCH M Lookup'!$B87=4098200,"SCHMAP",IF('SCH M Lookup'!$B87=4098300,"SCHMAT",IF('SCH M Lookup'!$B87=4099200,"SCHMDP",IF('SCH M Lookup'!$B87=4099300,"SCHMDT"))))</f>
        <v>SCHMDT</v>
      </c>
      <c r="D87" s="127">
        <v>415410</v>
      </c>
      <c r="E87" s="128" t="s">
        <v>492</v>
      </c>
      <c r="F87" s="127" t="s">
        <v>85</v>
      </c>
      <c r="G87" s="129"/>
      <c r="H87" s="117" t="str">
        <f t="shared" si="3"/>
        <v>SE</v>
      </c>
      <c r="I87" s="117" t="s">
        <v>68</v>
      </c>
      <c r="J87"/>
    </row>
    <row r="88" spans="1:10">
      <c r="A88" s="118" t="str">
        <f t="shared" si="2"/>
        <v>4099300SCHMDT415922Reg Asset - Depreciation Increase - WYSITUS</v>
      </c>
      <c r="B88" s="127">
        <v>4099300</v>
      </c>
      <c r="C88" s="117" t="str">
        <f>IF('SCH M Lookup'!$B88=4098200,"SCHMAP",IF('SCH M Lookup'!$B88=4098300,"SCHMAT",IF('SCH M Lookup'!$B88=4099200,"SCHMDP",IF('SCH M Lookup'!$B88=4099300,"SCHMDT"))))</f>
        <v>SCHMDT</v>
      </c>
      <c r="D88" s="127">
        <v>415922</v>
      </c>
      <c r="E88" s="128" t="s">
        <v>532</v>
      </c>
      <c r="F88" s="127" t="s">
        <v>12</v>
      </c>
      <c r="G88" s="129"/>
      <c r="H88" s="117" t="str">
        <f t="shared" si="3"/>
        <v>SITUS</v>
      </c>
      <c r="I88" s="117" t="s">
        <v>176</v>
      </c>
      <c r="J88"/>
    </row>
    <row r="89" spans="1:10">
      <c r="A89" s="118" t="str">
        <f t="shared" si="2"/>
        <v>4099300SCHMDT415921Reg Asset - Depreciation Increase - UTSITUS</v>
      </c>
      <c r="B89" s="127">
        <v>4099300</v>
      </c>
      <c r="C89" s="117" t="str">
        <f>IF('SCH M Lookup'!$B89=4098200,"SCHMAP",IF('SCH M Lookup'!$B89=4098300,"SCHMAT",IF('SCH M Lookup'!$B89=4099200,"SCHMDP",IF('SCH M Lookup'!$B89=4099300,"SCHMDT"))))</f>
        <v>SCHMDT</v>
      </c>
      <c r="D89" s="127">
        <v>415921</v>
      </c>
      <c r="E89" s="128" t="s">
        <v>531</v>
      </c>
      <c r="F89" s="127" t="s">
        <v>12</v>
      </c>
      <c r="G89" s="129"/>
      <c r="H89" s="117" t="str">
        <f t="shared" si="3"/>
        <v>SITUS</v>
      </c>
      <c r="I89" s="117" t="s">
        <v>176</v>
      </c>
      <c r="J89"/>
    </row>
    <row r="90" spans="1:10">
      <c r="A90" s="118" t="str">
        <f t="shared" si="2"/>
        <v>4099300SCHMDT415920Reg Asset - Depreciation Increase - IDSITUS</v>
      </c>
      <c r="B90" s="127">
        <v>4099300</v>
      </c>
      <c r="C90" s="117" t="str">
        <f>IF('SCH M Lookup'!$B90=4098200,"SCHMAP",IF('SCH M Lookup'!$B90=4098300,"SCHMAT",IF('SCH M Lookup'!$B90=4099200,"SCHMDP",IF('SCH M Lookup'!$B90=4099300,"SCHMDT"))))</f>
        <v>SCHMDT</v>
      </c>
      <c r="D90" s="127">
        <v>415920</v>
      </c>
      <c r="E90" s="128" t="s">
        <v>530</v>
      </c>
      <c r="F90" s="127" t="s">
        <v>12</v>
      </c>
      <c r="G90" s="129"/>
      <c r="H90" s="117" t="str">
        <f t="shared" si="3"/>
        <v>SITUS</v>
      </c>
      <c r="I90" s="117" t="s">
        <v>176</v>
      </c>
      <c r="J90"/>
    </row>
    <row r="91" spans="1:10">
      <c r="A91" s="118" t="str">
        <f t="shared" si="2"/>
        <v>4099300SCHMDT415925Reg Asset - Carbon Unrecovered Plant - WSITUS</v>
      </c>
      <c r="B91" s="127">
        <v>4099300</v>
      </c>
      <c r="C91" s="117" t="str">
        <f>IF('SCH M Lookup'!$B91=4098200,"SCHMAP",IF('SCH M Lookup'!$B91=4098300,"SCHMAT",IF('SCH M Lookup'!$B91=4099200,"SCHMDP",IF('SCH M Lookup'!$B91=4099300,"SCHMDT"))))</f>
        <v>SCHMDT</v>
      </c>
      <c r="D91" s="127">
        <v>415925</v>
      </c>
      <c r="E91" s="128" t="s">
        <v>535</v>
      </c>
      <c r="F91" s="127" t="s">
        <v>12</v>
      </c>
      <c r="G91" s="129"/>
      <c r="H91" s="117" t="str">
        <f t="shared" si="3"/>
        <v>SITUS</v>
      </c>
      <c r="I91" s="117" t="s">
        <v>68</v>
      </c>
      <c r="J91"/>
    </row>
    <row r="92" spans="1:10">
      <c r="A92" s="118" t="str">
        <f t="shared" si="2"/>
        <v>4099300SCHMDT415924Reg Asset - Carbon Unrecovered Plant - USITUS</v>
      </c>
      <c r="B92" s="127">
        <v>4099300</v>
      </c>
      <c r="C92" s="117" t="str">
        <f>IF('SCH M Lookup'!$B92=4098200,"SCHMAP",IF('SCH M Lookup'!$B92=4098300,"SCHMAT",IF('SCH M Lookup'!$B92=4099200,"SCHMDP",IF('SCH M Lookup'!$B92=4099300,"SCHMDT"))))</f>
        <v>SCHMDT</v>
      </c>
      <c r="D92" s="127">
        <v>415924</v>
      </c>
      <c r="E92" s="128" t="s">
        <v>534</v>
      </c>
      <c r="F92" s="127" t="s">
        <v>12</v>
      </c>
      <c r="G92" s="129"/>
      <c r="H92" s="117" t="str">
        <f t="shared" si="3"/>
        <v>SITUS</v>
      </c>
      <c r="I92" s="117" t="s">
        <v>68</v>
      </c>
      <c r="J92"/>
    </row>
    <row r="93" spans="1:10">
      <c r="A93" s="118" t="str">
        <f t="shared" si="2"/>
        <v>4099300SCHMDT415923Reg Asset - Carbon Unrecovered Plant - ISITUS</v>
      </c>
      <c r="B93" s="127">
        <v>4099300</v>
      </c>
      <c r="C93" s="117" t="str">
        <f>IF('SCH M Lookup'!$B93=4098200,"SCHMAP",IF('SCH M Lookup'!$B93=4098300,"SCHMAT",IF('SCH M Lookup'!$B93=4099200,"SCHMDP",IF('SCH M Lookup'!$B93=4099300,"SCHMDT"))))</f>
        <v>SCHMDT</v>
      </c>
      <c r="D93" s="127">
        <v>415923</v>
      </c>
      <c r="E93" s="128" t="s">
        <v>533</v>
      </c>
      <c r="F93" s="127" t="s">
        <v>12</v>
      </c>
      <c r="G93" s="129"/>
      <c r="H93" s="117" t="str">
        <f t="shared" si="3"/>
        <v>SITUS</v>
      </c>
      <c r="I93" s="117" t="s">
        <v>68</v>
      </c>
      <c r="J93"/>
    </row>
    <row r="94" spans="1:10">
      <c r="A94" s="118" t="str">
        <f t="shared" si="2"/>
        <v>4098300SCHMAT415938Reg Asset - Carbon Plant DecommissioningSITUS</v>
      </c>
      <c r="B94" s="127">
        <v>4098300</v>
      </c>
      <c r="C94" s="117" t="str">
        <f>IF('SCH M Lookup'!$B94=4098200,"SCHMAP",IF('SCH M Lookup'!$B94=4098300,"SCHMAT",IF('SCH M Lookup'!$B94=4099200,"SCHMDP",IF('SCH M Lookup'!$B94=4099300,"SCHMDT"))))</f>
        <v>SCHMAT</v>
      </c>
      <c r="D94" s="127">
        <v>415938</v>
      </c>
      <c r="E94" s="128" t="s">
        <v>410</v>
      </c>
      <c r="F94" s="127" t="s">
        <v>12</v>
      </c>
      <c r="G94" s="129"/>
      <c r="H94" s="117" t="str">
        <f t="shared" si="3"/>
        <v>SITUS</v>
      </c>
      <c r="I94" s="117" t="s">
        <v>68</v>
      </c>
      <c r="J94"/>
    </row>
    <row r="95" spans="1:10">
      <c r="A95" s="118" t="str">
        <f t="shared" si="2"/>
        <v>4099300SCHMDT415936REG ASSET - CARBON PLANT DECOMMISSIONINGSG</v>
      </c>
      <c r="B95" s="127">
        <v>4099300</v>
      </c>
      <c r="C95" s="117" t="str">
        <f>IF('SCH M Lookup'!$B95=4098200,"SCHMAP",IF('SCH M Lookup'!$B95=4098300,"SCHMAT",IF('SCH M Lookup'!$B95=4099200,"SCHMDP",IF('SCH M Lookup'!$B95=4099300,"SCHMDT"))))</f>
        <v>SCHMDT</v>
      </c>
      <c r="D95" s="127">
        <v>415936</v>
      </c>
      <c r="E95" s="128" t="s">
        <v>537</v>
      </c>
      <c r="F95" s="127" t="s">
        <v>87</v>
      </c>
      <c r="G95" s="129"/>
      <c r="H95" s="117" t="str">
        <f t="shared" si="3"/>
        <v>SG</v>
      </c>
      <c r="I95" s="117" t="s">
        <v>68</v>
      </c>
      <c r="J95"/>
    </row>
    <row r="96" spans="1:10">
      <c r="A96" s="118" t="str">
        <f t="shared" si="2"/>
        <v>4099300SCHMDT415862Reg Asset - CA Mobile Home Park ConversiOTHER</v>
      </c>
      <c r="B96" s="127">
        <v>4099300</v>
      </c>
      <c r="C96" s="117" t="str">
        <f>IF('SCH M Lookup'!$B96=4098200,"SCHMAP",IF('SCH M Lookup'!$B96=4098300,"SCHMAT",IF('SCH M Lookup'!$B96=4099200,"SCHMDP",IF('SCH M Lookup'!$B96=4099300,"SCHMDT"))))</f>
        <v>SCHMDT</v>
      </c>
      <c r="D96" s="127">
        <v>415862</v>
      </c>
      <c r="E96" s="128" t="s">
        <v>515</v>
      </c>
      <c r="F96" s="127" t="s">
        <v>306</v>
      </c>
      <c r="G96" s="129"/>
      <c r="H96" s="117" t="str">
        <f t="shared" si="3"/>
        <v>OTHER</v>
      </c>
      <c r="I96" s="117" t="s">
        <v>73</v>
      </c>
      <c r="J96"/>
    </row>
    <row r="97" spans="1:10">
      <c r="A97" s="118" t="str">
        <f t="shared" si="2"/>
        <v>4099300SCHMDT415878Reg Asset - CA Deferred Net Power CostsSITUS</v>
      </c>
      <c r="B97" s="127">
        <v>4099300</v>
      </c>
      <c r="C97" s="117" t="str">
        <f>IF('SCH M Lookup'!$B97=4098200,"SCHMAP",IF('SCH M Lookup'!$B97=4098300,"SCHMAT",IF('SCH M Lookup'!$B97=4099200,"SCHMDP",IF('SCH M Lookup'!$B97=4099300,"SCHMDT"))))</f>
        <v>SCHMDT</v>
      </c>
      <c r="D97" s="127">
        <v>415878</v>
      </c>
      <c r="E97" s="128" t="s">
        <v>518</v>
      </c>
      <c r="F97" s="127" t="s">
        <v>12</v>
      </c>
      <c r="G97" s="129"/>
      <c r="H97" s="117" t="str">
        <f t="shared" si="3"/>
        <v>SITUS</v>
      </c>
      <c r="I97" s="117" t="s">
        <v>68</v>
      </c>
      <c r="J97"/>
    </row>
    <row r="98" spans="1:10">
      <c r="A98" s="118" t="str">
        <f t="shared" si="2"/>
        <v>4099300SCHMDT210190Prepaid Water RightsSG</v>
      </c>
      <c r="B98" s="127">
        <v>4099300</v>
      </c>
      <c r="C98" s="117" t="str">
        <f>IF('SCH M Lookup'!$B98=4098200,"SCHMAP",IF('SCH M Lookup'!$B98=4098300,"SCHMAT",IF('SCH M Lookup'!$B98=4099200,"SCHMDP",IF('SCH M Lookup'!$B98=4099300,"SCHMDT"))))</f>
        <v>SCHMDT</v>
      </c>
      <c r="D98" s="127">
        <v>210190</v>
      </c>
      <c r="E98" s="128" t="s">
        <v>486</v>
      </c>
      <c r="F98" s="127" t="s">
        <v>87</v>
      </c>
      <c r="G98" s="129"/>
      <c r="H98" s="117" t="str">
        <f t="shared" si="3"/>
        <v>SG</v>
      </c>
      <c r="I98" s="117" t="s">
        <v>68</v>
      </c>
      <c r="J98"/>
    </row>
    <row r="99" spans="1:10">
      <c r="A99" s="118" t="str">
        <f t="shared" si="2"/>
        <v>4099300SCHMDT210120Prepaid Taxes-UT PUCSITUS</v>
      </c>
      <c r="B99" s="127">
        <v>4099300</v>
      </c>
      <c r="C99" s="117" t="str">
        <f>IF('SCH M Lookup'!$B99=4098200,"SCHMAP",IF('SCH M Lookup'!$B99=4098300,"SCHMAT",IF('SCH M Lookup'!$B99=4099200,"SCHMDP",IF('SCH M Lookup'!$B99=4099300,"SCHMDT"))))</f>
        <v>SCHMDT</v>
      </c>
      <c r="D99" s="127">
        <v>210120</v>
      </c>
      <c r="E99" s="128" t="s">
        <v>369</v>
      </c>
      <c r="F99" s="127" t="s">
        <v>12</v>
      </c>
      <c r="G99" s="129"/>
      <c r="H99" s="117" t="str">
        <f t="shared" si="3"/>
        <v>SITUS</v>
      </c>
      <c r="I99" s="117" t="s">
        <v>110</v>
      </c>
      <c r="J99"/>
    </row>
    <row r="100" spans="1:10">
      <c r="A100" s="118" t="str">
        <f t="shared" si="2"/>
        <v>4098300SCHMAT210200Prepaid Taxes-property taxesGPS</v>
      </c>
      <c r="B100" s="127">
        <v>4098300</v>
      </c>
      <c r="C100" s="117" t="str">
        <f>IF('SCH M Lookup'!$B100=4098200,"SCHMAP",IF('SCH M Lookup'!$B100=4098300,"SCHMAT",IF('SCH M Lookup'!$B100=4099200,"SCHMDP",IF('SCH M Lookup'!$B100=4099300,"SCHMDT"))))</f>
        <v>SCHMAT</v>
      </c>
      <c r="D100" s="127">
        <v>210200</v>
      </c>
      <c r="E100" s="128" t="s">
        <v>373</v>
      </c>
      <c r="F100" s="127" t="s">
        <v>9</v>
      </c>
      <c r="G100" s="129"/>
      <c r="H100" s="117" t="str">
        <f t="shared" si="3"/>
        <v>GPS</v>
      </c>
      <c r="I100" s="117" t="s">
        <v>110</v>
      </c>
      <c r="J100"/>
    </row>
    <row r="101" spans="1:10">
      <c r="A101" s="118" t="str">
        <f t="shared" si="2"/>
        <v>4099300SCHMDT210100Prepaid Taxes-OR PUCSITUS</v>
      </c>
      <c r="B101" s="127">
        <v>4099300</v>
      </c>
      <c r="C101" s="117" t="str">
        <f>IF('SCH M Lookup'!$B101=4098200,"SCHMAP",IF('SCH M Lookup'!$B101=4098300,"SCHMAT",IF('SCH M Lookup'!$B101=4099200,"SCHMDP",IF('SCH M Lookup'!$B101=4099300,"SCHMDT"))))</f>
        <v>SCHMDT</v>
      </c>
      <c r="D101" s="127">
        <v>210100</v>
      </c>
      <c r="E101" s="128" t="s">
        <v>483</v>
      </c>
      <c r="F101" s="127" t="s">
        <v>12</v>
      </c>
      <c r="G101" s="129"/>
      <c r="H101" s="117" t="str">
        <f t="shared" si="3"/>
        <v>SITUS</v>
      </c>
      <c r="I101" s="117" t="s">
        <v>110</v>
      </c>
      <c r="J101"/>
    </row>
    <row r="102" spans="1:10">
      <c r="A102" s="118" t="str">
        <f t="shared" si="2"/>
        <v>4099300SCHMDT210130Prepaid Taxes-ID PUCSITUS</v>
      </c>
      <c r="B102" s="127">
        <v>4099300</v>
      </c>
      <c r="C102" s="117" t="str">
        <f>IF('SCH M Lookup'!$B102=4098200,"SCHMAP",IF('SCH M Lookup'!$B102=4098300,"SCHMAT",IF('SCH M Lookup'!$B102=4099200,"SCHMDP",IF('SCH M Lookup'!$B102=4099300,"SCHMDT"))))</f>
        <v>SCHMDT</v>
      </c>
      <c r="D102" s="127">
        <v>210130</v>
      </c>
      <c r="E102" s="128" t="s">
        <v>371</v>
      </c>
      <c r="F102" s="127" t="s">
        <v>12</v>
      </c>
      <c r="G102" s="129"/>
      <c r="H102" s="117" t="str">
        <f t="shared" si="3"/>
        <v>SITUS</v>
      </c>
      <c r="I102" s="117" t="s">
        <v>110</v>
      </c>
      <c r="J102"/>
    </row>
    <row r="103" spans="1:10">
      <c r="A103" s="118" t="str">
        <f t="shared" si="2"/>
        <v>4099300SCHMDT210195Prepaid Surety Bond CostsSO</v>
      </c>
      <c r="B103" s="127">
        <v>4099300</v>
      </c>
      <c r="C103" s="117" t="str">
        <f>IF('SCH M Lookup'!$B103=4098200,"SCHMAP",IF('SCH M Lookup'!$B103=4098300,"SCHMAT",IF('SCH M Lookup'!$B103=4099200,"SCHMDP",IF('SCH M Lookup'!$B103=4099300,"SCHMDT"))))</f>
        <v>SCHMDT</v>
      </c>
      <c r="D103" s="127">
        <v>210195</v>
      </c>
      <c r="E103" s="128" t="s">
        <v>487</v>
      </c>
      <c r="F103" s="127" t="s">
        <v>89</v>
      </c>
      <c r="G103" s="129"/>
      <c r="H103" s="117" t="str">
        <f t="shared" si="3"/>
        <v>SO</v>
      </c>
      <c r="I103" s="117" t="s">
        <v>102</v>
      </c>
      <c r="J103"/>
    </row>
    <row r="104" spans="1:10">
      <c r="A104" s="118" t="str">
        <f t="shared" si="2"/>
        <v>4099300SCHMDT210185Prepaid Aircraft Maintenance CostsSG</v>
      </c>
      <c r="B104" s="127">
        <v>4099300</v>
      </c>
      <c r="C104" s="117" t="str">
        <f>IF('SCH M Lookup'!$B104=4098200,"SCHMAP",IF('SCH M Lookup'!$B104=4098300,"SCHMAT",IF('SCH M Lookup'!$B104=4099200,"SCHMDP",IF('SCH M Lookup'!$B104=4099300,"SCHMDT"))))</f>
        <v>SCHMDT</v>
      </c>
      <c r="D104" s="127">
        <v>210185</v>
      </c>
      <c r="E104" s="128" t="s">
        <v>485</v>
      </c>
      <c r="F104" s="127" t="s">
        <v>87</v>
      </c>
      <c r="G104" s="129"/>
      <c r="H104" s="117" t="str">
        <f t="shared" si="3"/>
        <v>SG</v>
      </c>
      <c r="I104" s="117" t="s">
        <v>68</v>
      </c>
      <c r="J104"/>
    </row>
    <row r="105" spans="1:10">
      <c r="A105" s="118" t="str">
        <f t="shared" si="2"/>
        <v>4099200SCHMDP120100Preferred Dividend - PPLSNP</v>
      </c>
      <c r="B105" s="127">
        <v>4099200</v>
      </c>
      <c r="C105" s="117" t="str">
        <f>IF('SCH M Lookup'!$B105=4098200,"SCHMAP",IF('SCH M Lookup'!$B105=4098300,"SCHMAT",IF('SCH M Lookup'!$B105=4099200,"SCHMDP",IF('SCH M Lookup'!$B105=4099300,"SCHMDT"))))</f>
        <v>SCHMDP</v>
      </c>
      <c r="D105" s="127">
        <v>120100</v>
      </c>
      <c r="E105" s="128" t="s">
        <v>463</v>
      </c>
      <c r="F105" s="127" t="s">
        <v>7</v>
      </c>
      <c r="G105" s="129"/>
      <c r="H105" s="117" t="str">
        <f t="shared" si="3"/>
        <v>SNP</v>
      </c>
      <c r="I105" s="117" t="s">
        <v>92</v>
      </c>
      <c r="J105"/>
    </row>
    <row r="106" spans="1:10">
      <c r="A106" s="118" t="str">
        <f t="shared" si="2"/>
        <v>4098300SCHMAT415852Powerdale Decommissioning Reg Asset - IDSITUS</v>
      </c>
      <c r="B106" s="127">
        <v>4098300</v>
      </c>
      <c r="C106" s="117" t="str">
        <f>IF('SCH M Lookup'!$B106=4098200,"SCHMAP",IF('SCH M Lookup'!$B106=4098300,"SCHMAT",IF('SCH M Lookup'!$B106=4099200,"SCHMDP",IF('SCH M Lookup'!$B106=4099300,"SCHMDT"))))</f>
        <v>SCHMAT</v>
      </c>
      <c r="D106" s="127">
        <v>415852</v>
      </c>
      <c r="E106" s="128" t="s">
        <v>398</v>
      </c>
      <c r="F106" s="127" t="s">
        <v>12</v>
      </c>
      <c r="G106" s="129"/>
      <c r="H106" s="117" t="str">
        <f t="shared" si="3"/>
        <v>SITUS</v>
      </c>
      <c r="I106" s="117" t="s">
        <v>68</v>
      </c>
      <c r="J106"/>
    </row>
    <row r="107" spans="1:10">
      <c r="A107" s="118" t="str">
        <f t="shared" si="2"/>
        <v>4098300SCHMAT740100Post Merger Loss-Reacquired DebtSNP</v>
      </c>
      <c r="B107" s="127">
        <v>4098300</v>
      </c>
      <c r="C107" s="117" t="str">
        <f>IF('SCH M Lookup'!$B107=4098200,"SCHMAP",IF('SCH M Lookup'!$B107=4098300,"SCHMAT",IF('SCH M Lookup'!$B107=4099200,"SCHMDP",IF('SCH M Lookup'!$B107=4099300,"SCHMDT"))))</f>
        <v>SCHMAT</v>
      </c>
      <c r="D107" s="127">
        <v>740100</v>
      </c>
      <c r="E107" s="128" t="s">
        <v>456</v>
      </c>
      <c r="F107" s="127" t="s">
        <v>7</v>
      </c>
      <c r="G107" s="129"/>
      <c r="H107" s="117" t="str">
        <f t="shared" si="3"/>
        <v>SNP</v>
      </c>
      <c r="I107" s="117" t="s">
        <v>110</v>
      </c>
      <c r="J107"/>
    </row>
    <row r="108" spans="1:10">
      <c r="A108" s="118" t="str">
        <f t="shared" si="2"/>
        <v>4098300SCHMAT920110PMIWY Extraction TaxSE</v>
      </c>
      <c r="B108" s="127">
        <v>4098300</v>
      </c>
      <c r="C108" s="117" t="str">
        <f>IF('SCH M Lookup'!$B108=4098200,"SCHMAP",IF('SCH M Lookup'!$B108=4098300,"SCHMAT",IF('SCH M Lookup'!$B108=4099200,"SCHMDP",IF('SCH M Lookup'!$B108=4099300,"SCHMDT"))))</f>
        <v>SCHMAT</v>
      </c>
      <c r="D108" s="127">
        <v>920110</v>
      </c>
      <c r="E108" s="128" t="s">
        <v>460</v>
      </c>
      <c r="F108" s="127" t="s">
        <v>85</v>
      </c>
      <c r="G108" s="129"/>
      <c r="H108" s="117" t="str">
        <f t="shared" si="3"/>
        <v>SE</v>
      </c>
      <c r="I108" s="117" t="s">
        <v>68</v>
      </c>
      <c r="J108"/>
    </row>
    <row r="109" spans="1:10">
      <c r="A109" s="118" t="str">
        <f t="shared" si="2"/>
        <v>4099300SCHMDT105126PMITax DepreciationSE</v>
      </c>
      <c r="B109" s="127">
        <v>4099300</v>
      </c>
      <c r="C109" s="117" t="str">
        <f>IF('SCH M Lookup'!$B109=4098200,"SCHMAP",IF('SCH M Lookup'!$B109=4098300,"SCHMAT",IF('SCH M Lookup'!$B109=4099200,"SCHMDP",IF('SCH M Lookup'!$B109=4099300,"SCHMDT"))))</f>
        <v>SCHMDT</v>
      </c>
      <c r="D109" s="127">
        <v>105126</v>
      </c>
      <c r="E109" s="128" t="s">
        <v>468</v>
      </c>
      <c r="F109" s="127" t="s">
        <v>85</v>
      </c>
      <c r="G109" s="129"/>
      <c r="H109" s="117" t="str">
        <f t="shared" si="3"/>
        <v>SE</v>
      </c>
      <c r="I109" s="117" t="s">
        <v>68</v>
      </c>
      <c r="J109"/>
    </row>
    <row r="110" spans="1:10">
      <c r="A110" s="118" t="str">
        <f t="shared" si="2"/>
        <v>4099300SCHMDT205411PMISEC 263A AdjustmentSE</v>
      </c>
      <c r="B110" s="127">
        <v>4099300</v>
      </c>
      <c r="C110" s="117" t="str">
        <f>IF('SCH M Lookup'!$B110=4098200,"SCHMAP",IF('SCH M Lookup'!$B110=4098300,"SCHMAT",IF('SCH M Lookup'!$B110=4099200,"SCHMDP",IF('SCH M Lookup'!$B110=4099300,"SCHMDT"))))</f>
        <v>SCHMDT</v>
      </c>
      <c r="D110" s="127">
        <v>205411</v>
      </c>
      <c r="E110" s="128" t="s">
        <v>482</v>
      </c>
      <c r="F110" s="127" t="s">
        <v>85</v>
      </c>
      <c r="G110" s="129"/>
      <c r="H110" s="117" t="str">
        <f t="shared" si="3"/>
        <v>SE</v>
      </c>
      <c r="I110" s="117" t="s">
        <v>68</v>
      </c>
      <c r="J110"/>
    </row>
    <row r="111" spans="1:10">
      <c r="A111" s="118" t="str">
        <f t="shared" si="2"/>
        <v>4098200SCHMAP130400PMINondeductible ExpSE</v>
      </c>
      <c r="B111" s="127">
        <v>4098200</v>
      </c>
      <c r="C111" s="117" t="str">
        <f>IF('SCH M Lookup'!$B111=4098200,"SCHMAP",IF('SCH M Lookup'!$B111=4098300,"SCHMAT",IF('SCH M Lookup'!$B111=4099200,"SCHMDP",IF('SCH M Lookup'!$B111=4099300,"SCHMDT"))))</f>
        <v>SCHMAP</v>
      </c>
      <c r="D111" s="127">
        <v>130400</v>
      </c>
      <c r="E111" s="128" t="s">
        <v>356</v>
      </c>
      <c r="F111" s="127" t="s">
        <v>85</v>
      </c>
      <c r="G111" s="129"/>
      <c r="H111" s="117" t="str">
        <f t="shared" si="3"/>
        <v>SE</v>
      </c>
      <c r="I111" s="117" t="s">
        <v>68</v>
      </c>
      <c r="J111"/>
    </row>
    <row r="112" spans="1:10">
      <c r="A112" s="118" t="str">
        <f t="shared" si="2"/>
        <v>4098200SCHMAP610106PMIFuel Tax CrSE</v>
      </c>
      <c r="B112" s="127">
        <v>4098200</v>
      </c>
      <c r="C112" s="117" t="str">
        <f>IF('SCH M Lookup'!$B112=4098200,"SCHMAP",IF('SCH M Lookup'!$B112=4098300,"SCHMAT",IF('SCH M Lookup'!$B112=4099200,"SCHMDP",IF('SCH M Lookup'!$B112=4099300,"SCHMDT"))))</f>
        <v>SCHMAP</v>
      </c>
      <c r="D112" s="127">
        <v>610106</v>
      </c>
      <c r="E112" s="128" t="s">
        <v>358</v>
      </c>
      <c r="F112" s="127" t="s">
        <v>85</v>
      </c>
      <c r="G112" s="129"/>
      <c r="H112" s="117" t="str">
        <f t="shared" si="3"/>
        <v>SE</v>
      </c>
      <c r="I112" s="117" t="s">
        <v>68</v>
      </c>
      <c r="J112"/>
    </row>
    <row r="113" spans="1:10">
      <c r="A113" s="118" t="str">
        <f t="shared" si="2"/>
        <v>4099300SCHMDT610100PMIDEVT COST AMORTSE</v>
      </c>
      <c r="B113" s="127">
        <v>4099300</v>
      </c>
      <c r="C113" s="117" t="str">
        <f>IF('SCH M Lookup'!$B113=4098200,"SCHMAP",IF('SCH M Lookup'!$B113=4098300,"SCHMAT",IF('SCH M Lookup'!$B113=4099200,"SCHMDP",IF('SCH M Lookup'!$B113=4099300,"SCHMDT"))))</f>
        <v>SCHMDT</v>
      </c>
      <c r="D113" s="127">
        <v>610100</v>
      </c>
      <c r="E113" s="128" t="s">
        <v>543</v>
      </c>
      <c r="F113" s="127" t="s">
        <v>85</v>
      </c>
      <c r="G113" s="129"/>
      <c r="H113" s="117" t="str">
        <f t="shared" si="3"/>
        <v>SE</v>
      </c>
      <c r="I113" s="117" t="s">
        <v>68</v>
      </c>
      <c r="J113"/>
    </row>
    <row r="114" spans="1:10">
      <c r="A114" s="118" t="str">
        <f t="shared" si="2"/>
        <v>4098300SCHMAT105121PMIBook DepreciationSE</v>
      </c>
      <c r="B114" s="127">
        <v>4098300</v>
      </c>
      <c r="C114" s="117" t="str">
        <f>IF('SCH M Lookup'!$B114=4098200,"SCHMAP",IF('SCH M Lookup'!$B114=4098300,"SCHMAT",IF('SCH M Lookup'!$B114=4099200,"SCHMDP",IF('SCH M Lookup'!$B114=4099300,"SCHMDT"))))</f>
        <v>SCHMAT</v>
      </c>
      <c r="D114" s="127">
        <v>105121</v>
      </c>
      <c r="E114" s="128" t="s">
        <v>362</v>
      </c>
      <c r="F114" s="127" t="s">
        <v>85</v>
      </c>
      <c r="G114" s="129"/>
      <c r="H114" s="117" t="str">
        <f t="shared" si="3"/>
        <v>SE</v>
      </c>
      <c r="I114" s="117" t="s">
        <v>68</v>
      </c>
      <c r="J114"/>
    </row>
    <row r="115" spans="1:10">
      <c r="A115" s="118" t="str">
        <f t="shared" si="2"/>
        <v>4098200SCHMAP920145PMI Mining Rescue Training Credit AddbacSE</v>
      </c>
      <c r="B115" s="127">
        <v>4098200</v>
      </c>
      <c r="C115" s="117" t="str">
        <f>IF('SCH M Lookup'!$B115=4098200,"SCHMAP",IF('SCH M Lookup'!$B115=4098300,"SCHMAT",IF('SCH M Lookup'!$B115=4099200,"SCHMDP",IF('SCH M Lookup'!$B115=4099300,"SCHMDT"))))</f>
        <v>SCHMAP</v>
      </c>
      <c r="D115" s="127">
        <v>920145</v>
      </c>
      <c r="E115" s="128" t="s">
        <v>360</v>
      </c>
      <c r="F115" s="127" t="s">
        <v>85</v>
      </c>
      <c r="G115" s="129"/>
      <c r="H115" s="117" t="str">
        <f t="shared" si="3"/>
        <v>SE</v>
      </c>
      <c r="I115" s="117" t="s">
        <v>68</v>
      </c>
      <c r="J115"/>
    </row>
    <row r="116" spans="1:10">
      <c r="A116" s="118" t="str">
        <f t="shared" si="2"/>
        <v>4099300SCHMDT610114PMI EITF Pre Stripping CostsSE</v>
      </c>
      <c r="B116" s="127">
        <v>4099300</v>
      </c>
      <c r="C116" s="117" t="str">
        <f>IF('SCH M Lookup'!$B116=4098200,"SCHMAP",IF('SCH M Lookup'!$B116=4098300,"SCHMAT",IF('SCH M Lookup'!$B116=4099200,"SCHMDP",IF('SCH M Lookup'!$B116=4099300,"SCHMDT"))))</f>
        <v>SCHMDT</v>
      </c>
      <c r="D116" s="127">
        <v>610114</v>
      </c>
      <c r="E116" s="128" t="s">
        <v>546</v>
      </c>
      <c r="F116" s="127" t="s">
        <v>85</v>
      </c>
      <c r="G116" s="129"/>
      <c r="H116" s="117" t="str">
        <f t="shared" si="3"/>
        <v>SE</v>
      </c>
      <c r="I116" s="117" t="s">
        <v>68</v>
      </c>
      <c r="J116"/>
    </row>
    <row r="117" spans="1:10">
      <c r="A117" s="118" t="str">
        <f t="shared" si="2"/>
        <v>4098200SCHMAP610107PMI Dividend Gross Up for Foreign Tax CrSO</v>
      </c>
      <c r="B117" s="127">
        <v>4098200</v>
      </c>
      <c r="C117" s="117" t="str">
        <f>IF('SCH M Lookup'!$B117=4098200,"SCHMAP",IF('SCH M Lookup'!$B117=4098300,"SCHMAT",IF('SCH M Lookup'!$B117=4099200,"SCHMDP",IF('SCH M Lookup'!$B117=4099300,"SCHMDT"))))</f>
        <v>SCHMAP</v>
      </c>
      <c r="D117" s="127">
        <v>610107</v>
      </c>
      <c r="E117" s="128" t="s">
        <v>359</v>
      </c>
      <c r="F117" s="127" t="s">
        <v>89</v>
      </c>
      <c r="G117" s="129"/>
      <c r="H117" s="117" t="str">
        <f t="shared" si="3"/>
        <v>SO</v>
      </c>
      <c r="I117" s="117" t="s">
        <v>68</v>
      </c>
      <c r="J117"/>
    </row>
    <row r="118" spans="1:10">
      <c r="A118" s="118" t="str">
        <f t="shared" si="2"/>
        <v>4099300SCHMDT105171PMI Coal Mine Receding Face (Extension)SE</v>
      </c>
      <c r="B118" s="127">
        <v>4099300</v>
      </c>
      <c r="C118" s="117" t="str">
        <f>IF('SCH M Lookup'!$B118=4098200,"SCHMAP",IF('SCH M Lookup'!$B118=4098300,"SCHMAT",IF('SCH M Lookup'!$B118=4099200,"SCHMDP",IF('SCH M Lookup'!$B118=4099300,"SCHMDT"))))</f>
        <v>SCHMDT</v>
      </c>
      <c r="D118" s="127">
        <v>105171</v>
      </c>
      <c r="E118" s="128" t="s">
        <v>475</v>
      </c>
      <c r="F118" s="127" t="s">
        <v>85</v>
      </c>
      <c r="G118" s="129"/>
      <c r="H118" s="117" t="str">
        <f t="shared" si="3"/>
        <v>SE</v>
      </c>
      <c r="I118" s="117" t="s">
        <v>68</v>
      </c>
      <c r="J118"/>
    </row>
    <row r="119" spans="1:10">
      <c r="A119" s="118" t="str">
        <f t="shared" si="2"/>
        <v>4099200SCHMDP620101PMI 2004 JCA-Qualified Prod Activities DSE</v>
      </c>
      <c r="B119" s="127">
        <v>4099200</v>
      </c>
      <c r="C119" s="117" t="str">
        <f>IF('SCH M Lookup'!$B119=4098200,"SCHMAP",IF('SCH M Lookup'!$B119=4098300,"SCHMAT",IF('SCH M Lookup'!$B119=4099200,"SCHMDP",IF('SCH M Lookup'!$B119=4099300,"SCHMDT"))))</f>
        <v>SCHMDP</v>
      </c>
      <c r="D119" s="127">
        <v>620101</v>
      </c>
      <c r="E119" s="128" t="s">
        <v>465</v>
      </c>
      <c r="F119" s="127" t="s">
        <v>85</v>
      </c>
      <c r="G119" s="129"/>
      <c r="H119" s="117" t="str">
        <f t="shared" si="3"/>
        <v>SE</v>
      </c>
      <c r="I119" s="117" t="s">
        <v>68</v>
      </c>
      <c r="J119"/>
    </row>
    <row r="120" spans="1:10">
      <c r="A120" s="118" t="str">
        <f t="shared" si="2"/>
        <v>4099300SCHMDT205025PMI - Fuel Cost AdjustmentSE</v>
      </c>
      <c r="B120" s="127">
        <v>4099300</v>
      </c>
      <c r="C120" s="117" t="str">
        <f>IF('SCH M Lookup'!$B120=4098200,"SCHMAP",IF('SCH M Lookup'!$B120=4098300,"SCHMAT",IF('SCH M Lookup'!$B120=4099200,"SCHMDP",IF('SCH M Lookup'!$B120=4099300,"SCHMDT"))))</f>
        <v>SCHMDT</v>
      </c>
      <c r="D120" s="127">
        <v>205025</v>
      </c>
      <c r="E120" s="128" t="s">
        <v>480</v>
      </c>
      <c r="F120" s="127" t="s">
        <v>85</v>
      </c>
      <c r="G120" s="129"/>
      <c r="H120" s="117" t="str">
        <f t="shared" si="3"/>
        <v>SE</v>
      </c>
      <c r="I120" s="117" t="s">
        <v>68</v>
      </c>
      <c r="J120"/>
    </row>
    <row r="121" spans="1:10">
      <c r="A121" s="118" t="str">
        <f t="shared" si="2"/>
        <v>4098300SCHMAT720560Pension Liability - UMWA Withdrawal ObliSE</v>
      </c>
      <c r="B121" s="127">
        <v>4098300</v>
      </c>
      <c r="C121" s="117" t="str">
        <f>IF('SCH M Lookup'!$B121=4098200,"SCHMAP",IF('SCH M Lookup'!$B121=4098300,"SCHMAT",IF('SCH M Lookup'!$B121=4099200,"SCHMDP",IF('SCH M Lookup'!$B121=4099300,"SCHMDT"))))</f>
        <v>SCHMAT</v>
      </c>
      <c r="D121" s="127">
        <v>720560</v>
      </c>
      <c r="E121" s="128" t="s">
        <v>455</v>
      </c>
      <c r="F121" s="127" t="s">
        <v>85</v>
      </c>
      <c r="G121" s="129"/>
      <c r="H121" s="117" t="str">
        <f t="shared" si="3"/>
        <v>SE</v>
      </c>
      <c r="I121" s="117" t="s">
        <v>68</v>
      </c>
      <c r="J121"/>
    </row>
    <row r="122" spans="1:10">
      <c r="A122" s="118" t="str">
        <f t="shared" si="2"/>
        <v>4098300SCHMAT720300Pension / Retirement (Accrued / Prepaid)SO</v>
      </c>
      <c r="B122" s="127">
        <v>4098300</v>
      </c>
      <c r="C122" s="117" t="str">
        <f>IF('SCH M Lookup'!$B122=4098200,"SCHMAP",IF('SCH M Lookup'!$B122=4098300,"SCHMAT",IF('SCH M Lookup'!$B122=4099200,"SCHMDP",IF('SCH M Lookup'!$B122=4099300,"SCHMDT"))))</f>
        <v>SCHMAT</v>
      </c>
      <c r="D122" s="127">
        <v>720300</v>
      </c>
      <c r="E122" s="128" t="s">
        <v>454</v>
      </c>
      <c r="F122" s="127" t="s">
        <v>89</v>
      </c>
      <c r="G122" s="129"/>
      <c r="H122" s="117" t="str">
        <f t="shared" si="3"/>
        <v>SO</v>
      </c>
      <c r="I122" s="117" t="s">
        <v>102</v>
      </c>
      <c r="J122"/>
    </row>
    <row r="123" spans="1:10">
      <c r="A123" s="118" t="str">
        <f t="shared" si="2"/>
        <v>4099300SCHMDT210180OTHER PREPAIDSSO</v>
      </c>
      <c r="B123" s="127">
        <v>4099300</v>
      </c>
      <c r="C123" s="117" t="str">
        <f>IF('SCH M Lookup'!$B123=4098200,"SCHMAP",IF('SCH M Lookup'!$B123=4098300,"SCHMAT",IF('SCH M Lookup'!$B123=4099200,"SCHMDP",IF('SCH M Lookup'!$B123=4099300,"SCHMDT"))))</f>
        <v>SCHMDT</v>
      </c>
      <c r="D123" s="127">
        <v>210180</v>
      </c>
      <c r="E123" s="128" t="s">
        <v>484</v>
      </c>
      <c r="F123" s="127" t="s">
        <v>89</v>
      </c>
      <c r="G123" s="129"/>
      <c r="H123" s="117" t="str">
        <f t="shared" si="3"/>
        <v>SO</v>
      </c>
      <c r="I123" s="117" t="s">
        <v>92</v>
      </c>
      <c r="J123"/>
    </row>
    <row r="124" spans="1:10">
      <c r="A124" s="118" t="str">
        <f t="shared" si="2"/>
        <v>4099300SCHMDT610146OR Reg Asset/Liability ConsolidationSITUS</v>
      </c>
      <c r="B124" s="127">
        <v>4099300</v>
      </c>
      <c r="C124" s="117" t="str">
        <f>IF('SCH M Lookup'!$B124=4098200,"SCHMAP",IF('SCH M Lookup'!$B124=4098300,"SCHMAT",IF('SCH M Lookup'!$B124=4099200,"SCHMDP",IF('SCH M Lookup'!$B124=4099300,"SCHMDT"))))</f>
        <v>SCHMDT</v>
      </c>
      <c r="D124" s="127">
        <v>610146</v>
      </c>
      <c r="E124" s="128" t="s">
        <v>431</v>
      </c>
      <c r="F124" s="127" t="s">
        <v>12</v>
      </c>
      <c r="G124" s="129"/>
      <c r="H124" s="117" t="str">
        <f t="shared" si="3"/>
        <v>SITUS</v>
      </c>
      <c r="I124" s="117" t="s">
        <v>92</v>
      </c>
      <c r="J124"/>
    </row>
    <row r="125" spans="1:10">
      <c r="A125" s="118" t="str">
        <f t="shared" si="2"/>
        <v>4098300SCHMAT715720NW Power Act-WAOTHER</v>
      </c>
      <c r="B125" s="127">
        <v>4098300</v>
      </c>
      <c r="C125" s="117" t="str">
        <f>IF('SCH M Lookup'!$B125=4098200,"SCHMAP",IF('SCH M Lookup'!$B125=4098300,"SCHMAT",IF('SCH M Lookup'!$B125=4099200,"SCHMDP",IF('SCH M Lookup'!$B125=4099300,"SCHMDT"))))</f>
        <v>SCHMAT</v>
      </c>
      <c r="D125" s="127">
        <v>715720</v>
      </c>
      <c r="E125" s="128" t="s">
        <v>451</v>
      </c>
      <c r="F125" s="127" t="s">
        <v>306</v>
      </c>
      <c r="G125" s="129"/>
      <c r="H125" s="117" t="str">
        <f t="shared" si="3"/>
        <v>OTHER</v>
      </c>
      <c r="I125" s="117" t="s">
        <v>68</v>
      </c>
      <c r="J125"/>
    </row>
    <row r="126" spans="1:10">
      <c r="A126" s="118" t="str">
        <f t="shared" si="2"/>
        <v>4098200SCHMAP130750Nondeductible Fringe BenefitsSO</v>
      </c>
      <c r="B126" s="127">
        <v>4098200</v>
      </c>
      <c r="C126" s="117" t="str">
        <f>IF('SCH M Lookup'!$B126=4098200,"SCHMAP",IF('SCH M Lookup'!$B126=4098300,"SCHMAT",IF('SCH M Lookup'!$B126=4099200,"SCHMDP",IF('SCH M Lookup'!$B126=4099300,"SCHMDT"))))</f>
        <v>SCHMAP</v>
      </c>
      <c r="D126" s="127">
        <v>130750</v>
      </c>
      <c r="E126" s="128" t="s">
        <v>1683</v>
      </c>
      <c r="F126" s="127" t="s">
        <v>89</v>
      </c>
      <c r="G126" s="129"/>
      <c r="H126" s="117" t="str">
        <f t="shared" si="3"/>
        <v>SO</v>
      </c>
      <c r="I126" s="117" t="s">
        <v>102</v>
      </c>
      <c r="J126"/>
    </row>
    <row r="127" spans="1:10">
      <c r="A127" s="118" t="str">
        <f t="shared" si="2"/>
        <v>4098200SCHMAP130100Non - Deductible ExpensesSO</v>
      </c>
      <c r="B127" s="127">
        <v>4098200</v>
      </c>
      <c r="C127" s="117" t="str">
        <f>IF('SCH M Lookup'!$B127=4098200,"SCHMAP",IF('SCH M Lookup'!$B127=4098300,"SCHMAT",IF('SCH M Lookup'!$B127=4099200,"SCHMDP",IF('SCH M Lookup'!$B127=4099300,"SCHMDT"))))</f>
        <v>SCHMAP</v>
      </c>
      <c r="D127" s="127">
        <v>130100</v>
      </c>
      <c r="E127" s="128" t="s">
        <v>355</v>
      </c>
      <c r="F127" s="127" t="s">
        <v>89</v>
      </c>
      <c r="G127" s="129"/>
      <c r="H127" s="117" t="str">
        <f t="shared" si="3"/>
        <v>SO</v>
      </c>
      <c r="I127" s="117" t="s">
        <v>68</v>
      </c>
      <c r="J127"/>
    </row>
    <row r="128" spans="1:10">
      <c r="A128" s="118" t="str">
        <f t="shared" si="2"/>
        <v>4098300SCHMAT715105MCI FOG Wire LeaseSG</v>
      </c>
      <c r="B128" s="127">
        <v>4098300</v>
      </c>
      <c r="C128" s="117" t="str">
        <f>IF('SCH M Lookup'!$B128=4098200,"SCHMAP",IF('SCH M Lookup'!$B128=4098300,"SCHMAT",IF('SCH M Lookup'!$B128=4099200,"SCHMDP",IF('SCH M Lookup'!$B128=4099300,"SCHMDT"))))</f>
        <v>SCHMAT</v>
      </c>
      <c r="D128" s="127">
        <v>715105</v>
      </c>
      <c r="E128" s="128" t="s">
        <v>450</v>
      </c>
      <c r="F128" s="127" t="s">
        <v>87</v>
      </c>
      <c r="G128" s="129"/>
      <c r="H128" s="117" t="str">
        <f t="shared" si="3"/>
        <v>SG</v>
      </c>
      <c r="I128" s="117" t="s">
        <v>68</v>
      </c>
      <c r="J128"/>
    </row>
    <row r="129" spans="1:10">
      <c r="A129" s="118" t="str">
        <f t="shared" si="2"/>
        <v>4099300SCHMDT320290LT Prepaid IBEW 57 Pension ContributionOTHER</v>
      </c>
      <c r="B129" s="127">
        <v>4099300</v>
      </c>
      <c r="C129" s="117" t="str">
        <f>IF('SCH M Lookup'!$B129=4098200,"SCHMAP",IF('SCH M Lookup'!$B129=4098300,"SCHMAT",IF('SCH M Lookup'!$B129=4099200,"SCHMDP",IF('SCH M Lookup'!$B129=4099300,"SCHMDT"))))</f>
        <v>SCHMDT</v>
      </c>
      <c r="D129" s="127">
        <v>320290</v>
      </c>
      <c r="E129" s="128" t="s">
        <v>490</v>
      </c>
      <c r="F129" s="127" t="s">
        <v>306</v>
      </c>
      <c r="G129" s="129"/>
      <c r="H129" s="117" t="str">
        <f t="shared" si="3"/>
        <v>OTHER</v>
      </c>
      <c r="I129" s="117" t="s">
        <v>102</v>
      </c>
      <c r="J129"/>
    </row>
    <row r="130" spans="1:10">
      <c r="A130" s="118" t="str">
        <f t="shared" si="2"/>
        <v>4098300SCHMAT425280Joseph Settlement-SGSG</v>
      </c>
      <c r="B130" s="127">
        <v>4098300</v>
      </c>
      <c r="C130" s="117" t="str">
        <f>IF('SCH M Lookup'!$B130=4098200,"SCHMAP",IF('SCH M Lookup'!$B130=4098300,"SCHMAT",IF('SCH M Lookup'!$B130=4099200,"SCHMDP",IF('SCH M Lookup'!$B130=4099300,"SCHMDT"))))</f>
        <v>SCHMAT</v>
      </c>
      <c r="D130" s="127">
        <v>425280</v>
      </c>
      <c r="E130" s="128" t="s">
        <v>413</v>
      </c>
      <c r="F130" s="127" t="s">
        <v>87</v>
      </c>
      <c r="G130" s="129"/>
      <c r="H130" s="117" t="str">
        <f t="shared" si="3"/>
        <v>SG</v>
      </c>
      <c r="I130" s="117" t="s">
        <v>68</v>
      </c>
      <c r="J130"/>
    </row>
    <row r="131" spans="1:10">
      <c r="A131" s="118" t="str">
        <f t="shared" ref="A131:A194" si="4">CONCATENATE($B131,$C131,$D131,$E131,$H131)</f>
        <v>4099300SCHMDT205205Inventory Reserve - PMISE</v>
      </c>
      <c r="B131" s="127">
        <v>4099300</v>
      </c>
      <c r="C131" s="117" t="str">
        <f>IF('SCH M Lookup'!$B131=4098200,"SCHMAP",IF('SCH M Lookup'!$B131=4098300,"SCHMAT",IF('SCH M Lookup'!$B131=4099200,"SCHMDP",IF('SCH M Lookup'!$B131=4099300,"SCHMDT"))))</f>
        <v>SCHMDT</v>
      </c>
      <c r="D131" s="126">
        <v>205205</v>
      </c>
      <c r="E131" s="128" t="s">
        <v>1685</v>
      </c>
      <c r="F131" s="127" t="s">
        <v>85</v>
      </c>
      <c r="G131" s="129"/>
      <c r="H131" s="117" t="str">
        <f t="shared" ref="H131:H194" si="5">IF(OR(F131="IDU",F131="OR",F131="UT",F131="WYU",F131="WYP",F131="CA",F131="WA"),"SITUS",F131)</f>
        <v>SE</v>
      </c>
      <c r="I131" s="117" t="s">
        <v>68</v>
      </c>
      <c r="J131"/>
    </row>
    <row r="132" spans="1:10">
      <c r="A132" s="118" t="str">
        <f t="shared" si="4"/>
        <v>4099300SCHMDT415815Insurance ReserveSO</v>
      </c>
      <c r="B132" s="127">
        <v>4099300</v>
      </c>
      <c r="C132" s="117" t="str">
        <f>IF('SCH M Lookup'!$B132=4098200,"SCHMAP",IF('SCH M Lookup'!$B132=4098300,"SCHMAT",IF('SCH M Lookup'!$B132=4099200,"SCHMDP",IF('SCH M Lookup'!$B132=4099300,"SCHMDT"))))</f>
        <v>SCHMDT</v>
      </c>
      <c r="D132" s="127">
        <v>415815</v>
      </c>
      <c r="E132" s="128" t="s">
        <v>512</v>
      </c>
      <c r="F132" s="127" t="s">
        <v>89</v>
      </c>
      <c r="G132" s="129"/>
      <c r="H132" s="117" t="str">
        <f t="shared" si="5"/>
        <v>SO</v>
      </c>
      <c r="I132" s="117" t="s">
        <v>92</v>
      </c>
      <c r="J132"/>
    </row>
    <row r="133" spans="1:10">
      <c r="A133" s="118" t="str">
        <f t="shared" si="4"/>
        <v>4099300SCHMDT910530Injuries and Damages ReserveSO</v>
      </c>
      <c r="B133" s="127">
        <v>4099300</v>
      </c>
      <c r="C133" s="117" t="str">
        <f>IF('SCH M Lookup'!$B133=4098200,"SCHMAP",IF('SCH M Lookup'!$B133=4098300,"SCHMAT",IF('SCH M Lookup'!$B133=4099200,"SCHMDP",IF('SCH M Lookup'!$B133=4099300,"SCHMDT"))))</f>
        <v>SCHMDT</v>
      </c>
      <c r="D133" s="127">
        <v>910530</v>
      </c>
      <c r="E133" s="128" t="s">
        <v>458</v>
      </c>
      <c r="F133" s="127" t="s">
        <v>89</v>
      </c>
      <c r="G133" s="129"/>
      <c r="H133" s="117" t="str">
        <f t="shared" si="5"/>
        <v>SO</v>
      </c>
      <c r="I133" s="117" t="s">
        <v>102</v>
      </c>
      <c r="J133"/>
    </row>
    <row r="134" spans="1:10">
      <c r="A134" s="118" t="str">
        <f t="shared" si="4"/>
        <v>4098200SCHMAP505505Income Tax InterestSO</v>
      </c>
      <c r="B134" s="127">
        <v>4098200</v>
      </c>
      <c r="C134" s="117" t="str">
        <f>IF('SCH M Lookup'!$B134=4098200,"SCHMAP",IF('SCH M Lookup'!$B134=4098300,"SCHMAT",IF('SCH M Lookup'!$B134=4099200,"SCHMDP",IF('SCH M Lookup'!$B134=4099300,"SCHMDT"))))</f>
        <v>SCHMAP</v>
      </c>
      <c r="D134" s="127">
        <v>505505</v>
      </c>
      <c r="E134" s="128" t="s">
        <v>357</v>
      </c>
      <c r="F134" s="127" t="s">
        <v>89</v>
      </c>
      <c r="G134" s="129"/>
      <c r="H134" s="117" t="str">
        <f t="shared" si="5"/>
        <v>SO</v>
      </c>
      <c r="I134" s="117" t="s">
        <v>68</v>
      </c>
      <c r="J134"/>
    </row>
    <row r="135" spans="1:10">
      <c r="A135" s="118" t="str">
        <f t="shared" si="4"/>
        <v>4098300SCHMAT415857ID - Deferred Overburden CostsOTHER</v>
      </c>
      <c r="B135" s="127">
        <v>4098300</v>
      </c>
      <c r="C135" s="117" t="str">
        <f>IF('SCH M Lookup'!$B135=4098200,"SCHMAP",IF('SCH M Lookup'!$B135=4098300,"SCHMAT",IF('SCH M Lookup'!$B135=4099200,"SCHMDP",IF('SCH M Lookup'!$B135=4099300,"SCHMDT"))))</f>
        <v>SCHMAT</v>
      </c>
      <c r="D135" s="127">
        <v>415857</v>
      </c>
      <c r="E135" s="128" t="s">
        <v>400</v>
      </c>
      <c r="F135" s="127" t="s">
        <v>306</v>
      </c>
      <c r="G135" s="129"/>
      <c r="H135" s="117" t="str">
        <f t="shared" si="5"/>
        <v>OTHER</v>
      </c>
      <c r="I135" s="117" t="s">
        <v>68</v>
      </c>
      <c r="J135"/>
    </row>
    <row r="136" spans="1:10">
      <c r="A136" s="118" t="str">
        <f t="shared" si="4"/>
        <v>4098300SCHMAT105140Highway relocationSNPD</v>
      </c>
      <c r="B136" s="127">
        <v>4098300</v>
      </c>
      <c r="C136" s="117" t="str">
        <f>IF('SCH M Lookup'!$B136=4098200,"SCHMAP",IF('SCH M Lookup'!$B136=4098300,"SCHMAT",IF('SCH M Lookup'!$B136=4099200,"SCHMDP",IF('SCH M Lookup'!$B136=4099300,"SCHMDT"))))</f>
        <v>SCHMAT</v>
      </c>
      <c r="D136" s="127">
        <v>105140</v>
      </c>
      <c r="E136" s="128" t="s">
        <v>363</v>
      </c>
      <c r="F136" s="127" t="s">
        <v>11</v>
      </c>
      <c r="G136" s="129"/>
      <c r="H136" s="117" t="str">
        <f t="shared" si="5"/>
        <v>SNPD</v>
      </c>
      <c r="I136" s="117" t="s">
        <v>70</v>
      </c>
      <c r="J136"/>
    </row>
    <row r="137" spans="1:10">
      <c r="A137" s="118" t="str">
        <f t="shared" si="4"/>
        <v>4098300SCHMAT425360Hermiston SwapSG</v>
      </c>
      <c r="B137" s="127">
        <v>4098300</v>
      </c>
      <c r="C137" s="117" t="str">
        <f>IF('SCH M Lookup'!$B137=4098200,"SCHMAP",IF('SCH M Lookup'!$B137=4098300,"SCHMAT",IF('SCH M Lookup'!$B137=4099200,"SCHMDP",IF('SCH M Lookup'!$B137=4099300,"SCHMDT"))))</f>
        <v>SCHMAT</v>
      </c>
      <c r="D137" s="127">
        <v>425360</v>
      </c>
      <c r="E137" s="128" t="s">
        <v>414</v>
      </c>
      <c r="F137" s="127" t="s">
        <v>87</v>
      </c>
      <c r="G137" s="129"/>
      <c r="H137" s="117" t="str">
        <f t="shared" si="5"/>
        <v>SG</v>
      </c>
      <c r="I137" s="117" t="s">
        <v>68</v>
      </c>
      <c r="J137"/>
    </row>
    <row r="138" spans="1:10">
      <c r="A138" s="118" t="str">
        <f t="shared" si="4"/>
        <v>4099300SCHMDT415300Hazardous Waste Clean-up CostsSO</v>
      </c>
      <c r="B138" s="127">
        <v>4099300</v>
      </c>
      <c r="C138" s="117" t="str">
        <f>IF('SCH M Lookup'!$B138=4098200,"SCHMAP",IF('SCH M Lookup'!$B138=4098300,"SCHMAT",IF('SCH M Lookup'!$B138=4099200,"SCHMDP",IF('SCH M Lookup'!$B138=4099300,"SCHMDT"))))</f>
        <v>SCHMDT</v>
      </c>
      <c r="D138" s="127">
        <v>415300</v>
      </c>
      <c r="E138" s="128" t="s">
        <v>491</v>
      </c>
      <c r="F138" s="127" t="s">
        <v>89</v>
      </c>
      <c r="G138" s="129"/>
      <c r="H138" s="117" t="str">
        <f t="shared" si="5"/>
        <v>SO</v>
      </c>
      <c r="I138" s="117" t="s">
        <v>100</v>
      </c>
      <c r="J138"/>
    </row>
    <row r="139" spans="1:10">
      <c r="A139" s="118" t="str">
        <f t="shared" si="4"/>
        <v>4098300SCHMAT415703Goodnoe Hills Liquidation Damages - WYSITUS</v>
      </c>
      <c r="B139" s="127">
        <v>4098300</v>
      </c>
      <c r="C139" s="117" t="str">
        <f>IF('SCH M Lookup'!$B139=4098200,"SCHMAP",IF('SCH M Lookup'!$B139=4098300,"SCHMAT",IF('SCH M Lookup'!$B139=4099200,"SCHMDP",IF('SCH M Lookup'!$B139=4099300,"SCHMDT"))))</f>
        <v>SCHMAT</v>
      </c>
      <c r="D139" s="127">
        <v>415703</v>
      </c>
      <c r="E139" s="128" t="s">
        <v>390</v>
      </c>
      <c r="F139" s="127" t="s">
        <v>12</v>
      </c>
      <c r="G139" s="129"/>
      <c r="H139" s="117" t="str">
        <f t="shared" si="5"/>
        <v>SITUS</v>
      </c>
      <c r="I139" s="117" t="s">
        <v>68</v>
      </c>
      <c r="J139"/>
    </row>
    <row r="140" spans="1:10">
      <c r="A140" s="118" t="str">
        <f t="shared" si="4"/>
        <v>4099300SCHMDT105152Gain/(Loss) on Prop DispositionsGPS</v>
      </c>
      <c r="B140" s="127">
        <v>4099300</v>
      </c>
      <c r="C140" s="117" t="str">
        <f>IF('SCH M Lookup'!$B140=4098200,"SCHMAP",IF('SCH M Lookup'!$B140=4098300,"SCHMAT",IF('SCH M Lookup'!$B140=4099200,"SCHMDP",IF('SCH M Lookup'!$B140=4099300,"SCHMDT"))))</f>
        <v>SCHMDT</v>
      </c>
      <c r="D140" s="127">
        <v>105152</v>
      </c>
      <c r="E140" s="128" t="s">
        <v>473</v>
      </c>
      <c r="F140" s="127" t="s">
        <v>9</v>
      </c>
      <c r="G140" s="129"/>
      <c r="H140" s="117" t="str">
        <f t="shared" si="5"/>
        <v>GPS</v>
      </c>
      <c r="I140" s="117" t="s">
        <v>92</v>
      </c>
      <c r="J140"/>
    </row>
    <row r="141" spans="1:10">
      <c r="A141" s="118" t="str">
        <f t="shared" si="4"/>
        <v>4099300SCHMDT720810FAS 158 Post-Retirement LiabilitySO</v>
      </c>
      <c r="B141" s="127">
        <v>4099300</v>
      </c>
      <c r="C141" s="117" t="str">
        <f>IF('SCH M Lookup'!$B141=4098200,"SCHMAP",IF('SCH M Lookup'!$B141=4098300,"SCHMAT",IF('SCH M Lookup'!$B141=4099200,"SCHMDP",IF('SCH M Lookup'!$B141=4099300,"SCHMDT"))))</f>
        <v>SCHMDT</v>
      </c>
      <c r="D141" s="127">
        <v>720810</v>
      </c>
      <c r="E141" s="128" t="s">
        <v>553</v>
      </c>
      <c r="F141" s="127" t="s">
        <v>89</v>
      </c>
      <c r="G141" s="129"/>
      <c r="H141" s="117" t="str">
        <f t="shared" si="5"/>
        <v>SO</v>
      </c>
      <c r="I141" s="117" t="s">
        <v>102</v>
      </c>
      <c r="J141"/>
    </row>
    <row r="142" spans="1:10">
      <c r="A142" s="118" t="str">
        <f t="shared" si="4"/>
        <v>4099300SCHMDT720815FAS 158 Post Retirement LiabilitySO</v>
      </c>
      <c r="B142" s="127">
        <v>4099300</v>
      </c>
      <c r="C142" s="117" t="str">
        <f>IF('SCH M Lookup'!$B142=4098200,"SCHMAP",IF('SCH M Lookup'!$B142=4098300,"SCHMAT",IF('SCH M Lookup'!$B142=4099200,"SCHMDP",IF('SCH M Lookup'!$B142=4099300,"SCHMDT"))))</f>
        <v>SCHMDT</v>
      </c>
      <c r="D142" s="127">
        <v>720815</v>
      </c>
      <c r="E142" s="128" t="s">
        <v>1687</v>
      </c>
      <c r="F142" s="127" t="s">
        <v>89</v>
      </c>
      <c r="G142" s="129"/>
      <c r="H142" s="117" t="str">
        <f t="shared" si="5"/>
        <v>SO</v>
      </c>
      <c r="I142" s="117" t="s">
        <v>102</v>
      </c>
      <c r="J142"/>
    </row>
    <row r="143" spans="1:10">
      <c r="A143" s="118" t="str">
        <f t="shared" si="4"/>
        <v>4099300SCHMDT720800FAS 158 Pension LiabilitySO</v>
      </c>
      <c r="B143" s="127">
        <v>4099300</v>
      </c>
      <c r="C143" s="117" t="str">
        <f>IF('SCH M Lookup'!$B143=4098200,"SCHMAP",IF('SCH M Lookup'!$B143=4098300,"SCHMAT",IF('SCH M Lookup'!$B143=4099200,"SCHMDP",IF('SCH M Lookup'!$B143=4099300,"SCHMDT"))))</f>
        <v>SCHMDT</v>
      </c>
      <c r="D143" s="127">
        <v>720800</v>
      </c>
      <c r="E143" s="128" t="s">
        <v>551</v>
      </c>
      <c r="F143" s="127" t="s">
        <v>89</v>
      </c>
      <c r="G143" s="129"/>
      <c r="H143" s="117" t="str">
        <f t="shared" si="5"/>
        <v>SO</v>
      </c>
      <c r="I143" s="117" t="s">
        <v>102</v>
      </c>
      <c r="J143"/>
    </row>
    <row r="144" spans="1:10">
      <c r="A144" s="118" t="str">
        <f t="shared" si="4"/>
        <v>4098300SCHMAT605301Environmental Liability - RegulatedSO</v>
      </c>
      <c r="B144" s="127">
        <v>4098300</v>
      </c>
      <c r="C144" s="117" t="str">
        <f>IF('SCH M Lookup'!$B144=4098200,"SCHMAP",IF('SCH M Lookup'!$B144=4098300,"SCHMAT",IF('SCH M Lookup'!$B144=4099200,"SCHMDP",IF('SCH M Lookup'!$B144=4099300,"SCHMDT"))))</f>
        <v>SCHMAT</v>
      </c>
      <c r="D144" s="127">
        <v>605301</v>
      </c>
      <c r="E144" s="128" t="s">
        <v>423</v>
      </c>
      <c r="F144" s="127" t="s">
        <v>89</v>
      </c>
      <c r="G144" s="129"/>
      <c r="H144" s="117" t="str">
        <f t="shared" si="5"/>
        <v>SO</v>
      </c>
      <c r="I144" s="117" t="s">
        <v>92</v>
      </c>
      <c r="J144"/>
    </row>
    <row r="145" spans="1:10">
      <c r="A145" s="118" t="str">
        <f t="shared" si="4"/>
        <v>4098300SCHMAT415301Environmental Costs WASITUS</v>
      </c>
      <c r="B145" s="127">
        <v>4098300</v>
      </c>
      <c r="C145" s="117" t="str">
        <f>IF('SCH M Lookup'!$B145=4098200,"SCHMAP",IF('SCH M Lookup'!$B145=4098300,"SCHMAT",IF('SCH M Lookup'!$B145=4099200,"SCHMDP",IF('SCH M Lookup'!$B145=4099300,"SCHMDT"))))</f>
        <v>SCHMAT</v>
      </c>
      <c r="D145" s="127">
        <v>415301</v>
      </c>
      <c r="E145" s="128" t="s">
        <v>381</v>
      </c>
      <c r="F145" s="127" t="s">
        <v>12</v>
      </c>
      <c r="G145" s="129"/>
      <c r="H145" s="117" t="str">
        <f t="shared" si="5"/>
        <v>SITUS</v>
      </c>
      <c r="I145" s="117" t="s">
        <v>100</v>
      </c>
      <c r="J145"/>
    </row>
    <row r="146" spans="1:10">
      <c r="A146" s="118" t="str">
        <f t="shared" si="4"/>
        <v>4099300SCHMDT415680Deferred Intervenor Funding Grants-OROTHER</v>
      </c>
      <c r="B146" s="127">
        <v>4099300</v>
      </c>
      <c r="C146" s="117" t="str">
        <f>IF('SCH M Lookup'!$B146=4098200,"SCHMAP",IF('SCH M Lookup'!$B146=4098300,"SCHMAT",IF('SCH M Lookup'!$B146=4099200,"SCHMDP",IF('SCH M Lookup'!$B146=4099300,"SCHMDT"))))</f>
        <v>SCHMDT</v>
      </c>
      <c r="D146" s="127">
        <v>415680</v>
      </c>
      <c r="E146" s="128" t="s">
        <v>511</v>
      </c>
      <c r="F146" s="127" t="s">
        <v>306</v>
      </c>
      <c r="G146" s="129"/>
      <c r="H146" s="117" t="str">
        <f t="shared" si="5"/>
        <v>OTHER</v>
      </c>
      <c r="I146" s="117" t="s">
        <v>74</v>
      </c>
      <c r="J146"/>
    </row>
    <row r="147" spans="1:10">
      <c r="A147" s="118" t="str">
        <f t="shared" si="4"/>
        <v>4099300SCHMDT415874Deferred Excess Net Power Costs - WY 08OTHER</v>
      </c>
      <c r="B147" s="127">
        <v>4099300</v>
      </c>
      <c r="C147" s="117" t="str">
        <f>IF('SCH M Lookup'!$B147=4098200,"SCHMAP",IF('SCH M Lookup'!$B147=4098300,"SCHMAT",IF('SCH M Lookup'!$B147=4099200,"SCHMDP",IF('SCH M Lookup'!$B147=4099300,"SCHMDT"))))</f>
        <v>SCHMDT</v>
      </c>
      <c r="D147" s="127">
        <v>415874</v>
      </c>
      <c r="E147" s="128" t="s">
        <v>403</v>
      </c>
      <c r="F147" s="127" t="s">
        <v>306</v>
      </c>
      <c r="G147" s="129"/>
      <c r="H147" s="117" t="str">
        <f t="shared" si="5"/>
        <v>OTHER</v>
      </c>
      <c r="I147" s="117" t="s">
        <v>68</v>
      </c>
      <c r="J147"/>
    </row>
    <row r="148" spans="1:10">
      <c r="A148" s="118" t="str">
        <f t="shared" si="4"/>
        <v>4099300SCHMDT415875Deferred Excess Net Power Costs - UTOTHER</v>
      </c>
      <c r="B148" s="127">
        <v>4099300</v>
      </c>
      <c r="C148" s="117" t="str">
        <f>IF('SCH M Lookup'!$B148=4098200,"SCHMAP",IF('SCH M Lookup'!$B148=4098300,"SCHMAT",IF('SCH M Lookup'!$B148=4099200,"SCHMDP",IF('SCH M Lookup'!$B148=4099300,"SCHMDT"))))</f>
        <v>SCHMDT</v>
      </c>
      <c r="D148" s="127">
        <v>415875</v>
      </c>
      <c r="E148" s="128" t="s">
        <v>520</v>
      </c>
      <c r="F148" s="127" t="s">
        <v>306</v>
      </c>
      <c r="G148" s="129"/>
      <c r="H148" s="117" t="str">
        <f t="shared" si="5"/>
        <v>OTHER</v>
      </c>
      <c r="I148" s="117" t="s">
        <v>68</v>
      </c>
      <c r="J148"/>
    </row>
    <row r="149" spans="1:10">
      <c r="A149" s="118" t="str">
        <f t="shared" si="4"/>
        <v>4099300SCHMDT415892Deferred Excess Net Power Costs - ID 09OTHER</v>
      </c>
      <c r="B149" s="127">
        <v>4099300</v>
      </c>
      <c r="C149" s="117" t="str">
        <f>IF('SCH M Lookup'!$B149=4098200,"SCHMAP",IF('SCH M Lookup'!$B149=4098300,"SCHMAT",IF('SCH M Lookup'!$B149=4099200,"SCHMDP",IF('SCH M Lookup'!$B149=4099300,"SCHMDT"))))</f>
        <v>SCHMDT</v>
      </c>
      <c r="D149" s="127">
        <v>415892</v>
      </c>
      <c r="E149" s="128" t="s">
        <v>526</v>
      </c>
      <c r="F149" s="127" t="s">
        <v>306</v>
      </c>
      <c r="G149" s="129"/>
      <c r="H149" s="117" t="str">
        <f t="shared" si="5"/>
        <v>OTHER</v>
      </c>
      <c r="I149" s="117" t="s">
        <v>68</v>
      </c>
      <c r="J149"/>
    </row>
    <row r="150" spans="1:10">
      <c r="A150" s="118" t="str">
        <f t="shared" si="4"/>
        <v>4099300SCHMDT720200Deferred Comp Plan Benefits-PPLSO</v>
      </c>
      <c r="B150" s="127">
        <v>4099300</v>
      </c>
      <c r="C150" s="117" t="str">
        <f>IF('SCH M Lookup'!$B150=4098200,"SCHMAP",IF('SCH M Lookup'!$B150=4098300,"SCHMAT",IF('SCH M Lookup'!$B150=4099200,"SCHMDP",IF('SCH M Lookup'!$B150=4099300,"SCHMDT"))))</f>
        <v>SCHMDT</v>
      </c>
      <c r="D150" s="127">
        <v>720200</v>
      </c>
      <c r="E150" s="128" t="s">
        <v>453</v>
      </c>
      <c r="F150" s="127" t="s">
        <v>89</v>
      </c>
      <c r="G150" s="129"/>
      <c r="H150" s="117" t="str">
        <f t="shared" si="5"/>
        <v>SO</v>
      </c>
      <c r="I150" s="117" t="s">
        <v>102</v>
      </c>
      <c r="J150"/>
    </row>
    <row r="151" spans="1:10">
      <c r="A151" s="118" t="str">
        <f t="shared" si="4"/>
        <v>4098300SCHMAT415898Deferred Coal Costs - Naughton ContractSE</v>
      </c>
      <c r="B151" s="127">
        <v>4098300</v>
      </c>
      <c r="C151" s="117" t="str">
        <f>IF('SCH M Lookup'!$B151=4098200,"SCHMAP",IF('SCH M Lookup'!$B151=4098300,"SCHMAT",IF('SCH M Lookup'!$B151=4099200,"SCHMDP",IF('SCH M Lookup'!$B151=4099300,"SCHMDT"))))</f>
        <v>SCHMAT</v>
      </c>
      <c r="D151" s="127">
        <v>415898</v>
      </c>
      <c r="E151" s="128" t="s">
        <v>407</v>
      </c>
      <c r="F151" s="127" t="s">
        <v>85</v>
      </c>
      <c r="G151" s="129"/>
      <c r="H151" s="117" t="str">
        <f t="shared" si="5"/>
        <v>SE</v>
      </c>
      <c r="I151" s="117" t="s">
        <v>68</v>
      </c>
      <c r="J151"/>
    </row>
    <row r="152" spans="1:10">
      <c r="A152" s="118" t="str">
        <f t="shared" si="4"/>
        <v>4098300SCHMAT415883Deferral of Renewable Energy Credit - WYOTHER</v>
      </c>
      <c r="B152" s="127">
        <v>4098300</v>
      </c>
      <c r="C152" s="117" t="str">
        <f>IF('SCH M Lookup'!$B152=4098200,"SCHMAP",IF('SCH M Lookup'!$B152=4098300,"SCHMAT",IF('SCH M Lookup'!$B152=4099200,"SCHMDP",IF('SCH M Lookup'!$B152=4099300,"SCHMDT"))))</f>
        <v>SCHMAT</v>
      </c>
      <c r="D152" s="127">
        <v>415883</v>
      </c>
      <c r="E152" s="128" t="s">
        <v>406</v>
      </c>
      <c r="F152" s="127" t="s">
        <v>306</v>
      </c>
      <c r="G152" s="129"/>
      <c r="H152" s="117" t="str">
        <f t="shared" si="5"/>
        <v>OTHER</v>
      </c>
      <c r="I152" s="117" t="s">
        <v>68</v>
      </c>
      <c r="J152"/>
    </row>
    <row r="153" spans="1:10">
      <c r="A153" s="118" t="str">
        <f t="shared" si="4"/>
        <v>4099300SCHMDT415882Deferral of Renewable Energy Credit - WAOTHER</v>
      </c>
      <c r="B153" s="127">
        <v>4099300</v>
      </c>
      <c r="C153" s="117" t="str">
        <f>IF('SCH M Lookup'!$B153=4098200,"SCHMAP",IF('SCH M Lookup'!$B153=4098300,"SCHMAT",IF('SCH M Lookup'!$B153=4099200,"SCHMDP",IF('SCH M Lookup'!$B153=4099300,"SCHMDT"))))</f>
        <v>SCHMDT</v>
      </c>
      <c r="D153" s="127">
        <v>415882</v>
      </c>
      <c r="E153" s="128" t="s">
        <v>524</v>
      </c>
      <c r="F153" s="127" t="s">
        <v>306</v>
      </c>
      <c r="G153" s="129"/>
      <c r="H153" s="117" t="str">
        <f t="shared" si="5"/>
        <v>OTHER</v>
      </c>
      <c r="I153" s="117" t="s">
        <v>68</v>
      </c>
      <c r="J153"/>
    </row>
    <row r="154" spans="1:10">
      <c r="A154" s="118" t="str">
        <f t="shared" si="4"/>
        <v>4098300SCHMAT415881Deferral of Renewable Energy Credit - UTOTHER</v>
      </c>
      <c r="B154" s="127">
        <v>4098300</v>
      </c>
      <c r="C154" s="117" t="str">
        <f>IF('SCH M Lookup'!$B154=4098200,"SCHMAP",IF('SCH M Lookup'!$B154=4098300,"SCHMAT",IF('SCH M Lookup'!$B154=4099200,"SCHMDP",IF('SCH M Lookup'!$B154=4099300,"SCHMDT"))))</f>
        <v>SCHMAT</v>
      </c>
      <c r="D154" s="127">
        <v>415881</v>
      </c>
      <c r="E154" s="128" t="s">
        <v>405</v>
      </c>
      <c r="F154" s="127" t="s">
        <v>306</v>
      </c>
      <c r="G154" s="129"/>
      <c r="H154" s="117" t="str">
        <f t="shared" si="5"/>
        <v>OTHER</v>
      </c>
      <c r="I154" s="117" t="s">
        <v>68</v>
      </c>
      <c r="J154"/>
    </row>
    <row r="155" spans="1:10">
      <c r="A155" s="118" t="str">
        <f t="shared" si="4"/>
        <v>4099300SCHMDT415110Def Reg Asset-Transmission Srvc DepositSG</v>
      </c>
      <c r="B155" s="127">
        <v>4099300</v>
      </c>
      <c r="C155" s="117" t="str">
        <f>IF('SCH M Lookup'!$B155=4098200,"SCHMAP",IF('SCH M Lookup'!$B155=4098300,"SCHMAT",IF('SCH M Lookup'!$B155=4099200,"SCHMDP",IF('SCH M Lookup'!$B155=4099300,"SCHMDT"))))</f>
        <v>SCHMDT</v>
      </c>
      <c r="D155" s="127">
        <v>415110</v>
      </c>
      <c r="E155" s="128" t="s">
        <v>379</v>
      </c>
      <c r="F155" s="127" t="s">
        <v>87</v>
      </c>
      <c r="G155" s="129"/>
      <c r="H155" s="117" t="str">
        <f t="shared" si="5"/>
        <v>SG</v>
      </c>
      <c r="I155" s="117" t="s">
        <v>69</v>
      </c>
      <c r="J155"/>
    </row>
    <row r="156" spans="1:10">
      <c r="A156" s="118" t="str">
        <f t="shared" si="4"/>
        <v>4098300SCHMAT430100Customer Service / WeatherizationOTHER</v>
      </c>
      <c r="B156" s="127">
        <v>4098300</v>
      </c>
      <c r="C156" s="117" t="str">
        <f>IF('SCH M Lookup'!$B156=4098200,"SCHMAP",IF('SCH M Lookup'!$B156=4098300,"SCHMAT",IF('SCH M Lookup'!$B156=4099200,"SCHMDP",IF('SCH M Lookup'!$B156=4099300,"SCHMDT"))))</f>
        <v>SCHMAT</v>
      </c>
      <c r="D156" s="127">
        <v>430100</v>
      </c>
      <c r="E156" s="128" t="s">
        <v>415</v>
      </c>
      <c r="F156" s="127" t="s">
        <v>306</v>
      </c>
      <c r="G156" s="129"/>
      <c r="H156" s="117" t="str">
        <f t="shared" si="5"/>
        <v>OTHER</v>
      </c>
      <c r="I156" s="117" t="s">
        <v>92</v>
      </c>
      <c r="J156"/>
    </row>
    <row r="157" spans="1:10">
      <c r="A157" s="118" t="str">
        <f t="shared" si="4"/>
        <v>4099300SCHMDT415416ContraRA DeerCreekAband WYSITUS</v>
      </c>
      <c r="B157" s="127">
        <v>4099300</v>
      </c>
      <c r="C157" s="117" t="str">
        <f>IF('SCH M Lookup'!$B157=4098200,"SCHMAP",IF('SCH M Lookup'!$B157=4098300,"SCHMAT",IF('SCH M Lookup'!$B157=4099200,"SCHMDP",IF('SCH M Lookup'!$B157=4099300,"SCHMDT"))))</f>
        <v>SCHMDT</v>
      </c>
      <c r="D157" s="127">
        <v>415416</v>
      </c>
      <c r="E157" s="128" t="s">
        <v>498</v>
      </c>
      <c r="F157" s="127" t="s">
        <v>12</v>
      </c>
      <c r="G157" s="129"/>
      <c r="H157" s="117" t="str">
        <f t="shared" si="5"/>
        <v>SITUS</v>
      </c>
      <c r="I157" s="117" t="s">
        <v>68</v>
      </c>
      <c r="J157"/>
    </row>
    <row r="158" spans="1:10">
      <c r="A158" s="118" t="str">
        <f t="shared" si="4"/>
        <v>4099300SCHMDT415415ContraRA DeerCreekAband WASITUS</v>
      </c>
      <c r="B158" s="127">
        <v>4099300</v>
      </c>
      <c r="C158" s="117" t="str">
        <f>IF('SCH M Lookup'!$B158=4098200,"SCHMAP",IF('SCH M Lookup'!$B158=4098300,"SCHMAT",IF('SCH M Lookup'!$B158=4099200,"SCHMDP",IF('SCH M Lookup'!$B158=4099300,"SCHMDT"))))</f>
        <v>SCHMDT</v>
      </c>
      <c r="D158" s="127">
        <v>415415</v>
      </c>
      <c r="E158" s="128" t="s">
        <v>497</v>
      </c>
      <c r="F158" s="127" t="s">
        <v>12</v>
      </c>
      <c r="G158" s="129"/>
      <c r="H158" s="117" t="str">
        <f t="shared" si="5"/>
        <v>SITUS</v>
      </c>
      <c r="I158" s="117" t="s">
        <v>68</v>
      </c>
      <c r="J158"/>
    </row>
    <row r="159" spans="1:10">
      <c r="A159" s="118" t="str">
        <f t="shared" si="4"/>
        <v>4099300SCHMDT415414ContraRA DeerCreekAband UTSITUS</v>
      </c>
      <c r="B159" s="127">
        <v>4099300</v>
      </c>
      <c r="C159" s="117" t="str">
        <f>IF('SCH M Lookup'!$B159=4098200,"SCHMAP",IF('SCH M Lookup'!$B159=4098300,"SCHMAT",IF('SCH M Lookup'!$B159=4099200,"SCHMDP",IF('SCH M Lookup'!$B159=4099300,"SCHMDT"))))</f>
        <v>SCHMDT</v>
      </c>
      <c r="D159" s="127">
        <v>415414</v>
      </c>
      <c r="E159" s="128" t="s">
        <v>496</v>
      </c>
      <c r="F159" s="127" t="s">
        <v>12</v>
      </c>
      <c r="G159" s="129"/>
      <c r="H159" s="117" t="str">
        <f t="shared" si="5"/>
        <v>SITUS</v>
      </c>
      <c r="I159" s="117" t="s">
        <v>68</v>
      </c>
      <c r="J159"/>
    </row>
    <row r="160" spans="1:10">
      <c r="A160" s="118" t="str">
        <f t="shared" si="4"/>
        <v>4099300SCHMDT415413ContraRA DeerCreekAband ORSITUS</v>
      </c>
      <c r="B160" s="127">
        <v>4099300</v>
      </c>
      <c r="C160" s="117" t="str">
        <f>IF('SCH M Lookup'!$B160=4098200,"SCHMAP",IF('SCH M Lookup'!$B160=4098300,"SCHMAT",IF('SCH M Lookup'!$B160=4099200,"SCHMDP",IF('SCH M Lookup'!$B160=4099300,"SCHMDT"))))</f>
        <v>SCHMDT</v>
      </c>
      <c r="D160" s="127">
        <v>415413</v>
      </c>
      <c r="E160" s="128" t="s">
        <v>495</v>
      </c>
      <c r="F160" s="127" t="s">
        <v>12</v>
      </c>
      <c r="G160" s="129"/>
      <c r="H160" s="117" t="str">
        <f t="shared" si="5"/>
        <v>SITUS</v>
      </c>
      <c r="I160" s="117" t="s">
        <v>68</v>
      </c>
      <c r="J160"/>
    </row>
    <row r="161" spans="1:10">
      <c r="A161" s="118" t="str">
        <f t="shared" si="4"/>
        <v>4099300SCHMDT415412ContraRA DeerCreekAband IDSITUS</v>
      </c>
      <c r="B161" s="127">
        <v>4099300</v>
      </c>
      <c r="C161" s="117" t="str">
        <f>IF('SCH M Lookup'!$B161=4098200,"SCHMAP",IF('SCH M Lookup'!$B161=4098300,"SCHMAT",IF('SCH M Lookup'!$B161=4099200,"SCHMDP",IF('SCH M Lookup'!$B161=4099300,"SCHMDT"))))</f>
        <v>SCHMDT</v>
      </c>
      <c r="D161" s="127">
        <v>415412</v>
      </c>
      <c r="E161" s="128" t="s">
        <v>494</v>
      </c>
      <c r="F161" s="127" t="s">
        <v>12</v>
      </c>
      <c r="G161" s="129"/>
      <c r="H161" s="117" t="str">
        <f t="shared" si="5"/>
        <v>SITUS</v>
      </c>
      <c r="I161" s="117" t="s">
        <v>68</v>
      </c>
      <c r="J161"/>
    </row>
    <row r="162" spans="1:10">
      <c r="A162" s="118" t="str">
        <f t="shared" si="4"/>
        <v>4099300SCHMDT415411ContraRA DeerCreekAband CASITUS</v>
      </c>
      <c r="B162" s="127">
        <v>4099300</v>
      </c>
      <c r="C162" s="117" t="str">
        <f>IF('SCH M Lookup'!$B162=4098200,"SCHMAP",IF('SCH M Lookup'!$B162=4098300,"SCHMAT",IF('SCH M Lookup'!$B162=4099200,"SCHMDP",IF('SCH M Lookup'!$B162=4099300,"SCHMDT"))))</f>
        <v>SCHMDT</v>
      </c>
      <c r="D162" s="127">
        <v>415411</v>
      </c>
      <c r="E162" s="128" t="s">
        <v>493</v>
      </c>
      <c r="F162" s="127" t="s">
        <v>12</v>
      </c>
      <c r="G162" s="129"/>
      <c r="H162" s="117" t="str">
        <f t="shared" si="5"/>
        <v>SITUS</v>
      </c>
      <c r="I162" s="117" t="s">
        <v>68</v>
      </c>
      <c r="J162"/>
    </row>
    <row r="163" spans="1:10">
      <c r="A163" s="118" t="str">
        <f t="shared" si="4"/>
        <v>4099300SCHMDT105153Contract Liability Basis Adjustment -CheSG</v>
      </c>
      <c r="B163" s="127">
        <v>4099300</v>
      </c>
      <c r="C163" s="117" t="str">
        <f>IF('SCH M Lookup'!$B163=4098200,"SCHMAP",IF('SCH M Lookup'!$B163=4098300,"SCHMAT",IF('SCH M Lookup'!$B163=4099200,"SCHMDP",IF('SCH M Lookup'!$B163=4099300,"SCHMDT"))))</f>
        <v>SCHMDT</v>
      </c>
      <c r="D163" s="127">
        <v>105153</v>
      </c>
      <c r="E163" s="128" t="s">
        <v>474</v>
      </c>
      <c r="F163" s="127" t="s">
        <v>87</v>
      </c>
      <c r="G163" s="129"/>
      <c r="H163" s="117" t="str">
        <f t="shared" si="5"/>
        <v>SG</v>
      </c>
      <c r="I163" s="117" t="s">
        <v>68</v>
      </c>
      <c r="J163"/>
    </row>
    <row r="164" spans="1:10">
      <c r="A164" s="118" t="str">
        <f t="shared" si="4"/>
        <v>4098300SCHMAT415425Contra Reg Asset - UMWA PensionOTHER</v>
      </c>
      <c r="B164" s="127">
        <v>4098300</v>
      </c>
      <c r="C164" s="117" t="str">
        <f>IF('SCH M Lookup'!$B164=4098200,"SCHMAP",IF('SCH M Lookup'!$B164=4098300,"SCHMAT",IF('SCH M Lookup'!$B164=4099200,"SCHMDP",IF('SCH M Lookup'!$B164=4099300,"SCHMDT"))))</f>
        <v>SCHMAT</v>
      </c>
      <c r="D164" s="127">
        <v>415425</v>
      </c>
      <c r="E164" s="128" t="s">
        <v>383</v>
      </c>
      <c r="F164" s="127" t="s">
        <v>306</v>
      </c>
      <c r="G164" s="129"/>
      <c r="H164" s="117" t="str">
        <f t="shared" si="5"/>
        <v>OTHER</v>
      </c>
      <c r="I164" s="117" t="s">
        <v>68</v>
      </c>
      <c r="J164"/>
    </row>
    <row r="165" spans="1:10">
      <c r="A165" s="118" t="str">
        <f t="shared" si="4"/>
        <v>4099300SCHMDT320271Contra Reg Asset - Pension Plan CTGSO</v>
      </c>
      <c r="B165" s="127">
        <v>4099300</v>
      </c>
      <c r="C165" s="117" t="str">
        <f>IF('SCH M Lookup'!$B165=4098200,"SCHMAP",IF('SCH M Lookup'!$B165=4098300,"SCHMAT",IF('SCH M Lookup'!$B165=4099200,"SCHMDP",IF('SCH M Lookup'!$B165=4099300,"SCHMDT"))))</f>
        <v>SCHMDT</v>
      </c>
      <c r="D165" s="127">
        <v>320271</v>
      </c>
      <c r="E165" s="128" t="s">
        <v>488</v>
      </c>
      <c r="F165" s="127" t="s">
        <v>89</v>
      </c>
      <c r="G165" s="129"/>
      <c r="H165" s="117" t="str">
        <f t="shared" si="5"/>
        <v>SO</v>
      </c>
      <c r="I165" s="117" t="s">
        <v>102</v>
      </c>
      <c r="J165"/>
    </row>
    <row r="166" spans="1:10">
      <c r="A166" s="118" t="str">
        <f t="shared" si="4"/>
        <v>4098300SCHMAT415424Contra Reg Asset - Deer Creek AbandonmenSE</v>
      </c>
      <c r="B166" s="127">
        <v>4098300</v>
      </c>
      <c r="C166" s="117" t="str">
        <f>IF('SCH M Lookup'!$B166=4098200,"SCHMAP",IF('SCH M Lookup'!$B166=4098300,"SCHMAT",IF('SCH M Lookup'!$B166=4099200,"SCHMDP",IF('SCH M Lookup'!$B166=4099300,"SCHMDT"))))</f>
        <v>SCHMAT</v>
      </c>
      <c r="D166" s="127">
        <v>415424</v>
      </c>
      <c r="E166" s="128" t="s">
        <v>382</v>
      </c>
      <c r="F166" s="127" t="s">
        <v>85</v>
      </c>
      <c r="G166" s="129"/>
      <c r="H166" s="117" t="str">
        <f t="shared" si="5"/>
        <v>SE</v>
      </c>
      <c r="I166" s="117" t="s">
        <v>68</v>
      </c>
      <c r="J166"/>
    </row>
    <row r="167" spans="1:10">
      <c r="A167" s="118" t="str">
        <f t="shared" si="4"/>
        <v>4098300SCHMAT910245Contra Receivable from Joint OwnersSO</v>
      </c>
      <c r="B167" s="127">
        <v>4098300</v>
      </c>
      <c r="C167" s="117" t="str">
        <f>IF('SCH M Lookup'!$B167=4098200,"SCHMAP",IF('SCH M Lookup'!$B167=4098300,"SCHMAT",IF('SCH M Lookup'!$B167=4099200,"SCHMDP",IF('SCH M Lookup'!$B167=4099300,"SCHMDT"))))</f>
        <v>SCHMAT</v>
      </c>
      <c r="D167" s="127">
        <v>910245</v>
      </c>
      <c r="E167" s="128" t="s">
        <v>457</v>
      </c>
      <c r="F167" s="127" t="s">
        <v>89</v>
      </c>
      <c r="G167" s="129"/>
      <c r="H167" s="117" t="str">
        <f t="shared" si="5"/>
        <v>SO</v>
      </c>
      <c r="I167" s="117" t="s">
        <v>92</v>
      </c>
      <c r="J167"/>
    </row>
    <row r="168" spans="1:10">
      <c r="A168" s="118" t="str">
        <f t="shared" si="4"/>
        <v>4099300SCHMDT415421Contra RA UMWA Pension WAOTHER</v>
      </c>
      <c r="B168" s="127">
        <v>4099300</v>
      </c>
      <c r="C168" s="117" t="str">
        <f>IF('SCH M Lookup'!$B168=4098200,"SCHMAP",IF('SCH M Lookup'!$B168=4098300,"SCHMAT",IF('SCH M Lookup'!$B168=4099200,"SCHMDP",IF('SCH M Lookup'!$B168=4099300,"SCHMDT"))))</f>
        <v>SCHMDT</v>
      </c>
      <c r="D168" s="127">
        <v>415421</v>
      </c>
      <c r="E168" s="128" t="s">
        <v>500</v>
      </c>
      <c r="F168" s="127" t="s">
        <v>306</v>
      </c>
      <c r="G168" s="129"/>
      <c r="H168" s="117" t="str">
        <f t="shared" si="5"/>
        <v>OTHER</v>
      </c>
      <c r="I168" s="117" t="s">
        <v>68</v>
      </c>
      <c r="J168"/>
    </row>
    <row r="169" spans="1:10">
      <c r="A169" s="118" t="str">
        <f t="shared" si="4"/>
        <v>4099300SCHMDT415417Contra RA UMWA Pension CAOTHER</v>
      </c>
      <c r="B169" s="127">
        <v>4099300</v>
      </c>
      <c r="C169" s="117" t="str">
        <f>IF('SCH M Lookup'!$B169=4098200,"SCHMAP",IF('SCH M Lookup'!$B169=4098300,"SCHMAT",IF('SCH M Lookup'!$B169=4099200,"SCHMDP",IF('SCH M Lookup'!$B169=4099300,"SCHMDT"))))</f>
        <v>SCHMDT</v>
      </c>
      <c r="D169" s="127">
        <v>415417</v>
      </c>
      <c r="E169" s="128" t="s">
        <v>499</v>
      </c>
      <c r="F169" s="127" t="s">
        <v>306</v>
      </c>
      <c r="G169" s="129"/>
      <c r="H169" s="117" t="str">
        <f t="shared" si="5"/>
        <v>OTHER</v>
      </c>
      <c r="I169" s="117" t="s">
        <v>68</v>
      </c>
      <c r="J169"/>
    </row>
    <row r="170" spans="1:10">
      <c r="A170" s="118" t="str">
        <f t="shared" si="4"/>
        <v>4099300SCHMDT415820Contra Pension Reg Asset MMT &amp; CTG _ORSITUS</v>
      </c>
      <c r="B170" s="127">
        <v>4099300</v>
      </c>
      <c r="C170" s="117" t="str">
        <f>IF('SCH M Lookup'!$B170=4098200,"SCHMAP",IF('SCH M Lookup'!$B170=4098300,"SCHMAT",IF('SCH M Lookup'!$B170=4099200,"SCHMDP",IF('SCH M Lookup'!$B170=4099300,"SCHMDT"))))</f>
        <v>SCHMDT</v>
      </c>
      <c r="D170" s="127">
        <v>415820</v>
      </c>
      <c r="E170" s="128" t="s">
        <v>513</v>
      </c>
      <c r="F170" s="127" t="s">
        <v>12</v>
      </c>
      <c r="G170" s="129"/>
      <c r="H170" s="117" t="str">
        <f t="shared" si="5"/>
        <v>SITUS</v>
      </c>
      <c r="I170" s="117" t="s">
        <v>102</v>
      </c>
      <c r="J170"/>
    </row>
    <row r="171" spans="1:10">
      <c r="A171" s="118" t="str">
        <f t="shared" si="4"/>
        <v>4099300SCHMDT415824Contra Pension Reg Asset MMT &amp; CTG _CASITUS</v>
      </c>
      <c r="B171" s="127">
        <v>4099300</v>
      </c>
      <c r="C171" s="117" t="str">
        <f>IF('SCH M Lookup'!$B171=4098200,"SCHMAP",IF('SCH M Lookup'!$B171=4098300,"SCHMAT",IF('SCH M Lookup'!$B171=4099200,"SCHMDP",IF('SCH M Lookup'!$B171=4099300,"SCHMDT"))))</f>
        <v>SCHMDT</v>
      </c>
      <c r="D171" s="127">
        <v>415824</v>
      </c>
      <c r="E171" s="128" t="s">
        <v>514</v>
      </c>
      <c r="F171" s="127" t="s">
        <v>12</v>
      </c>
      <c r="G171" s="129"/>
      <c r="H171" s="117" t="str">
        <f t="shared" si="5"/>
        <v>SITUS</v>
      </c>
      <c r="I171" s="117" t="s">
        <v>102</v>
      </c>
      <c r="J171"/>
    </row>
    <row r="172" spans="1:10">
      <c r="A172" s="118" t="str">
        <f t="shared" si="4"/>
        <v>4098300SCHMAT205100Coal Pile Inventory AdjustmentSE</v>
      </c>
      <c r="B172" s="127">
        <v>4098300</v>
      </c>
      <c r="C172" s="117" t="str">
        <f>IF('SCH M Lookup'!$B172=4098200,"SCHMAP",IF('SCH M Lookup'!$B172=4098300,"SCHMAT",IF('SCH M Lookup'!$B172=4099200,"SCHMDP",IF('SCH M Lookup'!$B172=4099300,"SCHMDT"))))</f>
        <v>SCHMAT</v>
      </c>
      <c r="D172" s="127">
        <v>205100</v>
      </c>
      <c r="E172" s="128" t="s">
        <v>368</v>
      </c>
      <c r="F172" s="127" t="s">
        <v>85</v>
      </c>
      <c r="G172" s="129"/>
      <c r="H172" s="117" t="str">
        <f t="shared" si="5"/>
        <v>SE</v>
      </c>
      <c r="I172" s="117" t="s">
        <v>68</v>
      </c>
      <c r="J172"/>
    </row>
    <row r="173" spans="1:10">
      <c r="A173" s="118" t="str">
        <f t="shared" si="4"/>
        <v>4098300SCHMAT610000Coal Mine Development-PMISE</v>
      </c>
      <c r="B173" s="127">
        <v>4098300</v>
      </c>
      <c r="C173" s="117" t="str">
        <f>IF('SCH M Lookup'!$B173=4098200,"SCHMAP",IF('SCH M Lookup'!$B173=4098300,"SCHMAT",IF('SCH M Lookup'!$B173=4099200,"SCHMDP",IF('SCH M Lookup'!$B173=4099300,"SCHMDT"))))</f>
        <v>SCHMAT</v>
      </c>
      <c r="D173" s="127">
        <v>610000</v>
      </c>
      <c r="E173" s="128" t="s">
        <v>426</v>
      </c>
      <c r="F173" s="127" t="s">
        <v>85</v>
      </c>
      <c r="G173" s="129"/>
      <c r="H173" s="117" t="str">
        <f t="shared" si="5"/>
        <v>SE</v>
      </c>
      <c r="I173" s="117" t="s">
        <v>68</v>
      </c>
      <c r="J173"/>
    </row>
    <row r="174" spans="1:10">
      <c r="A174" s="118" t="str">
        <f t="shared" si="4"/>
        <v>4099300SCHMDT205200Coal M&amp;S Inventory Write-OffSNPD</v>
      </c>
      <c r="B174" s="127">
        <v>4099300</v>
      </c>
      <c r="C174" s="117" t="str">
        <f>IF('SCH M Lookup'!$B174=4098200,"SCHMAP",IF('SCH M Lookup'!$B174=4098300,"SCHMAT",IF('SCH M Lookup'!$B174=4099200,"SCHMDP",IF('SCH M Lookup'!$B174=4099300,"SCHMDT"))))</f>
        <v>SCHMDT</v>
      </c>
      <c r="D174" s="127">
        <v>205200</v>
      </c>
      <c r="E174" s="128" t="s">
        <v>481</v>
      </c>
      <c r="F174" s="127" t="s">
        <v>11</v>
      </c>
      <c r="G174" s="129"/>
      <c r="H174" s="117" t="str">
        <f t="shared" si="5"/>
        <v>SNPD</v>
      </c>
      <c r="I174" s="117" t="s">
        <v>68</v>
      </c>
      <c r="J174"/>
    </row>
    <row r="175" spans="1:10">
      <c r="A175" s="118" t="str">
        <f t="shared" si="4"/>
        <v>4098300SCHMAT105130CIACCIAC</v>
      </c>
      <c r="B175" s="127">
        <v>4098300</v>
      </c>
      <c r="C175" s="117" t="str">
        <f>IF('SCH M Lookup'!$B175=4098200,"SCHMAP",IF('SCH M Lookup'!$B175=4098300,"SCHMAT",IF('SCH M Lookup'!$B175=4099200,"SCHMDP",IF('SCH M Lookup'!$B175=4099300,"SCHMDT"))))</f>
        <v>SCHMAT</v>
      </c>
      <c r="D175" s="127">
        <v>105130</v>
      </c>
      <c r="E175" s="128" t="s">
        <v>152</v>
      </c>
      <c r="F175" s="127" t="s">
        <v>152</v>
      </c>
      <c r="G175" s="129"/>
      <c r="H175" s="117" t="str">
        <f t="shared" si="5"/>
        <v>CIAC</v>
      </c>
      <c r="I175" s="117" t="s">
        <v>70</v>
      </c>
      <c r="J175"/>
    </row>
    <row r="176" spans="1:10">
      <c r="A176" s="118" t="str">
        <f t="shared" si="4"/>
        <v>4099300SCHMDT1052203Cholla SHL-NOPA (Lease Amortization)SG</v>
      </c>
      <c r="B176" s="127">
        <v>4099300</v>
      </c>
      <c r="C176" s="117" t="str">
        <f>IF('SCH M Lookup'!$B176=4098200,"SCHMAP",IF('SCH M Lookup'!$B176=4098300,"SCHMAT",IF('SCH M Lookup'!$B176=4099200,"SCHMDP",IF('SCH M Lookup'!$B176=4099300,"SCHMDT"))))</f>
        <v>SCHMDT</v>
      </c>
      <c r="D176" s="127">
        <v>1052203</v>
      </c>
      <c r="E176" s="128" t="s">
        <v>477</v>
      </c>
      <c r="F176" s="127" t="s">
        <v>87</v>
      </c>
      <c r="G176" s="129"/>
      <c r="H176" s="117" t="str">
        <f t="shared" si="5"/>
        <v>SG</v>
      </c>
      <c r="I176" s="117" t="s">
        <v>68</v>
      </c>
      <c r="J176"/>
    </row>
    <row r="177" spans="1:10">
      <c r="A177" s="118" t="str">
        <f t="shared" si="4"/>
        <v>4098300SCHMAT415500Cholla Plt Transact Costs-APS AmortSGCT</v>
      </c>
      <c r="B177" s="127">
        <v>4098300</v>
      </c>
      <c r="C177" s="117" t="str">
        <f>IF('SCH M Lookup'!$B177=4098200,"SCHMAP",IF('SCH M Lookup'!$B177=4098300,"SCHMAT",IF('SCH M Lookup'!$B177=4099200,"SCHMDP",IF('SCH M Lookup'!$B177=4099300,"SCHMDT"))))</f>
        <v>SCHMAT</v>
      </c>
      <c r="D177" s="127">
        <v>415500</v>
      </c>
      <c r="E177" s="128" t="s">
        <v>384</v>
      </c>
      <c r="F177" s="127" t="s">
        <v>99</v>
      </c>
      <c r="G177" s="129"/>
      <c r="H177" s="117" t="str">
        <f t="shared" si="5"/>
        <v>SGCT</v>
      </c>
      <c r="I177" s="117" t="s">
        <v>68</v>
      </c>
      <c r="J177"/>
    </row>
    <row r="178" spans="1:10">
      <c r="A178" s="118" t="str">
        <f t="shared" si="4"/>
        <v>4099300SCHMDT415502Cholla Plt Transact Costs- APS Amort - OSITUS</v>
      </c>
      <c r="B178" s="127">
        <v>4099300</v>
      </c>
      <c r="C178" s="117" t="str">
        <f>IF('SCH M Lookup'!$B178=4098200,"SCHMAP",IF('SCH M Lookup'!$B178=4098300,"SCHMAT",IF('SCH M Lookup'!$B178=4099200,"SCHMDP",IF('SCH M Lookup'!$B178=4099300,"SCHMDT"))))</f>
        <v>SCHMDT</v>
      </c>
      <c r="D178" s="127">
        <v>415502</v>
      </c>
      <c r="E178" s="128" t="s">
        <v>502</v>
      </c>
      <c r="F178" s="127" t="s">
        <v>12</v>
      </c>
      <c r="G178" s="129"/>
      <c r="H178" s="117" t="str">
        <f t="shared" si="5"/>
        <v>SITUS</v>
      </c>
      <c r="I178" s="117" t="s">
        <v>68</v>
      </c>
      <c r="J178"/>
    </row>
    <row r="179" spans="1:10">
      <c r="A179" s="118" t="str">
        <f t="shared" si="4"/>
        <v>4099300SCHMDT415501Cholla Plt Transact Costs- APS Amort - ISITUS</v>
      </c>
      <c r="B179" s="127">
        <v>4099300</v>
      </c>
      <c r="C179" s="117" t="str">
        <f>IF('SCH M Lookup'!$B179=4098200,"SCHMAP",IF('SCH M Lookup'!$B179=4098300,"SCHMAT",IF('SCH M Lookup'!$B179=4099200,"SCHMDP",IF('SCH M Lookup'!$B179=4099300,"SCHMDT"))))</f>
        <v>SCHMDT</v>
      </c>
      <c r="D179" s="127">
        <v>415501</v>
      </c>
      <c r="E179" s="128" t="s">
        <v>501</v>
      </c>
      <c r="F179" s="127" t="s">
        <v>12</v>
      </c>
      <c r="G179" s="129"/>
      <c r="H179" s="117" t="str">
        <f t="shared" si="5"/>
        <v>SITUS</v>
      </c>
      <c r="I179" s="117" t="s">
        <v>68</v>
      </c>
      <c r="J179"/>
    </row>
    <row r="180" spans="1:10">
      <c r="A180" s="118" t="str">
        <f t="shared" si="4"/>
        <v>4098300SCHMAT715810Chehalis WA EFSEC C02 Mitigation ObligatSG</v>
      </c>
      <c r="B180" s="127">
        <v>4098300</v>
      </c>
      <c r="C180" s="117" t="str">
        <f>IF('SCH M Lookup'!$B180=4098200,"SCHMAP",IF('SCH M Lookup'!$B180=4098300,"SCHMAT",IF('SCH M Lookup'!$B180=4099200,"SCHMDP",IF('SCH M Lookup'!$B180=4099300,"SCHMDT"))))</f>
        <v>SCHMAT</v>
      </c>
      <c r="D180" s="127">
        <v>715810</v>
      </c>
      <c r="E180" s="128" t="s">
        <v>452</v>
      </c>
      <c r="F180" s="127" t="s">
        <v>87</v>
      </c>
      <c r="G180" s="129"/>
      <c r="H180" s="117" t="str">
        <f t="shared" si="5"/>
        <v>SG</v>
      </c>
      <c r="I180" s="117" t="s">
        <v>68</v>
      </c>
      <c r="J180"/>
    </row>
    <row r="181" spans="1:10">
      <c r="A181" s="118" t="str">
        <f t="shared" si="4"/>
        <v>4098300SCHMAT105100Capitalized Labor CostsSO</v>
      </c>
      <c r="B181" s="127">
        <v>4098300</v>
      </c>
      <c r="C181" s="117" t="str">
        <f>IF('SCH M Lookup'!$B181=4098200,"SCHMAP",IF('SCH M Lookup'!$B181=4098300,"SCHMAT",IF('SCH M Lookup'!$B181=4099200,"SCHMDP",IF('SCH M Lookup'!$B181=4099300,"SCHMDT"))))</f>
        <v>SCHMAT</v>
      </c>
      <c r="D181" s="127">
        <v>105100</v>
      </c>
      <c r="E181" s="128" t="s">
        <v>361</v>
      </c>
      <c r="F181" s="127" t="s">
        <v>89</v>
      </c>
      <c r="G181" s="129"/>
      <c r="H181" s="117" t="str">
        <f t="shared" si="5"/>
        <v>SO</v>
      </c>
      <c r="I181" s="117" t="s">
        <v>102</v>
      </c>
      <c r="J181"/>
    </row>
    <row r="182" spans="1:10">
      <c r="A182" s="118" t="str">
        <f t="shared" si="4"/>
        <v>4099300SCHMDT105137Capitalized DepreciationSO</v>
      </c>
      <c r="B182" s="127">
        <v>4099300</v>
      </c>
      <c r="C182" s="117" t="str">
        <f>IF('SCH M Lookup'!$B182=4098200,"SCHMAP",IF('SCH M Lookup'!$B182=4098300,"SCHMAT",IF('SCH M Lookup'!$B182=4099200,"SCHMDP",IF('SCH M Lookup'!$B182=4099300,"SCHMDT"))))</f>
        <v>SCHMDT</v>
      </c>
      <c r="D182" s="127">
        <v>105137</v>
      </c>
      <c r="E182" s="128" t="s">
        <v>469</v>
      </c>
      <c r="F182" s="127" t="s">
        <v>89</v>
      </c>
      <c r="G182" s="129"/>
      <c r="H182" s="117" t="str">
        <f t="shared" si="5"/>
        <v>SO</v>
      </c>
      <c r="I182" s="117" t="s">
        <v>110</v>
      </c>
      <c r="J182"/>
    </row>
    <row r="183" spans="1:10">
      <c r="A183" s="118" t="str">
        <f t="shared" si="4"/>
        <v>4099300SCHMDT415655CA GHG AllowanceOTHER</v>
      </c>
      <c r="B183" s="127">
        <v>4099300</v>
      </c>
      <c r="C183" s="117" t="str">
        <f>IF('SCH M Lookup'!$B183=4098200,"SCHMAP",IF('SCH M Lookup'!$B183=4098300,"SCHMAT",IF('SCH M Lookup'!$B183=4099200,"SCHMDP",IF('SCH M Lookup'!$B183=4099300,"SCHMDT"))))</f>
        <v>SCHMDT</v>
      </c>
      <c r="D183" s="127">
        <v>415655</v>
      </c>
      <c r="E183" s="128" t="s">
        <v>507</v>
      </c>
      <c r="F183" s="127" t="s">
        <v>306</v>
      </c>
      <c r="G183" s="129"/>
      <c r="H183" s="117" t="str">
        <f t="shared" si="5"/>
        <v>OTHER</v>
      </c>
      <c r="I183" s="117" t="s">
        <v>68</v>
      </c>
      <c r="J183"/>
    </row>
    <row r="184" spans="1:10">
      <c r="A184" s="118" t="str">
        <f t="shared" si="4"/>
        <v>4099300SCHMDT415701CA Deferred Intervenor FundingOTHER</v>
      </c>
      <c r="B184" s="127">
        <v>4099300</v>
      </c>
      <c r="C184" s="117" t="str">
        <f>IF('SCH M Lookup'!$B184=4098200,"SCHMAP",IF('SCH M Lookup'!$B184=4098300,"SCHMAT",IF('SCH M Lookup'!$B184=4099200,"SCHMDP",IF('SCH M Lookup'!$B184=4099300,"SCHMDT"))))</f>
        <v>SCHMDT</v>
      </c>
      <c r="D184" s="127">
        <v>415701</v>
      </c>
      <c r="E184" s="128" t="s">
        <v>388</v>
      </c>
      <c r="F184" s="127" t="s">
        <v>306</v>
      </c>
      <c r="G184" s="129"/>
      <c r="H184" s="117" t="str">
        <f t="shared" si="5"/>
        <v>OTHER</v>
      </c>
      <c r="I184" s="117" t="s">
        <v>74</v>
      </c>
      <c r="J184"/>
    </row>
    <row r="185" spans="1:10">
      <c r="A185" s="118" t="str">
        <f t="shared" si="4"/>
        <v>4099300SCHMDT415870CA Def Excess NPCSITUS</v>
      </c>
      <c r="B185" s="127">
        <v>4099300</v>
      </c>
      <c r="C185" s="117" t="str">
        <f>IF('SCH M Lookup'!$B185=4098200,"SCHMAP",IF('SCH M Lookup'!$B185=4098300,"SCHMAT",IF('SCH M Lookup'!$B185=4099200,"SCHMDP",IF('SCH M Lookup'!$B185=4099300,"SCHMDT"))))</f>
        <v>SCHMDT</v>
      </c>
      <c r="D185" s="127">
        <v>415870</v>
      </c>
      <c r="E185" s="128" t="s">
        <v>519</v>
      </c>
      <c r="F185" s="127" t="s">
        <v>12</v>
      </c>
      <c r="G185" s="129"/>
      <c r="H185" s="117" t="str">
        <f t="shared" si="5"/>
        <v>SITUS</v>
      </c>
      <c r="I185" s="117" t="s">
        <v>68</v>
      </c>
      <c r="J185"/>
    </row>
    <row r="186" spans="1:10">
      <c r="A186" s="118" t="str">
        <f t="shared" si="4"/>
        <v>4098300SCHMAT705240CA Alternative Rate for Energy Program(COTHER</v>
      </c>
      <c r="B186" s="127">
        <v>4098300</v>
      </c>
      <c r="C186" s="117" t="str">
        <f>IF('SCH M Lookup'!$B186=4098200,"SCHMAP",IF('SCH M Lookup'!$B186=4098300,"SCHMAT",IF('SCH M Lookup'!$B186=4099200,"SCHMDP",IF('SCH M Lookup'!$B186=4099300,"SCHMDT"))))</f>
        <v>SCHMAT</v>
      </c>
      <c r="D186" s="127">
        <v>705240</v>
      </c>
      <c r="E186" s="128" t="s">
        <v>432</v>
      </c>
      <c r="F186" s="127" t="s">
        <v>306</v>
      </c>
      <c r="G186" s="129"/>
      <c r="H186" s="117" t="str">
        <f t="shared" si="5"/>
        <v>OTHER</v>
      </c>
      <c r="I186" s="117" t="s">
        <v>92</v>
      </c>
      <c r="J186"/>
    </row>
    <row r="187" spans="1:10">
      <c r="A187" s="118" t="str">
        <f t="shared" si="4"/>
        <v>4098300SCHMAT415855CA - January 2010 Storm CostsOTHER</v>
      </c>
      <c r="B187" s="127">
        <v>4098300</v>
      </c>
      <c r="C187" s="117" t="str">
        <f>IF('SCH M Lookup'!$B187=4098200,"SCHMAP",IF('SCH M Lookup'!$B187=4098300,"SCHMAT",IF('SCH M Lookup'!$B187=4099200,"SCHMDP",IF('SCH M Lookup'!$B187=4099300,"SCHMDT"))))</f>
        <v>SCHMAT</v>
      </c>
      <c r="D187" s="127">
        <v>415855</v>
      </c>
      <c r="E187" s="128" t="s">
        <v>399</v>
      </c>
      <c r="F187" s="127" t="s">
        <v>306</v>
      </c>
      <c r="G187" s="129"/>
      <c r="H187" s="117" t="str">
        <f t="shared" si="5"/>
        <v>OTHER</v>
      </c>
      <c r="I187" s="117" t="s">
        <v>68</v>
      </c>
      <c r="J187"/>
    </row>
    <row r="188" spans="1:10">
      <c r="A188" s="118" t="str">
        <f t="shared" si="4"/>
        <v>4098300SCHMAT910905Bridger Coal Company Underground Mine CoSE</v>
      </c>
      <c r="B188" s="127">
        <v>4098300</v>
      </c>
      <c r="C188" s="117" t="str">
        <f>IF('SCH M Lookup'!$B188=4098200,"SCHMAP",IF('SCH M Lookup'!$B188=4098300,"SCHMAT",IF('SCH M Lookup'!$B188=4099200,"SCHMDP",IF('SCH M Lookup'!$B188=4099300,"SCHMDT"))))</f>
        <v>SCHMAT</v>
      </c>
      <c r="D188" s="127">
        <v>910905</v>
      </c>
      <c r="E188" s="128" t="s">
        <v>459</v>
      </c>
      <c r="F188" s="127" t="s">
        <v>85</v>
      </c>
      <c r="G188" s="129"/>
      <c r="H188" s="117" t="str">
        <f t="shared" si="5"/>
        <v>SE</v>
      </c>
      <c r="I188" s="117" t="s">
        <v>68</v>
      </c>
      <c r="J188"/>
    </row>
    <row r="189" spans="1:10">
      <c r="A189" s="118" t="str">
        <f t="shared" si="4"/>
        <v>4099300SCHMDT610111Bridger Coal Company Gain/Loss on AssetsSE</v>
      </c>
      <c r="B189" s="127">
        <v>4099300</v>
      </c>
      <c r="C189" s="117" t="str">
        <f>IF('SCH M Lookup'!$B189=4098200,"SCHMAP",IF('SCH M Lookup'!$B189=4098300,"SCHMAT",IF('SCH M Lookup'!$B189=4099200,"SCHMDP",IF('SCH M Lookup'!$B189=4099300,"SCHMDT"))))</f>
        <v>SCHMDT</v>
      </c>
      <c r="D189" s="127">
        <v>610111</v>
      </c>
      <c r="E189" s="128" t="s">
        <v>545</v>
      </c>
      <c r="F189" s="127" t="s">
        <v>85</v>
      </c>
      <c r="G189" s="129"/>
      <c r="H189" s="117" t="str">
        <f t="shared" si="5"/>
        <v>SE</v>
      </c>
      <c r="I189" s="117" t="s">
        <v>68</v>
      </c>
      <c r="J189"/>
    </row>
    <row r="190" spans="1:10">
      <c r="A190" s="118" t="str">
        <f t="shared" si="4"/>
        <v>4099300SCHMDT105470Book Gain/Loss on Land SalesGPS</v>
      </c>
      <c r="B190" s="127">
        <v>4099300</v>
      </c>
      <c r="C190" s="117" t="str">
        <f>IF('SCH M Lookup'!$B190=4098200,"SCHMAP",IF('SCH M Lookup'!$B190=4098300,"SCHMAT",IF('SCH M Lookup'!$B190=4099200,"SCHMDP",IF('SCH M Lookup'!$B190=4099300,"SCHMDT"))))</f>
        <v>SCHMDT</v>
      </c>
      <c r="D190" s="127">
        <v>105470</v>
      </c>
      <c r="E190" s="128" t="s">
        <v>478</v>
      </c>
      <c r="F190" s="127" t="s">
        <v>9</v>
      </c>
      <c r="G190" s="129"/>
      <c r="H190" s="117" t="str">
        <f t="shared" si="5"/>
        <v>GPS</v>
      </c>
      <c r="I190" s="117" t="s">
        <v>92</v>
      </c>
      <c r="J190"/>
    </row>
    <row r="191" spans="1:10">
      <c r="A191" s="118" t="str">
        <f t="shared" si="4"/>
        <v>4099200SCHMDP105127Book Depreciation Allocated to MedicareSCHMDEXP</v>
      </c>
      <c r="B191" s="127">
        <v>4099200</v>
      </c>
      <c r="C191" s="117" t="str">
        <f>IF('SCH M Lookup'!$B191=4098200,"SCHMAP",IF('SCH M Lookup'!$B191=4098300,"SCHMAT",IF('SCH M Lookup'!$B191=4099200,"SCHMDP",IF('SCH M Lookup'!$B191=4099300,"SCHMDT"))))</f>
        <v>SCHMDP</v>
      </c>
      <c r="D191" s="127">
        <v>105127</v>
      </c>
      <c r="E191" s="128" t="s">
        <v>461</v>
      </c>
      <c r="F191" s="127" t="s">
        <v>10</v>
      </c>
      <c r="G191" s="129"/>
      <c r="H191" s="117" t="str">
        <f t="shared" si="5"/>
        <v>SCHMDEXP</v>
      </c>
      <c r="I191" s="117" t="s">
        <v>102</v>
      </c>
      <c r="J191"/>
    </row>
    <row r="192" spans="1:10">
      <c r="A192" s="118" t="str">
        <f t="shared" si="4"/>
        <v>4098300SCHMAT105120Book DepreciationSCHMDEXP</v>
      </c>
      <c r="B192" s="127">
        <v>4098300</v>
      </c>
      <c r="C192" s="117" t="str">
        <f>IF('SCH M Lookup'!$B192=4098200,"SCHMAP",IF('SCH M Lookup'!$B192=4098300,"SCHMAT",IF('SCH M Lookup'!$B192=4099200,"SCHMDP",IF('SCH M Lookup'!$B192=4099300,"SCHMDT"))))</f>
        <v>SCHMAT</v>
      </c>
      <c r="D192" s="127">
        <v>105120</v>
      </c>
      <c r="E192" s="128" t="s">
        <v>94</v>
      </c>
      <c r="F192" s="127" t="s">
        <v>10</v>
      </c>
      <c r="G192" s="129"/>
      <c r="H192" s="117" t="str">
        <f t="shared" si="5"/>
        <v>SCHMDEXP</v>
      </c>
      <c r="I192" s="117" t="s">
        <v>110</v>
      </c>
      <c r="J192"/>
    </row>
    <row r="193" spans="1:10">
      <c r="A193" s="118" t="str">
        <f t="shared" si="4"/>
        <v>4098200SCHMAP105127Book Depr Allocated to Medicare and M&amp;ESCHMDEXP</v>
      </c>
      <c r="B193" s="127">
        <v>4098200</v>
      </c>
      <c r="C193" s="117" t="str">
        <f>IF('SCH M Lookup'!$B193=4098200,"SCHMAP",IF('SCH M Lookup'!$B193=4098300,"SCHMAT",IF('SCH M Lookup'!$B193=4099200,"SCHMDP",IF('SCH M Lookup'!$B193=4099300,"SCHMDT"))))</f>
        <v>SCHMAP</v>
      </c>
      <c r="D193" s="127">
        <v>105127</v>
      </c>
      <c r="E193" s="128" t="s">
        <v>354</v>
      </c>
      <c r="F193" s="127" t="s">
        <v>10</v>
      </c>
      <c r="G193" s="129"/>
      <c r="H193" s="117" t="str">
        <f t="shared" si="5"/>
        <v>SCHMDEXP</v>
      </c>
      <c r="I193" s="117" t="s">
        <v>102</v>
      </c>
      <c r="J193"/>
    </row>
    <row r="194" spans="1:10">
      <c r="A194" s="118" t="str">
        <f t="shared" si="4"/>
        <v>4098300SCHMAT505400Bonus LiabilitySO</v>
      </c>
      <c r="B194" s="127">
        <v>4098300</v>
      </c>
      <c r="C194" s="117" t="str">
        <f>IF('SCH M Lookup'!$B194=4098200,"SCHMAP",IF('SCH M Lookup'!$B194=4098300,"SCHMAT",IF('SCH M Lookup'!$B194=4099200,"SCHMDP",IF('SCH M Lookup'!$B194=4099300,"SCHMDT"))))</f>
        <v>SCHMAT</v>
      </c>
      <c r="D194" s="127">
        <v>505400</v>
      </c>
      <c r="E194" s="128" t="s">
        <v>418</v>
      </c>
      <c r="F194" s="127" t="s">
        <v>89</v>
      </c>
      <c r="G194" s="129"/>
      <c r="H194" s="117" t="str">
        <f t="shared" si="5"/>
        <v>SO</v>
      </c>
      <c r="I194" s="117" t="s">
        <v>102</v>
      </c>
      <c r="J194"/>
    </row>
    <row r="195" spans="1:10">
      <c r="A195" s="118" t="str">
        <f t="shared" ref="A195:A258" si="6">CONCATENATE($B195,$C195,$D195,$E195,$H195)</f>
        <v>4099300SCHMDT105143Basis Intangible DifferenceSO</v>
      </c>
      <c r="B195" s="127">
        <v>4099300</v>
      </c>
      <c r="C195" s="117" t="str">
        <f>IF('SCH M Lookup'!$B195=4098200,"SCHMAP",IF('SCH M Lookup'!$B195=4098300,"SCHMAT",IF('SCH M Lookup'!$B195=4099200,"SCHMDP",IF('SCH M Lookup'!$B195=4099300,"SCHMDT"))))</f>
        <v>SCHMDT</v>
      </c>
      <c r="D195" s="127">
        <v>105143</v>
      </c>
      <c r="E195" s="128" t="s">
        <v>472</v>
      </c>
      <c r="F195" s="127" t="s">
        <v>89</v>
      </c>
      <c r="G195" s="129"/>
      <c r="H195" s="117" t="str">
        <f t="shared" ref="H195:H258" si="7">IF(OR(F195="IDU",F195="OR",F195="UT",F195="WYU",F195="WYP",F195="CA",F195="WA"),"SITUS",F195)</f>
        <v>SO</v>
      </c>
      <c r="I195" s="117" t="s">
        <v>92</v>
      </c>
      <c r="J195"/>
    </row>
    <row r="196" spans="1:10">
      <c r="A196" s="118" t="str">
        <f t="shared" si="6"/>
        <v>4098300SCHMAT220100Bad Debts Allowance - Cash BasisBADDEBT</v>
      </c>
      <c r="B196" s="127">
        <v>4098300</v>
      </c>
      <c r="C196" s="117" t="str">
        <f>IF('SCH M Lookup'!$B196=4098200,"SCHMAP",IF('SCH M Lookup'!$B196=4098300,"SCHMAT",IF('SCH M Lookup'!$B196=4099200,"SCHMDP",IF('SCH M Lookup'!$B196=4099300,"SCHMDT"))))</f>
        <v>SCHMAT</v>
      </c>
      <c r="D196" s="127">
        <v>220100</v>
      </c>
      <c r="E196" s="128" t="s">
        <v>374</v>
      </c>
      <c r="F196" s="127" t="s">
        <v>8</v>
      </c>
      <c r="G196" s="129"/>
      <c r="H196" s="117" t="str">
        <f t="shared" si="7"/>
        <v>BADDEBT</v>
      </c>
      <c r="I196" s="117" t="s">
        <v>73</v>
      </c>
      <c r="J196"/>
    </row>
    <row r="197" spans="1:10">
      <c r="A197" s="118" t="str">
        <f t="shared" si="6"/>
        <v>4098300SCHMAT105142Avoided CostsSNP</v>
      </c>
      <c r="B197" s="127">
        <v>4098300</v>
      </c>
      <c r="C197" s="117" t="str">
        <f>IF('SCH M Lookup'!$B197=4098200,"SCHMAP",IF('SCH M Lookup'!$B197=4098300,"SCHMAT",IF('SCH M Lookup'!$B197=4099200,"SCHMDP",IF('SCH M Lookup'!$B197=4099300,"SCHMDT"))))</f>
        <v>SCHMAT</v>
      </c>
      <c r="D197" s="127">
        <v>105142</v>
      </c>
      <c r="E197" s="128" t="s">
        <v>364</v>
      </c>
      <c r="F197" s="127" t="s">
        <v>7</v>
      </c>
      <c r="G197" s="129"/>
      <c r="H197" s="117" t="str">
        <f t="shared" si="7"/>
        <v>SNP</v>
      </c>
      <c r="I197" s="117" t="s">
        <v>92</v>
      </c>
      <c r="J197"/>
    </row>
    <row r="198" spans="1:10">
      <c r="A198" s="118" t="str">
        <f t="shared" si="6"/>
        <v>4099300SCHMDT605103ARO/Reg Diff - Trojan - WASITUS</v>
      </c>
      <c r="B198" s="127">
        <v>4099300</v>
      </c>
      <c r="C198" s="117" t="str">
        <f>IF('SCH M Lookup'!$B198=4098200,"SCHMAP",IF('SCH M Lookup'!$B198=4098300,"SCHMAT",IF('SCH M Lookup'!$B198=4099200,"SCHMDP",IF('SCH M Lookup'!$B198=4099300,"SCHMDT"))))</f>
        <v>SCHMDT</v>
      </c>
      <c r="D198" s="127">
        <v>605103</v>
      </c>
      <c r="E198" s="128" t="s">
        <v>542</v>
      </c>
      <c r="F198" s="127" t="s">
        <v>12</v>
      </c>
      <c r="G198" s="129"/>
      <c r="H198" s="117" t="str">
        <f t="shared" si="7"/>
        <v>SITUS</v>
      </c>
      <c r="I198" s="117" t="s">
        <v>68</v>
      </c>
      <c r="J198"/>
    </row>
    <row r="199" spans="1:10">
      <c r="A199" s="118" t="str">
        <f t="shared" si="6"/>
        <v>4099300SCHMDT6101001AMORT NOPAS 99-00 RARSO</v>
      </c>
      <c r="B199" s="127">
        <v>4099300</v>
      </c>
      <c r="C199" s="117" t="str">
        <f>IF('SCH M Lookup'!$B199=4098200,"SCHMAP",IF('SCH M Lookup'!$B199=4098300,"SCHMAT",IF('SCH M Lookup'!$B199=4099200,"SCHMDP",IF('SCH M Lookup'!$B199=4099300,"SCHMDT"))))</f>
        <v>SCHMDT</v>
      </c>
      <c r="D199" s="127">
        <v>6101001</v>
      </c>
      <c r="E199" s="128" t="s">
        <v>544</v>
      </c>
      <c r="F199" s="127" t="s">
        <v>89</v>
      </c>
      <c r="G199" s="129"/>
      <c r="H199" s="117" t="str">
        <f t="shared" si="7"/>
        <v>SO</v>
      </c>
      <c r="I199" s="117" t="s">
        <v>92</v>
      </c>
      <c r="J199"/>
    </row>
    <row r="200" spans="1:10">
      <c r="A200" s="118" t="str">
        <f t="shared" si="6"/>
        <v>4099300SCHMDT1051412AFUDC - EquitySNP</v>
      </c>
      <c r="B200" s="127">
        <v>4099300</v>
      </c>
      <c r="C200" s="117" t="str">
        <f>IF('SCH M Lookup'!$B200=4098200,"SCHMAP",IF('SCH M Lookup'!$B200=4098300,"SCHMAT",IF('SCH M Lookup'!$B200=4099200,"SCHMDP",IF('SCH M Lookup'!$B200=4099300,"SCHMDT"))))</f>
        <v>SCHMDT</v>
      </c>
      <c r="D200" s="127">
        <v>1051412</v>
      </c>
      <c r="E200" s="128" t="s">
        <v>471</v>
      </c>
      <c r="F200" s="127" t="s">
        <v>7</v>
      </c>
      <c r="G200" s="129"/>
      <c r="H200" s="117" t="str">
        <f t="shared" si="7"/>
        <v>SNP</v>
      </c>
      <c r="I200" s="117" t="s">
        <v>92</v>
      </c>
      <c r="J200"/>
    </row>
    <row r="201" spans="1:10">
      <c r="A201" s="118" t="str">
        <f t="shared" si="6"/>
        <v>4099300SCHMDT1051411AFUDC - DEBTSNP</v>
      </c>
      <c r="B201" s="127">
        <v>4099300</v>
      </c>
      <c r="C201" s="117" t="str">
        <f>IF('SCH M Lookup'!$B201=4098200,"SCHMAP",IF('SCH M Lookup'!$B201=4098300,"SCHMAT",IF('SCH M Lookup'!$B201=4099200,"SCHMDP",IF('SCH M Lookup'!$B201=4099300,"SCHMDT"))))</f>
        <v>SCHMDT</v>
      </c>
      <c r="D201" s="127">
        <v>1051411</v>
      </c>
      <c r="E201" s="128" t="s">
        <v>470</v>
      </c>
      <c r="F201" s="127" t="s">
        <v>7</v>
      </c>
      <c r="G201" s="129"/>
      <c r="H201" s="117" t="str">
        <f t="shared" si="7"/>
        <v>SNP</v>
      </c>
      <c r="I201" s="117" t="s">
        <v>92</v>
      </c>
      <c r="J201"/>
    </row>
    <row r="202" spans="1:10">
      <c r="A202" s="118" t="str">
        <f t="shared" si="6"/>
        <v>4098300SCHMAT505125ACCRUED ROYALTIESSE</v>
      </c>
      <c r="B202" s="127">
        <v>4098300</v>
      </c>
      <c r="C202" s="117" t="str">
        <f>IF('SCH M Lookup'!$B202=4098200,"SCHMAP",IF('SCH M Lookup'!$B202=4098300,"SCHMAT",IF('SCH M Lookup'!$B202=4099200,"SCHMDP",IF('SCH M Lookup'!$B202=4099300,"SCHMDT"))))</f>
        <v>SCHMAT</v>
      </c>
      <c r="D202" s="127">
        <v>505125</v>
      </c>
      <c r="E202" s="128" t="s">
        <v>417</v>
      </c>
      <c r="F202" s="127" t="s">
        <v>85</v>
      </c>
      <c r="G202" s="129"/>
      <c r="H202" s="117" t="str">
        <f t="shared" si="7"/>
        <v>SE</v>
      </c>
      <c r="I202" s="117" t="s">
        <v>68</v>
      </c>
      <c r="J202"/>
    </row>
    <row r="203" spans="1:10">
      <c r="A203" s="118" t="str">
        <f t="shared" si="6"/>
        <v>4098300SCHMAT505700Accrued Retention BonusSO</v>
      </c>
      <c r="B203" s="127">
        <v>4098300</v>
      </c>
      <c r="C203" s="117" t="str">
        <f>IF('SCH M Lookup'!$B203=4098200,"SCHMAP",IF('SCH M Lookup'!$B203=4098300,"SCHMAT",IF('SCH M Lookup'!$B203=4099200,"SCHMDP",IF('SCH M Lookup'!$B203=4099300,"SCHMDT"))))</f>
        <v>SCHMAT</v>
      </c>
      <c r="D203" s="127">
        <v>505700</v>
      </c>
      <c r="E203" s="128" t="s">
        <v>421</v>
      </c>
      <c r="F203" s="127" t="s">
        <v>89</v>
      </c>
      <c r="G203" s="129"/>
      <c r="H203" s="117" t="str">
        <f t="shared" si="7"/>
        <v>SO</v>
      </c>
      <c r="I203" s="117" t="s">
        <v>102</v>
      </c>
      <c r="J203"/>
    </row>
    <row r="204" spans="1:10">
      <c r="A204" s="118" t="str">
        <f t="shared" si="6"/>
        <v>4099200SCHMDP6201002004 JCA-Qualified Prod Activities DeducSG</v>
      </c>
      <c r="B204" s="127">
        <v>4099200</v>
      </c>
      <c r="C204" s="117" t="str">
        <f>IF('SCH M Lookup'!$B204=4098200,"SCHMAP",IF('SCH M Lookup'!$B204=4098300,"SCHMAT",IF('SCH M Lookup'!$B204=4099200,"SCHMDP",IF('SCH M Lookup'!$B204=4099300,"SCHMDT"))))</f>
        <v>SCHMDP</v>
      </c>
      <c r="D204" s="127">
        <v>620100</v>
      </c>
      <c r="E204" s="128" t="s">
        <v>464</v>
      </c>
      <c r="F204" s="127" t="s">
        <v>87</v>
      </c>
      <c r="G204" s="129"/>
      <c r="H204" s="117" t="str">
        <f t="shared" si="7"/>
        <v>SG</v>
      </c>
      <c r="I204" s="117" t="s">
        <v>68</v>
      </c>
      <c r="J204"/>
    </row>
    <row r="205" spans="1:10">
      <c r="A205" s="118" t="str">
        <f t="shared" si="6"/>
        <v>4099300SCHMDT415933Reg Liability - Contra - Carbon DecommisSITUS</v>
      </c>
      <c r="B205" s="126">
        <v>4099300</v>
      </c>
      <c r="C205" s="117" t="str">
        <f>IF('SCH M Lookup'!$B205=4098200,"SCHMAP",IF('SCH M Lookup'!$B205=4098300,"SCHMAT",IF('SCH M Lookup'!$B205=4099200,"SCHMDP",IF('SCH M Lookup'!$B205=4099300,"SCHMDT"))))</f>
        <v>SCHMDT</v>
      </c>
      <c r="D205" s="126">
        <v>415933</v>
      </c>
      <c r="E205" s="128" t="s">
        <v>536</v>
      </c>
      <c r="F205" s="127" t="s">
        <v>372</v>
      </c>
      <c r="G205" s="129"/>
      <c r="H205" s="117" t="str">
        <f t="shared" si="7"/>
        <v>SITUS</v>
      </c>
      <c r="I205" s="117" t="s">
        <v>68</v>
      </c>
      <c r="J205"/>
    </row>
    <row r="206" spans="1:10">
      <c r="A206" s="118" t="str">
        <f t="shared" si="6"/>
        <v>4099300SCHMDT415934Reg Liability - Contra - Carbon DecommisSITUS</v>
      </c>
      <c r="B206" s="126">
        <v>4099300</v>
      </c>
      <c r="C206" s="117" t="str">
        <f>IF('SCH M Lookup'!$B206=4098200,"SCHMAP",IF('SCH M Lookup'!$B206=4098300,"SCHMAT",IF('SCH M Lookup'!$B206=4099200,"SCHMDP",IF('SCH M Lookup'!$B206=4099300,"SCHMDT"))))</f>
        <v>SCHMDT</v>
      </c>
      <c r="D206" s="126">
        <v>415934</v>
      </c>
      <c r="E206" s="128" t="s">
        <v>536</v>
      </c>
      <c r="F206" s="127" t="s">
        <v>370</v>
      </c>
      <c r="G206" s="129"/>
      <c r="H206" s="117" t="str">
        <f t="shared" si="7"/>
        <v>SITUS</v>
      </c>
      <c r="I206" s="117" t="s">
        <v>68</v>
      </c>
      <c r="J206"/>
    </row>
    <row r="207" spans="1:10">
      <c r="A207" s="118" t="str">
        <f t="shared" si="6"/>
        <v>4099300SCHMDT415431Reg Asset - WA Transportation ElectrificOTHER</v>
      </c>
      <c r="B207" s="126">
        <v>4099300</v>
      </c>
      <c r="C207" s="117" t="str">
        <f>IF('SCH M Lookup'!$B207=4098200,"SCHMAP",IF('SCH M Lookup'!$B207=4098300,"SCHMAT",IF('SCH M Lookup'!$B207=4099200,"SCHMDP",IF('SCH M Lookup'!$B207=4099300,"SCHMDT"))))</f>
        <v>SCHMDT</v>
      </c>
      <c r="D207" s="126">
        <v>415431</v>
      </c>
      <c r="E207" s="128" t="s">
        <v>1759</v>
      </c>
      <c r="F207" s="127" t="s">
        <v>306</v>
      </c>
      <c r="G207" s="129"/>
      <c r="H207" s="117" t="str">
        <f t="shared" si="7"/>
        <v>OTHER</v>
      </c>
      <c r="I207" s="117" t="s">
        <v>92</v>
      </c>
      <c r="J207"/>
    </row>
    <row r="208" spans="1:10">
      <c r="A208" s="118" t="str">
        <f t="shared" si="6"/>
        <v>4099300SCHMDT415720Reg Asset - Community Solar - OROTHER</v>
      </c>
      <c r="B208" s="126">
        <v>4099300</v>
      </c>
      <c r="C208" s="117" t="str">
        <f>IF('SCH M Lookup'!$B208=4098200,"SCHMAP",IF('SCH M Lookup'!$B208=4098300,"SCHMAT",IF('SCH M Lookup'!$B208=4099200,"SCHMDP",IF('SCH M Lookup'!$B208=4099300,"SCHMDT"))))</f>
        <v>SCHMDT</v>
      </c>
      <c r="D208" s="126">
        <v>415720</v>
      </c>
      <c r="E208" s="128" t="s">
        <v>1760</v>
      </c>
      <c r="F208" s="127" t="s">
        <v>306</v>
      </c>
      <c r="G208" s="129"/>
      <c r="H208" s="117" t="str">
        <f t="shared" si="7"/>
        <v>OTHER</v>
      </c>
      <c r="I208" s="117" t="s">
        <v>68</v>
      </c>
      <c r="J208"/>
    </row>
    <row r="209" spans="1:10">
      <c r="A209" s="118" t="str">
        <f t="shared" si="6"/>
        <v>4098300SCHMAT415876Deferred Excess Net PowerCosts - OROTHER</v>
      </c>
      <c r="B209" s="126">
        <v>4098300</v>
      </c>
      <c r="C209" s="117" t="str">
        <f>IF('SCH M Lookup'!$B209=4098200,"SCHMAP",IF('SCH M Lookup'!$B209=4098300,"SCHMAT",IF('SCH M Lookup'!$B209=4099200,"SCHMDP",IF('SCH M Lookup'!$B209=4099300,"SCHMDT"))))</f>
        <v>SCHMAT</v>
      </c>
      <c r="D209" s="126">
        <v>415876</v>
      </c>
      <c r="E209" s="128" t="s">
        <v>404</v>
      </c>
      <c r="F209" s="127" t="s">
        <v>306</v>
      </c>
      <c r="G209" s="129"/>
      <c r="H209" s="117" t="str">
        <f t="shared" si="7"/>
        <v>OTHER</v>
      </c>
      <c r="I209" s="117" t="s">
        <v>68</v>
      </c>
      <c r="J209"/>
    </row>
    <row r="210" spans="1:10">
      <c r="A210" s="118" t="str">
        <f t="shared" si="6"/>
        <v>4098300SCHMAT415430Reg Asset - CA - Transportation  ElectriOTHER</v>
      </c>
      <c r="B210" s="126">
        <v>4098300</v>
      </c>
      <c r="C210" s="117" t="str">
        <f>IF('SCH M Lookup'!$B210=4098200,"SCHMAP",IF('SCH M Lookup'!$B210=4098300,"SCHMAT",IF('SCH M Lookup'!$B210=4099200,"SCHMDP",IF('SCH M Lookup'!$B210=4099300,"SCHMDT"))))</f>
        <v>SCHMAT</v>
      </c>
      <c r="D210" s="126">
        <v>415430</v>
      </c>
      <c r="E210" s="128" t="s">
        <v>1757</v>
      </c>
      <c r="F210" s="127" t="s">
        <v>306</v>
      </c>
      <c r="G210" s="129"/>
      <c r="H210" s="117" t="str">
        <f t="shared" si="7"/>
        <v>OTHER</v>
      </c>
      <c r="I210" s="117" t="s">
        <v>92</v>
      </c>
      <c r="J210"/>
    </row>
    <row r="211" spans="1:10">
      <c r="A211" s="118" t="str">
        <f t="shared" si="6"/>
        <v>4099300SCHMDT415200REG ASSET - OR TRANSPORTATION ELECTRIFICOTHER</v>
      </c>
      <c r="B211" s="126">
        <v>4099300</v>
      </c>
      <c r="C211" s="117" t="str">
        <f>IF('SCH M Lookup'!$B211=4098200,"SCHMAP",IF('SCH M Lookup'!$B211=4098300,"SCHMAT",IF('SCH M Lookup'!$B211=4099200,"SCHMDP",IF('SCH M Lookup'!$B211=4099300,"SCHMDT"))))</f>
        <v>SCHMDT</v>
      </c>
      <c r="D211" s="126">
        <v>415200</v>
      </c>
      <c r="E211" s="128" t="s">
        <v>1758</v>
      </c>
      <c r="F211" s="127" t="s">
        <v>306</v>
      </c>
      <c r="G211" s="129"/>
      <c r="H211" s="117" t="str">
        <f t="shared" si="7"/>
        <v>OTHER</v>
      </c>
      <c r="I211" s="117" t="s">
        <v>92</v>
      </c>
      <c r="J211"/>
    </row>
    <row r="212" spans="1:10">
      <c r="A212" s="118" t="str">
        <f t="shared" si="6"/>
        <v>4098200SCHMAP130755Nondeductible Parking CostsSO</v>
      </c>
      <c r="B212" s="126">
        <v>4098200</v>
      </c>
      <c r="C212" s="117" t="str">
        <f>IF('SCH M Lookup'!$B212=4098200,"SCHMAP",IF('SCH M Lookup'!$B212=4098300,"SCHMAT",IF('SCH M Lookup'!$B212=4099200,"SCHMDP",IF('SCH M Lookup'!$B212=4099300,"SCHMDT"))))</f>
        <v>SCHMAP</v>
      </c>
      <c r="D212" s="126">
        <v>130755</v>
      </c>
      <c r="E212" s="128" t="s">
        <v>1756</v>
      </c>
      <c r="F212" s="127" t="s">
        <v>89</v>
      </c>
      <c r="G212" s="129"/>
      <c r="H212" s="117" t="str">
        <f t="shared" si="7"/>
        <v>SO</v>
      </c>
      <c r="I212" s="117" t="s">
        <v>102</v>
      </c>
      <c r="J212"/>
    </row>
    <row r="213" spans="1:10">
      <c r="A213" s="118" t="str">
        <f t="shared" si="6"/>
        <v>4099300SCHMDT425100Deferred Regulatory Expense-IDUSITUS</v>
      </c>
      <c r="B213" s="126">
        <v>4099300</v>
      </c>
      <c r="C213" s="117" t="str">
        <f>IF('SCH M Lookup'!$B213=4098200,"SCHMAP",IF('SCH M Lookup'!$B213=4098300,"SCHMAT",IF('SCH M Lookup'!$B213=4099200,"SCHMDP",IF('SCH M Lookup'!$B213=4099300,"SCHMDT"))))</f>
        <v>SCHMDT</v>
      </c>
      <c r="D213" s="126">
        <v>425100</v>
      </c>
      <c r="E213" s="128" t="s">
        <v>538</v>
      </c>
      <c r="F213" s="127" t="s">
        <v>372</v>
      </c>
      <c r="G213" s="129"/>
      <c r="H213" s="117" t="str">
        <f t="shared" si="7"/>
        <v>SITUS</v>
      </c>
      <c r="I213" s="117" t="s">
        <v>68</v>
      </c>
      <c r="J213"/>
    </row>
    <row r="214" spans="1:10">
      <c r="A214" s="118" t="str">
        <f t="shared" si="6"/>
        <v>4098200SCHMAP130505Executive Compensation 162(m)SO</v>
      </c>
      <c r="B214" s="126">
        <v>4098200</v>
      </c>
      <c r="C214" s="117" t="str">
        <f>IF('SCH M Lookup'!$B214=4098200,"SCHMAP",IF('SCH M Lookup'!$B214=4098300,"SCHMAT",IF('SCH M Lookup'!$B214=4099200,"SCHMDP",IF('SCH M Lookup'!$B214=4099300,"SCHMDT"))))</f>
        <v>SCHMAP</v>
      </c>
      <c r="D214" s="126">
        <v>130505</v>
      </c>
      <c r="E214" s="128" t="s">
        <v>1872</v>
      </c>
      <c r="F214" s="127" t="s">
        <v>89</v>
      </c>
      <c r="G214" s="271"/>
      <c r="H214" s="117" t="str">
        <f t="shared" si="7"/>
        <v>SO</v>
      </c>
      <c r="I214" s="117" t="s">
        <v>102</v>
      </c>
      <c r="J214"/>
    </row>
    <row r="215" spans="1:10">
      <c r="A215" s="118" t="str">
        <f t="shared" si="6"/>
        <v>4098300SCHMAT105146Capitalization of Test EnergySG</v>
      </c>
      <c r="B215" s="126">
        <v>4098300</v>
      </c>
      <c r="C215" s="117" t="str">
        <f>IF('SCH M Lookup'!$B215=4098200,"SCHMAP",IF('SCH M Lookup'!$B215=4098300,"SCHMAT",IF('SCH M Lookup'!$B215=4099200,"SCHMDP",IF('SCH M Lookup'!$B215=4099300,"SCHMDT"))))</f>
        <v>SCHMAT</v>
      </c>
      <c r="D215" s="126">
        <v>105146</v>
      </c>
      <c r="E215" s="128" t="s">
        <v>365</v>
      </c>
      <c r="F215" s="127" t="s">
        <v>87</v>
      </c>
      <c r="H215" s="117" t="str">
        <f t="shared" si="7"/>
        <v>SG</v>
      </c>
      <c r="I215" s="117" t="s">
        <v>68</v>
      </c>
      <c r="J215"/>
    </row>
    <row r="216" spans="1:10">
      <c r="A216" s="118" t="str">
        <f t="shared" si="6"/>
        <v>4098300SCHMAT415728Contra Reg Asset - Cholla U4 Closure - OSITUS</v>
      </c>
      <c r="B216" s="126">
        <v>4098300</v>
      </c>
      <c r="C216" s="117" t="str">
        <f>IF('SCH M Lookup'!$B216=4098200,"SCHMAP",IF('SCH M Lookup'!$B216=4098300,"SCHMAT",IF('SCH M Lookup'!$B216=4099200,"SCHMDP",IF('SCH M Lookup'!$B216=4099300,"SCHMDT"))))</f>
        <v>SCHMAT</v>
      </c>
      <c r="D216" s="126">
        <v>415728</v>
      </c>
      <c r="E216" s="128" t="s">
        <v>1873</v>
      </c>
      <c r="F216" s="127" t="s">
        <v>343</v>
      </c>
      <c r="H216" s="117" t="str">
        <f t="shared" si="7"/>
        <v>SITUS</v>
      </c>
      <c r="I216" s="117" t="s">
        <v>68</v>
      </c>
      <c r="J216"/>
    </row>
    <row r="217" spans="1:10">
      <c r="A217" s="118" t="str">
        <f t="shared" si="6"/>
        <v>4098300SCHMAT415729Contra Reg Asset - Cholla U4 Closure - USITUS</v>
      </c>
      <c r="B217" s="126">
        <v>4098300</v>
      </c>
      <c r="C217" s="117" t="str">
        <f>IF('SCH M Lookup'!$B217=4098200,"SCHMAP",IF('SCH M Lookup'!$B217=4098300,"SCHMAT",IF('SCH M Lookup'!$B217=4099200,"SCHMDP",IF('SCH M Lookup'!$B217=4099300,"SCHMDT"))))</f>
        <v>SCHMAT</v>
      </c>
      <c r="D217" s="126">
        <v>415729</v>
      </c>
      <c r="E217" s="128" t="s">
        <v>1874</v>
      </c>
      <c r="F217" s="127" t="s">
        <v>370</v>
      </c>
      <c r="H217" s="117" t="str">
        <f t="shared" si="7"/>
        <v>SITUS</v>
      </c>
      <c r="I217" s="117" t="s">
        <v>68</v>
      </c>
      <c r="J217"/>
    </row>
    <row r="218" spans="1:10">
      <c r="A218" s="118" t="str">
        <f t="shared" si="6"/>
        <v>4098300SCHMAT415730Contra Reg Asset - Cholla U4 Closure - WSITUS</v>
      </c>
      <c r="B218" s="126">
        <v>4098300</v>
      </c>
      <c r="C218" s="117" t="str">
        <f>IF('SCH M Lookup'!$B218=4098200,"SCHMAP",IF('SCH M Lookup'!$B218=4098300,"SCHMAT",IF('SCH M Lookup'!$B218=4099200,"SCHMDP",IF('SCH M Lookup'!$B218=4099300,"SCHMDT"))))</f>
        <v>SCHMAT</v>
      </c>
      <c r="D218" s="126">
        <v>415730</v>
      </c>
      <c r="E218" s="128" t="s">
        <v>1875</v>
      </c>
      <c r="F218" s="127" t="s">
        <v>386</v>
      </c>
      <c r="H218" s="117" t="str">
        <f t="shared" si="7"/>
        <v>SITUS</v>
      </c>
      <c r="I218" s="117" t="s">
        <v>68</v>
      </c>
      <c r="J218"/>
    </row>
    <row r="219" spans="1:10">
      <c r="A219" s="118" t="str">
        <f t="shared" si="6"/>
        <v>4098300SCHMAT415840Reg Asset-Deferred OR Independent EvaluaOTHER</v>
      </c>
      <c r="B219" s="126">
        <v>4098300</v>
      </c>
      <c r="C219" s="117" t="str">
        <f>IF('SCH M Lookup'!$B219=4098200,"SCHMAP",IF('SCH M Lookup'!$B219=4098300,"SCHMAT",IF('SCH M Lookup'!$B219=4099200,"SCHMDP",IF('SCH M Lookup'!$B219=4099300,"SCHMDT"))))</f>
        <v>SCHMAT</v>
      </c>
      <c r="D219" s="126">
        <v>415840</v>
      </c>
      <c r="E219" s="128" t="s">
        <v>397</v>
      </c>
      <c r="F219" s="127" t="s">
        <v>306</v>
      </c>
      <c r="H219" s="117" t="str">
        <f t="shared" si="7"/>
        <v>OTHER</v>
      </c>
      <c r="I219" s="117" t="s">
        <v>110</v>
      </c>
      <c r="J219"/>
    </row>
    <row r="220" spans="1:10">
      <c r="A220" s="118" t="str">
        <f t="shared" si="6"/>
        <v>4098300SCHMAT415841Reg Asset - Emergency Service Programs -OTHER</v>
      </c>
      <c r="B220" s="126">
        <v>4098300</v>
      </c>
      <c r="C220" s="117" t="str">
        <f>IF('SCH M Lookup'!$B220=4098200,"SCHMAP",IF('SCH M Lookup'!$B220=4098300,"SCHMAT",IF('SCH M Lookup'!$B220=4099200,"SCHMDP",IF('SCH M Lookup'!$B220=4099300,"SCHMDT"))))</f>
        <v>SCHMAT</v>
      </c>
      <c r="D220" s="126">
        <v>415841</v>
      </c>
      <c r="E220" s="128" t="s">
        <v>1876</v>
      </c>
      <c r="F220" s="127" t="s">
        <v>306</v>
      </c>
      <c r="H220" s="117" t="str">
        <f t="shared" si="7"/>
        <v>OTHER</v>
      </c>
      <c r="I220" s="117" t="s">
        <v>92</v>
      </c>
      <c r="J220"/>
    </row>
    <row r="221" spans="1:10">
      <c r="A221" s="118" t="str">
        <f t="shared" si="6"/>
        <v>4098300SCHMAT415939Reg Asset - Carbon Plant DecommissioningSITUS</v>
      </c>
      <c r="B221" s="126">
        <v>4098300</v>
      </c>
      <c r="C221" s="117" t="str">
        <f>IF('SCH M Lookup'!$B221=4098200,"SCHMAP",IF('SCH M Lookup'!$B221=4098300,"SCHMAT",IF('SCH M Lookup'!$B221=4099200,"SCHMDP",IF('SCH M Lookup'!$B221=4099300,"SCHMDT"))))</f>
        <v>SCHMAT</v>
      </c>
      <c r="D221" s="126">
        <v>415939</v>
      </c>
      <c r="E221" s="128" t="s">
        <v>410</v>
      </c>
      <c r="F221" s="127" t="s">
        <v>386</v>
      </c>
      <c r="H221" s="117" t="str">
        <f t="shared" si="7"/>
        <v>SITUS</v>
      </c>
      <c r="I221" s="117" t="s">
        <v>68</v>
      </c>
      <c r="J221"/>
    </row>
    <row r="222" spans="1:10">
      <c r="A222" s="118" t="str">
        <f t="shared" si="6"/>
        <v>4098300SCHMAT505450Accrued Payroll TaxesSO</v>
      </c>
      <c r="B222" s="126">
        <v>4098300</v>
      </c>
      <c r="C222" s="117" t="str">
        <f>IF('SCH M Lookup'!$B222=4098200,"SCHMAP",IF('SCH M Lookup'!$B222=4098300,"SCHMAT",IF('SCH M Lookup'!$B222=4099200,"SCHMDP",IF('SCH M Lookup'!$B222=4099300,"SCHMDT"))))</f>
        <v>SCHMAT</v>
      </c>
      <c r="D222" s="126">
        <v>505450</v>
      </c>
      <c r="E222" s="128" t="s">
        <v>1877</v>
      </c>
      <c r="F222" s="127" t="s">
        <v>89</v>
      </c>
      <c r="H222" s="117" t="str">
        <f t="shared" si="7"/>
        <v>SO</v>
      </c>
      <c r="I222" s="117" t="s">
        <v>110</v>
      </c>
      <c r="J222"/>
    </row>
    <row r="223" spans="1:10">
      <c r="A223" s="118" t="str">
        <f t="shared" si="6"/>
        <v>4098300SCHMAT505520Bonus Accrual - PMISE</v>
      </c>
      <c r="B223" s="126">
        <v>4098300</v>
      </c>
      <c r="C223" s="117" t="str">
        <f>IF('SCH M Lookup'!$B223=4098200,"SCHMAP",IF('SCH M Lookup'!$B223=4098300,"SCHMAT",IF('SCH M Lookup'!$B223=4099200,"SCHMDP",IF('SCH M Lookup'!$B223=4099300,"SCHMDT"))))</f>
        <v>SCHMAT</v>
      </c>
      <c r="D223" s="126">
        <v>505520</v>
      </c>
      <c r="E223" s="128" t="s">
        <v>1878</v>
      </c>
      <c r="F223" s="127" t="s">
        <v>85</v>
      </c>
      <c r="H223" s="117" t="str">
        <f t="shared" si="7"/>
        <v>SE</v>
      </c>
      <c r="I223" s="117" t="s">
        <v>102</v>
      </c>
      <c r="J223"/>
    </row>
    <row r="224" spans="1:10">
      <c r="A224" s="118" t="str">
        <f t="shared" si="6"/>
        <v>4098300SCHMAT705241Reg Liability - CA California AlternativOTHER</v>
      </c>
      <c r="B224" s="126">
        <v>4098300</v>
      </c>
      <c r="C224" s="117" t="str">
        <f>IF('SCH M Lookup'!$B224=4098200,"SCHMAP",IF('SCH M Lookup'!$B224=4098300,"SCHMAT",IF('SCH M Lookup'!$B224=4099200,"SCHMDP",IF('SCH M Lookup'!$B224=4099300,"SCHMDT"))))</f>
        <v>SCHMAT</v>
      </c>
      <c r="D224" s="126">
        <v>705241</v>
      </c>
      <c r="E224" s="128" t="s">
        <v>429</v>
      </c>
      <c r="F224" s="127" t="s">
        <v>306</v>
      </c>
      <c r="H224" s="117" t="str">
        <f t="shared" si="7"/>
        <v>OTHER</v>
      </c>
      <c r="I224" s="117" t="s">
        <v>92</v>
      </c>
      <c r="J224"/>
    </row>
    <row r="225" spans="1:10">
      <c r="A225" s="118" t="str">
        <f t="shared" si="6"/>
        <v>4098300SCHMAT705412Reg Liability - Cholla Decommissioning -SITUS</v>
      </c>
      <c r="B225" s="126">
        <v>4098300</v>
      </c>
      <c r="C225" s="117" t="str">
        <f>IF('SCH M Lookup'!$B225=4098200,"SCHMAP",IF('SCH M Lookup'!$B225=4098300,"SCHMAT",IF('SCH M Lookup'!$B225=4099200,"SCHMDP",IF('SCH M Lookup'!$B225=4099300,"SCHMDT"))))</f>
        <v>SCHMAT</v>
      </c>
      <c r="D225" s="126">
        <v>705412</v>
      </c>
      <c r="E225" s="128" t="s">
        <v>1879</v>
      </c>
      <c r="F225" s="127" t="s">
        <v>343</v>
      </c>
      <c r="H225" s="117" t="str">
        <f t="shared" si="7"/>
        <v>SITUS</v>
      </c>
      <c r="I225" s="117" t="s">
        <v>68</v>
      </c>
      <c r="J225"/>
    </row>
    <row r="226" spans="1:10">
      <c r="A226" s="118" t="str">
        <f t="shared" si="6"/>
        <v>4098300SCHMAT705413Reg Liability - Cholla Decommissioning -SITUS</v>
      </c>
      <c r="B226" s="126">
        <v>4098300</v>
      </c>
      <c r="C226" s="117" t="str">
        <f>IF('SCH M Lookup'!$B226=4098200,"SCHMAP",IF('SCH M Lookup'!$B226=4098300,"SCHMAT",IF('SCH M Lookup'!$B226=4099200,"SCHMDP",IF('SCH M Lookup'!$B226=4099300,"SCHMDT"))))</f>
        <v>SCHMAT</v>
      </c>
      <c r="D226" s="126">
        <v>705413</v>
      </c>
      <c r="E226" s="128" t="s">
        <v>1879</v>
      </c>
      <c r="F226" s="127" t="s">
        <v>370</v>
      </c>
      <c r="H226" s="117" t="str">
        <f t="shared" si="7"/>
        <v>SITUS</v>
      </c>
      <c r="I226" s="117" t="s">
        <v>68</v>
      </c>
      <c r="J226"/>
    </row>
    <row r="227" spans="1:10">
      <c r="A227" s="118" t="str">
        <f t="shared" si="6"/>
        <v>4098300SCHMAT705450Reg Liability - Property Insurance ReserSITUS</v>
      </c>
      <c r="B227" s="126">
        <v>4098300</v>
      </c>
      <c r="C227" s="117" t="str">
        <f>IF('SCH M Lookup'!$B227=4098200,"SCHMAP",IF('SCH M Lookup'!$B227=4098300,"SCHMAT",IF('SCH M Lookup'!$B227=4099200,"SCHMDP",IF('SCH M Lookup'!$B227=4099300,"SCHMDT"))))</f>
        <v>SCHMAT</v>
      </c>
      <c r="D227" s="126">
        <v>705450</v>
      </c>
      <c r="E227" s="128" t="s">
        <v>1880</v>
      </c>
      <c r="F227" s="127" t="s">
        <v>387</v>
      </c>
      <c r="H227" s="117" t="str">
        <f t="shared" si="7"/>
        <v>SITUS</v>
      </c>
      <c r="I227" s="117" t="s">
        <v>92</v>
      </c>
      <c r="J227"/>
    </row>
    <row r="228" spans="1:10">
      <c r="A228" s="118" t="str">
        <f t="shared" si="6"/>
        <v>4098300SCHMAT705511Regulatory Liability - CA Deferred ExcesOTHER</v>
      </c>
      <c r="B228" s="126">
        <v>4098300</v>
      </c>
      <c r="C228" s="117" t="str">
        <f>IF('SCH M Lookup'!$B228=4098200,"SCHMAP",IF('SCH M Lookup'!$B228=4098300,"SCHMAT",IF('SCH M Lookup'!$B228=4099200,"SCHMDP",IF('SCH M Lookup'!$B228=4099300,"SCHMDT"))))</f>
        <v>SCHMAT</v>
      </c>
      <c r="D228" s="126">
        <v>705511</v>
      </c>
      <c r="E228" s="128" t="s">
        <v>1881</v>
      </c>
      <c r="F228" s="127" t="s">
        <v>306</v>
      </c>
      <c r="H228" s="117" t="str">
        <f t="shared" si="7"/>
        <v>OTHER</v>
      </c>
      <c r="I228" s="117" t="s">
        <v>92</v>
      </c>
      <c r="J228"/>
    </row>
    <row r="229" spans="1:10">
      <c r="A229" s="118" t="str">
        <f t="shared" si="6"/>
        <v>4099200SCHMDP910900PMIDepletionSE</v>
      </c>
      <c r="B229" s="126">
        <v>4099200</v>
      </c>
      <c r="C229" s="117" t="str">
        <f>IF('SCH M Lookup'!$B229=4098200,"SCHMAP",IF('SCH M Lookup'!$B229=4098300,"SCHMAT",IF('SCH M Lookup'!$B229=4099200,"SCHMDP",IF('SCH M Lookup'!$B229=4099300,"SCHMDT"))))</f>
        <v>SCHMDP</v>
      </c>
      <c r="D229" s="126">
        <v>910900</v>
      </c>
      <c r="E229" s="128" t="s">
        <v>466</v>
      </c>
      <c r="F229" s="127" t="s">
        <v>85</v>
      </c>
      <c r="H229" s="117" t="str">
        <f t="shared" si="7"/>
        <v>SE</v>
      </c>
      <c r="I229" s="117" t="s">
        <v>68</v>
      </c>
      <c r="J229"/>
    </row>
    <row r="230" spans="1:10">
      <c r="A230" s="118" t="str">
        <f t="shared" si="6"/>
        <v>4099300SCHMDT105143Basis Intangible DifferenceSNP</v>
      </c>
      <c r="B230" s="126">
        <v>4099300</v>
      </c>
      <c r="C230" s="117" t="str">
        <f>IF('SCH M Lookup'!$B230=4098200,"SCHMAP",IF('SCH M Lookup'!$B230=4098300,"SCHMAT",IF('SCH M Lookup'!$B230=4099200,"SCHMDP",IF('SCH M Lookup'!$B230=4099300,"SCHMDT"))))</f>
        <v>SCHMDT</v>
      </c>
      <c r="D230" s="126">
        <v>105143</v>
      </c>
      <c r="E230" s="128" t="s">
        <v>472</v>
      </c>
      <c r="F230" s="127" t="s">
        <v>7</v>
      </c>
      <c r="H230" s="117" t="str">
        <f t="shared" si="7"/>
        <v>SNP</v>
      </c>
      <c r="I230" s="117" t="s">
        <v>92</v>
      </c>
      <c r="J230"/>
    </row>
    <row r="231" spans="1:10">
      <c r="A231" s="118" t="str">
        <f t="shared" si="6"/>
        <v>4099300SCHMDT210170Prepaid Lease-Gadsby Gas TurbineSG</v>
      </c>
      <c r="B231" s="126">
        <v>4099300</v>
      </c>
      <c r="C231" s="117" t="str">
        <f>IF('SCH M Lookup'!$B231=4098200,"SCHMAP",IF('SCH M Lookup'!$B231=4098300,"SCHMAT",IF('SCH M Lookup'!$B231=4099200,"SCHMDP",IF('SCH M Lookup'!$B231=4099300,"SCHMDT"))))</f>
        <v>SCHMDT</v>
      </c>
      <c r="D231" s="126">
        <v>210170</v>
      </c>
      <c r="E231" s="128" t="s">
        <v>1882</v>
      </c>
      <c r="F231" s="127" t="s">
        <v>87</v>
      </c>
      <c r="H231" s="117" t="str">
        <f t="shared" si="7"/>
        <v>SG</v>
      </c>
      <c r="I231" s="117" t="s">
        <v>68</v>
      </c>
      <c r="J231"/>
    </row>
    <row r="232" spans="1:10">
      <c r="A232" s="118" t="str">
        <f t="shared" si="6"/>
        <v>4099300SCHMDT210175Prepaid - FSA O&amp;M - EastSG</v>
      </c>
      <c r="B232" s="126">
        <v>4099300</v>
      </c>
      <c r="C232" s="117" t="str">
        <f>IF('SCH M Lookup'!$B232=4098200,"SCHMAP",IF('SCH M Lookup'!$B232=4098300,"SCHMAT",IF('SCH M Lookup'!$B232=4099200,"SCHMDP",IF('SCH M Lookup'!$B232=4099300,"SCHMDT"))))</f>
        <v>SCHMDT</v>
      </c>
      <c r="D232" s="126">
        <v>210175</v>
      </c>
      <c r="E232" s="128" t="s">
        <v>1883</v>
      </c>
      <c r="F232" s="127" t="s">
        <v>87</v>
      </c>
      <c r="H232" s="117" t="str">
        <f t="shared" si="7"/>
        <v>SG</v>
      </c>
      <c r="I232" s="117" t="s">
        <v>68</v>
      </c>
      <c r="J232"/>
    </row>
    <row r="233" spans="1:10">
      <c r="A233" s="118" t="str">
        <f t="shared" si="6"/>
        <v>4099300SCHMDT415260Reg Asset - Fire Risk Mitigation - CAOTHER</v>
      </c>
      <c r="B233" s="126">
        <v>4099300</v>
      </c>
      <c r="C233" s="117" t="str">
        <f>IF('SCH M Lookup'!$B233=4098200,"SCHMAP",IF('SCH M Lookup'!$B233=4098300,"SCHMAT",IF('SCH M Lookup'!$B233=4099200,"SCHMDP",IF('SCH M Lookup'!$B233=4099300,"SCHMDT"))))</f>
        <v>SCHMDT</v>
      </c>
      <c r="D233" s="126">
        <v>415260</v>
      </c>
      <c r="E233" s="128" t="s">
        <v>1884</v>
      </c>
      <c r="F233" s="127" t="s">
        <v>306</v>
      </c>
      <c r="H233" s="117" t="str">
        <f t="shared" si="7"/>
        <v>OTHER</v>
      </c>
      <c r="I233" s="117" t="s">
        <v>92</v>
      </c>
      <c r="J233"/>
    </row>
    <row r="234" spans="1:10">
      <c r="A234" s="118" t="str">
        <f t="shared" si="6"/>
        <v>4099300SCHMDT415520Reg Asset - WA Decoupling MechanismOTHER</v>
      </c>
      <c r="B234" s="126">
        <v>4099300</v>
      </c>
      <c r="C234" s="117" t="str">
        <f>IF('SCH M Lookup'!$B234=4098200,"SCHMAP",IF('SCH M Lookup'!$B234=4098300,"SCHMAT",IF('SCH M Lookup'!$B234=4099200,"SCHMDP",IF('SCH M Lookup'!$B234=4099300,"SCHMDT"))))</f>
        <v>SCHMDT</v>
      </c>
      <c r="D234" s="126">
        <v>415520</v>
      </c>
      <c r="E234" s="128" t="s">
        <v>1885</v>
      </c>
      <c r="F234" s="127" t="s">
        <v>306</v>
      </c>
      <c r="H234" s="117" t="str">
        <f t="shared" si="7"/>
        <v>OTHER</v>
      </c>
      <c r="I234" s="117" t="s">
        <v>92</v>
      </c>
      <c r="J234"/>
    </row>
    <row r="235" spans="1:10">
      <c r="A235" s="118" t="str">
        <f t="shared" si="6"/>
        <v>4099300SCHMDT415833Reg Asset - Pension Settlement - CAOTHER</v>
      </c>
      <c r="B235" s="126">
        <v>4099300</v>
      </c>
      <c r="C235" s="117" t="str">
        <f>IF('SCH M Lookup'!$B235=4098200,"SCHMAP",IF('SCH M Lookup'!$B235=4098300,"SCHMAT",IF('SCH M Lookup'!$B235=4099200,"SCHMDP",IF('SCH M Lookup'!$B235=4099300,"SCHMDT"))))</f>
        <v>SCHMDT</v>
      </c>
      <c r="D235" s="126">
        <v>415833</v>
      </c>
      <c r="E235" s="128" t="s">
        <v>1830</v>
      </c>
      <c r="F235" s="127" t="s">
        <v>306</v>
      </c>
      <c r="H235" s="117" t="str">
        <f t="shared" si="7"/>
        <v>OTHER</v>
      </c>
      <c r="I235" s="117" t="s">
        <v>102</v>
      </c>
      <c r="J235"/>
    </row>
    <row r="236" spans="1:10">
      <c r="A236" s="118" t="str">
        <f t="shared" si="6"/>
        <v>4099300SCHMDT415870CA Def Excess NPCOTHER</v>
      </c>
      <c r="B236" s="126">
        <v>4099300</v>
      </c>
      <c r="C236" s="117" t="str">
        <f>IF('SCH M Lookup'!$B236=4098200,"SCHMAP",IF('SCH M Lookup'!$B236=4098300,"SCHMAT",IF('SCH M Lookup'!$B236=4099200,"SCHMDP",IF('SCH M Lookup'!$B236=4099300,"SCHMDT"))))</f>
        <v>SCHMDT</v>
      </c>
      <c r="D236" s="126">
        <v>415870</v>
      </c>
      <c r="E236" s="128" t="s">
        <v>519</v>
      </c>
      <c r="F236" s="127" t="s">
        <v>306</v>
      </c>
      <c r="H236" s="117" t="str">
        <f t="shared" si="7"/>
        <v>OTHER</v>
      </c>
      <c r="I236" s="117" t="s">
        <v>68</v>
      </c>
      <c r="J236"/>
    </row>
    <row r="237" spans="1:10">
      <c r="A237" s="118" t="str">
        <f t="shared" si="6"/>
        <v>4099300SCHMDT415929Reg Asset - Carbon Decommissioning - CASITUS</v>
      </c>
      <c r="B237" s="126">
        <v>4099300</v>
      </c>
      <c r="C237" s="117" t="str">
        <f>IF('SCH M Lookup'!$B237=4098200,"SCHMAP",IF('SCH M Lookup'!$B237=4098300,"SCHMAT",IF('SCH M Lookup'!$B237=4099200,"SCHMDP",IF('SCH M Lookup'!$B237=4099300,"SCHMDT"))))</f>
        <v>SCHMDT</v>
      </c>
      <c r="D237" s="126">
        <v>415929</v>
      </c>
      <c r="E237" s="128" t="s">
        <v>1886</v>
      </c>
      <c r="F237" s="127" t="s">
        <v>387</v>
      </c>
      <c r="H237" s="117" t="str">
        <f t="shared" si="7"/>
        <v>SITUS</v>
      </c>
      <c r="I237" s="117" t="s">
        <v>68</v>
      </c>
      <c r="J237"/>
    </row>
    <row r="238" spans="1:10">
      <c r="A238" s="118" t="str">
        <f t="shared" si="6"/>
        <v>4098300SCHMAT415261Reg Asset-UT Wildland Fire ProtectionOTHER</v>
      </c>
      <c r="B238" s="127">
        <v>4098300</v>
      </c>
      <c r="C238" s="117" t="str">
        <f>IF('SCH M Lookup'!$B238=4098200,"SCHMAP",IF('SCH M Lookup'!$B238=4098300,"SCHMAT",IF('SCH M Lookup'!$B238=4099200,"SCHMDP",IF('SCH M Lookup'!$B238=4099300,"SCHMDT"))))</f>
        <v>SCHMAT</v>
      </c>
      <c r="D238" s="127" t="s">
        <v>2045</v>
      </c>
      <c r="E238" s="128" t="s">
        <v>2046</v>
      </c>
      <c r="F238" s="127" t="s">
        <v>306</v>
      </c>
      <c r="H238" s="117" t="str">
        <f t="shared" si="7"/>
        <v>OTHER</v>
      </c>
      <c r="I238" s="117" t="s">
        <v>70</v>
      </c>
      <c r="J238"/>
    </row>
    <row r="239" spans="1:10">
      <c r="A239" s="118" t="str">
        <f t="shared" si="6"/>
        <v>4098300SCHMAT415426Reg Asset - 2020 GRC - Meters Replaced bOTHER</v>
      </c>
      <c r="B239" s="127">
        <v>4098300</v>
      </c>
      <c r="C239" s="117" t="str">
        <f>IF('SCH M Lookup'!$B239=4098200,"SCHMAP",IF('SCH M Lookup'!$B239=4098300,"SCHMAT",IF('SCH M Lookup'!$B239=4099200,"SCHMDP",IF('SCH M Lookup'!$B239=4099300,"SCHMDT"))))</f>
        <v>SCHMAT</v>
      </c>
      <c r="D239" s="127" t="s">
        <v>2048</v>
      </c>
      <c r="E239" s="128" t="s">
        <v>2049</v>
      </c>
      <c r="F239" s="127" t="s">
        <v>306</v>
      </c>
      <c r="H239" s="117" t="str">
        <f t="shared" si="7"/>
        <v>OTHER</v>
      </c>
      <c r="I239" s="117" t="s">
        <v>70</v>
      </c>
      <c r="J239"/>
    </row>
    <row r="240" spans="1:10">
      <c r="A240" s="118" t="str">
        <f t="shared" si="6"/>
        <v>4098300SCHMAT415734Reg Asset - Cholla Unrecovered Plant - CSITUS</v>
      </c>
      <c r="B240" s="127">
        <v>4098300</v>
      </c>
      <c r="C240" s="117" t="str">
        <f>IF('SCH M Lookup'!$B240=4098200,"SCHMAP",IF('SCH M Lookup'!$B240=4098300,"SCHMAT",IF('SCH M Lookup'!$B240=4099200,"SCHMDP",IF('SCH M Lookup'!$B240=4099300,"SCHMDT"))))</f>
        <v>SCHMAT</v>
      </c>
      <c r="D240" s="127" t="s">
        <v>2050</v>
      </c>
      <c r="E240" s="128" t="s">
        <v>2051</v>
      </c>
      <c r="F240" s="127" t="s">
        <v>387</v>
      </c>
      <c r="H240" s="117" t="str">
        <f t="shared" si="7"/>
        <v>SITUS</v>
      </c>
      <c r="I240" s="117" t="s">
        <v>68</v>
      </c>
      <c r="J240"/>
    </row>
    <row r="241" spans="1:10">
      <c r="A241" s="118" t="str">
        <f t="shared" si="6"/>
        <v>4098300SCHMAT415736Reg Asset - Cholla Unrecovered Plant - WSITUS</v>
      </c>
      <c r="B241" s="127">
        <v>4098300</v>
      </c>
      <c r="C241" s="117" t="str">
        <f>IF('SCH M Lookup'!$B241=4098200,"SCHMAP",IF('SCH M Lookup'!$B241=4098300,"SCHMAT",IF('SCH M Lookup'!$B241=4099200,"SCHMDP",IF('SCH M Lookup'!$B241=4099300,"SCHMDT"))))</f>
        <v>SCHMAT</v>
      </c>
      <c r="D241" s="127" t="s">
        <v>2052</v>
      </c>
      <c r="E241" s="128" t="s">
        <v>2053</v>
      </c>
      <c r="F241" s="127" t="s">
        <v>386</v>
      </c>
      <c r="H241" s="117" t="str">
        <f t="shared" si="7"/>
        <v>SITUS</v>
      </c>
      <c r="I241" s="117" t="s">
        <v>68</v>
      </c>
      <c r="J241"/>
    </row>
    <row r="242" spans="1:10">
      <c r="A242" s="118" t="str">
        <f t="shared" si="6"/>
        <v>4098300SCHMAT415942Reg Liability - Steam Decommissioning -SITUS</v>
      </c>
      <c r="B242" s="127">
        <v>4098300</v>
      </c>
      <c r="C242" s="117" t="str">
        <f>IF('SCH M Lookup'!$B242=4098200,"SCHMAP",IF('SCH M Lookup'!$B242=4098300,"SCHMAT",IF('SCH M Lookup'!$B242=4099200,"SCHMDP",IF('SCH M Lookup'!$B242=4099300,"SCHMDT"))))</f>
        <v>SCHMAT</v>
      </c>
      <c r="D242" s="127" t="s">
        <v>2054</v>
      </c>
      <c r="E242" s="128" t="s">
        <v>2055</v>
      </c>
      <c r="F242" s="127" t="s">
        <v>367</v>
      </c>
      <c r="H242" s="117" t="str">
        <f t="shared" si="7"/>
        <v>SITUS</v>
      </c>
      <c r="I242" s="117" t="s">
        <v>68</v>
      </c>
      <c r="J242"/>
    </row>
    <row r="243" spans="1:10">
      <c r="A243" s="118" t="str">
        <f t="shared" si="6"/>
        <v>4098300SCHMAT5054501Accrued Payroll Taxes - PMISE</v>
      </c>
      <c r="B243" s="127">
        <v>4098300</v>
      </c>
      <c r="C243" s="117" t="str">
        <f>IF('SCH M Lookup'!$B243=4098200,"SCHMAP",IF('SCH M Lookup'!$B243=4098300,"SCHMAT",IF('SCH M Lookup'!$B243=4099200,"SCHMDP",IF('SCH M Lookup'!$B243=4099300,"SCHMDT"))))</f>
        <v>SCHMAT</v>
      </c>
      <c r="D243" s="127" t="s">
        <v>2058</v>
      </c>
      <c r="E243" s="128" t="s">
        <v>2059</v>
      </c>
      <c r="F243" s="127" t="s">
        <v>85</v>
      </c>
      <c r="H243" s="117" t="str">
        <f t="shared" si="7"/>
        <v>SE</v>
      </c>
      <c r="I243" s="117" t="s">
        <v>68</v>
      </c>
      <c r="J243"/>
    </row>
    <row r="244" spans="1:10">
      <c r="A244" s="118" t="str">
        <f t="shared" si="6"/>
        <v>4098300SCHMAT505525Accrued Severance -PMISE</v>
      </c>
      <c r="B244" s="127">
        <v>4098300</v>
      </c>
      <c r="C244" s="117" t="str">
        <f>IF('SCH M Lookup'!$B244=4098200,"SCHMAP",IF('SCH M Lookup'!$B244=4098300,"SCHMAT",IF('SCH M Lookup'!$B244=4099200,"SCHMDP",IF('SCH M Lookup'!$B244=4099300,"SCHMDT"))))</f>
        <v>SCHMAT</v>
      </c>
      <c r="D244" s="127" t="s">
        <v>2061</v>
      </c>
      <c r="E244" s="128" t="s">
        <v>2062</v>
      </c>
      <c r="F244" s="127" t="s">
        <v>85</v>
      </c>
      <c r="H244" s="117" t="str">
        <f t="shared" si="7"/>
        <v>SE</v>
      </c>
      <c r="I244" s="117" t="s">
        <v>68</v>
      </c>
      <c r="J244"/>
    </row>
    <row r="245" spans="1:10">
      <c r="A245" s="118" t="str">
        <f t="shared" si="6"/>
        <v>4098300SCHMAT610141WA Rate RefundsOTHER</v>
      </c>
      <c r="B245" s="127">
        <v>4098300</v>
      </c>
      <c r="C245" s="117" t="str">
        <f>IF('SCH M Lookup'!$B245=4098200,"SCHMAP",IF('SCH M Lookup'!$B245=4098300,"SCHMAT",IF('SCH M Lookup'!$B245=4099200,"SCHMDP",IF('SCH M Lookup'!$B245=4099300,"SCHMDT"))))</f>
        <v>SCHMAT</v>
      </c>
      <c r="D245" s="127" t="s">
        <v>2065</v>
      </c>
      <c r="E245" s="128" t="s">
        <v>427</v>
      </c>
      <c r="F245" s="127" t="s">
        <v>306</v>
      </c>
      <c r="H245" s="117" t="str">
        <f t="shared" si="7"/>
        <v>OTHER</v>
      </c>
      <c r="I245" s="117" t="s">
        <v>92</v>
      </c>
      <c r="J245"/>
    </row>
    <row r="246" spans="1:10">
      <c r="A246" s="118" t="str">
        <f t="shared" si="6"/>
        <v>4098300SCHMAT610150REG LIABILITY - BRIDGER MINE ACCELERATEDSITUS</v>
      </c>
      <c r="B246" s="127">
        <v>4098300</v>
      </c>
      <c r="C246" s="117" t="str">
        <f>IF('SCH M Lookup'!$B246=4098200,"SCHMAP",IF('SCH M Lookup'!$B246=4098300,"SCHMAT",IF('SCH M Lookup'!$B246=4099200,"SCHMDP",IF('SCH M Lookup'!$B246=4099300,"SCHMDT"))))</f>
        <v>SCHMAT</v>
      </c>
      <c r="D246" s="127" t="s">
        <v>2066</v>
      </c>
      <c r="E246" s="128" t="s">
        <v>2067</v>
      </c>
      <c r="F246" s="127" t="s">
        <v>343</v>
      </c>
      <c r="H246" s="117" t="str">
        <f t="shared" si="7"/>
        <v>SITUS</v>
      </c>
      <c r="I246" s="117" t="s">
        <v>68</v>
      </c>
      <c r="J246"/>
    </row>
    <row r="247" spans="1:10">
      <c r="A247" s="118" t="str">
        <f t="shared" si="6"/>
        <v>4098300SCHMAT610155Reg Liability - Plant Closure Cost - WASITUS</v>
      </c>
      <c r="B247" s="127">
        <v>4098300</v>
      </c>
      <c r="C247" s="117" t="str">
        <f>IF('SCH M Lookup'!$B247=4098200,"SCHMAP",IF('SCH M Lookup'!$B247=4098300,"SCHMAT",IF('SCH M Lookup'!$B247=4099200,"SCHMDP",IF('SCH M Lookup'!$B247=4099300,"SCHMDT"))))</f>
        <v>SCHMAT</v>
      </c>
      <c r="D247" s="127" t="s">
        <v>2068</v>
      </c>
      <c r="E247" s="128" t="s">
        <v>2069</v>
      </c>
      <c r="F247" s="127" t="s">
        <v>367</v>
      </c>
      <c r="H247" s="117" t="str">
        <f t="shared" si="7"/>
        <v>SITUS</v>
      </c>
      <c r="I247" s="117" t="s">
        <v>68</v>
      </c>
      <c r="J247"/>
    </row>
    <row r="248" spans="1:10">
      <c r="A248" s="118" t="str">
        <f t="shared" si="6"/>
        <v>4098300SCHMAT705352Reg Liability - CA Klamath River Dams ReSITUS</v>
      </c>
      <c r="B248" s="127">
        <v>4098300</v>
      </c>
      <c r="C248" s="117" t="str">
        <f>IF('SCH M Lookup'!$B248=4098200,"SCHMAP",IF('SCH M Lookup'!$B248=4098300,"SCHMAT",IF('SCH M Lookup'!$B248=4099200,"SCHMDP",IF('SCH M Lookup'!$B248=4099300,"SCHMDT"))))</f>
        <v>SCHMAT</v>
      </c>
      <c r="D248" s="127" t="s">
        <v>2070</v>
      </c>
      <c r="E248" s="128" t="s">
        <v>2071</v>
      </c>
      <c r="F248" s="127" t="s">
        <v>387</v>
      </c>
      <c r="H248" s="117" t="str">
        <f t="shared" si="7"/>
        <v>SITUS</v>
      </c>
      <c r="I248" s="117" t="s">
        <v>68</v>
      </c>
      <c r="J248"/>
    </row>
    <row r="249" spans="1:10">
      <c r="A249" s="118" t="str">
        <f t="shared" si="6"/>
        <v>4098300SCHMAT705410Reg Liability - Cholla Decommissioning -SITUS</v>
      </c>
      <c r="B249" s="127">
        <v>4098300</v>
      </c>
      <c r="C249" s="117" t="str">
        <f>IF('SCH M Lookup'!$B249=4098200,"SCHMAP",IF('SCH M Lookup'!$B249=4098300,"SCHMAT",IF('SCH M Lookup'!$B249=4099200,"SCHMDP",IF('SCH M Lookup'!$B249=4099300,"SCHMDT"))))</f>
        <v>SCHMAT</v>
      </c>
      <c r="D249" s="127" t="s">
        <v>2072</v>
      </c>
      <c r="E249" s="128" t="s">
        <v>1879</v>
      </c>
      <c r="F249" s="127" t="s">
        <v>387</v>
      </c>
      <c r="H249" s="117" t="str">
        <f t="shared" si="7"/>
        <v>SITUS</v>
      </c>
      <c r="I249" s="117" t="s">
        <v>68</v>
      </c>
      <c r="J249"/>
    </row>
    <row r="250" spans="1:10">
      <c r="A250" s="118" t="str">
        <f t="shared" si="6"/>
        <v>4098300SCHMAT705411Reg Liability - Cholla Decommissioning -SITUS</v>
      </c>
      <c r="B250" s="127">
        <v>4098300</v>
      </c>
      <c r="C250" s="117" t="str">
        <f>IF('SCH M Lookup'!$B250=4098200,"SCHMAP",IF('SCH M Lookup'!$B250=4098300,"SCHMAT",IF('SCH M Lookup'!$B250=4099200,"SCHMDP",IF('SCH M Lookup'!$B250=4099300,"SCHMDT"))))</f>
        <v>SCHMAT</v>
      </c>
      <c r="D250" s="127" t="s">
        <v>2073</v>
      </c>
      <c r="E250" s="128" t="s">
        <v>1879</v>
      </c>
      <c r="F250" s="127" t="s">
        <v>372</v>
      </c>
      <c r="H250" s="117" t="str">
        <f t="shared" si="7"/>
        <v>SITUS</v>
      </c>
      <c r="I250" s="117" t="s">
        <v>68</v>
      </c>
      <c r="J250"/>
    </row>
    <row r="251" spans="1:10">
      <c r="A251" s="118" t="str">
        <f t="shared" si="6"/>
        <v>4098300SCHMAT705414Reg Liability - Cholla Decommissioning -SITUS</v>
      </c>
      <c r="B251" s="127">
        <v>4098300</v>
      </c>
      <c r="C251" s="117" t="str">
        <f>IF('SCH M Lookup'!$B251=4098200,"SCHMAP",IF('SCH M Lookup'!$B251=4098300,"SCHMAT",IF('SCH M Lookup'!$B251=4099200,"SCHMDP",IF('SCH M Lookup'!$B251=4099300,"SCHMDT"))))</f>
        <v>SCHMAT</v>
      </c>
      <c r="D251" s="127" t="s">
        <v>2074</v>
      </c>
      <c r="E251" s="128" t="s">
        <v>1879</v>
      </c>
      <c r="F251" s="127" t="s">
        <v>386</v>
      </c>
      <c r="H251" s="117" t="str">
        <f t="shared" si="7"/>
        <v>SITUS</v>
      </c>
      <c r="I251" s="117" t="s">
        <v>68</v>
      </c>
      <c r="J251"/>
    </row>
    <row r="252" spans="1:10">
      <c r="A252" s="118" t="str">
        <f t="shared" si="6"/>
        <v>4098300SCHMAT705425Reg Liability - Bridger Mine AcceleratedSITUS</v>
      </c>
      <c r="B252" s="127">
        <v>4098300</v>
      </c>
      <c r="C252" s="117" t="str">
        <f>IF('SCH M Lookup'!$B252=4098200,"SCHMAP",IF('SCH M Lookup'!$B252=4098300,"SCHMAT",IF('SCH M Lookup'!$B252=4099200,"SCHMDP",IF('SCH M Lookup'!$B252=4099300,"SCHMDT"))))</f>
        <v>SCHMAT</v>
      </c>
      <c r="D252" s="127" t="s">
        <v>2075</v>
      </c>
      <c r="E252" s="128" t="s">
        <v>2076</v>
      </c>
      <c r="F252" s="127" t="s">
        <v>367</v>
      </c>
      <c r="H252" s="117" t="str">
        <f t="shared" si="7"/>
        <v>SITUS</v>
      </c>
      <c r="I252" s="117" t="s">
        <v>68</v>
      </c>
      <c r="J252"/>
    </row>
    <row r="253" spans="1:10">
      <c r="A253" s="118" t="str">
        <f t="shared" si="6"/>
        <v>4098300SCHMAT705452Reg Liability - Property Insurance ReserSITUS</v>
      </c>
      <c r="B253" s="127">
        <v>4098300</v>
      </c>
      <c r="C253" s="117" t="str">
        <f>IF('SCH M Lookup'!$B253=4098200,"SCHMAP",IF('SCH M Lookup'!$B253=4098300,"SCHMAT",IF('SCH M Lookup'!$B253=4099200,"SCHMDP",IF('SCH M Lookup'!$B253=4099300,"SCHMDT"))))</f>
        <v>SCHMAT</v>
      </c>
      <c r="D253" s="127" t="s">
        <v>2077</v>
      </c>
      <c r="E253" s="128" t="s">
        <v>1880</v>
      </c>
      <c r="F253" s="127" t="s">
        <v>367</v>
      </c>
      <c r="H253" s="117" t="str">
        <f t="shared" si="7"/>
        <v>SITUS</v>
      </c>
      <c r="I253" s="117" t="s">
        <v>92</v>
      </c>
      <c r="J253"/>
    </row>
    <row r="254" spans="1:10">
      <c r="A254" s="118" t="str">
        <f t="shared" si="6"/>
        <v>4099200SCHMDP1102051TAX PERCENTAGE DEPLETION - DEDUCTIONSE</v>
      </c>
      <c r="B254" s="127">
        <v>4099200</v>
      </c>
      <c r="C254" s="117" t="str">
        <f>IF('SCH M Lookup'!$B254=4098200,"SCHMAP",IF('SCH M Lookup'!$B254=4098300,"SCHMAT",IF('SCH M Lookup'!$B254=4099200,"SCHMDP",IF('SCH M Lookup'!$B254=4099300,"SCHMDT"))))</f>
        <v>SCHMDP</v>
      </c>
      <c r="D254" s="127" t="s">
        <v>2078</v>
      </c>
      <c r="E254" s="128" t="s">
        <v>462</v>
      </c>
      <c r="F254" s="127" t="s">
        <v>85</v>
      </c>
      <c r="H254" s="117" t="str">
        <f t="shared" si="7"/>
        <v>SE</v>
      </c>
      <c r="I254" s="117" t="s">
        <v>68</v>
      </c>
      <c r="J254"/>
    </row>
    <row r="255" spans="1:10">
      <c r="A255" s="118" t="str">
        <f t="shared" si="6"/>
        <v>4099300SCHMDT320286Reg Asset - Pension Settlement - OROTHER</v>
      </c>
      <c r="B255" s="127">
        <v>4099300</v>
      </c>
      <c r="C255" s="117" t="str">
        <f>IF('SCH M Lookup'!$B255=4098200,"SCHMAP",IF('SCH M Lookup'!$B255=4098300,"SCHMAT",IF('SCH M Lookup'!$B255=4099200,"SCHMDP",IF('SCH M Lookup'!$B255=4099300,"SCHMDT"))))</f>
        <v>SCHMDT</v>
      </c>
      <c r="D255" s="127" t="s">
        <v>2079</v>
      </c>
      <c r="E255" s="128" t="s">
        <v>2080</v>
      </c>
      <c r="F255" s="127" t="s">
        <v>306</v>
      </c>
      <c r="H255" s="117" t="str">
        <f t="shared" si="7"/>
        <v>OTHER</v>
      </c>
      <c r="I255" s="117" t="s">
        <v>102</v>
      </c>
      <c r="J255"/>
    </row>
    <row r="256" spans="1:10">
      <c r="A256" s="118" t="str">
        <f t="shared" si="6"/>
        <v>4099300SCHMDT320287Reg Asset - Pension Settlement - UTOTHER</v>
      </c>
      <c r="B256" s="127">
        <v>4099300</v>
      </c>
      <c r="C256" s="117" t="str">
        <f>IF('SCH M Lookup'!$B256=4098200,"SCHMAP",IF('SCH M Lookup'!$B256=4098300,"SCHMAT",IF('SCH M Lookup'!$B256=4099200,"SCHMDP",IF('SCH M Lookup'!$B256=4099300,"SCHMDT"))))</f>
        <v>SCHMDT</v>
      </c>
      <c r="D256" s="127" t="s">
        <v>2081</v>
      </c>
      <c r="E256" s="128" t="s">
        <v>2082</v>
      </c>
      <c r="F256" s="127" t="s">
        <v>306</v>
      </c>
      <c r="H256" s="117" t="str">
        <f t="shared" si="7"/>
        <v>OTHER</v>
      </c>
      <c r="I256" s="117" t="s">
        <v>102</v>
      </c>
      <c r="J256"/>
    </row>
    <row r="257" spans="1:10">
      <c r="A257" s="118" t="str">
        <f t="shared" si="6"/>
        <v>4099300SCHMDT320288Reg Asset - Pension Settlement - WYSITUS</v>
      </c>
      <c r="B257" s="127">
        <v>4099300</v>
      </c>
      <c r="C257" s="117" t="str">
        <f>IF('SCH M Lookup'!$B257=4098200,"SCHMAP",IF('SCH M Lookup'!$B257=4098300,"SCHMAT",IF('SCH M Lookup'!$B257=4099200,"SCHMDP",IF('SCH M Lookup'!$B257=4099300,"SCHMDT"))))</f>
        <v>SCHMDT</v>
      </c>
      <c r="D257" s="127" t="s">
        <v>2083</v>
      </c>
      <c r="E257" s="128" t="s">
        <v>2084</v>
      </c>
      <c r="F257" s="127" t="s">
        <v>378</v>
      </c>
      <c r="H257" s="117" t="str">
        <f t="shared" si="7"/>
        <v>SITUS</v>
      </c>
      <c r="I257" s="117" t="s">
        <v>102</v>
      </c>
      <c r="J257"/>
    </row>
    <row r="258" spans="1:10">
      <c r="A258" s="118" t="str">
        <f t="shared" si="6"/>
        <v>4099300SCHMDT415100Reg Asset -WA Equity Advisory Group (CETSITUS</v>
      </c>
      <c r="B258" s="127">
        <v>4099300</v>
      </c>
      <c r="C258" s="117" t="str">
        <f>IF('SCH M Lookup'!$B258=4098200,"SCHMAP",IF('SCH M Lookup'!$B258=4098300,"SCHMAT",IF('SCH M Lookup'!$B258=4099200,"SCHMDP",IF('SCH M Lookup'!$B258=4099300,"SCHMDT"))))</f>
        <v>SCHMDT</v>
      </c>
      <c r="D258" s="127" t="s">
        <v>2085</v>
      </c>
      <c r="E258" s="128" t="s">
        <v>2086</v>
      </c>
      <c r="F258" s="127" t="s">
        <v>367</v>
      </c>
      <c r="H258" s="117" t="str">
        <f t="shared" si="7"/>
        <v>SITUS</v>
      </c>
      <c r="I258" s="117" t="s">
        <v>73</v>
      </c>
      <c r="J258"/>
    </row>
    <row r="259" spans="1:10">
      <c r="A259" s="118" t="str">
        <f t="shared" ref="A259:A301" si="8">CONCATENATE($B259,$C259,$D259,$E259,$H259)</f>
        <v>4099300SCHMDT415255Reg Asset-WY Wind Test Energy DeferralOTHER</v>
      </c>
      <c r="B259" s="127">
        <v>4099300</v>
      </c>
      <c r="C259" s="117" t="str">
        <f>IF('SCH M Lookup'!$B259=4098200,"SCHMAP",IF('SCH M Lookup'!$B259=4098300,"SCHMAT",IF('SCH M Lookup'!$B259=4099200,"SCHMDP",IF('SCH M Lookup'!$B259=4099300,"SCHMDT"))))</f>
        <v>SCHMDT</v>
      </c>
      <c r="D259" s="127" t="s">
        <v>2087</v>
      </c>
      <c r="E259" s="128" t="s">
        <v>2088</v>
      </c>
      <c r="F259" s="127" t="s">
        <v>306</v>
      </c>
      <c r="H259" s="117" t="str">
        <f t="shared" ref="H259:H301" si="9">IF(OR(F259="IDU",F259="OR",F259="UT",F259="WYU",F259="WYP",F259="CA",F259="WA"),"SITUS",F259)</f>
        <v>OTHER</v>
      </c>
      <c r="I259" s="117" t="s">
        <v>68</v>
      </c>
      <c r="J259"/>
    </row>
    <row r="260" spans="1:10">
      <c r="A260" s="118" t="str">
        <f t="shared" si="8"/>
        <v>4099300SCHMDT415755Reg Asset - Major Mtc Exp - Colstrip U4SITUS</v>
      </c>
      <c r="B260" s="127">
        <v>4099300</v>
      </c>
      <c r="C260" s="117" t="str">
        <f>IF('SCH M Lookup'!$B260=4098200,"SCHMAP",IF('SCH M Lookup'!$B260=4098300,"SCHMAT",IF('SCH M Lookup'!$B260=4099200,"SCHMDP",IF('SCH M Lookup'!$B260=4099300,"SCHMDT"))))</f>
        <v>SCHMDT</v>
      </c>
      <c r="D260" s="127" t="s">
        <v>2089</v>
      </c>
      <c r="E260" s="128" t="s">
        <v>2090</v>
      </c>
      <c r="F260" s="127" t="s">
        <v>367</v>
      </c>
      <c r="H260" s="117" t="str">
        <f t="shared" si="9"/>
        <v>SITUS</v>
      </c>
      <c r="I260" s="117" t="s">
        <v>68</v>
      </c>
      <c r="J260"/>
    </row>
    <row r="261" spans="1:10">
      <c r="A261" s="118" t="str">
        <f t="shared" si="8"/>
        <v>4099300SCHMDT415943Reg Asset - Covid-19 Bill Assistance ProOTHER</v>
      </c>
      <c r="B261" s="127">
        <v>4099300</v>
      </c>
      <c r="C261" s="117" t="str">
        <f>IF('SCH M Lookup'!$B261=4098200,"SCHMAP",IF('SCH M Lookup'!$B261=4098300,"SCHMAT",IF('SCH M Lookup'!$B261=4099200,"SCHMDP",IF('SCH M Lookup'!$B261=4099300,"SCHMDT"))))</f>
        <v>SCHMDT</v>
      </c>
      <c r="D261" s="127" t="s">
        <v>2091</v>
      </c>
      <c r="E261" s="128" t="s">
        <v>2092</v>
      </c>
      <c r="F261" s="127" t="s">
        <v>306</v>
      </c>
      <c r="H261" s="117" t="str">
        <f t="shared" si="9"/>
        <v>OTHER</v>
      </c>
      <c r="I261" s="117" t="s">
        <v>73</v>
      </c>
      <c r="J261"/>
    </row>
    <row r="262" spans="1:10">
      <c r="A262" s="118" t="str">
        <f t="shared" si="8"/>
        <v>4099300SCHMDT415944Reg Asset - Covid-19 Bill Assistance ProOTHER</v>
      </c>
      <c r="B262" s="127">
        <v>4099300</v>
      </c>
      <c r="C262" s="117" t="str">
        <f>IF('SCH M Lookup'!$B262=4098200,"SCHMAP",IF('SCH M Lookup'!$B262=4098300,"SCHMAT",IF('SCH M Lookup'!$B262=4099200,"SCHMDP",IF('SCH M Lookup'!$B262=4099300,"SCHMDT"))))</f>
        <v>SCHMDT</v>
      </c>
      <c r="D262" s="127" t="s">
        <v>2093</v>
      </c>
      <c r="E262" s="128" t="s">
        <v>2092</v>
      </c>
      <c r="F262" s="127" t="s">
        <v>306</v>
      </c>
      <c r="H262" s="117" t="str">
        <f t="shared" si="9"/>
        <v>OTHER</v>
      </c>
      <c r="I262" s="117" t="s">
        <v>73</v>
      </c>
      <c r="J262"/>
    </row>
    <row r="263" spans="1:10">
      <c r="A263" s="118" t="str">
        <f t="shared" si="8"/>
        <v>4099300SCHMDT720805FAS 158 - Funded Pension AssetSO</v>
      </c>
      <c r="B263" s="127">
        <v>4099300</v>
      </c>
      <c r="C263" s="117" t="str">
        <f>IF('SCH M Lookup'!$B263=4098200,"SCHMAP",IF('SCH M Lookup'!$B263=4098300,"SCHMAT",IF('SCH M Lookup'!$B263=4099200,"SCHMDP",IF('SCH M Lookup'!$B263=4099300,"SCHMDT"))))</f>
        <v>SCHMDT</v>
      </c>
      <c r="D263" s="127" t="s">
        <v>2094</v>
      </c>
      <c r="E263" s="128" t="s">
        <v>552</v>
      </c>
      <c r="F263" s="127" t="s">
        <v>89</v>
      </c>
      <c r="H263" s="117" t="str">
        <f t="shared" si="9"/>
        <v>SO</v>
      </c>
      <c r="I263" s="117" t="s">
        <v>102</v>
      </c>
      <c r="J263"/>
    </row>
    <row r="264" spans="1:10">
      <c r="A264" s="118" t="str">
        <f t="shared" si="8"/>
        <v>4098200SCHMAP130400PMINondeductible ExpJBE</v>
      </c>
      <c r="B264" s="127">
        <v>4098200</v>
      </c>
      <c r="C264" s="117" t="str">
        <f>IF('SCH M Lookup'!$B264=4098200,"SCHMAP",IF('SCH M Lookup'!$B264=4098300,"SCHMAT",IF('SCH M Lookup'!$B264=4099200,"SCHMDP",IF('SCH M Lookup'!$B264=4099300,"SCHMDT"))))</f>
        <v>SCHMAP</v>
      </c>
      <c r="D264" s="127" t="s">
        <v>2041</v>
      </c>
      <c r="E264" s="128" t="s">
        <v>356</v>
      </c>
      <c r="F264" s="127" t="s">
        <v>3134</v>
      </c>
      <c r="H264" s="117" t="str">
        <f t="shared" si="9"/>
        <v>JBE</v>
      </c>
      <c r="I264" s="117" t="s">
        <v>68</v>
      </c>
      <c r="J264"/>
    </row>
    <row r="265" spans="1:10">
      <c r="A265" s="118" t="str">
        <f t="shared" si="8"/>
        <v>4098200SCHMAP610106PMIFuel Tax CrJBE</v>
      </c>
      <c r="B265" s="127">
        <v>4098200</v>
      </c>
      <c r="C265" s="117" t="str">
        <f>IF('SCH M Lookup'!$B265=4098200,"SCHMAP",IF('SCH M Lookup'!$B265=4098300,"SCHMAT",IF('SCH M Lookup'!$B265=4099200,"SCHMDP",IF('SCH M Lookup'!$B265=4099300,"SCHMDT"))))</f>
        <v>SCHMAP</v>
      </c>
      <c r="D265" s="127" t="s">
        <v>2042</v>
      </c>
      <c r="E265" s="128" t="s">
        <v>358</v>
      </c>
      <c r="F265" s="127" t="s">
        <v>3134</v>
      </c>
      <c r="H265" s="117" t="str">
        <f t="shared" si="9"/>
        <v>JBE</v>
      </c>
      <c r="I265" s="117" t="s">
        <v>68</v>
      </c>
      <c r="J265"/>
    </row>
    <row r="266" spans="1:10">
      <c r="A266" s="118" t="str">
        <f t="shared" si="8"/>
        <v>4098200SCHMAP920145PMI Mining Rescue Training Credit AddbacJBE</v>
      </c>
      <c r="B266" s="127">
        <v>4098200</v>
      </c>
      <c r="C266" s="117" t="str">
        <f>IF('SCH M Lookup'!$B266=4098200,"SCHMAP",IF('SCH M Lookup'!$B266=4098300,"SCHMAT",IF('SCH M Lookup'!$B266=4099200,"SCHMDP",IF('SCH M Lookup'!$B266=4099300,"SCHMDT"))))</f>
        <v>SCHMAP</v>
      </c>
      <c r="D266" s="127" t="s">
        <v>2043</v>
      </c>
      <c r="E266" s="128" t="s">
        <v>360</v>
      </c>
      <c r="F266" s="127" t="s">
        <v>3134</v>
      </c>
      <c r="H266" s="117" t="str">
        <f t="shared" si="9"/>
        <v>JBE</v>
      </c>
      <c r="I266" s="117" t="s">
        <v>68</v>
      </c>
      <c r="J266"/>
    </row>
    <row r="267" spans="1:10">
      <c r="A267" s="118" t="str">
        <f t="shared" si="8"/>
        <v>4098300SCHMAT105121PMIBook DepreciationJBE</v>
      </c>
      <c r="B267" s="127">
        <v>4098300</v>
      </c>
      <c r="C267" s="117" t="str">
        <f>IF('SCH M Lookup'!$B267=4098200,"SCHMAP",IF('SCH M Lookup'!$B267=4098300,"SCHMAT",IF('SCH M Lookup'!$B267=4099200,"SCHMDP",IF('SCH M Lookup'!$B267=4099300,"SCHMDT"))))</f>
        <v>SCHMAT</v>
      </c>
      <c r="D267" s="127" t="s">
        <v>2044</v>
      </c>
      <c r="E267" s="128" t="s">
        <v>362</v>
      </c>
      <c r="F267" s="127" t="s">
        <v>3134</v>
      </c>
      <c r="H267" s="117" t="str">
        <f t="shared" si="9"/>
        <v>JBE</v>
      </c>
      <c r="I267" s="117" t="s">
        <v>68</v>
      </c>
      <c r="J267"/>
    </row>
    <row r="268" spans="1:10">
      <c r="A268" s="118" t="str">
        <f t="shared" si="8"/>
        <v>4098300SCHMAT415251Reg Asset - Low Carbon Energy StandardsOTHER</v>
      </c>
      <c r="B268" s="127">
        <v>4098300</v>
      </c>
      <c r="C268" s="117" t="str">
        <f>IF('SCH M Lookup'!$B268=4098200,"SCHMAP",IF('SCH M Lookup'!$B268=4098300,"SCHMAT",IF('SCH M Lookup'!$B268=4099200,"SCHMDP",IF('SCH M Lookup'!$B268=4099300,"SCHMDT"))))</f>
        <v>SCHMAT</v>
      </c>
      <c r="D268" s="127" t="s">
        <v>3162</v>
      </c>
      <c r="E268" s="128" t="s">
        <v>3163</v>
      </c>
      <c r="F268" s="127" t="s">
        <v>306</v>
      </c>
      <c r="H268" s="117" t="str">
        <f t="shared" si="9"/>
        <v>OTHER</v>
      </c>
      <c r="I268" s="117" t="s">
        <v>68</v>
      </c>
      <c r="J268"/>
    </row>
    <row r="269" spans="1:10">
      <c r="A269" s="118" t="str">
        <f t="shared" si="8"/>
        <v>4098300SCHMAT415262Reg Asset -Wildfire Mitigation Account -OTHER</v>
      </c>
      <c r="B269" s="127">
        <v>4098300</v>
      </c>
      <c r="C269" s="117" t="str">
        <f>IF('SCH M Lookup'!$B269=4098200,"SCHMAP",IF('SCH M Lookup'!$B269=4098300,"SCHMAT",IF('SCH M Lookup'!$B269=4099200,"SCHMDP",IF('SCH M Lookup'!$B269=4099300,"SCHMDT"))))</f>
        <v>SCHMAT</v>
      </c>
      <c r="D269" s="127" t="s">
        <v>3164</v>
      </c>
      <c r="E269" s="128" t="s">
        <v>3165</v>
      </c>
      <c r="F269" s="127" t="s">
        <v>306</v>
      </c>
      <c r="H269" s="117" t="str">
        <f t="shared" si="9"/>
        <v>OTHER</v>
      </c>
      <c r="I269" s="117" t="s">
        <v>96</v>
      </c>
      <c r="J269"/>
    </row>
    <row r="270" spans="1:10">
      <c r="A270" s="118" t="str">
        <f t="shared" si="8"/>
        <v>4098300SCHMAT415270Reg Asset - Electric Vehicle Charging InOTHER</v>
      </c>
      <c r="B270" s="127">
        <v>4098300</v>
      </c>
      <c r="C270" s="117" t="str">
        <f>IF('SCH M Lookup'!$B270=4098200,"SCHMAP",IF('SCH M Lookup'!$B270=4098300,"SCHMAT",IF('SCH M Lookup'!$B270=4099200,"SCHMDP",IF('SCH M Lookup'!$B270=4099300,"SCHMDT"))))</f>
        <v>SCHMAT</v>
      </c>
      <c r="D270" s="127" t="s">
        <v>3166</v>
      </c>
      <c r="E270" s="128" t="s">
        <v>3167</v>
      </c>
      <c r="F270" s="127" t="s">
        <v>306</v>
      </c>
      <c r="H270" s="117" t="str">
        <f t="shared" si="9"/>
        <v>OTHER</v>
      </c>
      <c r="I270" s="117" t="s">
        <v>74</v>
      </c>
      <c r="J270"/>
    </row>
    <row r="271" spans="1:10">
      <c r="A271" s="118" t="str">
        <f t="shared" si="8"/>
        <v>4098300SCHMAT415424Contra Reg Asset - Deer Creek AbandonmenCAEE</v>
      </c>
      <c r="B271" s="127">
        <v>4098300</v>
      </c>
      <c r="C271" s="117" t="str">
        <f>IF('SCH M Lookup'!$B271=4098200,"SCHMAP",IF('SCH M Lookup'!$B271=4098300,"SCHMAT",IF('SCH M Lookup'!$B271=4099200,"SCHMDP",IF('SCH M Lookup'!$B271=4099300,"SCHMDT"))))</f>
        <v>SCHMAT</v>
      </c>
      <c r="D271" s="127" t="s">
        <v>2047</v>
      </c>
      <c r="E271" s="128" t="s">
        <v>382</v>
      </c>
      <c r="F271" s="127" t="s">
        <v>3110</v>
      </c>
      <c r="H271" s="117" t="str">
        <f t="shared" si="9"/>
        <v>CAEE</v>
      </c>
      <c r="I271" s="117" t="s">
        <v>68</v>
      </c>
      <c r="J271"/>
    </row>
    <row r="272" spans="1:10">
      <c r="A272" s="118" t="str">
        <f t="shared" si="8"/>
        <v>4098300SCHMAT415723Reg Asset - Cholla U4 - O&amp;M DepreciationSITUS</v>
      </c>
      <c r="B272" s="127">
        <v>4098300</v>
      </c>
      <c r="C272" s="117" t="str">
        <f>IF('SCH M Lookup'!$B272=4098200,"SCHMAP",IF('SCH M Lookup'!$B272=4098300,"SCHMAT",IF('SCH M Lookup'!$B272=4099200,"SCHMDP",IF('SCH M Lookup'!$B272=4099300,"SCHMDT"))))</f>
        <v>SCHMAT</v>
      </c>
      <c r="D272" s="127" t="s">
        <v>3176</v>
      </c>
      <c r="E272" s="128" t="s">
        <v>3177</v>
      </c>
      <c r="F272" s="127" t="s">
        <v>372</v>
      </c>
      <c r="H272" s="117" t="str">
        <f t="shared" si="9"/>
        <v>SITUS</v>
      </c>
      <c r="I272" s="117" t="s">
        <v>68</v>
      </c>
      <c r="J272"/>
    </row>
    <row r="273" spans="1:10">
      <c r="A273" s="118" t="str">
        <f t="shared" si="8"/>
        <v>4098300SCHMAT415942Reg Liability - Steam Decommissioning -CAGE</v>
      </c>
      <c r="B273" s="127">
        <v>4098300</v>
      </c>
      <c r="C273" s="117" t="str">
        <f>IF('SCH M Lookup'!$B273=4098200,"SCHMAP",IF('SCH M Lookup'!$B273=4098300,"SCHMAT",IF('SCH M Lookup'!$B273=4099200,"SCHMDP",IF('SCH M Lookup'!$B273=4099300,"SCHMDT"))))</f>
        <v>SCHMAT</v>
      </c>
      <c r="D273" s="127" t="s">
        <v>2054</v>
      </c>
      <c r="E273" s="128" t="s">
        <v>2055</v>
      </c>
      <c r="F273" s="127" t="s">
        <v>3106</v>
      </c>
      <c r="H273" s="117" t="str">
        <f t="shared" si="9"/>
        <v>CAGE</v>
      </c>
      <c r="I273" s="117" t="s">
        <v>68</v>
      </c>
      <c r="J273"/>
    </row>
    <row r="274" spans="1:10">
      <c r="A274" s="118" t="str">
        <f t="shared" si="8"/>
        <v>4098300SCHMAT425360Hermiston SwapCAGW</v>
      </c>
      <c r="B274" s="127">
        <v>4098300</v>
      </c>
      <c r="C274" s="117" t="str">
        <f>IF('SCH M Lookup'!$B274=4098200,"SCHMAP",IF('SCH M Lookup'!$B274=4098300,"SCHMAT",IF('SCH M Lookup'!$B274=4099200,"SCHMDP",IF('SCH M Lookup'!$B274=4099300,"SCHMDT"))))</f>
        <v>SCHMAT</v>
      </c>
      <c r="D274" s="127" t="s">
        <v>2056</v>
      </c>
      <c r="E274" s="128" t="s">
        <v>414</v>
      </c>
      <c r="F274" s="127" t="s">
        <v>3108</v>
      </c>
      <c r="H274" s="117" t="str">
        <f t="shared" si="9"/>
        <v>CAGW</v>
      </c>
      <c r="I274" s="117" t="s">
        <v>68</v>
      </c>
      <c r="J274"/>
    </row>
    <row r="275" spans="1:10">
      <c r="A275" s="118" t="str">
        <f t="shared" si="8"/>
        <v>4098300SCHMAT425380Idaho Customer Balancing AccountOTHER</v>
      </c>
      <c r="B275" s="127">
        <v>4098300</v>
      </c>
      <c r="C275" s="117" t="str">
        <f>IF('SCH M Lookup'!$B275=4098200,"SCHMAP",IF('SCH M Lookup'!$B275=4098300,"SCHMAT",IF('SCH M Lookup'!$B275=4099200,"SCHMDP",IF('SCH M Lookup'!$B275=4099300,"SCHMDT"))))</f>
        <v>SCHMAT</v>
      </c>
      <c r="D275" s="127" t="s">
        <v>3213</v>
      </c>
      <c r="E275" s="128" t="s">
        <v>3214</v>
      </c>
      <c r="F275" s="127" t="s">
        <v>306</v>
      </c>
      <c r="H275" s="117" t="str">
        <f t="shared" si="9"/>
        <v>OTHER</v>
      </c>
      <c r="I275" s="117" t="s">
        <v>74</v>
      </c>
      <c r="J275"/>
    </row>
    <row r="276" spans="1:10">
      <c r="A276" s="118" t="str">
        <f t="shared" si="8"/>
        <v>4098300SCHMAT505125ACCRUED ROYALTIESCAEE</v>
      </c>
      <c r="B276" s="127">
        <v>4098300</v>
      </c>
      <c r="C276" s="117" t="str">
        <f>IF('SCH M Lookup'!$B276=4098200,"SCHMAP",IF('SCH M Lookup'!$B276=4098300,"SCHMAT",IF('SCH M Lookup'!$B276=4099200,"SCHMDP",IF('SCH M Lookup'!$B276=4099300,"SCHMDT"))))</f>
        <v>SCHMAT</v>
      </c>
      <c r="D276" s="127" t="s">
        <v>2057</v>
      </c>
      <c r="E276" s="128" t="s">
        <v>417</v>
      </c>
      <c r="F276" s="127" t="s">
        <v>3110</v>
      </c>
      <c r="H276" s="117" t="str">
        <f t="shared" si="9"/>
        <v>CAEE</v>
      </c>
      <c r="I276" s="117" t="s">
        <v>68</v>
      </c>
      <c r="J276"/>
    </row>
    <row r="277" spans="1:10">
      <c r="A277" s="118" t="str">
        <f t="shared" si="8"/>
        <v>4098300SCHMAT5054501Accrued Payroll Taxes - PMIJBE</v>
      </c>
      <c r="B277" s="127">
        <v>4098300</v>
      </c>
      <c r="C277" s="117" t="str">
        <f>IF('SCH M Lookup'!$B277=4098200,"SCHMAP",IF('SCH M Lookup'!$B277=4098300,"SCHMAT",IF('SCH M Lookup'!$B277=4099200,"SCHMDP",IF('SCH M Lookup'!$B277=4099300,"SCHMDT"))))</f>
        <v>SCHMAT</v>
      </c>
      <c r="D277" s="127" t="s">
        <v>2058</v>
      </c>
      <c r="E277" s="128" t="s">
        <v>2059</v>
      </c>
      <c r="F277" s="127" t="s">
        <v>3134</v>
      </c>
      <c r="H277" s="117" t="str">
        <f t="shared" si="9"/>
        <v>JBE</v>
      </c>
      <c r="I277" s="117" t="s">
        <v>68</v>
      </c>
      <c r="J277"/>
    </row>
    <row r="278" spans="1:10">
      <c r="A278" s="118" t="str">
        <f t="shared" si="8"/>
        <v>4098300SCHMAT505520Bonus Accrual - PMIJBE</v>
      </c>
      <c r="B278" s="127">
        <v>4098300</v>
      </c>
      <c r="C278" s="117" t="str">
        <f>IF('SCH M Lookup'!$B278=4098200,"SCHMAP",IF('SCH M Lookup'!$B278=4098300,"SCHMAT",IF('SCH M Lookup'!$B278=4099200,"SCHMDP",IF('SCH M Lookup'!$B278=4099300,"SCHMDT"))))</f>
        <v>SCHMAT</v>
      </c>
      <c r="D278" s="127" t="s">
        <v>2060</v>
      </c>
      <c r="E278" s="128" t="s">
        <v>1878</v>
      </c>
      <c r="F278" s="127" t="s">
        <v>3134</v>
      </c>
      <c r="H278" s="117" t="str">
        <f t="shared" si="9"/>
        <v>JBE</v>
      </c>
      <c r="I278" s="117" t="s">
        <v>68</v>
      </c>
      <c r="J278"/>
    </row>
    <row r="279" spans="1:10">
      <c r="A279" s="118" t="str">
        <f t="shared" si="8"/>
        <v>4098300SCHMAT505525Accrued Severance -PMIJBE</v>
      </c>
      <c r="B279" s="127">
        <v>4098300</v>
      </c>
      <c r="C279" s="117" t="str">
        <f>IF('SCH M Lookup'!$B279=4098200,"SCHMAP",IF('SCH M Lookup'!$B279=4098300,"SCHMAT",IF('SCH M Lookup'!$B279=4099200,"SCHMDP",IF('SCH M Lookup'!$B279=4099300,"SCHMDT"))))</f>
        <v>SCHMAT</v>
      </c>
      <c r="D279" s="127" t="s">
        <v>2061</v>
      </c>
      <c r="E279" s="128" t="s">
        <v>2062</v>
      </c>
      <c r="F279" s="127" t="s">
        <v>3134</v>
      </c>
      <c r="H279" s="117" t="str">
        <f t="shared" si="9"/>
        <v>JBE</v>
      </c>
      <c r="I279" s="117" t="s">
        <v>68</v>
      </c>
      <c r="J279"/>
    </row>
    <row r="280" spans="1:10">
      <c r="A280" s="118" t="str">
        <f t="shared" si="8"/>
        <v>4098300SCHMAT505601Sick Leave Accrual - PMIJBE</v>
      </c>
      <c r="B280" s="127">
        <v>4098300</v>
      </c>
      <c r="C280" s="117" t="str">
        <f>IF('SCH M Lookup'!$B280=4098200,"SCHMAP",IF('SCH M Lookup'!$B280=4098300,"SCHMAT",IF('SCH M Lookup'!$B280=4099200,"SCHMDP",IF('SCH M Lookup'!$B280=4099300,"SCHMDT"))))</f>
        <v>SCHMAT</v>
      </c>
      <c r="D280" s="127" t="s">
        <v>2063</v>
      </c>
      <c r="E280" s="128" t="s">
        <v>420</v>
      </c>
      <c r="F280" s="127" t="s">
        <v>3134</v>
      </c>
      <c r="H280" s="117" t="str">
        <f t="shared" si="9"/>
        <v>JBE</v>
      </c>
      <c r="I280" s="117" t="s">
        <v>68</v>
      </c>
      <c r="J280"/>
    </row>
    <row r="281" spans="1:10">
      <c r="A281" s="118" t="str">
        <f t="shared" si="8"/>
        <v>4098300SCHMAT605715Trapper Mine Contract ObligationCAEE</v>
      </c>
      <c r="B281" s="127">
        <v>4098300</v>
      </c>
      <c r="C281" s="117" t="str">
        <f>IF('SCH M Lookup'!$B281=4098200,"SCHMAP",IF('SCH M Lookup'!$B281=4098300,"SCHMAT",IF('SCH M Lookup'!$B281=4099200,"SCHMDP",IF('SCH M Lookup'!$B281=4099300,"SCHMDT"))))</f>
        <v>SCHMAT</v>
      </c>
      <c r="D281" s="127" t="s">
        <v>2064</v>
      </c>
      <c r="E281" s="128" t="s">
        <v>425</v>
      </c>
      <c r="F281" s="127" t="s">
        <v>3110</v>
      </c>
      <c r="H281" s="117" t="str">
        <f t="shared" si="9"/>
        <v>CAEE</v>
      </c>
      <c r="I281" s="117" t="s">
        <v>68</v>
      </c>
      <c r="J281"/>
    </row>
    <row r="282" spans="1:10">
      <c r="A282" s="118" t="str">
        <f t="shared" si="8"/>
        <v>4098300SCHMAT715810Chehalis WA EFSEC C02 Mitigation ObligatCAGW</v>
      </c>
      <c r="B282" s="125">
        <v>4098300</v>
      </c>
      <c r="C282" s="117" t="str">
        <f>IF('SCH M Lookup'!$B282=4098200,"SCHMAP",IF('SCH M Lookup'!$B282=4098300,"SCHMAT",IF('SCH M Lookup'!$B282=4099200,"SCHMDP",IF('SCH M Lookup'!$B282=4099300,"SCHMDT"))))</f>
        <v>SCHMAT</v>
      </c>
      <c r="D282" s="125">
        <v>715810</v>
      </c>
      <c r="E282" s="121" t="s">
        <v>452</v>
      </c>
      <c r="F282" s="119" t="s">
        <v>3108</v>
      </c>
      <c r="H282" s="117" t="str">
        <f t="shared" si="9"/>
        <v>CAGW</v>
      </c>
      <c r="I282" s="117" t="s">
        <v>68</v>
      </c>
    </row>
    <row r="283" spans="1:10">
      <c r="A283" s="118" t="str">
        <f t="shared" si="8"/>
        <v>4098300SCHMAT910905Bridger Coal Company Underground Mine CoJBE</v>
      </c>
      <c r="B283" s="125">
        <v>4098300</v>
      </c>
      <c r="C283" s="117" t="str">
        <f>IF('SCH M Lookup'!$B283=4098200,"SCHMAP",IF('SCH M Lookup'!$B283=4098300,"SCHMAT",IF('SCH M Lookup'!$B283=4099200,"SCHMDP",IF('SCH M Lookup'!$B283=4099300,"SCHMDT"))))</f>
        <v>SCHMAT</v>
      </c>
      <c r="D283" s="125">
        <v>910905</v>
      </c>
      <c r="E283" s="121" t="s">
        <v>459</v>
      </c>
      <c r="F283" s="119" t="s">
        <v>3134</v>
      </c>
      <c r="H283" s="117" t="str">
        <f t="shared" si="9"/>
        <v>JBE</v>
      </c>
      <c r="I283" s="117" t="s">
        <v>68</v>
      </c>
    </row>
    <row r="284" spans="1:10">
      <c r="A284" s="118" t="str">
        <f t="shared" si="8"/>
        <v>4098300SCHMAT920110PMIWY Extraction TaxJBE</v>
      </c>
      <c r="B284" s="125">
        <v>4098300</v>
      </c>
      <c r="C284" s="117" t="str">
        <f>IF('SCH M Lookup'!$B284=4098200,"SCHMAP",IF('SCH M Lookup'!$B284=4098300,"SCHMAT",IF('SCH M Lookup'!$B284=4099200,"SCHMDP",IF('SCH M Lookup'!$B284=4099300,"SCHMDT"))))</f>
        <v>SCHMAT</v>
      </c>
      <c r="D284" s="125">
        <v>920110</v>
      </c>
      <c r="E284" s="121" t="s">
        <v>460</v>
      </c>
      <c r="F284" s="119" t="s">
        <v>3134</v>
      </c>
      <c r="H284" s="117" t="str">
        <f t="shared" si="9"/>
        <v>JBE</v>
      </c>
      <c r="I284" s="117" t="s">
        <v>68</v>
      </c>
    </row>
    <row r="285" spans="1:10">
      <c r="A285" s="118" t="str">
        <f t="shared" si="8"/>
        <v>4099200SCHMDP1102051TAX PERCENTAGE DEPLETION - DEDUCTIONCAEE</v>
      </c>
      <c r="B285" s="125">
        <v>4099200</v>
      </c>
      <c r="C285" s="117" t="str">
        <f>IF('SCH M Lookup'!$B285=4098200,"SCHMAP",IF('SCH M Lookup'!$B285=4098300,"SCHMAT",IF('SCH M Lookup'!$B285=4099200,"SCHMDP",IF('SCH M Lookup'!$B285=4099300,"SCHMDT"))))</f>
        <v>SCHMDP</v>
      </c>
      <c r="D285" s="125">
        <v>1102051</v>
      </c>
      <c r="E285" s="121" t="s">
        <v>462</v>
      </c>
      <c r="F285" s="119" t="s">
        <v>3110</v>
      </c>
      <c r="H285" s="117" t="str">
        <f t="shared" si="9"/>
        <v>CAEE</v>
      </c>
      <c r="I285" s="117" t="s">
        <v>68</v>
      </c>
    </row>
    <row r="286" spans="1:10">
      <c r="A286" s="118" t="str">
        <f t="shared" si="8"/>
        <v>4099200SCHMDP910900PMIDepletionJBE</v>
      </c>
      <c r="B286" s="125">
        <v>4099200</v>
      </c>
      <c r="C286" s="117" t="str">
        <f>IF('SCH M Lookup'!$B286=4098200,"SCHMAP",IF('SCH M Lookup'!$B286=4098300,"SCHMAT",IF('SCH M Lookup'!$B286=4099200,"SCHMDP",IF('SCH M Lookup'!$B286=4099300,"SCHMDT"))))</f>
        <v>SCHMDP</v>
      </c>
      <c r="D286" s="125">
        <v>910900</v>
      </c>
      <c r="E286" s="121" t="s">
        <v>466</v>
      </c>
      <c r="F286" s="119" t="s">
        <v>3134</v>
      </c>
      <c r="H286" s="117" t="str">
        <f t="shared" si="9"/>
        <v>JBE</v>
      </c>
      <c r="I286" s="117" t="s">
        <v>68</v>
      </c>
    </row>
    <row r="287" spans="1:10">
      <c r="A287" s="118" t="str">
        <f t="shared" si="8"/>
        <v>4099300SCHMDT105126PMITax DepreciationJBE</v>
      </c>
      <c r="B287" s="125">
        <v>4099300</v>
      </c>
      <c r="C287" s="117" t="str">
        <f>IF('SCH M Lookup'!$B287=4098200,"SCHMAP",IF('SCH M Lookup'!$B287=4098300,"SCHMAT",IF('SCH M Lookup'!$B287=4099200,"SCHMDP",IF('SCH M Lookup'!$B287=4099300,"SCHMDT"))))</f>
        <v>SCHMDT</v>
      </c>
      <c r="D287" s="125">
        <v>105126</v>
      </c>
      <c r="E287" s="121" t="s">
        <v>468</v>
      </c>
      <c r="F287" s="119" t="s">
        <v>3134</v>
      </c>
      <c r="H287" s="117" t="str">
        <f t="shared" si="9"/>
        <v>JBE</v>
      </c>
      <c r="I287" s="117" t="s">
        <v>68</v>
      </c>
    </row>
    <row r="288" spans="1:10">
      <c r="A288" s="118" t="str">
        <f t="shared" si="8"/>
        <v>4099300SCHMDT105153Contract Liability Basis Adjustment -CheCAGW</v>
      </c>
      <c r="B288" s="125">
        <v>4099300</v>
      </c>
      <c r="C288" s="117" t="str">
        <f>IF('SCH M Lookup'!$B288=4098200,"SCHMAP",IF('SCH M Lookup'!$B288=4098300,"SCHMAT",IF('SCH M Lookup'!$B288=4099200,"SCHMDP",IF('SCH M Lookup'!$B288=4099300,"SCHMDT"))))</f>
        <v>SCHMDT</v>
      </c>
      <c r="D288" s="125">
        <v>105153</v>
      </c>
      <c r="E288" s="121" t="s">
        <v>474</v>
      </c>
      <c r="F288" s="119" t="s">
        <v>3108</v>
      </c>
      <c r="H288" s="117" t="str">
        <f t="shared" si="9"/>
        <v>CAGW</v>
      </c>
      <c r="I288" s="117" t="s">
        <v>68</v>
      </c>
    </row>
    <row r="289" spans="1:9">
      <c r="A289" s="118" t="str">
        <f t="shared" si="8"/>
        <v>4099300SCHMDT1102051Tax Percentage Depletion - DeductionCAEE</v>
      </c>
      <c r="B289" s="125">
        <v>4099300</v>
      </c>
      <c r="C289" s="117" t="str">
        <f>IF('SCH M Lookup'!$B289=4098200,"SCHMAP",IF('SCH M Lookup'!$B289=4098300,"SCHMAT",IF('SCH M Lookup'!$B289=4099200,"SCHMDP",IF('SCH M Lookup'!$B289=4099300,"SCHMDT"))))</f>
        <v>SCHMDT</v>
      </c>
      <c r="D289" s="125">
        <v>1102051</v>
      </c>
      <c r="E289" s="121" t="s">
        <v>479</v>
      </c>
      <c r="F289" s="119" t="s">
        <v>3110</v>
      </c>
      <c r="H289" s="117" t="str">
        <f t="shared" si="9"/>
        <v>CAEE</v>
      </c>
      <c r="I289" s="117" t="s">
        <v>68</v>
      </c>
    </row>
    <row r="290" spans="1:9">
      <c r="A290" s="118" t="str">
        <f t="shared" si="8"/>
        <v>4099300SCHMDT205025PMI - Fuel Cost AdjustmentJBE</v>
      </c>
      <c r="B290" s="125">
        <v>4099300</v>
      </c>
      <c r="C290" s="117" t="str">
        <f>IF('SCH M Lookup'!$B290=4098200,"SCHMAP",IF('SCH M Lookup'!$B290=4098300,"SCHMAT",IF('SCH M Lookup'!$B290=4099200,"SCHMDP",IF('SCH M Lookup'!$B290=4099300,"SCHMDT"))))</f>
        <v>SCHMDT</v>
      </c>
      <c r="D290" s="125">
        <v>205025</v>
      </c>
      <c r="E290" s="121" t="s">
        <v>480</v>
      </c>
      <c r="F290" s="119" t="s">
        <v>3134</v>
      </c>
      <c r="H290" s="117" t="str">
        <f t="shared" si="9"/>
        <v>JBE</v>
      </c>
      <c r="I290" s="117" t="s">
        <v>68</v>
      </c>
    </row>
    <row r="291" spans="1:9">
      <c r="A291" s="118" t="str">
        <f t="shared" si="8"/>
        <v>4099300SCHMDT205205Inventory Reserve - PMIJBE</v>
      </c>
      <c r="B291" s="125">
        <v>4099300</v>
      </c>
      <c r="C291" s="117" t="str">
        <f>IF('SCH M Lookup'!$B291=4098200,"SCHMAP",IF('SCH M Lookup'!$B291=4098300,"SCHMAT",IF('SCH M Lookup'!$B291=4099200,"SCHMDP",IF('SCH M Lookup'!$B291=4099300,"SCHMDT"))))</f>
        <v>SCHMDT</v>
      </c>
      <c r="D291" s="125">
        <v>205205</v>
      </c>
      <c r="E291" s="121" t="s">
        <v>1685</v>
      </c>
      <c r="F291" s="119" t="s">
        <v>3134</v>
      </c>
      <c r="H291" s="117" t="str">
        <f t="shared" si="9"/>
        <v>JBE</v>
      </c>
      <c r="I291" s="117" t="s">
        <v>68</v>
      </c>
    </row>
    <row r="292" spans="1:9">
      <c r="A292" s="118" t="str">
        <f t="shared" si="8"/>
        <v>4099300SCHMDT205411PMISEC 263A AdjustmentJBE</v>
      </c>
      <c r="B292" s="125">
        <v>4099300</v>
      </c>
      <c r="C292" s="117" t="str">
        <f>IF('SCH M Lookup'!$B292=4098200,"SCHMAP",IF('SCH M Lookup'!$B292=4098300,"SCHMAT",IF('SCH M Lookup'!$B292=4099200,"SCHMDP",IF('SCH M Lookup'!$B292=4099300,"SCHMDT"))))</f>
        <v>SCHMDT</v>
      </c>
      <c r="D292" s="125">
        <v>205411</v>
      </c>
      <c r="E292" s="121" t="s">
        <v>482</v>
      </c>
      <c r="F292" s="119" t="s">
        <v>3134</v>
      </c>
      <c r="H292" s="117" t="str">
        <f t="shared" si="9"/>
        <v>JBE</v>
      </c>
      <c r="I292" s="117" t="s">
        <v>68</v>
      </c>
    </row>
    <row r="293" spans="1:9">
      <c r="A293" s="118" t="str">
        <f t="shared" si="8"/>
        <v>4099300SCHMDT210190Prepaid Water RightsCAGE</v>
      </c>
      <c r="B293" s="125">
        <v>4099300</v>
      </c>
      <c r="C293" s="117" t="str">
        <f>IF('SCH M Lookup'!$B293=4098200,"SCHMAP",IF('SCH M Lookup'!$B293=4098300,"SCHMAT",IF('SCH M Lookup'!$B293=4099200,"SCHMDP",IF('SCH M Lookup'!$B293=4099300,"SCHMDT"))))</f>
        <v>SCHMDT</v>
      </c>
      <c r="D293" s="125">
        <v>210190</v>
      </c>
      <c r="E293" s="121" t="s">
        <v>486</v>
      </c>
      <c r="F293" s="119" t="s">
        <v>3106</v>
      </c>
      <c r="H293" s="117" t="str">
        <f t="shared" si="9"/>
        <v>CAGE</v>
      </c>
      <c r="I293" s="117" t="s">
        <v>68</v>
      </c>
    </row>
    <row r="294" spans="1:9">
      <c r="A294" s="118" t="str">
        <f t="shared" si="8"/>
        <v>4099300SCHMDT415410Reg Asset - Energy West MiningCAEE</v>
      </c>
      <c r="B294" s="125">
        <v>4099300</v>
      </c>
      <c r="C294" s="117" t="str">
        <f>IF('SCH M Lookup'!$B294=4098200,"SCHMAP",IF('SCH M Lookup'!$B294=4098300,"SCHMAT",IF('SCH M Lookup'!$B294=4099200,"SCHMDP",IF('SCH M Lookup'!$B294=4099300,"SCHMDT"))))</f>
        <v>SCHMDT</v>
      </c>
      <c r="D294" s="125">
        <v>415410</v>
      </c>
      <c r="E294" s="121" t="s">
        <v>492</v>
      </c>
      <c r="F294" s="119" t="s">
        <v>3110</v>
      </c>
      <c r="H294" s="117" t="str">
        <f t="shared" si="9"/>
        <v>CAEE</v>
      </c>
      <c r="I294" s="117" t="s">
        <v>68</v>
      </c>
    </row>
    <row r="295" spans="1:9">
      <c r="A295" s="118" t="str">
        <f t="shared" si="8"/>
        <v>4099300SCHMDT415440Reg Asset - Low Income Bill Discount - OOTHER</v>
      </c>
      <c r="B295" s="125">
        <v>4099300</v>
      </c>
      <c r="C295" s="117" t="str">
        <f>IF('SCH M Lookup'!$B295=4098200,"SCHMAP",IF('SCH M Lookup'!$B295=4098300,"SCHMAT",IF('SCH M Lookup'!$B295=4099200,"SCHMDP",IF('SCH M Lookup'!$B295=4099300,"SCHMDT"))))</f>
        <v>SCHMDT</v>
      </c>
      <c r="D295" s="125">
        <v>415440</v>
      </c>
      <c r="E295" s="121" t="s">
        <v>3299</v>
      </c>
      <c r="F295" s="119" t="s">
        <v>306</v>
      </c>
      <c r="H295" s="117" t="str">
        <f t="shared" si="9"/>
        <v>OTHER</v>
      </c>
      <c r="I295" s="117" t="s">
        <v>74</v>
      </c>
    </row>
    <row r="296" spans="1:9">
      <c r="A296" s="118" t="str">
        <f t="shared" si="8"/>
        <v>4099300SCHMDT415441Reg Asset - Utility Community Advisory GOTHER</v>
      </c>
      <c r="B296" s="125">
        <v>4099300</v>
      </c>
      <c r="C296" s="117" t="str">
        <f>IF('SCH M Lookup'!$B296=4098200,"SCHMAP",IF('SCH M Lookup'!$B296=4098300,"SCHMAT",IF('SCH M Lookup'!$B296=4099200,"SCHMDP",IF('SCH M Lookup'!$B296=4099300,"SCHMDT"))))</f>
        <v>SCHMDT</v>
      </c>
      <c r="D296" s="125">
        <v>415441</v>
      </c>
      <c r="E296" s="121" t="s">
        <v>3300</v>
      </c>
      <c r="F296" s="119" t="s">
        <v>306</v>
      </c>
      <c r="H296" s="117" t="str">
        <f t="shared" si="9"/>
        <v>OTHER</v>
      </c>
      <c r="I296" s="117" t="s">
        <v>74</v>
      </c>
    </row>
    <row r="297" spans="1:9">
      <c r="A297" s="118" t="str">
        <f t="shared" si="8"/>
        <v>4099300SCHMDT415936REG ASSET - CARBON PLANT DECOMMISSIONINGCAGE</v>
      </c>
      <c r="B297" s="125">
        <v>4099300</v>
      </c>
      <c r="C297" s="117" t="str">
        <f>IF('SCH M Lookup'!$B297=4098200,"SCHMAP",IF('SCH M Lookup'!$B297=4098300,"SCHMAT",IF('SCH M Lookup'!$B297=4099200,"SCHMDP",IF('SCH M Lookup'!$B297=4099300,"SCHMDT"))))</f>
        <v>SCHMDT</v>
      </c>
      <c r="D297" s="125">
        <v>415936</v>
      </c>
      <c r="E297" s="121" t="s">
        <v>537</v>
      </c>
      <c r="F297" s="119" t="s">
        <v>3106</v>
      </c>
      <c r="H297" s="117" t="str">
        <f t="shared" si="9"/>
        <v>CAGE</v>
      </c>
      <c r="I297" s="117" t="s">
        <v>68</v>
      </c>
    </row>
    <row r="298" spans="1:9">
      <c r="A298" s="118" t="str">
        <f t="shared" si="8"/>
        <v>4099300SCHMDT505510Vacation Accrual - PMIJBE</v>
      </c>
      <c r="B298" s="125">
        <v>4099300</v>
      </c>
      <c r="C298" s="117" t="str">
        <f>IF('SCH M Lookup'!$B298=4098200,"SCHMAP",IF('SCH M Lookup'!$B298=4098300,"SCHMAT",IF('SCH M Lookup'!$B298=4099200,"SCHMDP",IF('SCH M Lookup'!$B298=4099300,"SCHMDT"))))</f>
        <v>SCHMDT</v>
      </c>
      <c r="D298" s="125">
        <v>505510</v>
      </c>
      <c r="E298" s="121" t="s">
        <v>541</v>
      </c>
      <c r="F298" s="119" t="s">
        <v>3134</v>
      </c>
      <c r="H298" s="117" t="str">
        <f t="shared" si="9"/>
        <v>JBE</v>
      </c>
      <c r="I298" s="117" t="s">
        <v>68</v>
      </c>
    </row>
    <row r="299" spans="1:9">
      <c r="A299" s="118" t="str">
        <f t="shared" si="8"/>
        <v>4099300SCHMDT610100PMIDEVT COST AMORTJBE</v>
      </c>
      <c r="B299" s="125">
        <v>4099300</v>
      </c>
      <c r="C299" s="117" t="str">
        <f>IF('SCH M Lookup'!$B299=4098200,"SCHMAP",IF('SCH M Lookup'!$B299=4098300,"SCHMAT",IF('SCH M Lookup'!$B299=4099200,"SCHMDP",IF('SCH M Lookup'!$B299=4099300,"SCHMDT"))))</f>
        <v>SCHMDT</v>
      </c>
      <c r="D299" s="125">
        <v>610100</v>
      </c>
      <c r="E299" s="121" t="s">
        <v>543</v>
      </c>
      <c r="F299" s="119" t="s">
        <v>3134</v>
      </c>
      <c r="H299" s="117" t="str">
        <f t="shared" si="9"/>
        <v>JBE</v>
      </c>
      <c r="I299" s="117" t="s">
        <v>68</v>
      </c>
    </row>
    <row r="300" spans="1:9">
      <c r="A300" s="118" t="str">
        <f t="shared" si="8"/>
        <v>4099300SCHMDT610111Bridger Coal Company Gain/Loss on AssetsJBE</v>
      </c>
      <c r="B300" s="125">
        <v>4099300</v>
      </c>
      <c r="C300" s="117" t="str">
        <f>IF('SCH M Lookup'!$B300=4098200,"SCHMAP",IF('SCH M Lookup'!$B300=4098300,"SCHMAT",IF('SCH M Lookup'!$B300=4099200,"SCHMDP",IF('SCH M Lookup'!$B300=4099300,"SCHMDT"))))</f>
        <v>SCHMDT</v>
      </c>
      <c r="D300" s="125">
        <v>610111</v>
      </c>
      <c r="E300" s="121" t="s">
        <v>545</v>
      </c>
      <c r="F300" s="119" t="s">
        <v>3134</v>
      </c>
      <c r="H300" s="117" t="str">
        <f t="shared" si="9"/>
        <v>JBE</v>
      </c>
      <c r="I300" s="117" t="s">
        <v>68</v>
      </c>
    </row>
    <row r="301" spans="1:9">
      <c r="A301" s="118" t="str">
        <f t="shared" si="8"/>
        <v>4099300SCHMDT610114PMI EITF Pre Stripping CostsJBE</v>
      </c>
      <c r="B301" s="125">
        <v>4099300</v>
      </c>
      <c r="C301" s="117" t="str">
        <f>IF('SCH M Lookup'!$B301=4098200,"SCHMAP",IF('SCH M Lookup'!$B301=4098300,"SCHMAT",IF('SCH M Lookup'!$B301=4099200,"SCHMDP",IF('SCH M Lookup'!$B301=4099300,"SCHMDT"))))</f>
        <v>SCHMDT</v>
      </c>
      <c r="D301" s="125">
        <v>610114</v>
      </c>
      <c r="E301" s="121" t="s">
        <v>546</v>
      </c>
      <c r="F301" s="119" t="s">
        <v>3134</v>
      </c>
      <c r="H301" s="117" t="str">
        <f t="shared" si="9"/>
        <v>JBE</v>
      </c>
      <c r="I301" s="117" t="s">
        <v>68</v>
      </c>
    </row>
  </sheetData>
  <autoFilter ref="A1:I281" xr:uid="{00000000-0009-0000-0000-000013000000}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CFFFF"/>
  </sheetPr>
  <dimension ref="A1:K65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18.7109375" style="114" customWidth="1"/>
    <col min="2" max="2" width="18.7109375" style="127" customWidth="1"/>
    <col min="3" max="3" width="18.7109375" style="273" customWidth="1"/>
    <col min="4" max="4" width="18.7109375" style="127" customWidth="1"/>
    <col min="5" max="5" width="38.85546875" style="128" customWidth="1"/>
    <col min="6" max="6" width="18.7109375" style="127" customWidth="1"/>
    <col min="7" max="7" width="18.7109375" style="136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27" t="s">
        <v>345</v>
      </c>
      <c r="C1" s="127" t="s">
        <v>346</v>
      </c>
      <c r="D1" s="127" t="s">
        <v>347</v>
      </c>
      <c r="E1" s="128" t="s">
        <v>348</v>
      </c>
      <c r="F1" s="127" t="s">
        <v>349</v>
      </c>
      <c r="G1" s="275" t="s">
        <v>350</v>
      </c>
      <c r="H1" s="113" t="s">
        <v>1603</v>
      </c>
      <c r="I1" s="113" t="s">
        <v>352</v>
      </c>
      <c r="J1" s="113" t="s">
        <v>353</v>
      </c>
      <c r="K1"/>
    </row>
    <row r="2" spans="1:11">
      <c r="A2" s="114" t="str">
        <f t="shared" ref="A2:A33" si="0">CONCATENATE($B2,$C2,$D2,$E2,$H2)</f>
        <v>4561100Other Wheeling Rev301953Ancillary Rev Sch 6-Supp (C&amp;T)SG</v>
      </c>
      <c r="B2" s="126" t="s">
        <v>2095</v>
      </c>
      <c r="C2" s="127" t="s">
        <v>1542</v>
      </c>
      <c r="D2" s="126" t="s">
        <v>2096</v>
      </c>
      <c r="E2" s="128" t="s">
        <v>1545</v>
      </c>
      <c r="F2" s="127" t="s">
        <v>87</v>
      </c>
      <c r="G2" s="136">
        <v>2803.3417399999998</v>
      </c>
      <c r="H2" s="113" t="str">
        <f>IF(OR(F2="IDU",F2="OR",F2="UT",F2="WYU",F2="WYP",F2="CA",F2="WA"),"SITUS",IF(OR(F2="CAEE",F2="JBE"),"SE",IF(OR(F2="CAGE",F2="CAGW",F2="JBG"),"SG",F2)))</f>
        <v>SG</v>
      </c>
      <c r="I2" s="113" t="str">
        <f>INDEX('ELEC OPS Lookup'!$I:$I,MATCH($A2,'ELEC OPS Lookup'!$A:$A,0))</f>
        <v>T</v>
      </c>
      <c r="J2" s="113" t="str">
        <f>IF('ELEC OPS Jun22data'!$G2=0,"NO",IF(ISNA('ELEC OPS Jun22data'!$I2),"YES",IF(_xlfn.ISFORMULA('ELEC OPS Jun22data'!$I2),"NO","YES")))</f>
        <v>NO</v>
      </c>
      <c r="K2"/>
    </row>
    <row r="3" spans="1:11">
      <c r="A3" s="114" t="str">
        <f t="shared" si="0"/>
        <v>4561100Other Wheeling Rev301962Ancil Revenue Sch 2-Reactive (Trans)SG</v>
      </c>
      <c r="B3" s="126" t="s">
        <v>2095</v>
      </c>
      <c r="C3" s="127" t="s">
        <v>1542</v>
      </c>
      <c r="D3" s="126" t="s">
        <v>2097</v>
      </c>
      <c r="E3" s="128" t="s">
        <v>2098</v>
      </c>
      <c r="F3" s="127" t="s">
        <v>87</v>
      </c>
      <c r="G3" s="136">
        <v>-3.7403200000000001</v>
      </c>
      <c r="H3" s="113" t="str">
        <f t="shared" ref="H3:H65" si="1">IF(OR(F3="IDU",F3="OR",F3="UT",F3="WYU",F3="WYP",F3="CA",F3="WA"),"SITUS",IF(OR(F3="CAEE",F3="JBE"),"SE",IF(OR(F3="CAGE",F3="CAGW",F3="JBG"),"SG",F3)))</f>
        <v>SG</v>
      </c>
      <c r="I3" s="113" t="str">
        <f>INDEX('ELEC OPS Lookup'!$I:$I,MATCH($A3,'ELEC OPS Lookup'!$A:$A,0))</f>
        <v>T</v>
      </c>
      <c r="J3" s="113" t="str">
        <f>IF('ELEC OPS Jun22data'!$G3=0,"NO",IF(ISNA('ELEC OPS Jun22data'!$I3),"YES",IF(_xlfn.ISFORMULA('ELEC OPS Jun22data'!$I3),"NO","YES")))</f>
        <v>NO</v>
      </c>
      <c r="K3"/>
    </row>
    <row r="4" spans="1:11">
      <c r="A4" s="114" t="str">
        <f t="shared" si="0"/>
        <v>4561100Other Wheeling Rev301963Ancil Revenue Sch 2-Reactive (C&amp;T)SG</v>
      </c>
      <c r="B4" s="126" t="s">
        <v>2095</v>
      </c>
      <c r="C4" s="127" t="s">
        <v>1542</v>
      </c>
      <c r="D4" s="126" t="s">
        <v>2099</v>
      </c>
      <c r="E4" s="128" t="s">
        <v>1543</v>
      </c>
      <c r="F4" s="127" t="s">
        <v>87</v>
      </c>
      <c r="G4" s="136">
        <v>4429.5132599999997</v>
      </c>
      <c r="H4" s="113" t="str">
        <f t="shared" si="1"/>
        <v>SG</v>
      </c>
      <c r="I4" s="113" t="str">
        <f>INDEX('ELEC OPS Lookup'!$I:$I,MATCH($A4,'ELEC OPS Lookup'!$A:$A,0))</f>
        <v>T</v>
      </c>
      <c r="J4" s="113" t="str">
        <f>IF('ELEC OPS Jun22data'!$G4=0,"NO",IF(ISNA('ELEC OPS Jun22data'!$I4),"YES",IF(_xlfn.ISFORMULA('ELEC OPS Jun22data'!$I4),"NO","YES")))</f>
        <v>NO</v>
      </c>
      <c r="K4"/>
    </row>
    <row r="5" spans="1:11">
      <c r="A5" s="114" t="str">
        <f t="shared" si="0"/>
        <v>4561100Other Wheeling Rev301966Primary Delivery and Distribution Sub ChSG</v>
      </c>
      <c r="B5" s="126" t="s">
        <v>2095</v>
      </c>
      <c r="C5" s="127" t="s">
        <v>1542</v>
      </c>
      <c r="D5" s="126" t="s">
        <v>2100</v>
      </c>
      <c r="E5" s="128" t="s">
        <v>1552</v>
      </c>
      <c r="F5" s="127" t="s">
        <v>87</v>
      </c>
      <c r="G5" s="136">
        <v>396.27870000000001</v>
      </c>
      <c r="H5" s="113" t="str">
        <f t="shared" si="1"/>
        <v>SG</v>
      </c>
      <c r="I5" s="113" t="str">
        <f>INDEX('ELEC OPS Lookup'!$I:$I,MATCH($A5,'ELEC OPS Lookup'!$A:$A,0))</f>
        <v>T</v>
      </c>
      <c r="J5" s="113" t="str">
        <f>IF('ELEC OPS Jun22data'!$G5=0,"NO",IF(ISNA('ELEC OPS Jun22data'!$I5),"YES",IF(_xlfn.ISFORMULA('ELEC OPS Jun22data'!$I5),"NO","YES")))</f>
        <v>NO</v>
      </c>
      <c r="K5"/>
    </row>
    <row r="6" spans="1:11">
      <c r="A6" s="114" t="str">
        <f t="shared" si="0"/>
        <v>4561100Other Wheeling Rev301967Ancillary Revenue Sch 1 - SchedulingSG</v>
      </c>
      <c r="B6" s="126" t="s">
        <v>2095</v>
      </c>
      <c r="C6" s="127" t="s">
        <v>1542</v>
      </c>
      <c r="D6" s="126" t="s">
        <v>2101</v>
      </c>
      <c r="E6" s="128" t="s">
        <v>1546</v>
      </c>
      <c r="F6" s="127" t="s">
        <v>87</v>
      </c>
      <c r="G6" s="136">
        <v>3228.3963800000001</v>
      </c>
      <c r="H6" s="113" t="str">
        <f t="shared" si="1"/>
        <v>SG</v>
      </c>
      <c r="I6" s="113" t="str">
        <f>INDEX('ELEC OPS Lookup'!$I:$I,MATCH($A6,'ELEC OPS Lookup'!$A:$A,0))</f>
        <v>T</v>
      </c>
      <c r="J6" s="113" t="str">
        <f>IF('ELEC OPS Jun22data'!$G6=0,"NO",IF(ISNA('ELEC OPS Jun22data'!$I6),"YES",IF(_xlfn.ISFORMULA('ELEC OPS Jun22data'!$I6),"NO","YES")))</f>
        <v>NO</v>
      </c>
      <c r="K6"/>
    </row>
    <row r="7" spans="1:11">
      <c r="A7" s="114" t="str">
        <f t="shared" si="0"/>
        <v>4561100Other Wheeling Rev301969Ancillary Revenue Sch 3 - Reg&amp;Freq (C&amp;T)SG</v>
      </c>
      <c r="B7" s="126" t="s">
        <v>2095</v>
      </c>
      <c r="C7" s="127" t="s">
        <v>1542</v>
      </c>
      <c r="D7" s="126" t="s">
        <v>2102</v>
      </c>
      <c r="E7" s="128" t="s">
        <v>1547</v>
      </c>
      <c r="F7" s="127" t="s">
        <v>87</v>
      </c>
      <c r="G7" s="136">
        <v>1906.5281600000001</v>
      </c>
      <c r="H7" s="113" t="str">
        <f t="shared" si="1"/>
        <v>SG</v>
      </c>
      <c r="I7" s="113" t="str">
        <f>INDEX('ELEC OPS Lookup'!$I:$I,MATCH($A7,'ELEC OPS Lookup'!$A:$A,0))</f>
        <v>T</v>
      </c>
      <c r="J7" s="113" t="str">
        <f>IF('ELEC OPS Jun22data'!$G7=0,"NO",IF(ISNA('ELEC OPS Jun22data'!$I7),"YES",IF(_xlfn.ISFORMULA('ELEC OPS Jun22data'!$I7),"NO","YES")))</f>
        <v>NO</v>
      </c>
      <c r="K7"/>
    </row>
    <row r="8" spans="1:11">
      <c r="A8" s="114" t="str">
        <f t="shared" si="0"/>
        <v>4561100Other Wheeling Rev301973Ancillary Revenue Sch 5&amp;6-Spin&amp;Supp (C&amp;TSG</v>
      </c>
      <c r="B8" s="126" t="s">
        <v>2095</v>
      </c>
      <c r="C8" s="127" t="s">
        <v>1542</v>
      </c>
      <c r="D8" s="126" t="s">
        <v>2103</v>
      </c>
      <c r="E8" s="128" t="s">
        <v>1548</v>
      </c>
      <c r="F8" s="127" t="s">
        <v>87</v>
      </c>
      <c r="G8" s="136">
        <v>2958.1194</v>
      </c>
      <c r="H8" s="113" t="str">
        <f t="shared" si="1"/>
        <v>SG</v>
      </c>
      <c r="I8" s="113" t="str">
        <f>INDEX('ELEC OPS Lookup'!$I:$I,MATCH($A8,'ELEC OPS Lookup'!$A:$A,0))</f>
        <v>T</v>
      </c>
      <c r="J8" s="113" t="str">
        <f>IF('ELEC OPS Jun22data'!$G8=0,"NO",IF(ISNA('ELEC OPS Jun22data'!$I8),"YES",IF(_xlfn.ISFORMULA('ELEC OPS Jun22data'!$I8),"NO","YES")))</f>
        <v>NO</v>
      </c>
      <c r="K8"/>
    </row>
    <row r="9" spans="1:11">
      <c r="A9" s="114" t="str">
        <f t="shared" si="0"/>
        <v>4561100Other Wheeling Rev301974Ancil Revenue Sch 3a-Regulation (C&amp;T)SG</v>
      </c>
      <c r="B9" s="126" t="s">
        <v>2095</v>
      </c>
      <c r="C9" s="127" t="s">
        <v>1542</v>
      </c>
      <c r="D9" s="126" t="s">
        <v>2104</v>
      </c>
      <c r="E9" s="128" t="s">
        <v>1544</v>
      </c>
      <c r="F9" s="127" t="s">
        <v>87</v>
      </c>
      <c r="G9" s="136">
        <v>4541.9147499999999</v>
      </c>
      <c r="H9" s="113" t="str">
        <f t="shared" si="1"/>
        <v>SG</v>
      </c>
      <c r="I9" s="113" t="str">
        <f>INDEX('ELEC OPS Lookup'!$I:$I,MATCH($A9,'ELEC OPS Lookup'!$A:$A,0))</f>
        <v>T</v>
      </c>
      <c r="J9" s="113" t="str">
        <f>IF('ELEC OPS Jun22data'!$G9=0,"NO",IF(ISNA('ELEC OPS Jun22data'!$I9),"YES",IF(_xlfn.ISFORMULA('ELEC OPS Jun22data'!$I9),"NO","YES")))</f>
        <v>NO</v>
      </c>
      <c r="K9"/>
    </row>
    <row r="10" spans="1:11">
      <c r="A10" s="114" t="str">
        <f t="shared" si="0"/>
        <v>4561100Other Wheeling Rev302082I/C Anc Rev Sch 1-Scheduling-Nevada PwrSG</v>
      </c>
      <c r="B10" s="126" t="s">
        <v>2095</v>
      </c>
      <c r="C10" s="127" t="s">
        <v>1542</v>
      </c>
      <c r="D10" s="126" t="s">
        <v>2105</v>
      </c>
      <c r="E10" s="128" t="s">
        <v>1549</v>
      </c>
      <c r="F10" s="127" t="s">
        <v>87</v>
      </c>
      <c r="G10" s="136">
        <v>9.1221099999999993</v>
      </c>
      <c r="H10" s="113" t="str">
        <f t="shared" si="1"/>
        <v>SG</v>
      </c>
      <c r="I10" s="113" t="str">
        <f>INDEX('ELEC OPS Lookup'!$I:$I,MATCH($A10,'ELEC OPS Lookup'!$A:$A,0))</f>
        <v>T</v>
      </c>
      <c r="J10" s="113" t="str">
        <f>IF('ELEC OPS Jun22data'!$G10=0,"NO",IF(ISNA('ELEC OPS Jun22data'!$I10),"YES",IF(_xlfn.ISFORMULA('ELEC OPS Jun22data'!$I10),"NO","YES")))</f>
        <v>NO</v>
      </c>
      <c r="K10"/>
    </row>
    <row r="11" spans="1:11">
      <c r="A11" s="114" t="str">
        <f t="shared" si="0"/>
        <v>4561100Other Wheeling Rev302092I/C Anc Rev Sch 2-Reactive-Nevada PwrSG</v>
      </c>
      <c r="B11" s="126" t="s">
        <v>2095</v>
      </c>
      <c r="C11" s="127" t="s">
        <v>1542</v>
      </c>
      <c r="D11" s="126" t="s">
        <v>2106</v>
      </c>
      <c r="E11" s="128" t="s">
        <v>1550</v>
      </c>
      <c r="F11" s="127" t="s">
        <v>87</v>
      </c>
      <c r="G11" s="136">
        <v>18.23845</v>
      </c>
      <c r="H11" s="113" t="str">
        <f t="shared" si="1"/>
        <v>SG</v>
      </c>
      <c r="I11" s="113" t="str">
        <f>INDEX('ELEC OPS Lookup'!$I:$I,MATCH($A11,'ELEC OPS Lookup'!$A:$A,0))</f>
        <v>T</v>
      </c>
      <c r="J11" s="113" t="str">
        <f>IF('ELEC OPS Jun22data'!$G11=0,"NO",IF(ISNA('ELEC OPS Jun22data'!$I11),"YES",IF(_xlfn.ISFORMULA('ELEC OPS Jun22data'!$I11),"NO","YES")))</f>
        <v>NO</v>
      </c>
      <c r="K11"/>
    </row>
    <row r="12" spans="1:11">
      <c r="A12" s="114" t="str">
        <f t="shared" si="0"/>
        <v>4561100Other Wheeling Rev302831I/C Other Wheeling Revenue-Sierra PacSG</v>
      </c>
      <c r="B12" s="126" t="s">
        <v>2095</v>
      </c>
      <c r="C12" s="127" t="s">
        <v>1542</v>
      </c>
      <c r="D12" s="126" t="s">
        <v>2107</v>
      </c>
      <c r="E12" s="128" t="s">
        <v>1551</v>
      </c>
      <c r="F12" s="127" t="s">
        <v>87</v>
      </c>
      <c r="G12" s="136">
        <v>36.159120000000001</v>
      </c>
      <c r="H12" s="113" t="str">
        <f t="shared" si="1"/>
        <v>SG</v>
      </c>
      <c r="I12" s="113" t="str">
        <f>INDEX('ELEC OPS Lookup'!$I:$I,MATCH($A12,'ELEC OPS Lookup'!$A:$A,0))</f>
        <v>T</v>
      </c>
      <c r="J12" s="113" t="str">
        <f>IF('ELEC OPS Jun22data'!$G12=0,"NO",IF(ISNA('ELEC OPS Jun22data'!$I12),"YES",IF(_xlfn.ISFORMULA('ELEC OPS Jun22data'!$I12),"NO","YES")))</f>
        <v>NO</v>
      </c>
      <c r="K12"/>
    </row>
    <row r="13" spans="1:11">
      <c r="A13" s="114" t="str">
        <f t="shared" si="0"/>
        <v>4561100Other Wheeling Rev302901USE OF FACILITY REVENUESG</v>
      </c>
      <c r="B13" s="126" t="s">
        <v>2095</v>
      </c>
      <c r="C13" s="127" t="s">
        <v>1542</v>
      </c>
      <c r="D13" s="126" t="s">
        <v>2108</v>
      </c>
      <c r="E13" s="128" t="s">
        <v>1555</v>
      </c>
      <c r="F13" s="127" t="s">
        <v>87</v>
      </c>
      <c r="G13" s="136">
        <v>732.71193000000005</v>
      </c>
      <c r="H13" s="113" t="str">
        <f t="shared" si="1"/>
        <v>SG</v>
      </c>
      <c r="I13" s="113" t="str">
        <f>INDEX('ELEC OPS Lookup'!$I:$I,MATCH($A13,'ELEC OPS Lookup'!$A:$A,0))</f>
        <v>T</v>
      </c>
      <c r="J13" s="113" t="str">
        <f>IF('ELEC OPS Jun22data'!$G13=0,"NO",IF(ISNA('ELEC OPS Jun22data'!$I13),"YES",IF(_xlfn.ISFORMULA('ELEC OPS Jun22data'!$I13),"NO","YES")))</f>
        <v>NO</v>
      </c>
      <c r="K13"/>
    </row>
    <row r="14" spans="1:11">
      <c r="A14" s="114" t="str">
        <f t="shared" si="0"/>
        <v>4561100Other Wheeling Rev302981Transmission Resales to Other PartiesSG</v>
      </c>
      <c r="B14" s="126" t="s">
        <v>2095</v>
      </c>
      <c r="C14" s="127" t="s">
        <v>1542</v>
      </c>
      <c r="D14" s="126" t="s">
        <v>3419</v>
      </c>
      <c r="E14" s="128" t="s">
        <v>1553</v>
      </c>
      <c r="F14" s="127" t="s">
        <v>87</v>
      </c>
      <c r="G14" s="136">
        <v>6.01424</v>
      </c>
      <c r="H14" s="113" t="str">
        <f t="shared" si="1"/>
        <v>SG</v>
      </c>
      <c r="I14" s="113" t="str">
        <f>INDEX('ELEC OPS Lookup'!$I:$I,MATCH($A14,'ELEC OPS Lookup'!$A:$A,0))</f>
        <v>T</v>
      </c>
      <c r="J14" s="113" t="str">
        <f>IF('ELEC OPS Jun22data'!$G14=0,"NO",IF(ISNA('ELEC OPS Jun22data'!$I14),"YES",IF(_xlfn.ISFORMULA('ELEC OPS Jun22data'!$I14),"NO","YES")))</f>
        <v>NO</v>
      </c>
      <c r="K14"/>
    </row>
    <row r="15" spans="1:11">
      <c r="A15" s="114" t="str">
        <f t="shared" si="0"/>
        <v>4561100Other Wheeling Rev302982Transmission Rev-Unreserved Use ChargesSG</v>
      </c>
      <c r="B15" s="126" t="s">
        <v>2095</v>
      </c>
      <c r="C15" s="127" t="s">
        <v>1542</v>
      </c>
      <c r="D15" s="126" t="s">
        <v>2109</v>
      </c>
      <c r="E15" s="128" t="s">
        <v>1554</v>
      </c>
      <c r="F15" s="127" t="s">
        <v>87</v>
      </c>
      <c r="G15" s="136">
        <v>465.93526000000003</v>
      </c>
      <c r="H15" s="113" t="str">
        <f t="shared" si="1"/>
        <v>SG</v>
      </c>
      <c r="I15" s="113" t="str">
        <f>INDEX('ELEC OPS Lookup'!$I:$I,MATCH($A15,'ELEC OPS Lookup'!$A:$A,0))</f>
        <v>T</v>
      </c>
      <c r="J15" s="113" t="str">
        <f>IF('ELEC OPS Jun22data'!$G15=0,"NO",IF(ISNA('ELEC OPS Jun22data'!$I15),"YES",IF(_xlfn.ISFORMULA('ELEC OPS Jun22data'!$I15),"NO","YES")))</f>
        <v>NO</v>
      </c>
      <c r="K15"/>
    </row>
    <row r="16" spans="1:11">
      <c r="A16" s="114" t="str">
        <f t="shared" si="0"/>
        <v>4561100Other Wheeling Rev302983Transmission Revenue - Deferral FeesSG</v>
      </c>
      <c r="B16" s="126" t="s">
        <v>2095</v>
      </c>
      <c r="C16" s="127" t="s">
        <v>1542</v>
      </c>
      <c r="D16" s="126" t="s">
        <v>2110</v>
      </c>
      <c r="E16" s="128" t="s">
        <v>1678</v>
      </c>
      <c r="F16" s="127" t="s">
        <v>87</v>
      </c>
      <c r="G16" s="136">
        <v>226.18889999999999</v>
      </c>
      <c r="H16" s="113" t="str">
        <f t="shared" si="1"/>
        <v>SG</v>
      </c>
      <c r="I16" s="113" t="str">
        <f>INDEX('ELEC OPS Lookup'!$I:$I,MATCH($A16,'ELEC OPS Lookup'!$A:$A,0))</f>
        <v>T</v>
      </c>
      <c r="J16" s="113" t="str">
        <f>IF('ELEC OPS Jun22data'!$G16=0,"NO",IF(ISNA('ELEC OPS Jun22data'!$I16),"YES",IF(_xlfn.ISFORMULA('ELEC OPS Jun22data'!$I16),"NO","YES")))</f>
        <v>NO</v>
      </c>
      <c r="K16"/>
    </row>
    <row r="17" spans="1:11">
      <c r="A17" s="114" t="str">
        <f t="shared" si="0"/>
        <v>4561910S/T FIRM WHEEL REV301926SHORT TERM FIRM WHEELINGSG</v>
      </c>
      <c r="B17" s="126" t="s">
        <v>2111</v>
      </c>
      <c r="C17" s="127" t="s">
        <v>1556</v>
      </c>
      <c r="D17" s="126" t="s">
        <v>2112</v>
      </c>
      <c r="E17" s="128" t="s">
        <v>1557</v>
      </c>
      <c r="F17" s="127" t="s">
        <v>87</v>
      </c>
      <c r="G17" s="136">
        <v>7510.8249699999997</v>
      </c>
      <c r="H17" s="113" t="str">
        <f t="shared" si="1"/>
        <v>SG</v>
      </c>
      <c r="I17" s="113" t="str">
        <f>INDEX('ELEC OPS Lookup'!$I:$I,MATCH($A17,'ELEC OPS Lookup'!$A:$A,0))</f>
        <v>T</v>
      </c>
      <c r="J17" s="113" t="str">
        <f>IF('ELEC OPS Jun22data'!$G17=0,"NO",IF(ISNA('ELEC OPS Jun22data'!$I17),"YES",IF(_xlfn.ISFORMULA('ELEC OPS Jun22data'!$I17),"NO","YES")))</f>
        <v>NO</v>
      </c>
      <c r="K17"/>
    </row>
    <row r="18" spans="1:11">
      <c r="A18" s="114" t="str">
        <f t="shared" si="0"/>
        <v>4561920L/T FIRM WHEEL REV301912POST-MERGER FIRM WHEELINGSG</v>
      </c>
      <c r="B18" s="126" t="s">
        <v>2113</v>
      </c>
      <c r="C18" s="127" t="s">
        <v>1558</v>
      </c>
      <c r="D18" s="126" t="s">
        <v>2114</v>
      </c>
      <c r="E18" s="128" t="s">
        <v>1559</v>
      </c>
      <c r="F18" s="127" t="s">
        <v>87</v>
      </c>
      <c r="G18" s="136">
        <v>18984.130949999999</v>
      </c>
      <c r="H18" s="113" t="str">
        <f t="shared" si="1"/>
        <v>SG</v>
      </c>
      <c r="I18" s="113" t="str">
        <f>INDEX('ELEC OPS Lookup'!$I:$I,MATCH($A18,'ELEC OPS Lookup'!$A:$A,0))</f>
        <v>T</v>
      </c>
      <c r="J18" s="113" t="str">
        <f>IF('ELEC OPS Jun22data'!$G18=0,"NO",IF(ISNA('ELEC OPS Jun22data'!$I18),"YES",IF(_xlfn.ISFORMULA('ELEC OPS Jun22data'!$I18),"NO","YES")))</f>
        <v>NO</v>
      </c>
      <c r="K18"/>
    </row>
    <row r="19" spans="1:11">
      <c r="A19" s="114" t="str">
        <f t="shared" si="0"/>
        <v>4561920L/T FIRM WHEEL REV301916PRE-MERGER FIRM WHEELINGSG</v>
      </c>
      <c r="B19" s="126" t="s">
        <v>2113</v>
      </c>
      <c r="C19" s="127" t="s">
        <v>1558</v>
      </c>
      <c r="D19" s="126" t="s">
        <v>2115</v>
      </c>
      <c r="E19" s="128" t="s">
        <v>1560</v>
      </c>
      <c r="F19" s="127" t="s">
        <v>87</v>
      </c>
      <c r="G19" s="136">
        <v>7948.6793699999998</v>
      </c>
      <c r="H19" s="113" t="str">
        <f t="shared" si="1"/>
        <v>SG</v>
      </c>
      <c r="I19" s="113" t="str">
        <f>INDEX('ELEC OPS Lookup'!$I:$I,MATCH($A19,'ELEC OPS Lookup'!$A:$A,0))</f>
        <v>T</v>
      </c>
      <c r="J19" s="113" t="str">
        <f>IF('ELEC OPS Jun22data'!$G19=0,"NO",IF(ISNA('ELEC OPS Jun22data'!$I19),"YES",IF(_xlfn.ISFORMULA('ELEC OPS Jun22data'!$I19),"NO","YES")))</f>
        <v>NO</v>
      </c>
      <c r="K19"/>
    </row>
    <row r="20" spans="1:11">
      <c r="A20" s="114" t="str">
        <f t="shared" si="0"/>
        <v>4561920L/T FIRM WHEEL REV301917PRE-MERGER FIRM WHEELINGSG</v>
      </c>
      <c r="B20" s="126" t="s">
        <v>2113</v>
      </c>
      <c r="C20" s="127" t="s">
        <v>1558</v>
      </c>
      <c r="D20" s="126" t="s">
        <v>2116</v>
      </c>
      <c r="E20" s="128" t="s">
        <v>1560</v>
      </c>
      <c r="F20" s="127" t="s">
        <v>87</v>
      </c>
      <c r="G20" s="136">
        <v>30122.504199999999</v>
      </c>
      <c r="H20" s="113" t="str">
        <f t="shared" si="1"/>
        <v>SG</v>
      </c>
      <c r="I20" s="113" t="str">
        <f>INDEX('ELEC OPS Lookup'!$I:$I,MATCH($A20,'ELEC OPS Lookup'!$A:$A,0))</f>
        <v>T</v>
      </c>
      <c r="J20" s="113" t="str">
        <f>IF('ELEC OPS Jun22data'!$G20=0,"NO",IF(ISNA('ELEC OPS Jun22data'!$I20),"YES",IF(_xlfn.ISFORMULA('ELEC OPS Jun22data'!$I20),"NO","YES")))</f>
        <v>NO</v>
      </c>
      <c r="K20"/>
    </row>
    <row r="21" spans="1:11">
      <c r="A21" s="114" t="str">
        <f t="shared" si="0"/>
        <v>4561920L/T FIRM WHEEL REV302961TRANSM CAPACITY RE-ASSIGNMENT REVENUESG</v>
      </c>
      <c r="B21" s="126" t="s">
        <v>2113</v>
      </c>
      <c r="C21" s="127" t="s">
        <v>1558</v>
      </c>
      <c r="D21" s="126" t="s">
        <v>3420</v>
      </c>
      <c r="E21" s="128" t="s">
        <v>1561</v>
      </c>
      <c r="F21" s="127" t="s">
        <v>87</v>
      </c>
      <c r="G21" s="136">
        <v>0.69808999999999999</v>
      </c>
      <c r="H21" s="113" t="str">
        <f t="shared" si="1"/>
        <v>SG</v>
      </c>
      <c r="I21" s="113" t="str">
        <f>INDEX('ELEC OPS Lookup'!$I:$I,MATCH($A21,'ELEC OPS Lookup'!$A:$A,0))</f>
        <v>T</v>
      </c>
      <c r="J21" s="113" t="str">
        <f>IF('ELEC OPS Jun22data'!$G21=0,"NO",IF(ISNA('ELEC OPS Jun22data'!$I21),"YES",IF(_xlfn.ISFORMULA('ELEC OPS Jun22data'!$I21),"NO","YES")))</f>
        <v>NO</v>
      </c>
      <c r="K21"/>
    </row>
    <row r="22" spans="1:11">
      <c r="A22" s="114" t="str">
        <f t="shared" si="0"/>
        <v>4561920L/T FIRM WHEEL REV302962TRANSM CAPACITY RE-ASSIGNMENT CONTRA REVSG</v>
      </c>
      <c r="B22" s="126" t="s">
        <v>2113</v>
      </c>
      <c r="C22" s="127" t="s">
        <v>1558</v>
      </c>
      <c r="D22" s="126" t="s">
        <v>3421</v>
      </c>
      <c r="E22" s="128" t="s">
        <v>1562</v>
      </c>
      <c r="F22" s="127" t="s">
        <v>87</v>
      </c>
      <c r="G22" s="136">
        <v>-0.69808999999999999</v>
      </c>
      <c r="H22" s="113" t="str">
        <f t="shared" si="1"/>
        <v>SG</v>
      </c>
      <c r="I22" s="113" t="str">
        <f>INDEX('ELEC OPS Lookup'!$I:$I,MATCH($A22,'ELEC OPS Lookup'!$A:$A,0))</f>
        <v>T</v>
      </c>
      <c r="J22" s="113" t="str">
        <f>IF('ELEC OPS Jun22data'!$G22=0,"NO",IF(ISNA('ELEC OPS Jun22data'!$I22),"YES",IF(_xlfn.ISFORMULA('ELEC OPS Jun22data'!$I22),"NO","YES")))</f>
        <v>NO</v>
      </c>
      <c r="K22"/>
    </row>
    <row r="23" spans="1:11">
      <c r="A23" s="114" t="str">
        <f t="shared" si="0"/>
        <v>4561920L/T FIRM WHEEL REV302980Transmisson Point-to-Point RevenueSG</v>
      </c>
      <c r="B23" s="126" t="s">
        <v>2113</v>
      </c>
      <c r="C23" s="127" t="s">
        <v>1558</v>
      </c>
      <c r="D23" s="126" t="s">
        <v>2117</v>
      </c>
      <c r="E23" s="128" t="s">
        <v>1563</v>
      </c>
      <c r="F23" s="127" t="s">
        <v>87</v>
      </c>
      <c r="G23" s="136">
        <v>55772.291440000001</v>
      </c>
      <c r="H23" s="113" t="str">
        <f t="shared" si="1"/>
        <v>SG</v>
      </c>
      <c r="I23" s="113" t="str">
        <f>INDEX('ELEC OPS Lookup'!$I:$I,MATCH($A23,'ELEC OPS Lookup'!$A:$A,0))</f>
        <v>T</v>
      </c>
      <c r="J23" s="113" t="str">
        <f>IF('ELEC OPS Jun22data'!$G23=0,"NO",IF(ISNA('ELEC OPS Jun22data'!$I23),"YES",IF(_xlfn.ISFORMULA('ELEC OPS Jun22data'!$I23),"NO","YES")))</f>
        <v>NO</v>
      </c>
      <c r="K23"/>
    </row>
    <row r="24" spans="1:11">
      <c r="A24" s="114" t="str">
        <f t="shared" si="0"/>
        <v>4561930NON-FIRM WHEEL REV301922NON-FIRM WHEELING REVENUESE</v>
      </c>
      <c r="B24" s="126" t="s">
        <v>2118</v>
      </c>
      <c r="C24" s="127" t="s">
        <v>1564</v>
      </c>
      <c r="D24" s="126" t="s">
        <v>2119</v>
      </c>
      <c r="E24" s="128" t="s">
        <v>1565</v>
      </c>
      <c r="F24" s="127" t="s">
        <v>85</v>
      </c>
      <c r="G24" s="136">
        <v>36047.980669999997</v>
      </c>
      <c r="H24" s="113" t="str">
        <f t="shared" si="1"/>
        <v>SE</v>
      </c>
      <c r="I24" s="113" t="str">
        <f>INDEX('ELEC OPS Lookup'!$I:$I,MATCH($A24,'ELEC OPS Lookup'!$A:$A,0))</f>
        <v>T</v>
      </c>
      <c r="J24" s="113" t="str">
        <f>IF('ELEC OPS Jun22data'!$G24=0,"NO",IF(ISNA('ELEC OPS Jun22data'!$I24),"YES",IF(_xlfn.ISFORMULA('ELEC OPS Jun22data'!$I24),"NO","YES")))</f>
        <v>NO</v>
      </c>
      <c r="K24"/>
    </row>
    <row r="25" spans="1:11">
      <c r="A25" s="114" t="str">
        <f t="shared" si="0"/>
        <v>4561930NON-FIRM WHEEL REV302822I/C Non-Firm Wheeling Revenue-Nevada PwrSE</v>
      </c>
      <c r="B25" s="126" t="s">
        <v>2118</v>
      </c>
      <c r="C25" s="127" t="s">
        <v>1564</v>
      </c>
      <c r="D25" s="126" t="s">
        <v>2120</v>
      </c>
      <c r="E25" s="128" t="s">
        <v>1566</v>
      </c>
      <c r="F25" s="127" t="s">
        <v>85</v>
      </c>
      <c r="G25" s="136">
        <v>426.08362</v>
      </c>
      <c r="H25" s="113" t="str">
        <f t="shared" si="1"/>
        <v>SE</v>
      </c>
      <c r="I25" s="113" t="str">
        <f>INDEX('ELEC OPS Lookup'!$I:$I,MATCH($A25,'ELEC OPS Lookup'!$A:$A,0))</f>
        <v>T</v>
      </c>
      <c r="J25" s="113" t="str">
        <f>IF('ELEC OPS Jun22data'!$G25=0,"NO",IF(ISNA('ELEC OPS Jun22data'!$I25),"YES",IF(_xlfn.ISFORMULA('ELEC OPS Jun22data'!$I25),"NO","YES")))</f>
        <v>NO</v>
      </c>
      <c r="K25"/>
    </row>
    <row r="26" spans="1:11">
      <c r="A26" s="114" t="str">
        <f t="shared" si="0"/>
        <v>4561990TRANSMN REV REFUND301913Transmission Tariff True-upSG</v>
      </c>
      <c r="B26" s="126" t="s">
        <v>2121</v>
      </c>
      <c r="C26" s="127" t="s">
        <v>1567</v>
      </c>
      <c r="D26" s="126" t="s">
        <v>2122</v>
      </c>
      <c r="E26" s="128" t="s">
        <v>1568</v>
      </c>
      <c r="F26" s="127" t="s">
        <v>87</v>
      </c>
      <c r="G26" s="136">
        <v>-1404.76089</v>
      </c>
      <c r="H26" s="113" t="str">
        <f t="shared" si="1"/>
        <v>SG</v>
      </c>
      <c r="I26" s="113" t="str">
        <f>INDEX('ELEC OPS Lookup'!$I:$I,MATCH($A26,'ELEC OPS Lookup'!$A:$A,0))</f>
        <v>T</v>
      </c>
      <c r="J26" s="113" t="str">
        <f>IF('ELEC OPS Jun22data'!$G26=0,"NO",IF(ISNA('ELEC OPS Jun22data'!$I26),"YES",IF(_xlfn.ISFORMULA('ELEC OPS Jun22data'!$I26),"NO","YES")))</f>
        <v>NO</v>
      </c>
      <c r="K26"/>
    </row>
    <row r="27" spans="1:11">
      <c r="A27" s="114" t="str">
        <f t="shared" si="0"/>
        <v>4562100USE OF FACIL REV301911"INCOME FROM FISH, WILDLIFE"SG</v>
      </c>
      <c r="B27" s="126" t="s">
        <v>2123</v>
      </c>
      <c r="C27" s="127" t="s">
        <v>1569</v>
      </c>
      <c r="D27" s="126" t="s">
        <v>2124</v>
      </c>
      <c r="E27" s="128" t="s">
        <v>1570</v>
      </c>
      <c r="F27" s="127" t="s">
        <v>87</v>
      </c>
      <c r="G27" s="136">
        <v>11.355</v>
      </c>
      <c r="H27" s="113" t="str">
        <f t="shared" si="1"/>
        <v>SG</v>
      </c>
      <c r="I27" s="113" t="str">
        <f>INDEX('ELEC OPS Lookup'!$I:$I,MATCH($A27,'ELEC OPS Lookup'!$A:$A,0))</f>
        <v>P</v>
      </c>
      <c r="J27" s="113" t="str">
        <f>IF('ELEC OPS Jun22data'!$G27=0,"NO",IF(ISNA('ELEC OPS Jun22data'!$I27),"YES",IF(_xlfn.ISFORMULA('ELEC OPS Jun22data'!$I27),"NO","YES")))</f>
        <v>NO</v>
      </c>
      <c r="K27"/>
    </row>
    <row r="28" spans="1:11">
      <c r="A28" s="114" t="str">
        <f t="shared" si="0"/>
        <v>4562300MISC OTHER REV301900ELECTRIC INCOME OTHERSITUS</v>
      </c>
      <c r="B28" s="126" t="s">
        <v>2125</v>
      </c>
      <c r="C28" s="127" t="s">
        <v>1571</v>
      </c>
      <c r="D28" s="126" t="s">
        <v>2126</v>
      </c>
      <c r="E28" s="128" t="s">
        <v>1572</v>
      </c>
      <c r="F28" s="127" t="s">
        <v>370</v>
      </c>
      <c r="G28" s="136">
        <v>24</v>
      </c>
      <c r="H28" s="113" t="str">
        <f t="shared" si="1"/>
        <v>SITUS</v>
      </c>
      <c r="I28" s="113" t="str">
        <f>INDEX('ELEC OPS Lookup'!$I:$I,MATCH($A28,'ELEC OPS Lookup'!$A:$A,0))</f>
        <v>P</v>
      </c>
      <c r="J28" s="113" t="str">
        <f>IF('ELEC OPS Jun22data'!$G28=0,"NO",IF(ISNA('ELEC OPS Jun22data'!$I28),"YES",IF(_xlfn.ISFORMULA('ELEC OPS Jun22data'!$I28),"NO","YES")))</f>
        <v>NO</v>
      </c>
      <c r="K28"/>
    </row>
    <row r="29" spans="1:11">
      <c r="A29" s="114" t="str">
        <f t="shared" si="0"/>
        <v>4562300MISC OTHER REV301900ELECTRIC INCOME OTHERSITUS</v>
      </c>
      <c r="B29" s="126" t="s">
        <v>2125</v>
      </c>
      <c r="C29" s="127" t="s">
        <v>1571</v>
      </c>
      <c r="D29" s="126" t="s">
        <v>2126</v>
      </c>
      <c r="E29" s="128" t="s">
        <v>1572</v>
      </c>
      <c r="F29" s="127" t="s">
        <v>378</v>
      </c>
      <c r="G29" s="136">
        <v>5.79E-3</v>
      </c>
      <c r="H29" s="113" t="str">
        <f t="shared" si="1"/>
        <v>SITUS</v>
      </c>
      <c r="I29" s="113" t="str">
        <f>INDEX('ELEC OPS Lookup'!$I:$I,MATCH($A29,'ELEC OPS Lookup'!$A:$A,0))</f>
        <v>P</v>
      </c>
      <c r="J29" s="113" t="str">
        <f>IF('ELEC OPS Jun22data'!$G29=0,"NO",IF(ISNA('ELEC OPS Jun22data'!$I29),"YES",IF(_xlfn.ISFORMULA('ELEC OPS Jun22data'!$I29),"NO","YES")))</f>
        <v>NO</v>
      </c>
      <c r="K29"/>
    </row>
    <row r="30" spans="1:11">
      <c r="A30" s="114" t="str">
        <f t="shared" si="0"/>
        <v>4562300MISC OTHER REV301915OTHER ELEC REV - MISCSITUS</v>
      </c>
      <c r="B30" s="126" t="s">
        <v>2125</v>
      </c>
      <c r="C30" s="127" t="s">
        <v>1571</v>
      </c>
      <c r="D30" s="126" t="s">
        <v>2127</v>
      </c>
      <c r="E30" s="128" t="s">
        <v>1574</v>
      </c>
      <c r="F30" s="127" t="s">
        <v>372</v>
      </c>
      <c r="G30" s="136">
        <v>31.402000000000001</v>
      </c>
      <c r="H30" s="113" t="str">
        <f t="shared" si="1"/>
        <v>SITUS</v>
      </c>
      <c r="I30" s="113" t="str">
        <f>INDEX('ELEC OPS Lookup'!$I:$I,MATCH($A30,'ELEC OPS Lookup'!$A:$A,0))</f>
        <v>P</v>
      </c>
      <c r="J30" s="113" t="str">
        <f>IF('ELEC OPS Jun22data'!$G30=0,"NO",IF(ISNA('ELEC OPS Jun22data'!$I30),"YES",IF(_xlfn.ISFORMULA('ELEC OPS Jun22data'!$I30),"NO","YES")))</f>
        <v>NO</v>
      </c>
      <c r="K30"/>
    </row>
    <row r="31" spans="1:11">
      <c r="A31" s="114" t="str">
        <f t="shared" si="0"/>
        <v>4562300MISC OTHER REV301915OTHER ELEC REV - MISCSG</v>
      </c>
      <c r="B31" s="126" t="s">
        <v>2125</v>
      </c>
      <c r="C31" s="127" t="s">
        <v>1571</v>
      </c>
      <c r="D31" s="126" t="s">
        <v>2127</v>
      </c>
      <c r="E31" s="128" t="s">
        <v>1574</v>
      </c>
      <c r="F31" s="127" t="s">
        <v>87</v>
      </c>
      <c r="G31" s="136">
        <v>1854.7912699999999</v>
      </c>
      <c r="H31" s="113" t="str">
        <f t="shared" si="1"/>
        <v>SG</v>
      </c>
      <c r="I31" s="113" t="str">
        <f>INDEX('ELEC OPS Lookup'!$I:$I,MATCH($A31,'ELEC OPS Lookup'!$A:$A,0))</f>
        <v>P</v>
      </c>
      <c r="J31" s="113" t="str">
        <f>IF('ELEC OPS Jun22data'!$G31=0,"NO",IF(ISNA('ELEC OPS Jun22data'!$I31),"YES",IF(_xlfn.ISFORMULA('ELEC OPS Jun22data'!$I31),"NO","YES")))</f>
        <v>NO</v>
      </c>
      <c r="K31"/>
    </row>
    <row r="32" spans="1:11">
      <c r="A32" s="114" t="str">
        <f t="shared" si="0"/>
        <v>4562300MISC OTHER REV301939Estimated Other Electric RevenueSG</v>
      </c>
      <c r="B32" s="126" t="s">
        <v>2125</v>
      </c>
      <c r="C32" s="127" t="s">
        <v>1571</v>
      </c>
      <c r="D32" s="126" t="s">
        <v>2128</v>
      </c>
      <c r="E32" s="128" t="s">
        <v>1576</v>
      </c>
      <c r="F32" s="127" t="s">
        <v>87</v>
      </c>
      <c r="G32" s="136">
        <v>10.719379999999999</v>
      </c>
      <c r="H32" s="113" t="str">
        <f t="shared" si="1"/>
        <v>SG</v>
      </c>
      <c r="I32" s="113" t="str">
        <f>INDEX('ELEC OPS Lookup'!$I:$I,MATCH($A32,'ELEC OPS Lookup'!$A:$A,0))</f>
        <v>P</v>
      </c>
      <c r="J32" s="113" t="str">
        <f>IF('ELEC OPS Jun22data'!$G32=0,"NO",IF(ISNA('ELEC OPS Jun22data'!$I32),"YES",IF(_xlfn.ISFORMULA('ELEC OPS Jun22data'!$I32),"NO","YES")))</f>
        <v>NO</v>
      </c>
      <c r="K32"/>
    </row>
    <row r="33" spans="1:11">
      <c r="A33" s="114" t="str">
        <f t="shared" si="0"/>
        <v>4562300MISC OTHER REV301940FLYASH &amp; BY-PRODUCT SALESSG</v>
      </c>
      <c r="B33" s="126" t="s">
        <v>2125</v>
      </c>
      <c r="C33" s="127" t="s">
        <v>1571</v>
      </c>
      <c r="D33" s="126" t="s">
        <v>2129</v>
      </c>
      <c r="E33" s="128" t="s">
        <v>1577</v>
      </c>
      <c r="F33" s="127" t="s">
        <v>3106</v>
      </c>
      <c r="G33" s="136">
        <v>823.17812000000004</v>
      </c>
      <c r="H33" s="113" t="str">
        <f t="shared" si="1"/>
        <v>SG</v>
      </c>
      <c r="I33" s="113" t="str">
        <f>INDEX('ELEC OPS Lookup'!$I:$I,MATCH($A33,'ELEC OPS Lookup'!$A:$A,0))</f>
        <v>P</v>
      </c>
      <c r="J33" s="113" t="str">
        <f>IF('ELEC OPS Jun22data'!$G33=0,"NO",IF(ISNA('ELEC OPS Jun22data'!$I33),"YES",IF(_xlfn.ISFORMULA('ELEC OPS Jun22data'!$I33),"NO","YES")))</f>
        <v>NO</v>
      </c>
      <c r="K33"/>
    </row>
    <row r="34" spans="1:11">
      <c r="A34" s="114" t="str">
        <f t="shared" ref="A34:A65" si="2">CONCATENATE($B34,$C34,$D34,$E34,$H34)</f>
        <v>4562300MISC OTHER REV301940FLYASH &amp; BY-PRODUCT SALESSG</v>
      </c>
      <c r="B34" s="126" t="s">
        <v>2125</v>
      </c>
      <c r="C34" s="127" t="s">
        <v>1571</v>
      </c>
      <c r="D34" s="126" t="s">
        <v>2129</v>
      </c>
      <c r="E34" s="128" t="s">
        <v>1577</v>
      </c>
      <c r="F34" s="127" t="s">
        <v>3107</v>
      </c>
      <c r="G34" s="136">
        <v>14762.50445</v>
      </c>
      <c r="H34" s="113" t="str">
        <f t="shared" si="1"/>
        <v>SG</v>
      </c>
      <c r="I34" s="113" t="str">
        <f>INDEX('ELEC OPS Lookup'!$I:$I,MATCH($A34,'ELEC OPS Lookup'!$A:$A,0))</f>
        <v>P</v>
      </c>
      <c r="J34" s="113" t="str">
        <f>IF('ELEC OPS Jun22data'!$G34=0,"NO",IF(ISNA('ELEC OPS Jun22data'!$I34),"YES",IF(_xlfn.ISFORMULA('ELEC OPS Jun22data'!$I34),"NO","YES")))</f>
        <v>NO</v>
      </c>
      <c r="K34"/>
    </row>
    <row r="35" spans="1:11">
      <c r="A35" s="114" t="str">
        <f t="shared" si="2"/>
        <v>4562300MISC OTHER REV301949THIRD PARTY TRN O&amp;M REVSG</v>
      </c>
      <c r="B35" s="126" t="s">
        <v>2125</v>
      </c>
      <c r="C35" s="127" t="s">
        <v>1571</v>
      </c>
      <c r="D35" s="126" t="s">
        <v>2130</v>
      </c>
      <c r="E35" s="128" t="s">
        <v>1578</v>
      </c>
      <c r="F35" s="127" t="s">
        <v>3108</v>
      </c>
      <c r="G35" s="136">
        <v>83.638909999999996</v>
      </c>
      <c r="H35" s="113" t="str">
        <f t="shared" si="1"/>
        <v>SG</v>
      </c>
      <c r="I35" s="113" t="str">
        <f>INDEX('ELEC OPS Lookup'!$I:$I,MATCH($A35,'ELEC OPS Lookup'!$A:$A,0))</f>
        <v>T</v>
      </c>
      <c r="J35" s="113" t="str">
        <f>IF('ELEC OPS Jun22data'!$G35=0,"NO",IF(ISNA('ELEC OPS Jun22data'!$I35),"YES",IF(_xlfn.ISFORMULA('ELEC OPS Jun22data'!$I35),"NO","YES")))</f>
        <v>NO</v>
      </c>
      <c r="K35"/>
    </row>
    <row r="36" spans="1:11">
      <c r="A36" s="114" t="str">
        <f t="shared" si="2"/>
        <v>4562300MISC OTHER REV301949THIRD PARTY TRN O&amp;M REVSG</v>
      </c>
      <c r="B36" s="126" t="s">
        <v>2125</v>
      </c>
      <c r="C36" s="127" t="s">
        <v>1571</v>
      </c>
      <c r="D36" s="126" t="s">
        <v>2130</v>
      </c>
      <c r="E36" s="128" t="s">
        <v>1578</v>
      </c>
      <c r="F36" s="127" t="s">
        <v>87</v>
      </c>
      <c r="G36" s="136">
        <v>319.50303000000002</v>
      </c>
      <c r="H36" s="113" t="str">
        <f t="shared" si="1"/>
        <v>SG</v>
      </c>
      <c r="I36" s="113" t="str">
        <f>INDEX('ELEC OPS Lookup'!$I:$I,MATCH($A36,'ELEC OPS Lookup'!$A:$A,0))</f>
        <v>T</v>
      </c>
      <c r="J36" s="113" t="str">
        <f>IF('ELEC OPS Jun22data'!$G36=0,"NO",IF(ISNA('ELEC OPS Jun22data'!$I36),"YES",IF(_xlfn.ISFORMULA('ELEC OPS Jun22data'!$I36),"NO","YES")))</f>
        <v>NO</v>
      </c>
      <c r="K36"/>
    </row>
    <row r="37" spans="1:11">
      <c r="A37" s="114" t="str">
        <f t="shared" si="2"/>
        <v>4562300MISC OTHER REV301951NON-WHEELING SYS REVSG</v>
      </c>
      <c r="B37" s="126" t="s">
        <v>2125</v>
      </c>
      <c r="C37" s="127" t="s">
        <v>1571</v>
      </c>
      <c r="D37" s="126" t="s">
        <v>2131</v>
      </c>
      <c r="E37" s="128" t="s">
        <v>1579</v>
      </c>
      <c r="F37" s="127" t="s">
        <v>87</v>
      </c>
      <c r="G37" s="136">
        <v>259.01735000000002</v>
      </c>
      <c r="H37" s="113" t="str">
        <f t="shared" si="1"/>
        <v>SG</v>
      </c>
      <c r="I37" s="113" t="str">
        <f>INDEX('ELEC OPS Lookup'!$I:$I,MATCH($A37,'ELEC OPS Lookup'!$A:$A,0))</f>
        <v>P</v>
      </c>
      <c r="J37" s="113" t="str">
        <f>IF('ELEC OPS Jun22data'!$G37=0,"NO",IF(ISNA('ELEC OPS Jun22data'!$I37),"YES",IF(_xlfn.ISFORMULA('ELEC OPS Jun22data'!$I37),"NO","YES")))</f>
        <v>NO</v>
      </c>
      <c r="K37"/>
    </row>
    <row r="38" spans="1:11">
      <c r="A38" s="114" t="str">
        <f t="shared" si="2"/>
        <v>4562300MISC OTHER REV301955OTHER REV WY REG KENNECOTTSITUS</v>
      </c>
      <c r="B38" s="126" t="s">
        <v>2125</v>
      </c>
      <c r="C38" s="127" t="s">
        <v>1571</v>
      </c>
      <c r="D38" s="126" t="s">
        <v>2132</v>
      </c>
      <c r="E38" s="128" t="s">
        <v>1575</v>
      </c>
      <c r="F38" s="127" t="s">
        <v>386</v>
      </c>
      <c r="G38" s="136">
        <v>161.36165</v>
      </c>
      <c r="H38" s="113" t="str">
        <f t="shared" si="1"/>
        <v>SITUS</v>
      </c>
      <c r="I38" s="113" t="str">
        <f>INDEX('ELEC OPS Lookup'!$I:$I,MATCH($A38,'ELEC OPS Lookup'!$A:$A,0))</f>
        <v>P</v>
      </c>
      <c r="J38" s="113" t="str">
        <f>IF('ELEC OPS Jun22data'!$G38=0,"NO",IF(ISNA('ELEC OPS Jun22data'!$I38),"YES",IF(_xlfn.ISFORMULA('ELEC OPS Jun22data'!$I38),"NO","YES")))</f>
        <v>NO</v>
      </c>
      <c r="K38"/>
    </row>
    <row r="39" spans="1:11">
      <c r="A39" s="114" t="str">
        <f t="shared" si="2"/>
        <v>4562300MISC OTHER REV301958Wind-based Ancillary Services EstimateSG</v>
      </c>
      <c r="B39" s="126" t="s">
        <v>2125</v>
      </c>
      <c r="C39" s="127" t="s">
        <v>1571</v>
      </c>
      <c r="D39" s="126" t="s">
        <v>2133</v>
      </c>
      <c r="E39" s="128" t="s">
        <v>1580</v>
      </c>
      <c r="F39" s="127" t="s">
        <v>87</v>
      </c>
      <c r="G39" s="136">
        <v>-772.19984999999997</v>
      </c>
      <c r="H39" s="113" t="str">
        <f t="shared" si="1"/>
        <v>SG</v>
      </c>
      <c r="I39" s="113" t="str">
        <f>INDEX('ELEC OPS Lookup'!$I:$I,MATCH($A39,'ELEC OPS Lookup'!$A:$A,0))</f>
        <v>P</v>
      </c>
      <c r="J39" s="113" t="str">
        <f>IF('ELEC OPS Jun22data'!$G39=0,"NO",IF(ISNA('ELEC OPS Jun22data'!$I39),"YES",IF(_xlfn.ISFORMULA('ELEC OPS Jun22data'!$I39),"NO","YES")))</f>
        <v>NO</v>
      </c>
      <c r="K39"/>
    </row>
    <row r="40" spans="1:11">
      <c r="A40" s="114" t="str">
        <f t="shared" si="2"/>
        <v>4562300MISC OTHER REV301959Wind-based Ancillary Services/RevenueSG</v>
      </c>
      <c r="B40" s="126" t="s">
        <v>2125</v>
      </c>
      <c r="C40" s="127" t="s">
        <v>1571</v>
      </c>
      <c r="D40" s="126" t="s">
        <v>2134</v>
      </c>
      <c r="E40" s="128" t="s">
        <v>1581</v>
      </c>
      <c r="F40" s="127" t="s">
        <v>87</v>
      </c>
      <c r="G40" s="136">
        <v>6114.8011200000001</v>
      </c>
      <c r="H40" s="113" t="str">
        <f t="shared" si="1"/>
        <v>SG</v>
      </c>
      <c r="I40" s="113" t="str">
        <f>INDEX('ELEC OPS Lookup'!$I:$I,MATCH($A40,'ELEC OPS Lookup'!$A:$A,0))</f>
        <v>P</v>
      </c>
      <c r="J40" s="113" t="str">
        <f>IF('ELEC OPS Jun22data'!$G40=0,"NO",IF(ISNA('ELEC OPS Jun22data'!$I40),"YES",IF(_xlfn.ISFORMULA('ELEC OPS Jun22data'!$I40),"NO","YES")))</f>
        <v>NO</v>
      </c>
      <c r="K40"/>
    </row>
    <row r="41" spans="1:11">
      <c r="A41" s="114" t="str">
        <f t="shared" si="2"/>
        <v>4562300MISC OTHER REV302071I/C Transmission O&amp;M Revenue-Sierra PacSG</v>
      </c>
      <c r="B41" s="126" t="s">
        <v>2125</v>
      </c>
      <c r="C41" s="127" t="s">
        <v>1571</v>
      </c>
      <c r="D41" s="126" t="s">
        <v>2135</v>
      </c>
      <c r="E41" s="128" t="s">
        <v>1582</v>
      </c>
      <c r="F41" s="127" t="s">
        <v>87</v>
      </c>
      <c r="G41" s="136">
        <v>8.1370299999999993</v>
      </c>
      <c r="H41" s="113" t="str">
        <f t="shared" si="1"/>
        <v>SG</v>
      </c>
      <c r="I41" s="113" t="str">
        <f>INDEX('ELEC OPS Lookup'!$I:$I,MATCH($A41,'ELEC OPS Lookup'!$A:$A,0))</f>
        <v>T</v>
      </c>
      <c r="J41" s="113" t="str">
        <f>IF('ELEC OPS Jun22data'!$G41=0,"NO",IF(ISNA('ELEC OPS Jun22data'!$I41),"YES",IF(_xlfn.ISFORMULA('ELEC OPS Jun22data'!$I41),"NO","YES")))</f>
        <v>NO</v>
      </c>
      <c r="K41"/>
    </row>
    <row r="42" spans="1:11">
      <c r="A42" s="114" t="str">
        <f t="shared" si="2"/>
        <v>4562300MISC OTHER REV361000STEAM SALESSG</v>
      </c>
      <c r="B42" s="126" t="s">
        <v>2125</v>
      </c>
      <c r="C42" s="127" t="s">
        <v>1571</v>
      </c>
      <c r="D42" s="126" t="s">
        <v>2136</v>
      </c>
      <c r="E42" s="128" t="s">
        <v>1583</v>
      </c>
      <c r="F42" s="127" t="s">
        <v>3106</v>
      </c>
      <c r="G42" s="136">
        <v>109.39337999999999</v>
      </c>
      <c r="H42" s="113" t="str">
        <f t="shared" si="1"/>
        <v>SG</v>
      </c>
      <c r="I42" s="113" t="str">
        <f>INDEX('ELEC OPS Lookup'!$I:$I,MATCH($A42,'ELEC OPS Lookup'!$A:$A,0))</f>
        <v>P</v>
      </c>
      <c r="J42" s="113" t="str">
        <f>IF('ELEC OPS Jun22data'!$G42=0,"NO",IF(ISNA('ELEC OPS Jun22data'!$I42),"YES",IF(_xlfn.ISFORMULA('ELEC OPS Jun22data'!$I42),"NO","YES")))</f>
        <v>NO</v>
      </c>
      <c r="K42"/>
    </row>
    <row r="43" spans="1:11">
      <c r="A43" s="114" t="str">
        <f t="shared" si="2"/>
        <v>4562300MISC OTHER REV361000STEAM SALESSG</v>
      </c>
      <c r="B43" s="126" t="s">
        <v>2125</v>
      </c>
      <c r="C43" s="127" t="s">
        <v>1571</v>
      </c>
      <c r="D43" s="126" t="s">
        <v>2136</v>
      </c>
      <c r="E43" s="128" t="s">
        <v>1583</v>
      </c>
      <c r="F43" s="127" t="s">
        <v>3108</v>
      </c>
      <c r="G43" s="136">
        <v>671.33226999999999</v>
      </c>
      <c r="H43" s="113" t="str">
        <f t="shared" si="1"/>
        <v>SG</v>
      </c>
      <c r="I43" s="113" t="str">
        <f>INDEX('ELEC OPS Lookup'!$I:$I,MATCH($A43,'ELEC OPS Lookup'!$A:$A,0))</f>
        <v>P</v>
      </c>
      <c r="J43" s="113" t="str">
        <f>IF('ELEC OPS Jun22data'!$G43=0,"NO",IF(ISNA('ELEC OPS Jun22data'!$I43),"YES",IF(_xlfn.ISFORMULA('ELEC OPS Jun22data'!$I43),"NO","YES")))</f>
        <v>NO</v>
      </c>
      <c r="K43"/>
    </row>
    <row r="44" spans="1:11">
      <c r="A44" s="114" t="str">
        <f t="shared" si="2"/>
        <v>4562300MISC OTHER REV374400Timber Sales - Utility PropertySG</v>
      </c>
      <c r="B44" s="126" t="s">
        <v>2125</v>
      </c>
      <c r="C44" s="127" t="s">
        <v>1571</v>
      </c>
      <c r="D44" s="126" t="s">
        <v>2137</v>
      </c>
      <c r="E44" s="128" t="s">
        <v>1584</v>
      </c>
      <c r="F44" s="127" t="s">
        <v>87</v>
      </c>
      <c r="G44" s="136">
        <v>762.60806000000002</v>
      </c>
      <c r="H44" s="113" t="str">
        <f t="shared" si="1"/>
        <v>SG</v>
      </c>
      <c r="I44" s="113" t="str">
        <f>INDEX('ELEC OPS Lookup'!$I:$I,MATCH($A44,'ELEC OPS Lookup'!$A:$A,0))</f>
        <v>P</v>
      </c>
      <c r="J44" s="113" t="str">
        <f>IF('ELEC OPS Jun22data'!$G44=0,"NO",IF(ISNA('ELEC OPS Jun22data'!$I44),"YES",IF(_xlfn.ISFORMULA('ELEC OPS Jun22data'!$I44),"NO","YES")))</f>
        <v>NO</v>
      </c>
      <c r="K44"/>
    </row>
    <row r="45" spans="1:11">
      <c r="A45" s="114" t="str">
        <f t="shared" si="2"/>
        <v>4562300MISC OTHER REV610004BlankOTHER</v>
      </c>
      <c r="B45" s="126" t="s">
        <v>2125</v>
      </c>
      <c r="C45" s="127" t="s">
        <v>1571</v>
      </c>
      <c r="D45" s="126" t="s">
        <v>2138</v>
      </c>
      <c r="E45" s="128" t="s">
        <v>2139</v>
      </c>
      <c r="F45" s="127" t="s">
        <v>306</v>
      </c>
      <c r="G45" s="136">
        <v>-0.10388</v>
      </c>
      <c r="H45" s="113" t="str">
        <f t="shared" si="1"/>
        <v>OTHER</v>
      </c>
      <c r="I45" s="113" t="str">
        <f>INDEX('ELEC OPS Lookup'!$I:$I,MATCH($A45,'ELEC OPS Lookup'!$A:$A,0))</f>
        <v>P</v>
      </c>
      <c r="J45" s="113" t="str">
        <f>IF('ELEC OPS Jun22data'!$G45=0,"NO",IF(ISNA('ELEC OPS Jun22data'!$I45),"YES",IF(_xlfn.ISFORMULA('ELEC OPS Jun22data'!$I45),"NO","YES")))</f>
        <v>NO</v>
      </c>
      <c r="K45"/>
    </row>
    <row r="46" spans="1:11">
      <c r="A46" s="114" t="str">
        <f t="shared" si="2"/>
        <v>4562300MISC OTHER REV701010Labor Costs Settled to CapitalOTHER</v>
      </c>
      <c r="B46" s="126" t="s">
        <v>2125</v>
      </c>
      <c r="C46" s="127" t="s">
        <v>1571</v>
      </c>
      <c r="D46" s="126" t="s">
        <v>2140</v>
      </c>
      <c r="E46" s="128" t="s">
        <v>2141</v>
      </c>
      <c r="F46" s="127" t="s">
        <v>306</v>
      </c>
      <c r="G46" s="136">
        <v>0.10388</v>
      </c>
      <c r="H46" s="113" t="str">
        <f t="shared" si="1"/>
        <v>OTHER</v>
      </c>
      <c r="I46" s="113" t="str">
        <f>INDEX('ELEC OPS Lookup'!$I:$I,MATCH($A46,'ELEC OPS Lookup'!$A:$A,0))</f>
        <v>P</v>
      </c>
      <c r="J46" s="113" t="str">
        <f>IF('ELEC OPS Jun22data'!$G46=0,"NO",IF(ISNA('ELEC OPS Jun22data'!$I46),"YES",IF(_xlfn.ISFORMULA('ELEC OPS Jun22data'!$I46),"NO","YES")))</f>
        <v>NO</v>
      </c>
      <c r="K46"/>
    </row>
    <row r="47" spans="1:11">
      <c r="A47" s="114" t="str">
        <f t="shared" si="2"/>
        <v>4562310EIM - MISCELLANEOUS308001EIM Rev-Forecasting Fee: Pac to TCSG</v>
      </c>
      <c r="B47" s="126" t="s">
        <v>2142</v>
      </c>
      <c r="C47" s="127" t="s">
        <v>1585</v>
      </c>
      <c r="D47" s="126" t="s">
        <v>2143</v>
      </c>
      <c r="E47" s="128" t="s">
        <v>1586</v>
      </c>
      <c r="F47" s="127" t="s">
        <v>87</v>
      </c>
      <c r="G47" s="136">
        <v>15.349030000000001</v>
      </c>
      <c r="H47" s="113" t="str">
        <f t="shared" si="1"/>
        <v>SG</v>
      </c>
      <c r="I47" s="113" t="str">
        <f>INDEX('ELEC OPS Lookup'!$I:$I,MATCH($A47,'ELEC OPS Lookup'!$A:$A,0))</f>
        <v>P</v>
      </c>
      <c r="J47" s="113" t="str">
        <f>IF('ELEC OPS Jun22data'!$G47=0,"NO",IF(ISNA('ELEC OPS Jun22data'!$I47),"YES",IF(_xlfn.ISFORMULA('ELEC OPS Jun22data'!$I47),"NO","YES")))</f>
        <v>NO</v>
      </c>
      <c r="K47"/>
    </row>
    <row r="48" spans="1:11">
      <c r="A48" s="114" t="str">
        <f t="shared" si="2"/>
        <v>4562400M&amp;S INVENTORY SALES362950M&amp;S INVENTORY SALESSG</v>
      </c>
      <c r="B48" s="126" t="s">
        <v>2144</v>
      </c>
      <c r="C48" s="127" t="s">
        <v>1587</v>
      </c>
      <c r="D48" s="126" t="s">
        <v>2145</v>
      </c>
      <c r="E48" s="128" t="s">
        <v>1587</v>
      </c>
      <c r="F48" s="127" t="s">
        <v>3106</v>
      </c>
      <c r="G48" s="136">
        <v>0.60843000000000003</v>
      </c>
      <c r="H48" s="113" t="str">
        <f t="shared" si="1"/>
        <v>SG</v>
      </c>
      <c r="I48" s="113" t="str">
        <f>INDEX('ELEC OPS Lookup'!$I:$I,MATCH($A48,'ELEC OPS Lookup'!$A:$A,0))</f>
        <v>P</v>
      </c>
      <c r="J48" s="113" t="str">
        <f>IF('ELEC OPS Jun22data'!$G48=0,"NO",IF(ISNA('ELEC OPS Jun22data'!$I48),"YES",IF(_xlfn.ISFORMULA('ELEC OPS Jun22data'!$I48),"NO","YES")))</f>
        <v>NO</v>
      </c>
      <c r="K48"/>
    </row>
    <row r="49" spans="1:11">
      <c r="A49" s="114" t="str">
        <f t="shared" si="2"/>
        <v>4562400M&amp;S INVENTORY SALES362950M&amp;S INVENTORY SALESSG</v>
      </c>
      <c r="B49" s="126" t="s">
        <v>2144</v>
      </c>
      <c r="C49" s="127" t="s">
        <v>1587</v>
      </c>
      <c r="D49" s="126" t="s">
        <v>2145</v>
      </c>
      <c r="E49" s="128" t="s">
        <v>1587</v>
      </c>
      <c r="F49" s="127" t="s">
        <v>87</v>
      </c>
      <c r="G49" s="136">
        <v>0.53091999999999995</v>
      </c>
      <c r="H49" s="113" t="str">
        <f t="shared" si="1"/>
        <v>SG</v>
      </c>
      <c r="I49" s="113" t="str">
        <f>INDEX('ELEC OPS Lookup'!$I:$I,MATCH($A49,'ELEC OPS Lookup'!$A:$A,0))</f>
        <v>P</v>
      </c>
      <c r="J49" s="113" t="str">
        <f>IF('ELEC OPS Jun22data'!$G49=0,"NO",IF(ISNA('ELEC OPS Jun22data'!$I49),"YES",IF(_xlfn.ISFORMULA('ELEC OPS Jun22data'!$I49),"NO","YES")))</f>
        <v>NO</v>
      </c>
      <c r="K49"/>
    </row>
    <row r="50" spans="1:11">
      <c r="A50" s="114" t="str">
        <f t="shared" si="2"/>
        <v>4562400M&amp;S INVENTORY SALES362950M&amp;S INVENTORY SALESSO</v>
      </c>
      <c r="B50" s="126" t="s">
        <v>2144</v>
      </c>
      <c r="C50" s="127" t="s">
        <v>1587</v>
      </c>
      <c r="D50" s="126" t="s">
        <v>2145</v>
      </c>
      <c r="E50" s="128" t="s">
        <v>1587</v>
      </c>
      <c r="F50" s="127" t="s">
        <v>89</v>
      </c>
      <c r="G50" s="136">
        <v>2.9492699999999998</v>
      </c>
      <c r="H50" s="113" t="str">
        <f t="shared" si="1"/>
        <v>SO</v>
      </c>
      <c r="I50" s="113" t="str">
        <f>INDEX('ELEC OPS Lookup'!$I:$I,MATCH($A50,'ELEC OPS Lookup'!$A:$A,0))</f>
        <v>PTD</v>
      </c>
      <c r="J50" s="113" t="str">
        <f>IF('ELEC OPS Jun22data'!$G50=0,"NO",IF(ISNA('ELEC OPS Jun22data'!$I50),"YES",IF(_xlfn.ISFORMULA('ELEC OPS Jun22data'!$I50),"NO","YES")))</f>
        <v>NO</v>
      </c>
      <c r="K50"/>
    </row>
    <row r="51" spans="1:11">
      <c r="A51" s="114" t="str">
        <f t="shared" si="2"/>
        <v>4562400M&amp;S INVENTORY SALES362950M&amp;S INVENTORY SALESSITUS</v>
      </c>
      <c r="B51" s="126" t="s">
        <v>2144</v>
      </c>
      <c r="C51" s="127" t="s">
        <v>1587</v>
      </c>
      <c r="D51" s="126" t="s">
        <v>2145</v>
      </c>
      <c r="E51" s="128" t="s">
        <v>1587</v>
      </c>
      <c r="F51" s="127" t="s">
        <v>370</v>
      </c>
      <c r="G51" s="136">
        <v>352.18283000000002</v>
      </c>
      <c r="H51" s="113" t="str">
        <f t="shared" si="1"/>
        <v>SITUS</v>
      </c>
      <c r="I51" s="113" t="str">
        <f>INDEX('ELEC OPS Lookup'!$I:$I,MATCH($A51,'ELEC OPS Lookup'!$A:$A,0))</f>
        <v>PTD</v>
      </c>
      <c r="J51" s="113" t="str">
        <f>IF('ELEC OPS Jun22data'!$G51=0,"NO",IF(ISNA('ELEC OPS Jun22data'!$I51),"YES",IF(_xlfn.ISFORMULA('ELEC OPS Jun22data'!$I51),"NO","YES")))</f>
        <v>NO</v>
      </c>
      <c r="K51"/>
    </row>
    <row r="52" spans="1:11">
      <c r="A52" s="114" t="str">
        <f t="shared" si="2"/>
        <v>4562400M&amp;S INVENTORY SALES362950M&amp;S INVENTORY SALESSITUS</v>
      </c>
      <c r="B52" s="127" t="s">
        <v>2144</v>
      </c>
      <c r="C52" s="127" t="s">
        <v>1587</v>
      </c>
      <c r="D52" s="127" t="s">
        <v>2145</v>
      </c>
      <c r="E52" s="128" t="s">
        <v>1587</v>
      </c>
      <c r="F52" s="127" t="s">
        <v>386</v>
      </c>
      <c r="G52" s="137">
        <v>0.32800000000000001</v>
      </c>
      <c r="H52" s="113" t="str">
        <f t="shared" si="1"/>
        <v>SITUS</v>
      </c>
      <c r="I52" s="113" t="str">
        <f>INDEX('ELEC OPS Lookup'!$I:$I,MATCH($A52,'ELEC OPS Lookup'!$A:$A,0))</f>
        <v>PTD</v>
      </c>
      <c r="J52" s="113" t="str">
        <f>IF('ELEC OPS Jun22data'!$G52=0,"NO",IF(ISNA('ELEC OPS Jun22data'!$I52),"YES",IF(_xlfn.ISFORMULA('ELEC OPS Jun22data'!$I52),"NO","YES")))</f>
        <v>NO</v>
      </c>
      <c r="K52"/>
    </row>
    <row r="53" spans="1:11">
      <c r="A53" s="114" t="str">
        <f t="shared" si="2"/>
        <v>4562500M&amp;S INV COST OF SALE514950M&amp;S INVENTORY COST OF SALESSITUS</v>
      </c>
      <c r="B53" s="127" t="s">
        <v>2146</v>
      </c>
      <c r="C53" s="127" t="s">
        <v>1588</v>
      </c>
      <c r="D53" s="127" t="s">
        <v>2147</v>
      </c>
      <c r="E53" s="128" t="s">
        <v>1589</v>
      </c>
      <c r="F53" s="127" t="s">
        <v>370</v>
      </c>
      <c r="G53" s="136">
        <v>-539.19860000000006</v>
      </c>
      <c r="H53" s="113" t="str">
        <f t="shared" si="1"/>
        <v>SITUS</v>
      </c>
      <c r="I53" s="113" t="str">
        <f>INDEX('ELEC OPS Lookup'!$I:$I,MATCH($A53,'ELEC OPS Lookup'!$A:$A,0))</f>
        <v>PTD</v>
      </c>
      <c r="J53" s="113" t="str">
        <f>IF('ELEC OPS Jun22data'!$G53=0,"NO",IF(ISNA('ELEC OPS Jun22data'!$I53),"YES",IF(_xlfn.ISFORMULA('ELEC OPS Jun22data'!$I53),"NO","YES")))</f>
        <v>NO</v>
      </c>
      <c r="K53" s="113"/>
    </row>
    <row r="54" spans="1:11">
      <c r="A54" s="114" t="str">
        <f t="shared" si="2"/>
        <v>4562700RNW ENRGY CRDT SALES301943Renewable Energy Credit Sales-DeferralOTHER</v>
      </c>
      <c r="B54" s="127" t="s">
        <v>1807</v>
      </c>
      <c r="C54" s="127" t="s">
        <v>1590</v>
      </c>
      <c r="D54" s="127" t="s">
        <v>2148</v>
      </c>
      <c r="E54" s="128" t="s">
        <v>1591</v>
      </c>
      <c r="F54" s="127" t="s">
        <v>306</v>
      </c>
      <c r="G54" s="136">
        <v>-1691.5192099999999</v>
      </c>
      <c r="H54" s="113" t="str">
        <f t="shared" si="1"/>
        <v>OTHER</v>
      </c>
      <c r="I54" s="113" t="str">
        <f>INDEX('ELEC OPS Lookup'!$I:$I,MATCH($A54,'ELEC OPS Lookup'!$A:$A,0))</f>
        <v>P</v>
      </c>
      <c r="J54" s="113" t="str">
        <f>IF('ELEC OPS Jun22data'!$G54=0,"NO",IF(ISNA('ELEC OPS Jun22data'!$I54),"YES",IF(_xlfn.ISFORMULA('ELEC OPS Jun22data'!$I54),"NO","YES")))</f>
        <v>NO</v>
      </c>
    </row>
    <row r="55" spans="1:11">
      <c r="A55" s="114" t="str">
        <f t="shared" si="2"/>
        <v>4562700RNW ENRGY CRDT SALES301944Renewable Energy Credit Sales-EstimateOTHER</v>
      </c>
      <c r="B55" s="127" t="s">
        <v>1807</v>
      </c>
      <c r="C55" s="127" t="s">
        <v>1590</v>
      </c>
      <c r="D55" s="127" t="s">
        <v>2149</v>
      </c>
      <c r="E55" s="128" t="s">
        <v>1592</v>
      </c>
      <c r="F55" s="127" t="s">
        <v>306</v>
      </c>
      <c r="G55" s="136">
        <v>191.45312999999999</v>
      </c>
      <c r="H55" s="113" t="str">
        <f t="shared" si="1"/>
        <v>OTHER</v>
      </c>
      <c r="I55" s="113" t="str">
        <f>INDEX('ELEC OPS Lookup'!$I:$I,MATCH($A55,'ELEC OPS Lookup'!$A:$A,0))</f>
        <v>P</v>
      </c>
      <c r="J55" s="113" t="str">
        <f>IF('ELEC OPS Jun22data'!$G55=0,"NO",IF(ISNA('ELEC OPS Jun22data'!$I55),"YES",IF(_xlfn.ISFORMULA('ELEC OPS Jun22data'!$I55),"NO","YES")))</f>
        <v>NO</v>
      </c>
    </row>
    <row r="56" spans="1:11">
      <c r="A56" s="114" t="str">
        <f t="shared" si="2"/>
        <v>4562700RNW ENRGY CRDT SALES301945Renewable Energy Credit SalesOTHER</v>
      </c>
      <c r="B56" s="127" t="s">
        <v>1807</v>
      </c>
      <c r="C56" s="127" t="s">
        <v>1590</v>
      </c>
      <c r="D56" s="127" t="s">
        <v>2150</v>
      </c>
      <c r="E56" s="128" t="s">
        <v>1593</v>
      </c>
      <c r="F56" s="127" t="s">
        <v>306</v>
      </c>
      <c r="G56" s="136">
        <v>6939.64815</v>
      </c>
      <c r="H56" s="113" t="str">
        <f t="shared" si="1"/>
        <v>OTHER</v>
      </c>
      <c r="I56" s="113" t="str">
        <f>INDEX('ELEC OPS Lookup'!$I:$I,MATCH($A56,'ELEC OPS Lookup'!$A:$A,0))</f>
        <v>P</v>
      </c>
      <c r="J56" s="113" t="str">
        <f>IF('ELEC OPS Jun22data'!$G56=0,"NO",IF(ISNA('ELEC OPS Jun22data'!$I56),"YES",IF(_xlfn.ISFORMULA('ELEC OPS Jun22data'!$I56),"NO","YES")))</f>
        <v>NO</v>
      </c>
    </row>
    <row r="57" spans="1:11">
      <c r="A57" s="114" t="str">
        <f t="shared" si="2"/>
        <v>4562700RNW ENRGY CRDT SALES352943Renwbl En Cr Sls-AmtOTHER</v>
      </c>
      <c r="B57" s="127" t="s">
        <v>1807</v>
      </c>
      <c r="C57" s="127" t="s">
        <v>1590</v>
      </c>
      <c r="D57" s="127" t="s">
        <v>2151</v>
      </c>
      <c r="E57" s="128" t="s">
        <v>1594</v>
      </c>
      <c r="F57" s="127" t="s">
        <v>306</v>
      </c>
      <c r="G57" s="136">
        <v>1321.1662899999999</v>
      </c>
      <c r="H57" s="113" t="str">
        <f t="shared" si="1"/>
        <v>OTHER</v>
      </c>
      <c r="I57" s="113" t="str">
        <f>INDEX('ELEC OPS Lookup'!$I:$I,MATCH($A57,'ELEC OPS Lookup'!$A:$A,0))</f>
        <v>P</v>
      </c>
      <c r="J57" s="113" t="str">
        <f>IF('ELEC OPS Jun22data'!$G57=0,"NO",IF(ISNA('ELEC OPS Jun22data'!$I57),"YES",IF(_xlfn.ISFORMULA('ELEC OPS Jun22data'!$I57),"NO","YES")))</f>
        <v>NO</v>
      </c>
    </row>
    <row r="58" spans="1:11">
      <c r="A58" s="114" t="str">
        <f t="shared" si="2"/>
        <v>4562700RNW ENRGY CRDT SALES352950REC Sales - Wind Wake Loss IndemnityOTHER</v>
      </c>
      <c r="B58" s="127" t="s">
        <v>1807</v>
      </c>
      <c r="C58" s="127" t="s">
        <v>1590</v>
      </c>
      <c r="D58" s="127" t="s">
        <v>2152</v>
      </c>
      <c r="E58" s="128" t="s">
        <v>1595</v>
      </c>
      <c r="F58" s="127" t="s">
        <v>306</v>
      </c>
      <c r="G58" s="136">
        <v>17.230699999999999</v>
      </c>
      <c r="H58" s="113" t="str">
        <f t="shared" si="1"/>
        <v>OTHER</v>
      </c>
      <c r="I58" s="113" t="str">
        <f>INDEX('ELEC OPS Lookup'!$I:$I,MATCH($A58,'ELEC OPS Lookup'!$A:$A,0))</f>
        <v>P</v>
      </c>
      <c r="J58" s="113" t="str">
        <f>IF('ELEC OPS Jun22data'!$G58=0,"NO",IF(ISNA('ELEC OPS Jun22data'!$I58),"YES",IF(_xlfn.ISFORMULA('ELEC OPS Jun22data'!$I58),"NO","YES")))</f>
        <v>NO</v>
      </c>
    </row>
    <row r="59" spans="1:11">
      <c r="A59" s="114" t="str">
        <f t="shared" si="2"/>
        <v>4562700RNW ENRGY CRDT SALES354943REC Sales - Pryor Mtn - DeferralOTHER</v>
      </c>
      <c r="B59" s="127" t="s">
        <v>1807</v>
      </c>
      <c r="C59" s="273" t="s">
        <v>1590</v>
      </c>
      <c r="D59" s="127" t="s">
        <v>2153</v>
      </c>
      <c r="E59" s="128" t="s">
        <v>2154</v>
      </c>
      <c r="F59" s="127" t="s">
        <v>306</v>
      </c>
      <c r="G59" s="136">
        <v>380.82112000000001</v>
      </c>
      <c r="H59" s="113" t="str">
        <f t="shared" si="1"/>
        <v>OTHER</v>
      </c>
      <c r="I59" s="113" t="str">
        <f>INDEX('ELEC OPS Lookup'!$I:$I,MATCH($A59,'ELEC OPS Lookup'!$A:$A,0))</f>
        <v>P</v>
      </c>
      <c r="J59" s="113" t="str">
        <f>IF('ELEC OPS Jun22data'!$G59=0,"NO",IF(ISNA('ELEC OPS Jun22data'!$I59),"YES",IF(_xlfn.ISFORMULA('ELEC OPS Jun22data'!$I59),"NO","YES")))</f>
        <v>NO</v>
      </c>
    </row>
    <row r="60" spans="1:11">
      <c r="A60" s="114" t="str">
        <f t="shared" si="2"/>
        <v>4562700RNW ENRGY CRDT SALES354945REC Sales - Blue Sky Program - ActualOTHER</v>
      </c>
      <c r="B60" s="127" t="s">
        <v>1807</v>
      </c>
      <c r="C60" s="273" t="s">
        <v>1590</v>
      </c>
      <c r="D60" s="127" t="s">
        <v>2155</v>
      </c>
      <c r="E60" s="128" t="s">
        <v>1808</v>
      </c>
      <c r="F60" s="127" t="s">
        <v>306</v>
      </c>
      <c r="G60" s="136">
        <v>6629.3379299999997</v>
      </c>
      <c r="H60" s="113" t="str">
        <f t="shared" si="1"/>
        <v>OTHER</v>
      </c>
      <c r="I60" s="113" t="str">
        <f>INDEX('ELEC OPS Lookup'!$I:$I,MATCH($A60,'ELEC OPS Lookup'!$A:$A,0))</f>
        <v>P</v>
      </c>
      <c r="J60" s="113" t="str">
        <f>IF('ELEC OPS Jun22data'!$G60=0,"NO",IF(ISNA('ELEC OPS Jun22data'!$I60),"YES",IF(_xlfn.ISFORMULA('ELEC OPS Jun22data'!$I60),"NO","YES")))</f>
        <v>NO</v>
      </c>
    </row>
    <row r="61" spans="1:11">
      <c r="A61" s="114" t="str">
        <f t="shared" si="2"/>
        <v>4562800CA GHG Emission Allo352001CA GHG Allowance RevenuesOTHER</v>
      </c>
      <c r="B61" s="127" t="s">
        <v>2156</v>
      </c>
      <c r="C61" s="273" t="s">
        <v>1596</v>
      </c>
      <c r="D61" s="127" t="s">
        <v>2157</v>
      </c>
      <c r="E61" s="128" t="s">
        <v>1597</v>
      </c>
      <c r="F61" s="127" t="s">
        <v>306</v>
      </c>
      <c r="G61" s="136">
        <v>15290.840340000001</v>
      </c>
      <c r="H61" s="113" t="str">
        <f t="shared" si="1"/>
        <v>OTHER</v>
      </c>
      <c r="I61" s="113" t="str">
        <f>INDEX('ELEC OPS Lookup'!$I:$I,MATCH($A61,'ELEC OPS Lookup'!$A:$A,0))</f>
        <v>P</v>
      </c>
      <c r="J61" s="113" t="str">
        <f>IF('ELEC OPS Jun22data'!$G61=0,"NO",IF(ISNA('ELEC OPS Jun22data'!$I61),"YES",IF(_xlfn.ISFORMULA('ELEC OPS Jun22data'!$I61),"NO","YES")))</f>
        <v>NO</v>
      </c>
    </row>
    <row r="62" spans="1:11">
      <c r="A62" s="114" t="str">
        <f t="shared" si="2"/>
        <v>4562800CA GHG Emission Allo352002CA GHG Allowance Revenues - DeferralOTHER</v>
      </c>
      <c r="B62" s="127" t="s">
        <v>2156</v>
      </c>
      <c r="C62" s="273" t="s">
        <v>1596</v>
      </c>
      <c r="D62" s="127" t="s">
        <v>2158</v>
      </c>
      <c r="E62" s="128" t="s">
        <v>1598</v>
      </c>
      <c r="F62" s="127" t="s">
        <v>306</v>
      </c>
      <c r="G62" s="136">
        <v>-15290.840340000001</v>
      </c>
      <c r="H62" s="113" t="str">
        <f t="shared" si="1"/>
        <v>OTHER</v>
      </c>
      <c r="I62" s="113" t="str">
        <f>INDEX('ELEC OPS Lookup'!$I:$I,MATCH($A62,'ELEC OPS Lookup'!$A:$A,0))</f>
        <v>P</v>
      </c>
      <c r="J62" s="113" t="str">
        <f>IF('ELEC OPS Jun22data'!$G62=0,"NO",IF(ISNA('ELEC OPS Jun22data'!$I62),"YES",IF(_xlfn.ISFORMULA('ELEC OPS Jun22data'!$I62),"NO","YES")))</f>
        <v>NO</v>
      </c>
    </row>
    <row r="63" spans="1:11">
      <c r="A63" s="114" t="str">
        <f t="shared" si="2"/>
        <v>4562800CA GHG Emission Allo352003CA GHG Allowance Revenues – AmortzOTHER</v>
      </c>
      <c r="B63" s="127" t="s">
        <v>2156</v>
      </c>
      <c r="C63" s="273" t="s">
        <v>1596</v>
      </c>
      <c r="D63" s="127" t="s">
        <v>2159</v>
      </c>
      <c r="E63" s="128" t="s">
        <v>1599</v>
      </c>
      <c r="F63" s="127" t="s">
        <v>306</v>
      </c>
      <c r="G63" s="136">
        <v>9726.6294999999991</v>
      </c>
      <c r="H63" s="113" t="str">
        <f t="shared" si="1"/>
        <v>OTHER</v>
      </c>
      <c r="I63" s="113" t="str">
        <f>INDEX('ELEC OPS Lookup'!$I:$I,MATCH($A63,'ELEC OPS Lookup'!$A:$A,0))</f>
        <v>P</v>
      </c>
      <c r="J63" s="113" t="str">
        <f>IF('ELEC OPS Jun22data'!$G63=0,"NO",IF(ISNA('ELEC OPS Jun22data'!$I63),"YES",IF(_xlfn.ISFORMULA('ELEC OPS Jun22data'!$I63),"NO","YES")))</f>
        <v>NO</v>
      </c>
    </row>
    <row r="64" spans="1:11">
      <c r="A64" s="114" t="str">
        <f t="shared" si="2"/>
        <v>4562800CA GHG Emission Allo352004CA GHG Allow Revenues - SOMAH AmortzOTHER</v>
      </c>
      <c r="B64" s="127" t="s">
        <v>2156</v>
      </c>
      <c r="C64" s="273" t="s">
        <v>1596</v>
      </c>
      <c r="D64" s="127" t="s">
        <v>2160</v>
      </c>
      <c r="E64" s="128" t="s">
        <v>1680</v>
      </c>
      <c r="F64" s="127" t="s">
        <v>306</v>
      </c>
      <c r="G64" s="136">
        <v>85.111739999999998</v>
      </c>
      <c r="H64" s="113" t="str">
        <f t="shared" si="1"/>
        <v>OTHER</v>
      </c>
      <c r="I64" s="113" t="str">
        <f>INDEX('ELEC OPS Lookup'!$I:$I,MATCH($A64,'ELEC OPS Lookup'!$A:$A,0))</f>
        <v>P</v>
      </c>
      <c r="J64" s="113" t="str">
        <f>IF('ELEC OPS Jun22data'!$G64=0,"NO",IF(ISNA('ELEC OPS Jun22data'!$I64),"YES",IF(_xlfn.ISFORMULA('ELEC OPS Jun22data'!$I64),"NO","YES")))</f>
        <v>NO</v>
      </c>
    </row>
    <row r="65" spans="1:10">
      <c r="A65" s="114" t="str">
        <f t="shared" si="2"/>
        <v>4563500Oth Elec Rev-Def Trn305991FERC Transmission Refund-AmortzSITUS</v>
      </c>
      <c r="B65" s="127" t="s">
        <v>2161</v>
      </c>
      <c r="C65" s="273" t="s">
        <v>1600</v>
      </c>
      <c r="D65" s="127" t="s">
        <v>2162</v>
      </c>
      <c r="E65" s="128" t="s">
        <v>1602</v>
      </c>
      <c r="F65" s="127" t="s">
        <v>343</v>
      </c>
      <c r="G65" s="136">
        <v>4075.3882800000001</v>
      </c>
      <c r="H65" s="113" t="str">
        <f t="shared" si="1"/>
        <v>SITUS</v>
      </c>
      <c r="I65" s="113" t="str">
        <f>INDEX('ELEC OPS Lookup'!$I:$I,MATCH($A65,'ELEC OPS Lookup'!$A:$A,0))</f>
        <v>T</v>
      </c>
      <c r="J65" s="113" t="str">
        <f>IF('ELEC OPS Jun22data'!$G65=0,"NO",IF(ISNA('ELEC OPS Jun22data'!$I65),"YES",IF(_xlfn.ISFORMULA('ELEC OPS Jun22data'!$I65),"NO","YES")))</f>
        <v>NO</v>
      </c>
    </row>
  </sheetData>
  <autoFilter ref="A1:J65" xr:uid="{00000000-0009-0000-0000-000014000000}"/>
  <conditionalFormatting sqref="K53:K1048576 J1:J51">
    <cfRule type="cellIs" dxfId="7" priority="3" operator="equal">
      <formula>"YES"</formula>
    </cfRule>
  </conditionalFormatting>
  <conditionalFormatting sqref="J52:J58">
    <cfRule type="cellIs" dxfId="6" priority="2" operator="equal">
      <formula>"YES"</formula>
    </cfRule>
  </conditionalFormatting>
  <conditionalFormatting sqref="J59:J65">
    <cfRule type="cellIs" dxfId="5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89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27.28515625" style="114" customWidth="1"/>
    <col min="2" max="4" width="18.7109375" style="120" customWidth="1"/>
    <col min="5" max="5" width="38.85546875" style="121" customWidth="1"/>
    <col min="6" max="6" width="18.7109375" style="120" customWidth="1"/>
    <col min="7" max="7" width="18.7109375" style="123" customWidth="1"/>
    <col min="8" max="8" width="18.7109375" style="115" customWidth="1"/>
    <col min="9" max="9" width="18.7109375" style="113" customWidth="1"/>
    <col min="10" max="10" width="18.7109375" style="115" customWidth="1"/>
    <col min="11" max="13" width="18.7109375" customWidth="1"/>
  </cols>
  <sheetData>
    <row r="1" spans="1:10">
      <c r="A1" s="114" t="s">
        <v>1672</v>
      </c>
      <c r="B1" s="119" t="s">
        <v>345</v>
      </c>
      <c r="C1" s="119" t="s">
        <v>346</v>
      </c>
      <c r="D1" s="119" t="s">
        <v>347</v>
      </c>
      <c r="E1" s="121" t="s">
        <v>348</v>
      </c>
      <c r="F1" s="119" t="s">
        <v>349</v>
      </c>
      <c r="G1" s="119" t="s">
        <v>350</v>
      </c>
      <c r="H1" s="113" t="s">
        <v>1603</v>
      </c>
      <c r="I1" s="113" t="s">
        <v>352</v>
      </c>
      <c r="J1"/>
    </row>
    <row r="2" spans="1:10">
      <c r="A2" s="114" t="str">
        <f>CONCATENATE($B2,$C2,$D2,$E2,$H2)</f>
        <v>4562800CA GHG Emission Allo352002CA GHG Allowance Revenues - DeferralOTHER</v>
      </c>
      <c r="B2" s="125">
        <v>4562800</v>
      </c>
      <c r="C2" s="119" t="s">
        <v>1596</v>
      </c>
      <c r="D2" s="125">
        <v>352002</v>
      </c>
      <c r="E2" s="121" t="s">
        <v>1598</v>
      </c>
      <c r="F2" s="119" t="s">
        <v>306</v>
      </c>
      <c r="G2" s="122"/>
      <c r="H2" s="113" t="str">
        <f>IF(OR(F2="IDU",F2="OR",F2="UT",F2="WYU",F2="WYP",F2="CA",F2="WA"),"SITUS",F2)</f>
        <v>OTHER</v>
      </c>
      <c r="I2" s="113" t="s">
        <v>68</v>
      </c>
      <c r="J2"/>
    </row>
    <row r="3" spans="1:10">
      <c r="A3" s="114" t="str">
        <f t="shared" ref="A3:A66" si="0">CONCATENATE($B3,$C3,$D3,$E3,$H3)</f>
        <v>4563500Oth Elec Rev-Def Trn305990FERC Transmission Refund-DeferralSITUS</v>
      </c>
      <c r="B3" s="125">
        <v>4563500</v>
      </c>
      <c r="C3" s="119" t="s">
        <v>1600</v>
      </c>
      <c r="D3" s="125">
        <v>305990</v>
      </c>
      <c r="E3" s="121" t="s">
        <v>1601</v>
      </c>
      <c r="F3" s="119" t="s">
        <v>343</v>
      </c>
      <c r="G3" s="122"/>
      <c r="H3" s="113" t="str">
        <f t="shared" ref="H3:H66" si="1">IF(OR(F3="IDU",F3="OR",F3="UT",F3="WYU",F3="WYP",F3="CA",F3="WA"),"SITUS",F3)</f>
        <v>SITUS</v>
      </c>
      <c r="I3" s="113" t="s">
        <v>69</v>
      </c>
      <c r="J3"/>
    </row>
    <row r="4" spans="1:10">
      <c r="A4" s="114" t="str">
        <f t="shared" si="0"/>
        <v>4562700RNW ENRGY CRDT SALES352943Renwbl En Cr Sls-AmtOTHER</v>
      </c>
      <c r="B4" s="125">
        <v>4562700</v>
      </c>
      <c r="C4" s="119" t="s">
        <v>1590</v>
      </c>
      <c r="D4" s="125">
        <v>352943</v>
      </c>
      <c r="E4" s="121" t="s">
        <v>1594</v>
      </c>
      <c r="F4" s="119" t="s">
        <v>306</v>
      </c>
      <c r="G4" s="122"/>
      <c r="H4" s="113" t="str">
        <f t="shared" si="1"/>
        <v>OTHER</v>
      </c>
      <c r="I4" s="113" t="s">
        <v>68</v>
      </c>
      <c r="J4"/>
    </row>
    <row r="5" spans="1:10">
      <c r="A5" s="114" t="str">
        <f t="shared" si="0"/>
        <v>4562500M&amp;S INV COST OF SALE514950M&amp;S INVENTORY COST OF SALESSITUS</v>
      </c>
      <c r="B5" s="125">
        <v>4562500</v>
      </c>
      <c r="C5" s="119" t="s">
        <v>1588</v>
      </c>
      <c r="D5" s="125">
        <v>514950</v>
      </c>
      <c r="E5" s="121" t="s">
        <v>1589</v>
      </c>
      <c r="F5" s="119" t="s">
        <v>370</v>
      </c>
      <c r="G5" s="122"/>
      <c r="H5" s="113" t="str">
        <f t="shared" si="1"/>
        <v>SITUS</v>
      </c>
      <c r="I5" s="113" t="s">
        <v>92</v>
      </c>
      <c r="J5"/>
    </row>
    <row r="6" spans="1:10">
      <c r="A6" s="114" t="str">
        <f t="shared" si="0"/>
        <v>4562700RNW ENRGY CRDT SALES301943Renewable Energy Credit Sales-DeferralSG</v>
      </c>
      <c r="B6" s="125">
        <v>4562700</v>
      </c>
      <c r="C6" s="119" t="s">
        <v>1590</v>
      </c>
      <c r="D6" s="125">
        <v>301943</v>
      </c>
      <c r="E6" s="121" t="s">
        <v>1591</v>
      </c>
      <c r="F6" s="119" t="s">
        <v>87</v>
      </c>
      <c r="G6" s="122"/>
      <c r="H6" s="113" t="str">
        <f t="shared" si="1"/>
        <v>SG</v>
      </c>
      <c r="I6" s="113" t="s">
        <v>68</v>
      </c>
      <c r="J6"/>
    </row>
    <row r="7" spans="1:10">
      <c r="A7" s="114" t="str">
        <f t="shared" si="0"/>
        <v>4562300MISC OTHER REV301939Estimated Other Electric RevenueSG</v>
      </c>
      <c r="B7" s="125">
        <v>4562300</v>
      </c>
      <c r="C7" s="119" t="s">
        <v>1571</v>
      </c>
      <c r="D7" s="125">
        <v>301939</v>
      </c>
      <c r="E7" s="121" t="s">
        <v>1576</v>
      </c>
      <c r="F7" s="119" t="s">
        <v>87</v>
      </c>
      <c r="G7" s="122"/>
      <c r="H7" s="113" t="str">
        <f t="shared" si="1"/>
        <v>SG</v>
      </c>
      <c r="I7" s="113" t="s">
        <v>68</v>
      </c>
      <c r="J7"/>
    </row>
    <row r="8" spans="1:10">
      <c r="A8" s="114" t="str">
        <f t="shared" si="0"/>
        <v>4562300MISC OTHER REV301901WASHINGTON - COLSTRIP 3SITUS</v>
      </c>
      <c r="B8" s="125">
        <v>4562300</v>
      </c>
      <c r="C8" s="119" t="s">
        <v>1571</v>
      </c>
      <c r="D8" s="125">
        <v>301901</v>
      </c>
      <c r="E8" s="121" t="s">
        <v>1573</v>
      </c>
      <c r="F8" s="119" t="s">
        <v>367</v>
      </c>
      <c r="G8" s="122"/>
      <c r="H8" s="113" t="str">
        <f t="shared" si="1"/>
        <v>SITUS</v>
      </c>
      <c r="I8" s="113" t="s">
        <v>68</v>
      </c>
      <c r="J8"/>
    </row>
    <row r="9" spans="1:10">
      <c r="A9" s="114" t="str">
        <f t="shared" si="0"/>
        <v>4562300MISC OTHER REV301915OTHER ELEC REV - MISCSITUS</v>
      </c>
      <c r="B9" s="125">
        <v>4562300</v>
      </c>
      <c r="C9" s="119" t="s">
        <v>1571</v>
      </c>
      <c r="D9" s="125">
        <v>301915</v>
      </c>
      <c r="E9" s="121" t="s">
        <v>1574</v>
      </c>
      <c r="F9" s="119" t="s">
        <v>387</v>
      </c>
      <c r="G9" s="122"/>
      <c r="H9" s="113" t="str">
        <f t="shared" si="1"/>
        <v>SITUS</v>
      </c>
      <c r="I9" s="113" t="s">
        <v>68</v>
      </c>
      <c r="J9"/>
    </row>
    <row r="10" spans="1:10">
      <c r="A10" s="114" t="str">
        <f t="shared" si="0"/>
        <v>4561920L/T FIRM WHEEL REV302961TRANSM CAPACITY RE-ASSIGNMENT REVENUESG</v>
      </c>
      <c r="B10" s="125">
        <v>4561920</v>
      </c>
      <c r="C10" s="119" t="s">
        <v>1558</v>
      </c>
      <c r="D10" s="125">
        <v>302961</v>
      </c>
      <c r="E10" s="121" t="s">
        <v>1561</v>
      </c>
      <c r="F10" s="119" t="s">
        <v>87</v>
      </c>
      <c r="G10" s="122"/>
      <c r="H10" s="113" t="str">
        <f t="shared" si="1"/>
        <v>SG</v>
      </c>
      <c r="I10" s="113" t="s">
        <v>69</v>
      </c>
      <c r="J10"/>
    </row>
    <row r="11" spans="1:10">
      <c r="A11" s="114" t="str">
        <f t="shared" si="0"/>
        <v>4562300MISC OTHER REV301915OTHER ELEC REV - MISCSITUS</v>
      </c>
      <c r="B11" s="125">
        <v>4562300</v>
      </c>
      <c r="C11" s="119" t="s">
        <v>1571</v>
      </c>
      <c r="D11" s="125">
        <v>301915</v>
      </c>
      <c r="E11" s="121" t="s">
        <v>1574</v>
      </c>
      <c r="F11" s="119" t="s">
        <v>370</v>
      </c>
      <c r="G11" s="122"/>
      <c r="H11" s="113" t="str">
        <f t="shared" si="1"/>
        <v>SITUS</v>
      </c>
      <c r="I11" s="113" t="s">
        <v>68</v>
      </c>
      <c r="J11"/>
    </row>
    <row r="12" spans="1:10">
      <c r="A12" s="114" t="str">
        <f t="shared" si="0"/>
        <v>4561100Other Wheeling Rev301963Ancil Revenue Sch 2-Reactive (C&amp;T)SG</v>
      </c>
      <c r="B12" s="125">
        <v>4561100</v>
      </c>
      <c r="C12" s="119" t="s">
        <v>1542</v>
      </c>
      <c r="D12" s="125">
        <v>301963</v>
      </c>
      <c r="E12" s="121" t="s">
        <v>1543</v>
      </c>
      <c r="F12" s="119" t="s">
        <v>87</v>
      </c>
      <c r="G12" s="122"/>
      <c r="H12" s="113" t="str">
        <f t="shared" si="1"/>
        <v>SG</v>
      </c>
      <c r="I12" s="113" t="s">
        <v>69</v>
      </c>
      <c r="J12"/>
    </row>
    <row r="13" spans="1:10">
      <c r="A13" s="114" t="str">
        <f t="shared" si="0"/>
        <v>4562300MISC OTHER REV301915OTHER ELEC REV - MISCSITUS</v>
      </c>
      <c r="B13" s="125">
        <v>4562300</v>
      </c>
      <c r="C13" s="119" t="s">
        <v>1571</v>
      </c>
      <c r="D13" s="125">
        <v>301915</v>
      </c>
      <c r="E13" s="121" t="s">
        <v>1574</v>
      </c>
      <c r="F13" s="119" t="s">
        <v>367</v>
      </c>
      <c r="G13" s="122"/>
      <c r="H13" s="113" t="str">
        <f t="shared" si="1"/>
        <v>SITUS</v>
      </c>
      <c r="I13" s="113" t="s">
        <v>68</v>
      </c>
      <c r="J13"/>
    </row>
    <row r="14" spans="1:10">
      <c r="A14" s="114" t="str">
        <f t="shared" si="0"/>
        <v>4562300MISC OTHER REV301915OTHER ELEC REV - MISCSITUS</v>
      </c>
      <c r="B14" s="125">
        <v>4562300</v>
      </c>
      <c r="C14" s="119" t="s">
        <v>1571</v>
      </c>
      <c r="D14" s="125">
        <v>301915</v>
      </c>
      <c r="E14" s="121" t="s">
        <v>1574</v>
      </c>
      <c r="F14" s="119" t="s">
        <v>343</v>
      </c>
      <c r="G14" s="122"/>
      <c r="H14" s="113" t="str">
        <f t="shared" si="1"/>
        <v>SITUS</v>
      </c>
      <c r="I14" s="113" t="s">
        <v>68</v>
      </c>
      <c r="J14"/>
    </row>
    <row r="15" spans="1:10">
      <c r="A15" s="114" t="str">
        <f t="shared" si="0"/>
        <v>4562300MISC OTHER REV301900ELECTRIC INCOME OTHERSITUS</v>
      </c>
      <c r="B15" s="125">
        <v>4562300</v>
      </c>
      <c r="C15" s="119" t="s">
        <v>1571</v>
      </c>
      <c r="D15" s="125">
        <v>301900</v>
      </c>
      <c r="E15" s="121" t="s">
        <v>1572</v>
      </c>
      <c r="F15" s="119" t="s">
        <v>386</v>
      </c>
      <c r="G15" s="122"/>
      <c r="H15" s="113" t="str">
        <f t="shared" si="1"/>
        <v>SITUS</v>
      </c>
      <c r="I15" s="113" t="s">
        <v>68</v>
      </c>
      <c r="J15"/>
    </row>
    <row r="16" spans="1:10">
      <c r="A16" s="114" t="str">
        <f t="shared" si="0"/>
        <v>4561920L/T FIRM WHEEL REV302962TRANSM CAPACITY RE-ASSIGNMENT CONTRA REVSG</v>
      </c>
      <c r="B16" s="125">
        <v>4561920</v>
      </c>
      <c r="C16" s="119" t="s">
        <v>1558</v>
      </c>
      <c r="D16" s="125">
        <v>302962</v>
      </c>
      <c r="E16" s="121" t="s">
        <v>1562</v>
      </c>
      <c r="F16" s="119" t="s">
        <v>87</v>
      </c>
      <c r="G16" s="122"/>
      <c r="H16" s="113" t="str">
        <f t="shared" si="1"/>
        <v>SG</v>
      </c>
      <c r="I16" s="113" t="s">
        <v>69</v>
      </c>
      <c r="J16"/>
    </row>
    <row r="17" spans="1:10">
      <c r="A17" s="114" t="str">
        <f t="shared" si="0"/>
        <v>4562400M&amp;S INVENTORY SALES362950M&amp;S INVENTORY SALESCN</v>
      </c>
      <c r="B17" s="125">
        <v>4562400</v>
      </c>
      <c r="C17" s="119" t="s">
        <v>1587</v>
      </c>
      <c r="D17" s="125">
        <v>362950</v>
      </c>
      <c r="E17" s="121" t="s">
        <v>1587</v>
      </c>
      <c r="F17" s="119" t="s">
        <v>84</v>
      </c>
      <c r="G17" s="122"/>
      <c r="H17" s="113" t="str">
        <f t="shared" si="1"/>
        <v>CN</v>
      </c>
      <c r="I17" s="113" t="s">
        <v>73</v>
      </c>
      <c r="J17"/>
    </row>
    <row r="18" spans="1:10">
      <c r="A18" s="114" t="str">
        <f t="shared" si="0"/>
        <v>4562400M&amp;S INVENTORY SALES362950M&amp;S INVENTORY SALESSG</v>
      </c>
      <c r="B18" s="125">
        <v>4562400</v>
      </c>
      <c r="C18" s="119" t="s">
        <v>1587</v>
      </c>
      <c r="D18" s="125">
        <v>362950</v>
      </c>
      <c r="E18" s="121" t="s">
        <v>1587</v>
      </c>
      <c r="F18" s="119" t="s">
        <v>87</v>
      </c>
      <c r="G18" s="122"/>
      <c r="H18" s="113" t="str">
        <f t="shared" si="1"/>
        <v>SG</v>
      </c>
      <c r="I18" s="113" t="s">
        <v>68</v>
      </c>
      <c r="J18"/>
    </row>
    <row r="19" spans="1:10">
      <c r="A19" s="114" t="str">
        <f t="shared" si="0"/>
        <v>4561100Other Wheeling Rev301974Ancil Revenue Sch 3a-Regulation (C&amp;T)SG</v>
      </c>
      <c r="B19" s="125">
        <v>4561100</v>
      </c>
      <c r="C19" s="119" t="s">
        <v>1542</v>
      </c>
      <c r="D19" s="125">
        <v>301974</v>
      </c>
      <c r="E19" s="121" t="s">
        <v>1544</v>
      </c>
      <c r="F19" s="119" t="s">
        <v>87</v>
      </c>
      <c r="G19" s="122"/>
      <c r="H19" s="113" t="str">
        <f t="shared" si="1"/>
        <v>SG</v>
      </c>
      <c r="I19" s="113" t="s">
        <v>69</v>
      </c>
      <c r="J19"/>
    </row>
    <row r="20" spans="1:10">
      <c r="A20" s="114" t="str">
        <f t="shared" si="0"/>
        <v>4561100Other Wheeling Rev301964Ancil Revenue Sch 3a-Regulation (Trans)SG</v>
      </c>
      <c r="B20" s="125">
        <v>4561100</v>
      </c>
      <c r="C20" s="119" t="s">
        <v>1542</v>
      </c>
      <c r="D20" s="125">
        <v>301964</v>
      </c>
      <c r="E20" s="121" t="s">
        <v>1605</v>
      </c>
      <c r="F20" s="119" t="s">
        <v>87</v>
      </c>
      <c r="G20" s="122"/>
      <c r="H20" s="113" t="str">
        <f t="shared" si="1"/>
        <v>SG</v>
      </c>
      <c r="I20" s="113" t="s">
        <v>69</v>
      </c>
      <c r="J20"/>
    </row>
    <row r="21" spans="1:10">
      <c r="A21" s="114" t="str">
        <f t="shared" si="0"/>
        <v>4562700RNW ENRGY CRDT SALES352950REC Sales - Wind Wake Loss IndemnitySG</v>
      </c>
      <c r="B21" s="125">
        <v>4562700</v>
      </c>
      <c r="C21" s="119" t="s">
        <v>1590</v>
      </c>
      <c r="D21" s="125">
        <v>352950</v>
      </c>
      <c r="E21" s="121" t="s">
        <v>1595</v>
      </c>
      <c r="F21" s="119" t="s">
        <v>87</v>
      </c>
      <c r="G21" s="122"/>
      <c r="H21" s="113" t="str">
        <f t="shared" si="1"/>
        <v>SG</v>
      </c>
      <c r="I21" s="113" t="s">
        <v>68</v>
      </c>
      <c r="J21"/>
    </row>
    <row r="22" spans="1:10">
      <c r="A22" s="114" t="str">
        <f t="shared" si="0"/>
        <v>4562300MISC OTHER REV302071I/C Transmission O&amp;M Revenue-Sierra PacSG</v>
      </c>
      <c r="B22" s="125">
        <v>4562300</v>
      </c>
      <c r="C22" s="119" t="s">
        <v>1571</v>
      </c>
      <c r="D22" s="125">
        <v>302071</v>
      </c>
      <c r="E22" s="121" t="s">
        <v>1582</v>
      </c>
      <c r="F22" s="119" t="s">
        <v>87</v>
      </c>
      <c r="G22" s="122"/>
      <c r="H22" s="113" t="str">
        <f t="shared" si="1"/>
        <v>SG</v>
      </c>
      <c r="I22" s="113" t="s">
        <v>69</v>
      </c>
      <c r="J22"/>
    </row>
    <row r="23" spans="1:10">
      <c r="A23" s="114" t="str">
        <f t="shared" si="0"/>
        <v>4562100USE OF FACIL REV301911"INCOME FROM FISH, WILDLIFE"SG</v>
      </c>
      <c r="B23" s="125">
        <v>4562100</v>
      </c>
      <c r="C23" s="119" t="s">
        <v>1569</v>
      </c>
      <c r="D23" s="125">
        <v>301911</v>
      </c>
      <c r="E23" s="121" t="s">
        <v>1570</v>
      </c>
      <c r="F23" s="119" t="s">
        <v>87</v>
      </c>
      <c r="G23" s="122"/>
      <c r="H23" s="113" t="str">
        <f t="shared" si="1"/>
        <v>SG</v>
      </c>
      <c r="I23" s="113" t="s">
        <v>68</v>
      </c>
      <c r="J23"/>
    </row>
    <row r="24" spans="1:10">
      <c r="A24" s="114" t="str">
        <f t="shared" si="0"/>
        <v>4562300MISC OTHER REV301900ELECTRIC INCOME OTHERSITUS</v>
      </c>
      <c r="B24" s="125">
        <v>4562300</v>
      </c>
      <c r="C24" s="119" t="s">
        <v>1571</v>
      </c>
      <c r="D24" s="125">
        <v>301900</v>
      </c>
      <c r="E24" s="121" t="s">
        <v>1572</v>
      </c>
      <c r="F24" s="119" t="s">
        <v>370</v>
      </c>
      <c r="G24" s="122"/>
      <c r="H24" s="113" t="str">
        <f t="shared" si="1"/>
        <v>SITUS</v>
      </c>
      <c r="I24" s="113" t="s">
        <v>68</v>
      </c>
      <c r="J24"/>
    </row>
    <row r="25" spans="1:10">
      <c r="A25" s="114" t="str">
        <f t="shared" si="0"/>
        <v>4562310EIM - MISCELLANEOUS308001EIM Rev-Forecasting Fee: Pac to TCSG</v>
      </c>
      <c r="B25" s="125">
        <v>4562310</v>
      </c>
      <c r="C25" s="119" t="s">
        <v>1585</v>
      </c>
      <c r="D25" s="125">
        <v>308001</v>
      </c>
      <c r="E25" s="121" t="s">
        <v>1586</v>
      </c>
      <c r="F25" s="119" t="s">
        <v>87</v>
      </c>
      <c r="G25" s="122"/>
      <c r="H25" s="113" t="str">
        <f t="shared" si="1"/>
        <v>SG</v>
      </c>
      <c r="I25" s="113" t="s">
        <v>68</v>
      </c>
      <c r="J25"/>
    </row>
    <row r="26" spans="1:10">
      <c r="A26" s="114" t="str">
        <f t="shared" si="0"/>
        <v>4562300MISC OTHER REV301900ELECTRIC INCOME OTHERSG</v>
      </c>
      <c r="B26" s="125">
        <v>4562300</v>
      </c>
      <c r="C26" s="119" t="s">
        <v>1571</v>
      </c>
      <c r="D26" s="125">
        <v>301900</v>
      </c>
      <c r="E26" s="121" t="s">
        <v>1572</v>
      </c>
      <c r="F26" s="119" t="s">
        <v>87</v>
      </c>
      <c r="G26" s="122"/>
      <c r="H26" s="113" t="str">
        <f t="shared" si="1"/>
        <v>SG</v>
      </c>
      <c r="I26" s="113" t="s">
        <v>68</v>
      </c>
      <c r="J26"/>
    </row>
    <row r="27" spans="1:10">
      <c r="A27" s="114" t="str">
        <f t="shared" si="0"/>
        <v>4561100Other Wheeling Rev301953Ancillary Rev Sch 6-Supp (C&amp;T)SG</v>
      </c>
      <c r="B27" s="125">
        <v>4561100</v>
      </c>
      <c r="C27" s="119" t="s">
        <v>1542</v>
      </c>
      <c r="D27" s="125">
        <v>301953</v>
      </c>
      <c r="E27" s="121" t="s">
        <v>1545</v>
      </c>
      <c r="F27" s="119" t="s">
        <v>87</v>
      </c>
      <c r="G27" s="122"/>
      <c r="H27" s="113" t="str">
        <f t="shared" si="1"/>
        <v>SG</v>
      </c>
      <c r="I27" s="113" t="s">
        <v>69</v>
      </c>
      <c r="J27"/>
    </row>
    <row r="28" spans="1:10">
      <c r="A28" s="114" t="str">
        <f t="shared" si="0"/>
        <v>4562300MISC OTHER REV301958Wind-based Ancillary Services EstimateSG</v>
      </c>
      <c r="B28" s="125">
        <v>4562300</v>
      </c>
      <c r="C28" s="119" t="s">
        <v>1571</v>
      </c>
      <c r="D28" s="125">
        <v>301958</v>
      </c>
      <c r="E28" s="121" t="s">
        <v>1580</v>
      </c>
      <c r="F28" s="119" t="s">
        <v>87</v>
      </c>
      <c r="G28" s="122"/>
      <c r="H28" s="113" t="str">
        <f t="shared" si="1"/>
        <v>SG</v>
      </c>
      <c r="I28" s="113" t="s">
        <v>68</v>
      </c>
      <c r="J28"/>
    </row>
    <row r="29" spans="1:10">
      <c r="A29" s="114" t="str">
        <f t="shared" si="0"/>
        <v>4561100Other Wheeling Rev301952Ancillary Rev Sch 6-Supp (Transm)SG</v>
      </c>
      <c r="B29" s="125">
        <v>4561100</v>
      </c>
      <c r="C29" s="119" t="s">
        <v>1542</v>
      </c>
      <c r="D29" s="125">
        <v>301952</v>
      </c>
      <c r="E29" s="121" t="s">
        <v>1606</v>
      </c>
      <c r="F29" s="119" t="s">
        <v>87</v>
      </c>
      <c r="G29" s="122"/>
      <c r="H29" s="113" t="str">
        <f t="shared" si="1"/>
        <v>SG</v>
      </c>
      <c r="I29" s="113" t="s">
        <v>69</v>
      </c>
      <c r="J29"/>
    </row>
    <row r="30" spans="1:10">
      <c r="A30" s="114" t="str">
        <f t="shared" si="0"/>
        <v>4561930NON-FIRM WHEEL REV302822I/C Non-Firm Wheeling Revenue-Nevada PwrSE</v>
      </c>
      <c r="B30" s="125">
        <v>4561930</v>
      </c>
      <c r="C30" s="119" t="s">
        <v>1564</v>
      </c>
      <c r="D30" s="125">
        <v>302822</v>
      </c>
      <c r="E30" s="121" t="s">
        <v>1566</v>
      </c>
      <c r="F30" s="119" t="s">
        <v>85</v>
      </c>
      <c r="G30" s="122"/>
      <c r="H30" s="113" t="str">
        <f t="shared" si="1"/>
        <v>SE</v>
      </c>
      <c r="I30" s="113" t="s">
        <v>69</v>
      </c>
      <c r="J30"/>
    </row>
    <row r="31" spans="1:10">
      <c r="A31" s="114" t="str">
        <f t="shared" si="0"/>
        <v>4562400M&amp;S INVENTORY SALES362950M&amp;S INVENTORY SALESSITUS</v>
      </c>
      <c r="B31" s="125">
        <v>4562400</v>
      </c>
      <c r="C31" s="119" t="s">
        <v>1587</v>
      </c>
      <c r="D31" s="125">
        <v>362950</v>
      </c>
      <c r="E31" s="121" t="s">
        <v>1587</v>
      </c>
      <c r="F31" s="119" t="s">
        <v>370</v>
      </c>
      <c r="G31" s="122"/>
      <c r="H31" s="113" t="str">
        <f t="shared" si="1"/>
        <v>SITUS</v>
      </c>
      <c r="I31" s="113" t="s">
        <v>92</v>
      </c>
      <c r="J31"/>
    </row>
    <row r="32" spans="1:10">
      <c r="A32" s="114" t="str">
        <f t="shared" si="0"/>
        <v>4562700RNW ENRGY CRDT SALES301944Renewable Energy Credit Sales-EstimateSG</v>
      </c>
      <c r="B32" s="125">
        <v>4562700</v>
      </c>
      <c r="C32" s="119" t="s">
        <v>1590</v>
      </c>
      <c r="D32" s="125">
        <v>301944</v>
      </c>
      <c r="E32" s="121" t="s">
        <v>1592</v>
      </c>
      <c r="F32" s="119" t="s">
        <v>87</v>
      </c>
      <c r="G32" s="122"/>
      <c r="H32" s="113" t="str">
        <f t="shared" si="1"/>
        <v>SG</v>
      </c>
      <c r="I32" s="113" t="s">
        <v>68</v>
      </c>
      <c r="J32"/>
    </row>
    <row r="33" spans="1:10">
      <c r="A33" s="114" t="str">
        <f t="shared" si="0"/>
        <v>4562300MISC OTHER REV301955OTHER REV WY REG KENNECOTTSITUS</v>
      </c>
      <c r="B33" s="125">
        <v>4562300</v>
      </c>
      <c r="C33" s="119" t="s">
        <v>1571</v>
      </c>
      <c r="D33" s="125">
        <v>301955</v>
      </c>
      <c r="E33" s="121" t="s">
        <v>1575</v>
      </c>
      <c r="F33" s="119" t="s">
        <v>386</v>
      </c>
      <c r="G33" s="122"/>
      <c r="H33" s="113" t="str">
        <f t="shared" si="1"/>
        <v>SITUS</v>
      </c>
      <c r="I33" s="113" t="s">
        <v>68</v>
      </c>
      <c r="J33"/>
    </row>
    <row r="34" spans="1:10">
      <c r="A34" s="114" t="str">
        <f t="shared" si="0"/>
        <v>4562300MISC OTHER REV361000STEAM SALESSG</v>
      </c>
      <c r="B34" s="125">
        <v>4562300</v>
      </c>
      <c r="C34" s="119" t="s">
        <v>1571</v>
      </c>
      <c r="D34" s="125">
        <v>361000</v>
      </c>
      <c r="E34" s="121" t="s">
        <v>1583</v>
      </c>
      <c r="F34" s="119" t="s">
        <v>87</v>
      </c>
      <c r="G34" s="122"/>
      <c r="H34" s="113" t="str">
        <f t="shared" si="1"/>
        <v>SG</v>
      </c>
      <c r="I34" s="113" t="s">
        <v>68</v>
      </c>
      <c r="J34"/>
    </row>
    <row r="35" spans="1:10">
      <c r="A35" s="114" t="str">
        <f t="shared" si="0"/>
        <v>4561100Other Wheeling Rev301967Ancillary Revenue Sch 1 - SchedulingSG</v>
      </c>
      <c r="B35" s="125">
        <v>4561100</v>
      </c>
      <c r="C35" s="119" t="s">
        <v>1542</v>
      </c>
      <c r="D35" s="125">
        <v>301967</v>
      </c>
      <c r="E35" s="121" t="s">
        <v>1546</v>
      </c>
      <c r="F35" s="119" t="s">
        <v>87</v>
      </c>
      <c r="G35" s="122"/>
      <c r="H35" s="113" t="str">
        <f t="shared" si="1"/>
        <v>SG</v>
      </c>
      <c r="I35" s="113" t="s">
        <v>69</v>
      </c>
      <c r="J35"/>
    </row>
    <row r="36" spans="1:10">
      <c r="A36" s="114" t="str">
        <f t="shared" si="0"/>
        <v>4562300MISC OTHER REV301949THIRD PARTY TRN O&amp;M REVSG</v>
      </c>
      <c r="B36" s="125">
        <v>4562300</v>
      </c>
      <c r="C36" s="119" t="s">
        <v>1571</v>
      </c>
      <c r="D36" s="125">
        <v>301949</v>
      </c>
      <c r="E36" s="121" t="s">
        <v>1578</v>
      </c>
      <c r="F36" s="119" t="s">
        <v>87</v>
      </c>
      <c r="G36" s="122"/>
      <c r="H36" s="113" t="str">
        <f t="shared" si="1"/>
        <v>SG</v>
      </c>
      <c r="I36" s="113" t="s">
        <v>69</v>
      </c>
      <c r="J36"/>
    </row>
    <row r="37" spans="1:10">
      <c r="A37" s="114" t="str">
        <f t="shared" si="0"/>
        <v>4562300MISC OTHER REV374400Timber Sales - Utility PropertySG</v>
      </c>
      <c r="B37" s="125">
        <v>4562300</v>
      </c>
      <c r="C37" s="119" t="s">
        <v>1571</v>
      </c>
      <c r="D37" s="125">
        <v>374400</v>
      </c>
      <c r="E37" s="121" t="s">
        <v>1584</v>
      </c>
      <c r="F37" s="119" t="s">
        <v>87</v>
      </c>
      <c r="G37" s="122"/>
      <c r="H37" s="113" t="str">
        <f t="shared" si="1"/>
        <v>SG</v>
      </c>
      <c r="I37" s="113" t="s">
        <v>68</v>
      </c>
      <c r="J37"/>
    </row>
    <row r="38" spans="1:10">
      <c r="A38" s="114" t="str">
        <f t="shared" si="0"/>
        <v>4561100Other Wheeling Rev301969Ancillary Revenue Sch 3 - Reg&amp;Freq (C&amp;T)SG</v>
      </c>
      <c r="B38" s="125">
        <v>4561100</v>
      </c>
      <c r="C38" s="119" t="s">
        <v>1542</v>
      </c>
      <c r="D38" s="125">
        <v>301969</v>
      </c>
      <c r="E38" s="121" t="s">
        <v>1547</v>
      </c>
      <c r="F38" s="119" t="s">
        <v>87</v>
      </c>
      <c r="G38" s="122"/>
      <c r="H38" s="113" t="str">
        <f t="shared" si="1"/>
        <v>SG</v>
      </c>
      <c r="I38" s="113" t="s">
        <v>69</v>
      </c>
      <c r="J38"/>
    </row>
    <row r="39" spans="1:10">
      <c r="A39" s="114" t="str">
        <f t="shared" si="0"/>
        <v>4561100Other Wheeling Rev301968Ancillary Revenue Sch 3 - Reg&amp;Freq (TranSG</v>
      </c>
      <c r="B39" s="125">
        <v>4561100</v>
      </c>
      <c r="C39" s="119" t="s">
        <v>1542</v>
      </c>
      <c r="D39" s="125">
        <v>301968</v>
      </c>
      <c r="E39" s="121" t="s">
        <v>1604</v>
      </c>
      <c r="F39" s="119" t="s">
        <v>87</v>
      </c>
      <c r="G39" s="122"/>
      <c r="H39" s="113" t="str">
        <f t="shared" si="1"/>
        <v>SG</v>
      </c>
      <c r="I39" s="113" t="s">
        <v>69</v>
      </c>
      <c r="J39"/>
    </row>
    <row r="40" spans="1:10">
      <c r="A40" s="114" t="str">
        <f t="shared" si="0"/>
        <v>4561100Other Wheeling Rev301973Ancillary Revenue Sch 5&amp;6-Spin&amp;Supp (C&amp;TSG</v>
      </c>
      <c r="B40" s="125">
        <v>4561100</v>
      </c>
      <c r="C40" s="119" t="s">
        <v>1542</v>
      </c>
      <c r="D40" s="125">
        <v>301973</v>
      </c>
      <c r="E40" s="121" t="s">
        <v>1548</v>
      </c>
      <c r="F40" s="119" t="s">
        <v>87</v>
      </c>
      <c r="G40" s="122"/>
      <c r="H40" s="113" t="str">
        <f t="shared" si="1"/>
        <v>SG</v>
      </c>
      <c r="I40" s="113" t="s">
        <v>69</v>
      </c>
      <c r="J40"/>
    </row>
    <row r="41" spans="1:10">
      <c r="A41" s="114" t="str">
        <f t="shared" si="0"/>
        <v>4561910S/T FIRM WHEEL REV301926SHORT TERM FIRM WHEELINGSG</v>
      </c>
      <c r="B41" s="125">
        <v>4561910</v>
      </c>
      <c r="C41" s="119" t="s">
        <v>1556</v>
      </c>
      <c r="D41" s="125">
        <v>301926</v>
      </c>
      <c r="E41" s="121" t="s">
        <v>1557</v>
      </c>
      <c r="F41" s="119" t="s">
        <v>87</v>
      </c>
      <c r="G41" s="122"/>
      <c r="H41" s="113" t="str">
        <f t="shared" si="1"/>
        <v>SG</v>
      </c>
      <c r="I41" s="113" t="s">
        <v>69</v>
      </c>
      <c r="J41"/>
    </row>
    <row r="42" spans="1:10">
      <c r="A42" s="114" t="str">
        <f t="shared" si="0"/>
        <v>4562300MISC OTHER REV301951NON-WHEELING SYS REVSG</v>
      </c>
      <c r="B42" s="125">
        <v>4562300</v>
      </c>
      <c r="C42" s="119" t="s">
        <v>1571</v>
      </c>
      <c r="D42" s="125">
        <v>301951</v>
      </c>
      <c r="E42" s="121" t="s">
        <v>1579</v>
      </c>
      <c r="F42" s="119" t="s">
        <v>87</v>
      </c>
      <c r="G42" s="122"/>
      <c r="H42" s="113" t="str">
        <f t="shared" si="1"/>
        <v>SG</v>
      </c>
      <c r="I42" s="113" t="s">
        <v>68</v>
      </c>
      <c r="J42"/>
    </row>
    <row r="43" spans="1:10">
      <c r="A43" s="114" t="str">
        <f t="shared" si="0"/>
        <v>4561100Other Wheeling Rev301972Ancillary Revenue Sch 5&amp;6-Spin&amp;Supp (TraSG</v>
      </c>
      <c r="B43" s="125">
        <v>4561100</v>
      </c>
      <c r="C43" s="119" t="s">
        <v>1542</v>
      </c>
      <c r="D43" s="125">
        <v>301972</v>
      </c>
      <c r="E43" s="121" t="s">
        <v>1607</v>
      </c>
      <c r="F43" s="119" t="s">
        <v>87</v>
      </c>
      <c r="G43" s="122"/>
      <c r="H43" s="113" t="str">
        <f t="shared" si="1"/>
        <v>SG</v>
      </c>
      <c r="I43" s="113" t="s">
        <v>69</v>
      </c>
      <c r="J43"/>
    </row>
    <row r="44" spans="1:10">
      <c r="A44" s="114" t="str">
        <f t="shared" si="0"/>
        <v>4561100Other Wheeling Rev302082I/C Anc Rev Sch 1-Scheduling-Nevada PwrSG</v>
      </c>
      <c r="B44" s="125">
        <v>4561100</v>
      </c>
      <c r="C44" s="119" t="s">
        <v>1542</v>
      </c>
      <c r="D44" s="125">
        <v>302082</v>
      </c>
      <c r="E44" s="121" t="s">
        <v>1549</v>
      </c>
      <c r="F44" s="119" t="s">
        <v>87</v>
      </c>
      <c r="G44" s="122"/>
      <c r="H44" s="113" t="str">
        <f t="shared" si="1"/>
        <v>SG</v>
      </c>
      <c r="I44" s="113" t="s">
        <v>69</v>
      </c>
      <c r="J44"/>
    </row>
    <row r="45" spans="1:10">
      <c r="A45" s="114" t="str">
        <f t="shared" si="0"/>
        <v>4562300MISC OTHER REV301915OTHER ELEC REV - MISCSG</v>
      </c>
      <c r="B45" s="125">
        <v>4562300</v>
      </c>
      <c r="C45" s="119" t="s">
        <v>1571</v>
      </c>
      <c r="D45" s="125">
        <v>301915</v>
      </c>
      <c r="E45" s="121" t="s">
        <v>1574</v>
      </c>
      <c r="F45" s="119" t="s">
        <v>87</v>
      </c>
      <c r="G45" s="122"/>
      <c r="H45" s="113" t="str">
        <f t="shared" si="1"/>
        <v>SG</v>
      </c>
      <c r="I45" s="113" t="s">
        <v>68</v>
      </c>
      <c r="J45"/>
    </row>
    <row r="46" spans="1:10">
      <c r="A46" s="114" t="str">
        <f t="shared" si="0"/>
        <v>4561100Other Wheeling Rev302092I/C Anc Rev Sch 2-Reactive-Nevada PwrSG</v>
      </c>
      <c r="B46" s="125">
        <v>4561100</v>
      </c>
      <c r="C46" s="119" t="s">
        <v>1542</v>
      </c>
      <c r="D46" s="125">
        <v>302092</v>
      </c>
      <c r="E46" s="121" t="s">
        <v>1550</v>
      </c>
      <c r="F46" s="119" t="s">
        <v>87</v>
      </c>
      <c r="G46" s="122"/>
      <c r="H46" s="113" t="str">
        <f t="shared" si="1"/>
        <v>SG</v>
      </c>
      <c r="I46" s="113" t="s">
        <v>69</v>
      </c>
      <c r="J46"/>
    </row>
    <row r="47" spans="1:10">
      <c r="A47" s="114" t="str">
        <f t="shared" si="0"/>
        <v>4562400M&amp;S INVENTORY SALES362950M&amp;S INVENTORY SALESSO</v>
      </c>
      <c r="B47" s="125">
        <v>4562400</v>
      </c>
      <c r="C47" s="119" t="s">
        <v>1587</v>
      </c>
      <c r="D47" s="125">
        <v>362950</v>
      </c>
      <c r="E47" s="121" t="s">
        <v>1587</v>
      </c>
      <c r="F47" s="119" t="s">
        <v>89</v>
      </c>
      <c r="G47" s="122"/>
      <c r="H47" s="113" t="str">
        <f t="shared" si="1"/>
        <v>SO</v>
      </c>
      <c r="I47" s="113" t="s">
        <v>92</v>
      </c>
      <c r="J47"/>
    </row>
    <row r="48" spans="1:10">
      <c r="A48" s="114" t="str">
        <f t="shared" si="0"/>
        <v>4563500Oth Elec Rev-Def Trn305991FERC Transmission Refund-AmortzSITUS</v>
      </c>
      <c r="B48" s="125">
        <v>4563500</v>
      </c>
      <c r="C48" s="119" t="s">
        <v>1600</v>
      </c>
      <c r="D48" s="125">
        <v>305991</v>
      </c>
      <c r="E48" s="121" t="s">
        <v>1602</v>
      </c>
      <c r="F48" s="119" t="s">
        <v>343</v>
      </c>
      <c r="G48" s="122"/>
      <c r="H48" s="113" t="str">
        <f t="shared" si="1"/>
        <v>SITUS</v>
      </c>
      <c r="I48" s="113" t="s">
        <v>69</v>
      </c>
      <c r="J48"/>
    </row>
    <row r="49" spans="1:10">
      <c r="A49" s="114" t="str">
        <f t="shared" si="0"/>
        <v>4561100Other Wheeling Rev302831I/C Other Wheeling Revenue-Sierra PacSG</v>
      </c>
      <c r="B49" s="125">
        <v>4561100</v>
      </c>
      <c r="C49" s="119" t="s">
        <v>1542</v>
      </c>
      <c r="D49" s="125">
        <v>302831</v>
      </c>
      <c r="E49" s="121" t="s">
        <v>1551</v>
      </c>
      <c r="F49" s="119" t="s">
        <v>87</v>
      </c>
      <c r="G49" s="122"/>
      <c r="H49" s="113" t="str">
        <f t="shared" si="1"/>
        <v>SG</v>
      </c>
      <c r="I49" s="113" t="s">
        <v>69</v>
      </c>
      <c r="J49"/>
    </row>
    <row r="50" spans="1:10">
      <c r="A50" s="114" t="str">
        <f t="shared" si="0"/>
        <v>4561990TRANSMN REV REFUND301913Transmission Tariff True-upSG</v>
      </c>
      <c r="B50" s="125">
        <v>4561990</v>
      </c>
      <c r="C50" s="119" t="s">
        <v>1567</v>
      </c>
      <c r="D50" s="125">
        <v>301913</v>
      </c>
      <c r="E50" s="121" t="s">
        <v>1568</v>
      </c>
      <c r="F50" s="119" t="s">
        <v>87</v>
      </c>
      <c r="G50" s="122"/>
      <c r="H50" s="113" t="str">
        <f t="shared" si="1"/>
        <v>SG</v>
      </c>
      <c r="I50" s="113" t="s">
        <v>69</v>
      </c>
      <c r="J50"/>
    </row>
    <row r="51" spans="1:10">
      <c r="A51" s="114" t="str">
        <f t="shared" si="0"/>
        <v>4562300MISC OTHER REV301940FLYASH &amp; BY-PRODUCT SALESSG</v>
      </c>
      <c r="B51" s="125">
        <v>4562300</v>
      </c>
      <c r="C51" s="119" t="s">
        <v>1571</v>
      </c>
      <c r="D51" s="125">
        <v>301940</v>
      </c>
      <c r="E51" s="121" t="s">
        <v>1577</v>
      </c>
      <c r="F51" s="119" t="s">
        <v>87</v>
      </c>
      <c r="G51" s="122"/>
      <c r="H51" s="113" t="str">
        <f t="shared" si="1"/>
        <v>SG</v>
      </c>
      <c r="I51" s="113" t="s">
        <v>68</v>
      </c>
      <c r="J51"/>
    </row>
    <row r="52" spans="1:10">
      <c r="A52" s="114" t="str">
        <f t="shared" si="0"/>
        <v>4562700RNW ENRGY CRDT SALES301945Renewable Energy Credit SalesSG</v>
      </c>
      <c r="B52" s="125">
        <v>4562700</v>
      </c>
      <c r="C52" s="119" t="s">
        <v>1590</v>
      </c>
      <c r="D52" s="125">
        <v>301945</v>
      </c>
      <c r="E52" s="121" t="s">
        <v>1593</v>
      </c>
      <c r="F52" s="119" t="s">
        <v>87</v>
      </c>
      <c r="G52" s="122"/>
      <c r="H52" s="113" t="str">
        <f t="shared" si="1"/>
        <v>SG</v>
      </c>
      <c r="I52" s="113" t="s">
        <v>68</v>
      </c>
      <c r="J52"/>
    </row>
    <row r="53" spans="1:10">
      <c r="A53" s="114" t="str">
        <f t="shared" si="0"/>
        <v>4561920L/T FIRM WHEEL REV301916PRE-MERGER FIRM WHEELINGSG</v>
      </c>
      <c r="B53" s="125">
        <v>4561920</v>
      </c>
      <c r="C53" s="119" t="s">
        <v>1558</v>
      </c>
      <c r="D53" s="125">
        <v>301916</v>
      </c>
      <c r="E53" s="121" t="s">
        <v>1560</v>
      </c>
      <c r="F53" s="119" t="s">
        <v>87</v>
      </c>
      <c r="G53" s="122"/>
      <c r="H53" s="113" t="str">
        <f t="shared" si="1"/>
        <v>SG</v>
      </c>
      <c r="I53" s="113" t="s">
        <v>69</v>
      </c>
      <c r="J53"/>
    </row>
    <row r="54" spans="1:10">
      <c r="A54" s="114" t="str">
        <f t="shared" si="0"/>
        <v>4562800CA GHG Emission Allo352003CA GHG Allowance Revenues – AmortzOTHER</v>
      </c>
      <c r="B54" s="125">
        <v>4562800</v>
      </c>
      <c r="C54" s="119" t="s">
        <v>1596</v>
      </c>
      <c r="D54" s="125">
        <v>352003</v>
      </c>
      <c r="E54" s="121" t="s">
        <v>1599</v>
      </c>
      <c r="F54" s="119" t="s">
        <v>306</v>
      </c>
      <c r="G54" s="122"/>
      <c r="H54" s="113" t="str">
        <f t="shared" si="1"/>
        <v>OTHER</v>
      </c>
      <c r="I54" s="113" t="s">
        <v>68</v>
      </c>
      <c r="J54"/>
    </row>
    <row r="55" spans="1:10">
      <c r="A55" s="114" t="str">
        <f t="shared" si="0"/>
        <v>4562300MISC OTHER REV301959Wind-based Ancillary Services/RevenueSG</v>
      </c>
      <c r="B55" s="125">
        <v>4562300</v>
      </c>
      <c r="C55" s="119" t="s">
        <v>1571</v>
      </c>
      <c r="D55" s="125">
        <v>301959</v>
      </c>
      <c r="E55" s="121" t="s">
        <v>1581</v>
      </c>
      <c r="F55" s="119" t="s">
        <v>87</v>
      </c>
      <c r="G55" s="122"/>
      <c r="H55" s="113" t="str">
        <f t="shared" si="1"/>
        <v>SG</v>
      </c>
      <c r="I55" s="113" t="s">
        <v>68</v>
      </c>
      <c r="J55"/>
    </row>
    <row r="56" spans="1:10">
      <c r="A56" s="114" t="str">
        <f t="shared" si="0"/>
        <v>4562800CA GHG Emission Allo352001CA GHG Allowance RevenuesOTHER</v>
      </c>
      <c r="B56" s="125">
        <v>4562800</v>
      </c>
      <c r="C56" s="119" t="s">
        <v>1596</v>
      </c>
      <c r="D56" s="125">
        <v>352001</v>
      </c>
      <c r="E56" s="121" t="s">
        <v>1597</v>
      </c>
      <c r="F56" s="119" t="s">
        <v>306</v>
      </c>
      <c r="G56" s="122"/>
      <c r="H56" s="113" t="str">
        <f t="shared" si="1"/>
        <v>OTHER</v>
      </c>
      <c r="I56" s="113" t="s">
        <v>68</v>
      </c>
      <c r="J56"/>
    </row>
    <row r="57" spans="1:10">
      <c r="A57" s="114" t="str">
        <f t="shared" si="0"/>
        <v>4561930NON-FIRM WHEEL REV301922NON-FIRM WHEELING REVENUESE</v>
      </c>
      <c r="B57" s="125">
        <v>4561930</v>
      </c>
      <c r="C57" s="119" t="s">
        <v>1564</v>
      </c>
      <c r="D57" s="125">
        <v>301922</v>
      </c>
      <c r="E57" s="121" t="s">
        <v>1565</v>
      </c>
      <c r="F57" s="119" t="s">
        <v>85</v>
      </c>
      <c r="G57" s="122"/>
      <c r="H57" s="113" t="str">
        <f t="shared" si="1"/>
        <v>SE</v>
      </c>
      <c r="I57" s="113" t="s">
        <v>69</v>
      </c>
      <c r="J57"/>
    </row>
    <row r="58" spans="1:10">
      <c r="A58" s="114" t="str">
        <f t="shared" si="0"/>
        <v>4561920L/T FIRM WHEEL REV301912POST-MERGER FIRM WHEELINGSG</v>
      </c>
      <c r="B58" s="125">
        <v>4561920</v>
      </c>
      <c r="C58" s="119" t="s">
        <v>1558</v>
      </c>
      <c r="D58" s="125">
        <v>301912</v>
      </c>
      <c r="E58" s="121" t="s">
        <v>1559</v>
      </c>
      <c r="F58" s="119" t="s">
        <v>87</v>
      </c>
      <c r="G58" s="122"/>
      <c r="H58" s="113" t="str">
        <f t="shared" si="1"/>
        <v>SG</v>
      </c>
      <c r="I58" s="113" t="s">
        <v>69</v>
      </c>
      <c r="J58"/>
    </row>
    <row r="59" spans="1:10">
      <c r="A59" s="114" t="str">
        <f t="shared" si="0"/>
        <v>4561100Other Wheeling Rev301966Primary Delivery and Distribution Sub ChSG</v>
      </c>
      <c r="B59" s="125">
        <v>4561100</v>
      </c>
      <c r="C59" s="119" t="s">
        <v>1542</v>
      </c>
      <c r="D59" s="125">
        <v>301966</v>
      </c>
      <c r="E59" s="121" t="s">
        <v>1552</v>
      </c>
      <c r="F59" s="119" t="s">
        <v>87</v>
      </c>
      <c r="G59" s="122"/>
      <c r="H59" s="113" t="str">
        <f t="shared" si="1"/>
        <v>SG</v>
      </c>
      <c r="I59" s="113" t="s">
        <v>69</v>
      </c>
      <c r="J59"/>
    </row>
    <row r="60" spans="1:10">
      <c r="A60" s="114" t="str">
        <f t="shared" si="0"/>
        <v>4561920L/T FIRM WHEEL REV301917PRE-MERGER FIRM WHEELINGSG</v>
      </c>
      <c r="B60" s="125">
        <v>4561920</v>
      </c>
      <c r="C60" s="119" t="s">
        <v>1558</v>
      </c>
      <c r="D60" s="125">
        <v>301917</v>
      </c>
      <c r="E60" s="121" t="s">
        <v>1560</v>
      </c>
      <c r="F60" s="119" t="s">
        <v>87</v>
      </c>
      <c r="G60" s="122"/>
      <c r="H60" s="113" t="str">
        <f t="shared" si="1"/>
        <v>SG</v>
      </c>
      <c r="I60" s="113" t="s">
        <v>69</v>
      </c>
      <c r="J60"/>
    </row>
    <row r="61" spans="1:10">
      <c r="A61" s="114" t="str">
        <f t="shared" si="0"/>
        <v>4561100Other Wheeling Rev505961TRANSMISSION IMBALANCE PENALTY REVENUESG</v>
      </c>
      <c r="B61" s="125">
        <v>4561100</v>
      </c>
      <c r="C61" s="119" t="s">
        <v>1542</v>
      </c>
      <c r="D61" s="125">
        <v>505961</v>
      </c>
      <c r="E61" s="121" t="s">
        <v>1671</v>
      </c>
      <c r="F61" s="119" t="s">
        <v>87</v>
      </c>
      <c r="G61" s="122"/>
      <c r="H61" s="113" t="str">
        <f t="shared" si="1"/>
        <v>SG</v>
      </c>
      <c r="I61" s="113" t="s">
        <v>69</v>
      </c>
      <c r="J61"/>
    </row>
    <row r="62" spans="1:10">
      <c r="A62" s="114" t="str">
        <f t="shared" si="0"/>
        <v>4561100Other Wheeling Rev302981Transmission Resales to Other PartiesSG</v>
      </c>
      <c r="B62" s="125">
        <v>4561100</v>
      </c>
      <c r="C62" s="119" t="s">
        <v>1542</v>
      </c>
      <c r="D62" s="125">
        <v>302981</v>
      </c>
      <c r="E62" s="121" t="s">
        <v>1553</v>
      </c>
      <c r="F62" s="119" t="s">
        <v>87</v>
      </c>
      <c r="G62" s="122"/>
      <c r="H62" s="113" t="str">
        <f t="shared" si="1"/>
        <v>SG</v>
      </c>
      <c r="I62" s="113" t="s">
        <v>69</v>
      </c>
      <c r="J62"/>
    </row>
    <row r="63" spans="1:10">
      <c r="A63" s="114" t="str">
        <f t="shared" si="0"/>
        <v>4561100Other Wheeling Rev302982Transmission Rev-Unreserved Use ChargesSG</v>
      </c>
      <c r="B63" s="125">
        <v>4561100</v>
      </c>
      <c r="C63" s="119" t="s">
        <v>1542</v>
      </c>
      <c r="D63" s="125">
        <v>302982</v>
      </c>
      <c r="E63" s="121" t="s">
        <v>1554</v>
      </c>
      <c r="F63" s="119" t="s">
        <v>87</v>
      </c>
      <c r="G63" s="122"/>
      <c r="H63" s="113" t="str">
        <f t="shared" si="1"/>
        <v>SG</v>
      </c>
      <c r="I63" s="113" t="s">
        <v>69</v>
      </c>
      <c r="J63" s="113"/>
    </row>
    <row r="64" spans="1:10">
      <c r="A64" s="114" t="str">
        <f t="shared" si="0"/>
        <v>4561100Other Wheeling Rev302901USE OF FACILITY REVENUESG</v>
      </c>
      <c r="B64" s="125">
        <v>4561100</v>
      </c>
      <c r="C64" s="119" t="s">
        <v>1542</v>
      </c>
      <c r="D64" s="125">
        <v>302901</v>
      </c>
      <c r="E64" s="121" t="s">
        <v>1555</v>
      </c>
      <c r="F64" s="119" t="s">
        <v>87</v>
      </c>
      <c r="G64" s="122"/>
      <c r="H64" s="113" t="str">
        <f t="shared" si="1"/>
        <v>SG</v>
      </c>
      <c r="I64" s="113" t="s">
        <v>69</v>
      </c>
      <c r="J64" s="113"/>
    </row>
    <row r="65" spans="1:10">
      <c r="A65" s="114" t="str">
        <f t="shared" si="0"/>
        <v>4561990TRANSMN REV REFUND305950Ancil Revenue Sch 5 - Subject to RefundSG</v>
      </c>
      <c r="B65" s="125">
        <v>4561990</v>
      </c>
      <c r="C65" s="119" t="s">
        <v>1567</v>
      </c>
      <c r="D65" s="125">
        <v>305950</v>
      </c>
      <c r="E65" s="121" t="s">
        <v>1608</v>
      </c>
      <c r="F65" s="119" t="s">
        <v>87</v>
      </c>
      <c r="G65" s="122"/>
      <c r="H65" s="113" t="str">
        <f t="shared" si="1"/>
        <v>SG</v>
      </c>
      <c r="I65" s="113" t="s">
        <v>69</v>
      </c>
      <c r="J65" s="113"/>
    </row>
    <row r="66" spans="1:10">
      <c r="A66" s="114" t="str">
        <f t="shared" si="0"/>
        <v>4561990TRANSMN REV REFUND305960Ancil Revenue Sch 6 - Subject to RefundSG</v>
      </c>
      <c r="B66" s="125">
        <v>4561990</v>
      </c>
      <c r="C66" s="119" t="s">
        <v>1567</v>
      </c>
      <c r="D66" s="125">
        <v>305960</v>
      </c>
      <c r="E66" s="121" t="s">
        <v>1609</v>
      </c>
      <c r="F66" s="119" t="s">
        <v>87</v>
      </c>
      <c r="G66" s="122"/>
      <c r="H66" s="113" t="str">
        <f t="shared" si="1"/>
        <v>SG</v>
      </c>
      <c r="I66" s="113" t="s">
        <v>69</v>
      </c>
      <c r="J66" s="113"/>
    </row>
    <row r="67" spans="1:10">
      <c r="A67" s="114" t="str">
        <f t="shared" ref="A67:A89" si="2">CONCATENATE($B67,$C67,$D67,$E67,$H67)</f>
        <v>4561990TRANSMN REV REFUND305931Ancil Revenue Sch 3a - Subject to RefundSG</v>
      </c>
      <c r="B67" s="125">
        <v>4561990</v>
      </c>
      <c r="C67" s="119" t="s">
        <v>1567</v>
      </c>
      <c r="D67" s="125">
        <v>305931</v>
      </c>
      <c r="E67" s="121" t="s">
        <v>1610</v>
      </c>
      <c r="F67" s="119" t="s">
        <v>87</v>
      </c>
      <c r="G67" s="122"/>
      <c r="H67" s="113" t="str">
        <f t="shared" ref="H67:H89" si="3">IF(OR(F67="IDU",F67="OR",F67="UT",F67="WYU",F67="WYP",F67="CA",F67="WA"),"SITUS",F67)</f>
        <v>SG</v>
      </c>
      <c r="I67" s="113" t="s">
        <v>69</v>
      </c>
      <c r="J67" s="113"/>
    </row>
    <row r="68" spans="1:10">
      <c r="A68" s="114" t="str">
        <f t="shared" si="2"/>
        <v>4561990TRANSMN REV REFUND305930Ancil Revenue Sch 3 - Subject to RefundSG</v>
      </c>
      <c r="B68" s="125">
        <v>4561990</v>
      </c>
      <c r="C68" s="119" t="s">
        <v>1567</v>
      </c>
      <c r="D68" s="125">
        <v>305930</v>
      </c>
      <c r="E68" s="121" t="s">
        <v>1611</v>
      </c>
      <c r="F68" s="119" t="s">
        <v>87</v>
      </c>
      <c r="G68" s="122"/>
      <c r="H68" s="113" t="str">
        <f t="shared" si="3"/>
        <v>SG</v>
      </c>
      <c r="I68" s="113" t="s">
        <v>69</v>
      </c>
      <c r="J68" s="113"/>
    </row>
    <row r="69" spans="1:10">
      <c r="A69" s="114" t="str">
        <f t="shared" si="2"/>
        <v>4561920L/T FIRM WHEEL REV302980Transmisson Point-to-Point RevenueSG</v>
      </c>
      <c r="B69" s="125">
        <v>4561920</v>
      </c>
      <c r="C69" s="119" t="s">
        <v>1558</v>
      </c>
      <c r="D69" s="125">
        <v>302980</v>
      </c>
      <c r="E69" s="121" t="s">
        <v>1563</v>
      </c>
      <c r="F69" s="119" t="s">
        <v>87</v>
      </c>
      <c r="G69" s="122"/>
      <c r="H69" s="113" t="str">
        <f t="shared" si="3"/>
        <v>SG</v>
      </c>
      <c r="I69" s="113" t="s">
        <v>69</v>
      </c>
    </row>
    <row r="70" spans="1:10">
      <c r="A70" s="114" t="str">
        <f t="shared" si="2"/>
        <v>4561100Other Wheeling Rev302832I/C Other Wheeling Revenue-Nevada PwrSG</v>
      </c>
      <c r="B70" s="125">
        <v>4561100</v>
      </c>
      <c r="C70" s="119" t="s">
        <v>1542</v>
      </c>
      <c r="D70" s="125">
        <v>302832</v>
      </c>
      <c r="E70" s="121" t="s">
        <v>1677</v>
      </c>
      <c r="F70" s="119" t="s">
        <v>87</v>
      </c>
      <c r="G70" s="122"/>
      <c r="H70" s="113" t="str">
        <f t="shared" si="3"/>
        <v>SG</v>
      </c>
      <c r="I70" s="113" t="s">
        <v>69</v>
      </c>
    </row>
    <row r="71" spans="1:10">
      <c r="A71" s="114" t="str">
        <f t="shared" si="2"/>
        <v>4561100Other Wheeling Rev302983Transmission Revenue - Deferral FeesSG</v>
      </c>
      <c r="B71" s="125">
        <v>4561100</v>
      </c>
      <c r="C71" s="119" t="s">
        <v>1542</v>
      </c>
      <c r="D71" s="125">
        <v>302983</v>
      </c>
      <c r="E71" s="121" t="s">
        <v>1678</v>
      </c>
      <c r="F71" s="119" t="s">
        <v>87</v>
      </c>
      <c r="G71" s="122"/>
      <c r="H71" s="113" t="str">
        <f t="shared" si="3"/>
        <v>SG</v>
      </c>
      <c r="I71" s="113" t="s">
        <v>69</v>
      </c>
    </row>
    <row r="72" spans="1:10">
      <c r="A72" s="114" t="str">
        <f t="shared" si="2"/>
        <v>4561910S/T FIRM WHEEL REV302812I/C ST Firm Wheeling Revenue-Nevada PwrSG</v>
      </c>
      <c r="B72" s="125">
        <v>4561910</v>
      </c>
      <c r="C72" s="119" t="s">
        <v>1556</v>
      </c>
      <c r="D72" s="125">
        <v>302812</v>
      </c>
      <c r="E72" s="121" t="s">
        <v>1679</v>
      </c>
      <c r="F72" s="119" t="s">
        <v>87</v>
      </c>
      <c r="G72" s="122"/>
      <c r="H72" s="113" t="str">
        <f t="shared" si="3"/>
        <v>SG</v>
      </c>
      <c r="I72" s="113" t="s">
        <v>69</v>
      </c>
    </row>
    <row r="73" spans="1:10">
      <c r="A73" s="114" t="str">
        <f t="shared" si="2"/>
        <v>4562800CA GHG Emission Allo352004CA GHG Allow Revenues - SOMAH AmortzOTHER</v>
      </c>
      <c r="B73" s="125">
        <v>4562800</v>
      </c>
      <c r="C73" s="119" t="s">
        <v>1596</v>
      </c>
      <c r="D73" s="125">
        <v>352004</v>
      </c>
      <c r="E73" s="121" t="s">
        <v>1680</v>
      </c>
      <c r="F73" s="119" t="s">
        <v>306</v>
      </c>
      <c r="G73" s="122"/>
      <c r="H73" s="113" t="str">
        <f t="shared" si="3"/>
        <v>OTHER</v>
      </c>
      <c r="I73" s="113" t="s">
        <v>68</v>
      </c>
    </row>
    <row r="74" spans="1:10">
      <c r="A74" s="114" t="str">
        <f t="shared" si="2"/>
        <v>4562300MISC OTHER REV362100Refined Coal Transaction Fee RevenueSG</v>
      </c>
      <c r="B74" s="125">
        <v>4562300</v>
      </c>
      <c r="C74" s="119" t="s">
        <v>1571</v>
      </c>
      <c r="D74" s="125">
        <v>362100</v>
      </c>
      <c r="E74" s="121" t="s">
        <v>1755</v>
      </c>
      <c r="F74" s="119" t="s">
        <v>87</v>
      </c>
      <c r="G74" s="124"/>
      <c r="H74" s="113" t="str">
        <f t="shared" si="3"/>
        <v>SG</v>
      </c>
      <c r="I74" s="113" t="s">
        <v>68</v>
      </c>
    </row>
    <row r="75" spans="1:10">
      <c r="A75" s="114" t="str">
        <f t="shared" si="2"/>
        <v>4562700RNW ENRGY CRDT SALES354945REC Sales - Blue Sky Program - ActualOTHER</v>
      </c>
      <c r="B75" s="125">
        <v>4562700</v>
      </c>
      <c r="C75" s="119" t="s">
        <v>1590</v>
      </c>
      <c r="D75" s="125">
        <v>354945</v>
      </c>
      <c r="E75" s="121" t="s">
        <v>1808</v>
      </c>
      <c r="F75" s="119" t="s">
        <v>306</v>
      </c>
      <c r="H75" s="113" t="str">
        <f t="shared" si="3"/>
        <v>OTHER</v>
      </c>
      <c r="I75" s="113" t="s">
        <v>68</v>
      </c>
    </row>
    <row r="76" spans="1:10">
      <c r="A76" s="114" t="str">
        <f t="shared" si="2"/>
        <v>4561100Other Wheeling Rev301962Ancil Revenue Sch 2-Reactive (Trans)SG</v>
      </c>
      <c r="B76" s="126">
        <v>4561100</v>
      </c>
      <c r="C76" s="120" t="s">
        <v>1542</v>
      </c>
      <c r="D76" s="125">
        <v>301962</v>
      </c>
      <c r="E76" s="121" t="s">
        <v>2098</v>
      </c>
      <c r="F76" s="119" t="s">
        <v>87</v>
      </c>
      <c r="H76" s="113" t="str">
        <f t="shared" si="3"/>
        <v>SG</v>
      </c>
      <c r="I76" s="113" t="s">
        <v>69</v>
      </c>
    </row>
    <row r="77" spans="1:10">
      <c r="A77" s="114" t="str">
        <f t="shared" si="2"/>
        <v>4562300MISC OTHER REV610004BlankOTHER</v>
      </c>
      <c r="B77" s="126">
        <v>4562300</v>
      </c>
      <c r="C77" s="120" t="s">
        <v>1571</v>
      </c>
      <c r="D77" s="125">
        <v>610004</v>
      </c>
      <c r="E77" s="121" t="s">
        <v>2139</v>
      </c>
      <c r="F77" s="119" t="s">
        <v>306</v>
      </c>
      <c r="H77" s="113" t="str">
        <f t="shared" si="3"/>
        <v>OTHER</v>
      </c>
      <c r="I77" s="113" t="s">
        <v>68</v>
      </c>
    </row>
    <row r="78" spans="1:10">
      <c r="A78" s="114" t="str">
        <f t="shared" si="2"/>
        <v>4562300MISC OTHER REV701010Labor Costs Settled to CapitalOTHER</v>
      </c>
      <c r="B78" s="126">
        <v>4562300</v>
      </c>
      <c r="C78" s="120" t="s">
        <v>1571</v>
      </c>
      <c r="D78" s="125">
        <v>701010</v>
      </c>
      <c r="E78" s="121" t="s">
        <v>2141</v>
      </c>
      <c r="F78" s="119" t="s">
        <v>306</v>
      </c>
      <c r="H78" s="113" t="str">
        <f t="shared" si="3"/>
        <v>OTHER</v>
      </c>
      <c r="I78" s="113" t="s">
        <v>68</v>
      </c>
    </row>
    <row r="79" spans="1:10">
      <c r="A79" s="114" t="str">
        <f t="shared" si="2"/>
        <v>4562700RNW ENRGY CRDT SALES354943REC Sales - Pryor Mtn - DeferralOTHER</v>
      </c>
      <c r="B79" s="126">
        <v>4562700</v>
      </c>
      <c r="C79" s="120" t="s">
        <v>1590</v>
      </c>
      <c r="D79" s="125">
        <v>354943</v>
      </c>
      <c r="E79" s="121" t="s">
        <v>2154</v>
      </c>
      <c r="F79" s="119" t="s">
        <v>306</v>
      </c>
      <c r="H79" s="113" t="str">
        <f t="shared" si="3"/>
        <v>OTHER</v>
      </c>
      <c r="I79" s="113" t="s">
        <v>68</v>
      </c>
    </row>
    <row r="80" spans="1:10">
      <c r="A80" s="114" t="str">
        <f t="shared" si="2"/>
        <v>4562300MISC OTHER REV301940FLYASH &amp; BY-PRODUCT SALESCAGE</v>
      </c>
      <c r="B80" s="126">
        <v>4562300</v>
      </c>
      <c r="C80" s="127" t="s">
        <v>1571</v>
      </c>
      <c r="D80" s="126">
        <v>301940</v>
      </c>
      <c r="E80" s="128" t="s">
        <v>1577</v>
      </c>
      <c r="F80" s="127" t="s">
        <v>3106</v>
      </c>
      <c r="H80" s="113" t="str">
        <f t="shared" si="3"/>
        <v>CAGE</v>
      </c>
      <c r="I80" s="113" t="s">
        <v>68</v>
      </c>
    </row>
    <row r="81" spans="1:9">
      <c r="A81" s="114" t="str">
        <f t="shared" si="2"/>
        <v>4562300MISC OTHER REV301940FLYASH &amp; BY-PRODUCT SALESJBG</v>
      </c>
      <c r="B81" s="126">
        <v>4562300</v>
      </c>
      <c r="C81" s="127" t="s">
        <v>1571</v>
      </c>
      <c r="D81" s="126">
        <v>301940</v>
      </c>
      <c r="E81" s="128" t="s">
        <v>1577</v>
      </c>
      <c r="F81" s="127" t="s">
        <v>3107</v>
      </c>
      <c r="H81" s="113" t="str">
        <f t="shared" si="3"/>
        <v>JBG</v>
      </c>
      <c r="I81" s="113" t="s">
        <v>68</v>
      </c>
    </row>
    <row r="82" spans="1:9">
      <c r="A82" s="114" t="str">
        <f t="shared" si="2"/>
        <v>4562300MISC OTHER REV301949THIRD PARTY TRN O&amp;M REVCAGW</v>
      </c>
      <c r="B82" s="126">
        <v>4562300</v>
      </c>
      <c r="C82" s="127" t="s">
        <v>1571</v>
      </c>
      <c r="D82" s="126">
        <v>301949</v>
      </c>
      <c r="E82" s="128" t="s">
        <v>1578</v>
      </c>
      <c r="F82" s="127" t="s">
        <v>3108</v>
      </c>
      <c r="H82" s="113" t="str">
        <f t="shared" si="3"/>
        <v>CAGW</v>
      </c>
      <c r="I82" s="113" t="s">
        <v>69</v>
      </c>
    </row>
    <row r="83" spans="1:9">
      <c r="A83" s="114" t="str">
        <f t="shared" si="2"/>
        <v>4562300MISC OTHER REV361000STEAM SALESCAGE</v>
      </c>
      <c r="B83" s="126">
        <v>4562300</v>
      </c>
      <c r="C83" s="127" t="s">
        <v>1571</v>
      </c>
      <c r="D83" s="126">
        <v>361000</v>
      </c>
      <c r="E83" s="128" t="s">
        <v>1583</v>
      </c>
      <c r="F83" s="127" t="s">
        <v>3106</v>
      </c>
      <c r="H83" s="113" t="str">
        <f t="shared" si="3"/>
        <v>CAGE</v>
      </c>
      <c r="I83" s="113" t="s">
        <v>68</v>
      </c>
    </row>
    <row r="84" spans="1:9">
      <c r="A84" s="114" t="str">
        <f t="shared" si="2"/>
        <v>4562300MISC OTHER REV361000STEAM SALESCAGW</v>
      </c>
      <c r="B84" s="126">
        <v>4562300</v>
      </c>
      <c r="C84" s="127" t="s">
        <v>1571</v>
      </c>
      <c r="D84" s="126">
        <v>361000</v>
      </c>
      <c r="E84" s="128" t="s">
        <v>1583</v>
      </c>
      <c r="F84" s="127" t="s">
        <v>3108</v>
      </c>
      <c r="H84" s="113" t="str">
        <f t="shared" si="3"/>
        <v>CAGW</v>
      </c>
      <c r="I84" s="113" t="s">
        <v>68</v>
      </c>
    </row>
    <row r="85" spans="1:9">
      <c r="A85" s="114" t="str">
        <f t="shared" si="2"/>
        <v>4562400M&amp;S INVENTORY SALES362950M&amp;S INVENTORY SALESCAGE</v>
      </c>
      <c r="B85" s="126">
        <v>4562400</v>
      </c>
      <c r="C85" s="127" t="s">
        <v>1587</v>
      </c>
      <c r="D85" s="126">
        <v>362950</v>
      </c>
      <c r="E85" s="128" t="s">
        <v>1587</v>
      </c>
      <c r="F85" s="127" t="s">
        <v>3106</v>
      </c>
      <c r="H85" s="113" t="str">
        <f t="shared" si="3"/>
        <v>CAGE</v>
      </c>
      <c r="I85" s="113" t="s">
        <v>68</v>
      </c>
    </row>
    <row r="86" spans="1:9">
      <c r="A86" s="114" t="str">
        <f t="shared" si="2"/>
        <v>4562700RNW ENRGY CRDT SALES301943Renewable Energy Credit Sales-DeferralOTHER</v>
      </c>
      <c r="B86" s="126">
        <v>4562700</v>
      </c>
      <c r="C86" s="127" t="s">
        <v>1590</v>
      </c>
      <c r="D86" s="126">
        <v>301943</v>
      </c>
      <c r="E86" s="128" t="s">
        <v>1591</v>
      </c>
      <c r="F86" s="127" t="s">
        <v>306</v>
      </c>
      <c r="H86" s="113" t="str">
        <f t="shared" si="3"/>
        <v>OTHER</v>
      </c>
      <c r="I86" s="113" t="s">
        <v>68</v>
      </c>
    </row>
    <row r="87" spans="1:9">
      <c r="A87" s="114" t="str">
        <f t="shared" si="2"/>
        <v>4562700RNW ENRGY CRDT SALES301944Renewable Energy Credit Sales-EstimateOTHER</v>
      </c>
      <c r="B87" s="126">
        <v>4562700</v>
      </c>
      <c r="C87" s="127" t="s">
        <v>1590</v>
      </c>
      <c r="D87" s="126">
        <v>301944</v>
      </c>
      <c r="E87" s="128" t="s">
        <v>1592</v>
      </c>
      <c r="F87" s="127" t="s">
        <v>306</v>
      </c>
      <c r="H87" s="113" t="str">
        <f t="shared" si="3"/>
        <v>OTHER</v>
      </c>
      <c r="I87" s="113" t="s">
        <v>68</v>
      </c>
    </row>
    <row r="88" spans="1:9">
      <c r="A88" s="114" t="str">
        <f t="shared" si="2"/>
        <v>4562700RNW ENRGY CRDT SALES301945Renewable Energy Credit SalesOTHER</v>
      </c>
      <c r="B88" s="126">
        <v>4562700</v>
      </c>
      <c r="C88" s="127" t="s">
        <v>1590</v>
      </c>
      <c r="D88" s="126">
        <v>301945</v>
      </c>
      <c r="E88" s="128" t="s">
        <v>1593</v>
      </c>
      <c r="F88" s="127" t="s">
        <v>306</v>
      </c>
      <c r="H88" s="113" t="str">
        <f t="shared" si="3"/>
        <v>OTHER</v>
      </c>
      <c r="I88" s="113" t="s">
        <v>68</v>
      </c>
    </row>
    <row r="89" spans="1:9">
      <c r="A89" s="114" t="str">
        <f t="shared" si="2"/>
        <v>4562700RNW ENRGY CRDT SALES352950REC Sales - Wind Wake Loss IndemnityOTHER</v>
      </c>
      <c r="B89" s="126">
        <v>4562700</v>
      </c>
      <c r="C89" s="127" t="s">
        <v>1590</v>
      </c>
      <c r="D89" s="126">
        <v>352950</v>
      </c>
      <c r="E89" s="128" t="s">
        <v>1595</v>
      </c>
      <c r="F89" s="127" t="s">
        <v>306</v>
      </c>
      <c r="H89" s="113" t="str">
        <f t="shared" si="3"/>
        <v>OTHER</v>
      </c>
      <c r="I89" s="113" t="s">
        <v>68</v>
      </c>
    </row>
  </sheetData>
  <autoFilter ref="A1:I89" xr:uid="{00000000-0009-0000-0000-000015000000}"/>
  <conditionalFormatting sqref="J63:J1048576">
    <cfRule type="cellIs" dxfId="4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CFFFF"/>
  </sheetPr>
  <dimension ref="A1:K882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18.7109375" style="114" customWidth="1"/>
    <col min="2" max="2" width="18.7109375" style="273" customWidth="1"/>
    <col min="3" max="3" width="18.7109375" style="128" customWidth="1"/>
    <col min="4" max="4" width="18.7109375" style="273" customWidth="1"/>
    <col min="5" max="5" width="38.85546875" style="128" customWidth="1"/>
    <col min="6" max="6" width="18.7109375" style="273" customWidth="1"/>
    <col min="7" max="7" width="18.7109375" style="136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27" t="s">
        <v>345</v>
      </c>
      <c r="C1" s="128" t="s">
        <v>346</v>
      </c>
      <c r="D1" s="127" t="s">
        <v>347</v>
      </c>
      <c r="E1" s="128" t="s">
        <v>348</v>
      </c>
      <c r="F1" s="127" t="s">
        <v>349</v>
      </c>
      <c r="G1" s="275" t="s">
        <v>350</v>
      </c>
      <c r="H1" s="113" t="s">
        <v>351</v>
      </c>
      <c r="I1" s="113" t="s">
        <v>352</v>
      </c>
      <c r="J1" s="113" t="s">
        <v>353</v>
      </c>
      <c r="K1"/>
    </row>
    <row r="2" spans="1:11">
      <c r="A2" s="114" t="str">
        <f>CONCATENATE($B2,$C2,$D2,$E2,$H2)</f>
        <v>1823700OTH REGA-ENERGY WEST186801Reg Asset-Deer Creek-Elec Plt In SvcSE</v>
      </c>
      <c r="B2" s="126" t="s">
        <v>2163</v>
      </c>
      <c r="C2" s="128" t="s">
        <v>590</v>
      </c>
      <c r="D2" s="126" t="s">
        <v>2164</v>
      </c>
      <c r="E2" s="128" t="s">
        <v>591</v>
      </c>
      <c r="F2" s="127" t="s">
        <v>3110</v>
      </c>
      <c r="G2" s="136">
        <v>31855.8322316667</v>
      </c>
      <c r="H2" s="113" t="str">
        <f>IF(OR(F2="IDU",F2="OR",F2="UT",F2="WYU",F2="WYP",F2="CA",F2="WA"),"SITUS",IF(OR(F2="CAEE",F2="JBE"),"SE",IF(OR(F2="CAGE",F2="CAGW",F2="JBG"),"SG",F2)))</f>
        <v>SE</v>
      </c>
      <c r="I2" s="113" t="str">
        <f>INDEX('REGASSET Lookup'!$I:$I,MATCH('REGASSET Jun22data'!$A2,'REGASSET Lookup'!$A:$A,0))</f>
        <v>P</v>
      </c>
      <c r="J2" s="113" t="str">
        <f>IF(G2=0,"NO",IF(ISNA($I2),"YES",IF(_xlfn.ISFORMULA($I2),"NO","YES")))</f>
        <v>NO</v>
      </c>
      <c r="K2"/>
    </row>
    <row r="3" spans="1:11">
      <c r="A3" s="114" t="str">
        <f t="shared" ref="A3:A66" si="0">CONCATENATE($B3,$C3,$D3,$E3,$H3)</f>
        <v>1823700OTH REGA-ENERGY WEST186802Reg Asset-Deer Creek-EPIS IntangiblesSE</v>
      </c>
      <c r="B3" s="126" t="s">
        <v>2163</v>
      </c>
      <c r="C3" s="128" t="s">
        <v>590</v>
      </c>
      <c r="D3" s="126" t="s">
        <v>2165</v>
      </c>
      <c r="E3" s="128" t="s">
        <v>592</v>
      </c>
      <c r="F3" s="127" t="s">
        <v>3110</v>
      </c>
      <c r="G3" s="136">
        <v>493.94308333333299</v>
      </c>
      <c r="H3" s="113" t="str">
        <f t="shared" ref="H3:H66" si="1">IF(OR(F3="IDU",F3="OR",F3="UT",F3="WYU",F3="WYP",F3="CA",F3="WA"),"SITUS",IF(OR(F3="CAEE",F3="JBE"),"SE",IF(OR(F3="CAGE",F3="CAGW",F3="JBG"),"SG",F3)))</f>
        <v>SE</v>
      </c>
      <c r="I3" s="113" t="str">
        <f>INDEX('REGASSET Lookup'!$I:$I,MATCH('REGASSET Jun22data'!$A3,'REGASSET Lookup'!$A:$A,0))</f>
        <v>P</v>
      </c>
      <c r="J3" s="113" t="str">
        <f t="shared" ref="J3:J66" si="2">IF(G3=0,"NO",IF(ISNA($I3),"YES",IF(_xlfn.ISFORMULA($I3),"NO","YES")))</f>
        <v>NO</v>
      </c>
      <c r="K3"/>
    </row>
    <row r="4" spans="1:11">
      <c r="A4" s="114" t="str">
        <f t="shared" si="0"/>
        <v>1823700OTH REGA-ENERGY WEST186805Reg Asset-Deer Creek-CWIPSE</v>
      </c>
      <c r="B4" s="126" t="s">
        <v>2163</v>
      </c>
      <c r="C4" s="128" t="s">
        <v>590</v>
      </c>
      <c r="D4" s="126" t="s">
        <v>2166</v>
      </c>
      <c r="E4" s="128" t="s">
        <v>593</v>
      </c>
      <c r="F4" s="127" t="s">
        <v>3110</v>
      </c>
      <c r="G4" s="136">
        <v>1814.9032916666699</v>
      </c>
      <c r="H4" s="113" t="str">
        <f t="shared" si="1"/>
        <v>SE</v>
      </c>
      <c r="I4" s="113" t="str">
        <f>INDEX('REGASSET Lookup'!$I:$I,MATCH('REGASSET Jun22data'!$A4,'REGASSET Lookup'!$A:$A,0))</f>
        <v>P</v>
      </c>
      <c r="J4" s="113" t="str">
        <f t="shared" si="2"/>
        <v>NO</v>
      </c>
      <c r="K4"/>
    </row>
    <row r="5" spans="1:11">
      <c r="A5" s="114" t="str">
        <f t="shared" si="0"/>
        <v>1823700OTH REGA-ENERGY WEST186806Reg Asset-Deer Creek-PS&amp;ISE</v>
      </c>
      <c r="B5" s="126" t="s">
        <v>2163</v>
      </c>
      <c r="C5" s="128" t="s">
        <v>590</v>
      </c>
      <c r="D5" s="126" t="s">
        <v>2167</v>
      </c>
      <c r="E5" s="128" t="s">
        <v>594</v>
      </c>
      <c r="F5" s="127" t="s">
        <v>3110</v>
      </c>
      <c r="G5" s="136">
        <v>739.84625000000005</v>
      </c>
      <c r="H5" s="113" t="str">
        <f t="shared" si="1"/>
        <v>SE</v>
      </c>
      <c r="I5" s="113" t="str">
        <f>INDEX('REGASSET Lookup'!$I:$I,MATCH('REGASSET Jun22data'!$A5,'REGASSET Lookup'!$A:$A,0))</f>
        <v>P</v>
      </c>
      <c r="J5" s="113" t="str">
        <f t="shared" si="2"/>
        <v>NO</v>
      </c>
      <c r="K5"/>
    </row>
    <row r="6" spans="1:11">
      <c r="A6" s="114" t="str">
        <f t="shared" si="0"/>
        <v>1823700OTH REGA-ENERGY WEST186811Reg Asset-Deer Creek Sale-EPISSE</v>
      </c>
      <c r="B6" s="126" t="s">
        <v>2163</v>
      </c>
      <c r="C6" s="128" t="s">
        <v>590</v>
      </c>
      <c r="D6" s="126" t="s">
        <v>2168</v>
      </c>
      <c r="E6" s="128" t="s">
        <v>595</v>
      </c>
      <c r="F6" s="127" t="s">
        <v>3110</v>
      </c>
      <c r="G6" s="136">
        <v>4538.5467783333297</v>
      </c>
      <c r="H6" s="113" t="str">
        <f t="shared" si="1"/>
        <v>SE</v>
      </c>
      <c r="I6" s="113" t="str">
        <f>INDEX('REGASSET Lookup'!$I:$I,MATCH('REGASSET Jun22data'!$A6,'REGASSET Lookup'!$A:$A,0))</f>
        <v>P</v>
      </c>
      <c r="J6" s="113" t="str">
        <f t="shared" si="2"/>
        <v>NO</v>
      </c>
      <c r="K6"/>
    </row>
    <row r="7" spans="1:11">
      <c r="A7" s="114" t="str">
        <f t="shared" si="0"/>
        <v>1823700OTH REGA-ENERGY WEST186812Contra RA-DCM PP&amp;E-OR-To G/L Bal AcctSITUS</v>
      </c>
      <c r="B7" s="126" t="s">
        <v>2163</v>
      </c>
      <c r="C7" s="128" t="s">
        <v>590</v>
      </c>
      <c r="D7" s="126" t="s">
        <v>2169</v>
      </c>
      <c r="E7" s="128" t="s">
        <v>596</v>
      </c>
      <c r="F7" s="127" t="s">
        <v>343</v>
      </c>
      <c r="G7" s="136">
        <v>182.68946666666699</v>
      </c>
      <c r="H7" s="113" t="str">
        <f t="shared" si="1"/>
        <v>SITUS</v>
      </c>
      <c r="I7" s="113" t="str">
        <f>INDEX('REGASSET Lookup'!$I:$I,MATCH('REGASSET Jun22data'!$A7,'REGASSET Lookup'!$A:$A,0))</f>
        <v>P</v>
      </c>
      <c r="J7" s="113" t="str">
        <f t="shared" si="2"/>
        <v>NO</v>
      </c>
      <c r="K7"/>
    </row>
    <row r="8" spans="1:11">
      <c r="A8" s="114" t="str">
        <f t="shared" si="0"/>
        <v>1823700OTH REGA-ENERGY WEST186815Reg Asset-Deer Creek Sale-CWIPSE</v>
      </c>
      <c r="B8" s="126" t="s">
        <v>2163</v>
      </c>
      <c r="C8" s="128" t="s">
        <v>590</v>
      </c>
      <c r="D8" s="126" t="s">
        <v>2170</v>
      </c>
      <c r="E8" s="128" t="s">
        <v>597</v>
      </c>
      <c r="F8" s="127" t="s">
        <v>3110</v>
      </c>
      <c r="G8" s="136">
        <v>42.890425416666702</v>
      </c>
      <c r="H8" s="113" t="str">
        <f t="shared" si="1"/>
        <v>SE</v>
      </c>
      <c r="I8" s="113" t="str">
        <f>INDEX('REGASSET Lookup'!$I:$I,MATCH('REGASSET Jun22data'!$A8,'REGASSET Lookup'!$A:$A,0))</f>
        <v>P</v>
      </c>
      <c r="J8" s="113" t="str">
        <f t="shared" si="2"/>
        <v>NO</v>
      </c>
      <c r="K8"/>
    </row>
    <row r="9" spans="1:11">
      <c r="A9" s="114" t="str">
        <f t="shared" si="0"/>
        <v>1823700OTH REGA-ENERGY WEST186816Contra RA-DCM PP&amp;E-To Joint OwnersSE</v>
      </c>
      <c r="B9" s="126" t="s">
        <v>2163</v>
      </c>
      <c r="C9" s="128" t="s">
        <v>590</v>
      </c>
      <c r="D9" s="126" t="s">
        <v>2171</v>
      </c>
      <c r="E9" s="128" t="s">
        <v>598</v>
      </c>
      <c r="F9" s="127" t="s">
        <v>3110</v>
      </c>
      <c r="G9" s="136">
        <v>-2153.8595420833299</v>
      </c>
      <c r="H9" s="113" t="str">
        <f t="shared" si="1"/>
        <v>SE</v>
      </c>
      <c r="I9" s="113" t="str">
        <f>INDEX('REGASSET Lookup'!$I:$I,MATCH('REGASSET Jun22data'!$A9,'REGASSET Lookup'!$A:$A,0))</f>
        <v>P</v>
      </c>
      <c r="J9" s="113" t="str">
        <f t="shared" si="2"/>
        <v>NO</v>
      </c>
      <c r="K9"/>
    </row>
    <row r="10" spans="1:11">
      <c r="A10" s="114" t="str">
        <f t="shared" si="0"/>
        <v>1823700OTH REGA-ENERGY WEST186817Contra RA-DCM PP&amp;E-Amortz &amp; Oth AdjsSITUS</v>
      </c>
      <c r="B10" s="126" t="s">
        <v>2163</v>
      </c>
      <c r="C10" s="128" t="s">
        <v>590</v>
      </c>
      <c r="D10" s="126" t="s">
        <v>2172</v>
      </c>
      <c r="E10" s="128" t="s">
        <v>599</v>
      </c>
      <c r="F10" s="127" t="s">
        <v>387</v>
      </c>
      <c r="G10" s="136">
        <v>826.63607000000002</v>
      </c>
      <c r="H10" s="113" t="str">
        <f t="shared" si="1"/>
        <v>SITUS</v>
      </c>
      <c r="I10" s="113" t="str">
        <f>INDEX('REGASSET Lookup'!$I:$I,MATCH('REGASSET Jun22data'!$A10,'REGASSET Lookup'!$A:$A,0))</f>
        <v>P</v>
      </c>
      <c r="J10" s="113" t="str">
        <f t="shared" si="2"/>
        <v>NO</v>
      </c>
      <c r="K10"/>
    </row>
    <row r="11" spans="1:11">
      <c r="A11" s="114" t="str">
        <f t="shared" si="0"/>
        <v>1823700OTH REGA-ENERGY WEST186817Contra RA-DCM PP&amp;E-Amortz &amp; Oth AdjsSE</v>
      </c>
      <c r="B11" s="126" t="s">
        <v>2163</v>
      </c>
      <c r="C11" s="128" t="s">
        <v>590</v>
      </c>
      <c r="D11" s="126" t="s">
        <v>2172</v>
      </c>
      <c r="E11" s="128" t="s">
        <v>599</v>
      </c>
      <c r="F11" s="127" t="s">
        <v>3110</v>
      </c>
      <c r="G11" s="136">
        <v>-37800.605914166699</v>
      </c>
      <c r="H11" s="113" t="str">
        <f t="shared" si="1"/>
        <v>SE</v>
      </c>
      <c r="I11" s="113" t="str">
        <f>INDEX('REGASSET Lookup'!$I:$I,MATCH('REGASSET Jun22data'!$A11,'REGASSET Lookup'!$A:$A,0))</f>
        <v>P</v>
      </c>
      <c r="J11" s="113" t="str">
        <f t="shared" si="2"/>
        <v>NO</v>
      </c>
      <c r="K11"/>
    </row>
    <row r="12" spans="1:11">
      <c r="A12" s="114" t="str">
        <f t="shared" si="0"/>
        <v>1823700OTH REGA-ENERGY WEST186817Contra RA-DCM PP&amp;E-Amortz &amp; Oth AdjsSITUS</v>
      </c>
      <c r="B12" s="126" t="s">
        <v>2163</v>
      </c>
      <c r="C12" s="128" t="s">
        <v>590</v>
      </c>
      <c r="D12" s="126" t="s">
        <v>2172</v>
      </c>
      <c r="E12" s="128" t="s">
        <v>599</v>
      </c>
      <c r="F12" s="127" t="s">
        <v>343</v>
      </c>
      <c r="G12" s="136">
        <v>-987.85006625000005</v>
      </c>
      <c r="H12" s="113" t="str">
        <f t="shared" si="1"/>
        <v>SITUS</v>
      </c>
      <c r="I12" s="113" t="str">
        <f>INDEX('REGASSET Lookup'!$I:$I,MATCH('REGASSET Jun22data'!$A12,'REGASSET Lookup'!$A:$A,0))</f>
        <v>P</v>
      </c>
      <c r="J12" s="113" t="str">
        <f t="shared" si="2"/>
        <v>NO</v>
      </c>
      <c r="K12"/>
    </row>
    <row r="13" spans="1:11">
      <c r="A13" s="114" t="str">
        <f t="shared" si="0"/>
        <v>1823700OTH REGA-ENERGY WEST186817Contra RA-DCM PP&amp;E-Amortz &amp; Oth AdjsSITUS</v>
      </c>
      <c r="B13" s="126" t="s">
        <v>2163</v>
      </c>
      <c r="C13" s="128" t="s">
        <v>590</v>
      </c>
      <c r="D13" s="126" t="s">
        <v>2172</v>
      </c>
      <c r="E13" s="128" t="s">
        <v>599</v>
      </c>
      <c r="F13" s="127" t="s">
        <v>370</v>
      </c>
      <c r="G13" s="136">
        <v>175.70216875</v>
      </c>
      <c r="H13" s="113" t="str">
        <f t="shared" si="1"/>
        <v>SITUS</v>
      </c>
      <c r="I13" s="113" t="str">
        <f>INDEX('REGASSET Lookup'!$I:$I,MATCH('REGASSET Jun22data'!$A13,'REGASSET Lookup'!$A:$A,0))</f>
        <v>P</v>
      </c>
      <c r="J13" s="113" t="str">
        <f t="shared" si="2"/>
        <v>NO</v>
      </c>
      <c r="K13"/>
    </row>
    <row r="14" spans="1:11">
      <c r="A14" s="114" t="str">
        <f t="shared" si="0"/>
        <v>1823700OTH REGA-ENERGY WEST186817Contra RA-DCM PP&amp;E-Amortz &amp; Oth AdjsSITUS</v>
      </c>
      <c r="B14" s="126" t="s">
        <v>2163</v>
      </c>
      <c r="C14" s="128" t="s">
        <v>590</v>
      </c>
      <c r="D14" s="126" t="s">
        <v>2172</v>
      </c>
      <c r="E14" s="128" t="s">
        <v>599</v>
      </c>
      <c r="F14" s="127" t="s">
        <v>378</v>
      </c>
      <c r="G14" s="136">
        <v>508.46628750000002</v>
      </c>
      <c r="H14" s="113" t="str">
        <f t="shared" si="1"/>
        <v>SITUS</v>
      </c>
      <c r="I14" s="113" t="str">
        <f>INDEX('REGASSET Lookup'!$I:$I,MATCH('REGASSET Jun22data'!$A14,'REGASSET Lookup'!$A:$A,0))</f>
        <v>P</v>
      </c>
      <c r="J14" s="113" t="str">
        <f t="shared" si="2"/>
        <v>NO</v>
      </c>
      <c r="K14"/>
    </row>
    <row r="15" spans="1:11">
      <c r="A15" s="114" t="str">
        <f t="shared" si="0"/>
        <v>1823700OTH REGA-ENERGY WEST186820Reg Asset-Deer Creek Mine AROSE</v>
      </c>
      <c r="B15" s="126" t="s">
        <v>2163</v>
      </c>
      <c r="C15" s="128" t="s">
        <v>590</v>
      </c>
      <c r="D15" s="126" t="s">
        <v>2173</v>
      </c>
      <c r="E15" s="128" t="s">
        <v>600</v>
      </c>
      <c r="F15" s="127" t="s">
        <v>3110</v>
      </c>
      <c r="G15" s="136">
        <v>6630.2124649999996</v>
      </c>
      <c r="H15" s="113" t="str">
        <f t="shared" si="1"/>
        <v>SE</v>
      </c>
      <c r="I15" s="113" t="str">
        <f>INDEX('REGASSET Lookup'!$I:$I,MATCH('REGASSET Jun22data'!$A15,'REGASSET Lookup'!$A:$A,0))</f>
        <v>P</v>
      </c>
      <c r="J15" s="113" t="str">
        <f t="shared" si="2"/>
        <v>NO</v>
      </c>
      <c r="K15"/>
    </row>
    <row r="16" spans="1:11">
      <c r="A16" s="114" t="str">
        <f t="shared" si="0"/>
        <v>1823700OTH REGA-ENERGY WEST186825Reg Asset-Deer Creek Mine M&amp;SSE</v>
      </c>
      <c r="B16" s="126" t="s">
        <v>2163</v>
      </c>
      <c r="C16" s="128" t="s">
        <v>590</v>
      </c>
      <c r="D16" s="126" t="s">
        <v>2174</v>
      </c>
      <c r="E16" s="128" t="s">
        <v>601</v>
      </c>
      <c r="F16" s="127" t="s">
        <v>3110</v>
      </c>
      <c r="G16" s="136">
        <v>4491.6922400000003</v>
      </c>
      <c r="H16" s="113" t="str">
        <f t="shared" si="1"/>
        <v>SE</v>
      </c>
      <c r="I16" s="113" t="str">
        <f>INDEX('REGASSET Lookup'!$I:$I,MATCH('REGASSET Jun22data'!$A16,'REGASSET Lookup'!$A:$A,0))</f>
        <v>P</v>
      </c>
      <c r="J16" s="113" t="str">
        <f t="shared" si="2"/>
        <v>NO</v>
      </c>
      <c r="K16"/>
    </row>
    <row r="17" spans="1:11">
      <c r="A17" s="114" t="str">
        <f t="shared" si="0"/>
        <v>1823700OTH REGA-ENERGY WEST186826Reg Asset-Deer Creek-Prepaid RoyaltiesSE</v>
      </c>
      <c r="B17" s="126" t="s">
        <v>2163</v>
      </c>
      <c r="C17" s="128" t="s">
        <v>590</v>
      </c>
      <c r="D17" s="126" t="s">
        <v>2175</v>
      </c>
      <c r="E17" s="128" t="s">
        <v>602</v>
      </c>
      <c r="F17" s="127" t="s">
        <v>3110</v>
      </c>
      <c r="G17" s="136">
        <v>842.95719999999994</v>
      </c>
      <c r="H17" s="113" t="str">
        <f t="shared" si="1"/>
        <v>SE</v>
      </c>
      <c r="I17" s="113" t="str">
        <f>INDEX('REGASSET Lookup'!$I:$I,MATCH('REGASSET Jun22data'!$A17,'REGASSET Lookup'!$A:$A,0))</f>
        <v>P</v>
      </c>
      <c r="J17" s="113" t="str">
        <f t="shared" si="2"/>
        <v>NO</v>
      </c>
      <c r="K17"/>
    </row>
    <row r="18" spans="1:11">
      <c r="A18" s="114" t="str">
        <f t="shared" si="0"/>
        <v>1823700OTH REGA-ENERGY WEST186828Reg Asset-Deer Creek-Recovery RoyaltiesSE</v>
      </c>
      <c r="B18" s="126" t="s">
        <v>2163</v>
      </c>
      <c r="C18" s="128" t="s">
        <v>590</v>
      </c>
      <c r="D18" s="126" t="s">
        <v>2176</v>
      </c>
      <c r="E18" s="128" t="s">
        <v>603</v>
      </c>
      <c r="F18" s="127" t="s">
        <v>3110</v>
      </c>
      <c r="G18" s="136">
        <v>14864.550359999999</v>
      </c>
      <c r="H18" s="113" t="str">
        <f t="shared" si="1"/>
        <v>SE</v>
      </c>
      <c r="I18" s="113" t="str">
        <f>INDEX('REGASSET Lookup'!$I:$I,MATCH('REGASSET Jun22data'!$A18,'REGASSET Lookup'!$A:$A,0))</f>
        <v>P</v>
      </c>
      <c r="J18" s="113" t="str">
        <f t="shared" si="2"/>
        <v>NO</v>
      </c>
      <c r="K18"/>
    </row>
    <row r="19" spans="1:11">
      <c r="A19" s="114" t="str">
        <f t="shared" si="0"/>
        <v>1823700OTH REGA-ENERGY WEST186829Contra RA-DCM Closure-Royalties AmortzSITUS</v>
      </c>
      <c r="B19" s="126" t="s">
        <v>2163</v>
      </c>
      <c r="C19" s="128" t="s">
        <v>590</v>
      </c>
      <c r="D19" s="126" t="s">
        <v>2177</v>
      </c>
      <c r="E19" s="128" t="s">
        <v>1762</v>
      </c>
      <c r="F19" s="127" t="s">
        <v>372</v>
      </c>
      <c r="G19" s="136">
        <v>-43.367159999999998</v>
      </c>
      <c r="H19" s="113" t="str">
        <f t="shared" si="1"/>
        <v>SITUS</v>
      </c>
      <c r="I19" s="113" t="str">
        <f>INDEX('REGASSET Lookup'!$I:$I,MATCH('REGASSET Jun22data'!$A19,'REGASSET Lookup'!$A:$A,0))</f>
        <v>P</v>
      </c>
      <c r="J19" s="113" t="str">
        <f t="shared" si="2"/>
        <v>NO</v>
      </c>
      <c r="K19"/>
    </row>
    <row r="20" spans="1:11">
      <c r="A20" s="114" t="str">
        <f t="shared" si="0"/>
        <v>1823700OTH REGA-ENERGY WEST186829Contra RA-DCM Closure-Royalties AmortzSITUS</v>
      </c>
      <c r="B20" s="126" t="s">
        <v>2163</v>
      </c>
      <c r="C20" s="128" t="s">
        <v>590</v>
      </c>
      <c r="D20" s="126" t="s">
        <v>2177</v>
      </c>
      <c r="E20" s="128" t="s">
        <v>1762</v>
      </c>
      <c r="F20" s="127" t="s">
        <v>378</v>
      </c>
      <c r="G20" s="136">
        <v>-2929.3627700000002</v>
      </c>
      <c r="H20" s="113" t="str">
        <f t="shared" si="1"/>
        <v>SITUS</v>
      </c>
      <c r="I20" s="113" t="str">
        <f>INDEX('REGASSET Lookup'!$I:$I,MATCH('REGASSET Jun22data'!$A20,'REGASSET Lookup'!$A:$A,0))</f>
        <v>P</v>
      </c>
      <c r="J20" s="113" t="str">
        <f t="shared" si="2"/>
        <v>NO</v>
      </c>
      <c r="K20"/>
    </row>
    <row r="21" spans="1:11">
      <c r="A21" s="114" t="str">
        <f t="shared" si="0"/>
        <v>1823700OTH REGA-ENERGY WEST186830Reg Asset-Deer Creek-Union Suppl BenSE</v>
      </c>
      <c r="B21" s="126" t="s">
        <v>2163</v>
      </c>
      <c r="C21" s="128" t="s">
        <v>590</v>
      </c>
      <c r="D21" s="126" t="s">
        <v>2178</v>
      </c>
      <c r="E21" s="128" t="s">
        <v>604</v>
      </c>
      <c r="F21" s="127" t="s">
        <v>3110</v>
      </c>
      <c r="G21" s="136">
        <v>1611.8124700000001</v>
      </c>
      <c r="H21" s="113" t="str">
        <f t="shared" si="1"/>
        <v>SE</v>
      </c>
      <c r="I21" s="113" t="str">
        <f>INDEX('REGASSET Lookup'!$I:$I,MATCH('REGASSET Jun22data'!$A21,'REGASSET Lookup'!$A:$A,0))</f>
        <v>P</v>
      </c>
      <c r="J21" s="113" t="str">
        <f t="shared" si="2"/>
        <v>NO</v>
      </c>
      <c r="K21"/>
    </row>
    <row r="22" spans="1:11">
      <c r="A22" s="114" t="str">
        <f t="shared" si="0"/>
        <v>1823700OTH REGA-ENERGY WEST186833Reg Asset-Deer Creek-Nonunion SeveranceSE</v>
      </c>
      <c r="B22" s="126" t="s">
        <v>2163</v>
      </c>
      <c r="C22" s="128" t="s">
        <v>590</v>
      </c>
      <c r="D22" s="126" t="s">
        <v>2179</v>
      </c>
      <c r="E22" s="128" t="s">
        <v>605</v>
      </c>
      <c r="F22" s="127" t="s">
        <v>3110</v>
      </c>
      <c r="G22" s="136">
        <v>2770.2919299999999</v>
      </c>
      <c r="H22" s="113" t="str">
        <f t="shared" si="1"/>
        <v>SE</v>
      </c>
      <c r="I22" s="113" t="str">
        <f>INDEX('REGASSET Lookup'!$I:$I,MATCH('REGASSET Jun22data'!$A22,'REGASSET Lookup'!$A:$A,0))</f>
        <v>P</v>
      </c>
      <c r="J22" s="113" t="str">
        <f t="shared" si="2"/>
        <v>NO</v>
      </c>
      <c r="K22"/>
    </row>
    <row r="23" spans="1:11">
      <c r="A23" s="114" t="str">
        <f t="shared" si="0"/>
        <v>1823700OTH REGA-ENERGY WEST186835Reg Asset-Deer Creek-Misc Closure CostsSE</v>
      </c>
      <c r="B23" s="126" t="s">
        <v>2163</v>
      </c>
      <c r="C23" s="128" t="s">
        <v>590</v>
      </c>
      <c r="D23" s="126" t="s">
        <v>2180</v>
      </c>
      <c r="E23" s="128" t="s">
        <v>606</v>
      </c>
      <c r="F23" s="127" t="s">
        <v>3110</v>
      </c>
      <c r="G23" s="136">
        <v>45111.997920000002</v>
      </c>
      <c r="H23" s="113" t="str">
        <f t="shared" si="1"/>
        <v>SE</v>
      </c>
      <c r="I23" s="113" t="str">
        <f>INDEX('REGASSET Lookup'!$I:$I,MATCH('REGASSET Jun22data'!$A23,'REGASSET Lookup'!$A:$A,0))</f>
        <v>P</v>
      </c>
      <c r="J23" s="113" t="str">
        <f t="shared" si="2"/>
        <v>NO</v>
      </c>
      <c r="K23"/>
    </row>
    <row r="24" spans="1:11">
      <c r="A24" s="114" t="str">
        <f t="shared" si="0"/>
        <v>1823700OTH REGA-ENERGY WEST186836Contra RA-DCM Closure-To Joint OwnersSE</v>
      </c>
      <c r="B24" s="126" t="s">
        <v>2163</v>
      </c>
      <c r="C24" s="128" t="s">
        <v>590</v>
      </c>
      <c r="D24" s="126" t="s">
        <v>2181</v>
      </c>
      <c r="E24" s="128" t="s">
        <v>607</v>
      </c>
      <c r="F24" s="127" t="s">
        <v>3110</v>
      </c>
      <c r="G24" s="136">
        <v>-3150.9278325</v>
      </c>
      <c r="H24" s="113" t="str">
        <f t="shared" si="1"/>
        <v>SE</v>
      </c>
      <c r="I24" s="113" t="str">
        <f>INDEX('REGASSET Lookup'!$I:$I,MATCH('REGASSET Jun22data'!$A24,'REGASSET Lookup'!$A:$A,0))</f>
        <v>P</v>
      </c>
      <c r="J24" s="113" t="str">
        <f t="shared" si="2"/>
        <v>NO</v>
      </c>
      <c r="K24"/>
    </row>
    <row r="25" spans="1:11">
      <c r="A25" s="114" t="str">
        <f t="shared" si="0"/>
        <v>1823700OTH REGA-ENERGY WEST186837Contra RA-DCM Closure-Amortz &amp; Oth AdjsSITUS</v>
      </c>
      <c r="B25" s="126" t="s">
        <v>2163</v>
      </c>
      <c r="C25" s="128" t="s">
        <v>590</v>
      </c>
      <c r="D25" s="126" t="s">
        <v>2182</v>
      </c>
      <c r="E25" s="128" t="s">
        <v>608</v>
      </c>
      <c r="F25" s="127" t="s">
        <v>372</v>
      </c>
      <c r="G25" s="136">
        <v>-157.97024999999999</v>
      </c>
      <c r="H25" s="113" t="str">
        <f t="shared" si="1"/>
        <v>SITUS</v>
      </c>
      <c r="I25" s="113" t="str">
        <f>INDEX('REGASSET Lookup'!$I:$I,MATCH('REGASSET Jun22data'!$A25,'REGASSET Lookup'!$A:$A,0))</f>
        <v>P</v>
      </c>
      <c r="J25" s="113" t="str">
        <f t="shared" si="2"/>
        <v>NO</v>
      </c>
      <c r="K25"/>
    </row>
    <row r="26" spans="1:11">
      <c r="A26" s="114" t="str">
        <f t="shared" si="0"/>
        <v>1823700OTH REGA-ENERGY WEST186837Contra RA-DCM Closure-Amortz &amp; Oth AdjsOTHER</v>
      </c>
      <c r="B26" s="126" t="s">
        <v>2163</v>
      </c>
      <c r="C26" s="128" t="s">
        <v>590</v>
      </c>
      <c r="D26" s="126" t="s">
        <v>2182</v>
      </c>
      <c r="E26" s="128" t="s">
        <v>608</v>
      </c>
      <c r="F26" s="127" t="s">
        <v>306</v>
      </c>
      <c r="G26" s="136">
        <v>-4667.0678137499999</v>
      </c>
      <c r="H26" s="113" t="str">
        <f t="shared" si="1"/>
        <v>OTHER</v>
      </c>
      <c r="I26" s="113" t="str">
        <f>INDEX('REGASSET Lookup'!$I:$I,MATCH('REGASSET Jun22data'!$A26,'REGASSET Lookup'!$A:$A,0))</f>
        <v>P</v>
      </c>
      <c r="J26" s="113" t="str">
        <f t="shared" si="2"/>
        <v>NO</v>
      </c>
      <c r="K26"/>
    </row>
    <row r="27" spans="1:11">
      <c r="A27" s="114" t="str">
        <f t="shared" si="0"/>
        <v>1823700OTH REGA-ENERGY WEST186837Contra RA-DCM Closure-Amortz &amp; Oth AdjsSITUS</v>
      </c>
      <c r="B27" s="126" t="s">
        <v>2163</v>
      </c>
      <c r="C27" s="128" t="s">
        <v>590</v>
      </c>
      <c r="D27" s="126" t="s">
        <v>2182</v>
      </c>
      <c r="E27" s="128" t="s">
        <v>608</v>
      </c>
      <c r="F27" s="127" t="s">
        <v>370</v>
      </c>
      <c r="G27" s="136">
        <v>-26233.71182</v>
      </c>
      <c r="H27" s="113" t="str">
        <f t="shared" si="1"/>
        <v>SITUS</v>
      </c>
      <c r="I27" s="113" t="str">
        <f>INDEX('REGASSET Lookup'!$I:$I,MATCH('REGASSET Jun22data'!$A27,'REGASSET Lookup'!$A:$A,0))</f>
        <v>P</v>
      </c>
      <c r="J27" s="113" t="str">
        <f t="shared" si="2"/>
        <v>NO</v>
      </c>
      <c r="K27"/>
    </row>
    <row r="28" spans="1:11">
      <c r="A28" s="114" t="str">
        <f t="shared" si="0"/>
        <v>1823700OTH REGA-ENERGY WEST186837Contra RA-DCM Closure-Amortz &amp; Oth AdjsSITUS</v>
      </c>
      <c r="B28" s="126" t="s">
        <v>2163</v>
      </c>
      <c r="C28" s="128" t="s">
        <v>590</v>
      </c>
      <c r="D28" s="126" t="s">
        <v>2182</v>
      </c>
      <c r="E28" s="128" t="s">
        <v>608</v>
      </c>
      <c r="F28" s="127" t="s">
        <v>378</v>
      </c>
      <c r="G28" s="136">
        <v>-10670.567150000001</v>
      </c>
      <c r="H28" s="113" t="str">
        <f t="shared" si="1"/>
        <v>SITUS</v>
      </c>
      <c r="I28" s="113" t="str">
        <f>INDEX('REGASSET Lookup'!$I:$I,MATCH('REGASSET Jun22data'!$A28,'REGASSET Lookup'!$A:$A,0))</f>
        <v>P</v>
      </c>
      <c r="J28" s="113" t="str">
        <f t="shared" si="2"/>
        <v>NO</v>
      </c>
      <c r="K28"/>
    </row>
    <row r="29" spans="1:11">
      <c r="A29" s="114" t="str">
        <f t="shared" si="0"/>
        <v>1823700OTH REGA-ENERGY WEST186839Reg Asset-Deer Creek-Tax Flow-ThroughSE</v>
      </c>
      <c r="B29" s="126" t="s">
        <v>2163</v>
      </c>
      <c r="C29" s="128" t="s">
        <v>590</v>
      </c>
      <c r="D29" s="126" t="s">
        <v>2183</v>
      </c>
      <c r="E29" s="128" t="s">
        <v>609</v>
      </c>
      <c r="F29" s="127" t="s">
        <v>3110</v>
      </c>
      <c r="G29" s="136">
        <v>2978.683</v>
      </c>
      <c r="H29" s="113" t="str">
        <f t="shared" si="1"/>
        <v>SE</v>
      </c>
      <c r="I29" s="113" t="str">
        <f>INDEX('REGASSET Lookup'!$I:$I,MATCH('REGASSET Jun22data'!$A29,'REGASSET Lookup'!$A:$A,0))</f>
        <v>P</v>
      </c>
      <c r="J29" s="113" t="str">
        <f t="shared" si="2"/>
        <v>NO</v>
      </c>
      <c r="K29"/>
    </row>
    <row r="30" spans="1:11">
      <c r="A30" s="114" t="str">
        <f t="shared" si="0"/>
        <v>1823700OTH REGA-ENERGY WEST186841Contra Reg Asset-Deer Creek Aband-CASITUS</v>
      </c>
      <c r="B30" s="126" t="s">
        <v>2163</v>
      </c>
      <c r="C30" s="128" t="s">
        <v>590</v>
      </c>
      <c r="D30" s="126" t="s">
        <v>2184</v>
      </c>
      <c r="E30" s="128" t="s">
        <v>610</v>
      </c>
      <c r="F30" s="127" t="s">
        <v>387</v>
      </c>
      <c r="G30" s="136">
        <v>-610.60386749999998</v>
      </c>
      <c r="H30" s="113" t="str">
        <f t="shared" si="1"/>
        <v>SITUS</v>
      </c>
      <c r="I30" s="113" t="str">
        <f>INDEX('REGASSET Lookup'!$I:$I,MATCH('REGASSET Jun22data'!$A30,'REGASSET Lookup'!$A:$A,0))</f>
        <v>P</v>
      </c>
      <c r="J30" s="113" t="str">
        <f t="shared" si="2"/>
        <v>NO</v>
      </c>
      <c r="K30"/>
    </row>
    <row r="31" spans="1:11">
      <c r="A31" s="114" t="str">
        <f t="shared" si="0"/>
        <v>1823700OTH REGA-ENERGY WEST186844Contra Reg Asset-Deer Creek Aband-UTSITUS</v>
      </c>
      <c r="B31" s="126" t="s">
        <v>2163</v>
      </c>
      <c r="C31" s="128" t="s">
        <v>590</v>
      </c>
      <c r="D31" s="126" t="s">
        <v>2185</v>
      </c>
      <c r="E31" s="128" t="s">
        <v>611</v>
      </c>
      <c r="F31" s="127" t="s">
        <v>370</v>
      </c>
      <c r="G31" s="136">
        <v>-423.32445833333298</v>
      </c>
      <c r="H31" s="113" t="str">
        <f t="shared" si="1"/>
        <v>SITUS</v>
      </c>
      <c r="I31" s="113" t="str">
        <f>INDEX('REGASSET Lookup'!$I:$I,MATCH('REGASSET Jun22data'!$A31,'REGASSET Lookup'!$A:$A,0))</f>
        <v>P</v>
      </c>
      <c r="J31" s="113" t="str">
        <f t="shared" si="2"/>
        <v>NO</v>
      </c>
      <c r="K31"/>
    </row>
    <row r="32" spans="1:11">
      <c r="A32" s="114" t="str">
        <f t="shared" si="0"/>
        <v>1823700OTH REGA-ENERGY WEST186846Contra Reg Asset-Deer Creek Aband-WYSITUS</v>
      </c>
      <c r="B32" s="126" t="s">
        <v>2163</v>
      </c>
      <c r="C32" s="128" t="s">
        <v>590</v>
      </c>
      <c r="D32" s="126" t="s">
        <v>2186</v>
      </c>
      <c r="E32" s="128" t="s">
        <v>613</v>
      </c>
      <c r="F32" s="127" t="s">
        <v>378</v>
      </c>
      <c r="G32" s="136">
        <v>-172.18712500000001</v>
      </c>
      <c r="H32" s="113" t="str">
        <f t="shared" si="1"/>
        <v>SITUS</v>
      </c>
      <c r="I32" s="113" t="str">
        <f>INDEX('REGASSET Lookup'!$I:$I,MATCH('REGASSET Jun22data'!$A32,'REGASSET Lookup'!$A:$A,0))</f>
        <v>P</v>
      </c>
      <c r="J32" s="113" t="str">
        <f t="shared" si="2"/>
        <v>NO</v>
      </c>
      <c r="K32"/>
    </row>
    <row r="33" spans="1:11">
      <c r="A33" s="114" t="str">
        <f t="shared" si="0"/>
        <v>1823700OTH REGA-ENERGY WEST186851Contra Reg Asset-Deer Creek Closure-CASITUS</v>
      </c>
      <c r="B33" s="126" t="s">
        <v>2163</v>
      </c>
      <c r="C33" s="128" t="s">
        <v>590</v>
      </c>
      <c r="D33" s="126" t="s">
        <v>2187</v>
      </c>
      <c r="E33" s="128" t="s">
        <v>614</v>
      </c>
      <c r="F33" s="127" t="s">
        <v>387</v>
      </c>
      <c r="G33" s="136">
        <v>-1263.9837204166699</v>
      </c>
      <c r="H33" s="113" t="str">
        <f t="shared" si="1"/>
        <v>SITUS</v>
      </c>
      <c r="I33" s="113" t="str">
        <f>INDEX('REGASSET Lookup'!$I:$I,MATCH('REGASSET Jun22data'!$A33,'REGASSET Lookup'!$A:$A,0))</f>
        <v>P</v>
      </c>
      <c r="J33" s="113" t="str">
        <f t="shared" si="2"/>
        <v>NO</v>
      </c>
      <c r="K33"/>
    </row>
    <row r="34" spans="1:11">
      <c r="A34" s="114" t="str">
        <f t="shared" si="0"/>
        <v>1823700OTH REGA-ENERGY WEST186852CONTRA REG ASSET-DEER CREEK CLOSURE-IDSITUS</v>
      </c>
      <c r="B34" s="126" t="s">
        <v>2163</v>
      </c>
      <c r="C34" s="128" t="s">
        <v>590</v>
      </c>
      <c r="D34" s="126" t="s">
        <v>2188</v>
      </c>
      <c r="E34" s="128" t="s">
        <v>615</v>
      </c>
      <c r="F34" s="127" t="s">
        <v>372</v>
      </c>
      <c r="G34" s="136">
        <v>-2513.7729049999998</v>
      </c>
      <c r="H34" s="113" t="str">
        <f t="shared" si="1"/>
        <v>SITUS</v>
      </c>
      <c r="I34" s="113" t="str">
        <f>INDEX('REGASSET Lookup'!$I:$I,MATCH('REGASSET Jun22data'!$A34,'REGASSET Lookup'!$A:$A,0))</f>
        <v>P</v>
      </c>
      <c r="J34" s="113" t="str">
        <f t="shared" si="2"/>
        <v>NO</v>
      </c>
      <c r="K34"/>
    </row>
    <row r="35" spans="1:11">
      <c r="A35" s="114" t="str">
        <f t="shared" si="0"/>
        <v>1823700OTH REGA-ENERGY WEST186853Contra Reg Asset-Deer Creek Closure-ORSITUS</v>
      </c>
      <c r="B35" s="126" t="s">
        <v>2163</v>
      </c>
      <c r="C35" s="128" t="s">
        <v>590</v>
      </c>
      <c r="D35" s="126" t="s">
        <v>2189</v>
      </c>
      <c r="E35" s="128" t="s">
        <v>616</v>
      </c>
      <c r="F35" s="127" t="s">
        <v>343</v>
      </c>
      <c r="G35" s="136">
        <v>-7455.5476670833305</v>
      </c>
      <c r="H35" s="113" t="str">
        <f t="shared" si="1"/>
        <v>SITUS</v>
      </c>
      <c r="I35" s="113" t="str">
        <f>INDEX('REGASSET Lookup'!$I:$I,MATCH('REGASSET Jun22data'!$A35,'REGASSET Lookup'!$A:$A,0))</f>
        <v>P</v>
      </c>
      <c r="J35" s="113" t="str">
        <f t="shared" si="2"/>
        <v>NO</v>
      </c>
      <c r="K35"/>
    </row>
    <row r="36" spans="1:11">
      <c r="A36" s="114" t="str">
        <f t="shared" si="0"/>
        <v>1823700OTH REGA-ENERGY WEST186860RA-Deer Creek-ROR Offset-Assets SoldSITUS</v>
      </c>
      <c r="B36" s="126" t="s">
        <v>2163</v>
      </c>
      <c r="C36" s="128" t="s">
        <v>590</v>
      </c>
      <c r="D36" s="126" t="s">
        <v>2190</v>
      </c>
      <c r="E36" s="128" t="s">
        <v>620</v>
      </c>
      <c r="F36" s="127" t="s">
        <v>370</v>
      </c>
      <c r="G36" s="136">
        <v>-1042.9149583333301</v>
      </c>
      <c r="H36" s="113" t="str">
        <f t="shared" si="1"/>
        <v>SITUS</v>
      </c>
      <c r="I36" s="113" t="str">
        <f>INDEX('REGASSET Lookup'!$I:$I,MATCH('REGASSET Jun22data'!$A36,'REGASSET Lookup'!$A:$A,0))</f>
        <v>P</v>
      </c>
      <c r="J36" s="113" t="str">
        <f t="shared" si="2"/>
        <v>NO</v>
      </c>
      <c r="K36"/>
    </row>
    <row r="37" spans="1:11">
      <c r="A37" s="114" t="str">
        <f t="shared" si="0"/>
        <v>1823700OTH REGA-ENERGY WEST186860RA-Deer Creek-ROR Offset-Assets SoldSITUS</v>
      </c>
      <c r="B37" s="126" t="s">
        <v>2163</v>
      </c>
      <c r="C37" s="128" t="s">
        <v>590</v>
      </c>
      <c r="D37" s="126" t="s">
        <v>2190</v>
      </c>
      <c r="E37" s="128" t="s">
        <v>620</v>
      </c>
      <c r="F37" s="127" t="s">
        <v>378</v>
      </c>
      <c r="G37" s="136">
        <v>-66.814999999999998</v>
      </c>
      <c r="H37" s="113" t="str">
        <f t="shared" si="1"/>
        <v>SITUS</v>
      </c>
      <c r="I37" s="113" t="str">
        <f>INDEX('REGASSET Lookup'!$I:$I,MATCH('REGASSET Jun22data'!$A37,'REGASSET Lookup'!$A:$A,0))</f>
        <v>P</v>
      </c>
      <c r="J37" s="113" t="str">
        <f t="shared" si="2"/>
        <v>NO</v>
      </c>
      <c r="K37"/>
    </row>
    <row r="38" spans="1:11">
      <c r="A38" s="114" t="str">
        <f t="shared" si="0"/>
        <v>1823700OTH REGA-ENERGY WEST186861RA-Deer Creek-ROR Offset-Fuel InventorySITUS</v>
      </c>
      <c r="B38" s="126" t="s">
        <v>2163</v>
      </c>
      <c r="C38" s="128" t="s">
        <v>590</v>
      </c>
      <c r="D38" s="126" t="s">
        <v>2191</v>
      </c>
      <c r="E38" s="128" t="s">
        <v>621</v>
      </c>
      <c r="F38" s="127" t="s">
        <v>372</v>
      </c>
      <c r="G38" s="136">
        <v>-1626.94625</v>
      </c>
      <c r="H38" s="113" t="str">
        <f t="shared" si="1"/>
        <v>SITUS</v>
      </c>
      <c r="I38" s="113" t="str">
        <f>INDEX('REGASSET Lookup'!$I:$I,MATCH('REGASSET Jun22data'!$A38,'REGASSET Lookup'!$A:$A,0))</f>
        <v>P</v>
      </c>
      <c r="J38" s="113" t="str">
        <f t="shared" si="2"/>
        <v>NO</v>
      </c>
      <c r="K38"/>
    </row>
    <row r="39" spans="1:11">
      <c r="A39" s="114" t="str">
        <f t="shared" si="0"/>
        <v>1823700OTH REGA-ENERGY WEST186861RA-Deer Creek-ROR Offset-Fuel InventorySITUS</v>
      </c>
      <c r="B39" s="126" t="s">
        <v>2163</v>
      </c>
      <c r="C39" s="128" t="s">
        <v>590</v>
      </c>
      <c r="D39" s="126" t="s">
        <v>2191</v>
      </c>
      <c r="E39" s="128" t="s">
        <v>621</v>
      </c>
      <c r="F39" s="127" t="s">
        <v>370</v>
      </c>
      <c r="G39" s="136">
        <v>-8931.375</v>
      </c>
      <c r="H39" s="113" t="str">
        <f t="shared" si="1"/>
        <v>SITUS</v>
      </c>
      <c r="I39" s="113" t="str">
        <f>INDEX('REGASSET Lookup'!$I:$I,MATCH('REGASSET Jun22data'!$A39,'REGASSET Lookup'!$A:$A,0))</f>
        <v>P</v>
      </c>
      <c r="J39" s="113" t="str">
        <f t="shared" si="2"/>
        <v>NO</v>
      </c>
      <c r="K39"/>
    </row>
    <row r="40" spans="1:11">
      <c r="A40" s="114" t="str">
        <f t="shared" si="0"/>
        <v>1823700OTH REGA-ENERGY WEST186861RA-Deer Creek-ROR Offset-Fuel InventorySITUS</v>
      </c>
      <c r="B40" s="126" t="s">
        <v>2163</v>
      </c>
      <c r="C40" s="128" t="s">
        <v>590</v>
      </c>
      <c r="D40" s="126" t="s">
        <v>2191</v>
      </c>
      <c r="E40" s="128" t="s">
        <v>621</v>
      </c>
      <c r="F40" s="127" t="s">
        <v>378</v>
      </c>
      <c r="G40" s="136">
        <v>-418.68299999999999</v>
      </c>
      <c r="H40" s="113" t="str">
        <f t="shared" si="1"/>
        <v>SITUS</v>
      </c>
      <c r="I40" s="113" t="str">
        <f>INDEX('REGASSET Lookup'!$I:$I,MATCH('REGASSET Jun22data'!$A40,'REGASSET Lookup'!$A:$A,0))</f>
        <v>P</v>
      </c>
      <c r="J40" s="113" t="str">
        <f t="shared" si="2"/>
        <v>NO</v>
      </c>
      <c r="K40"/>
    </row>
    <row r="41" spans="1:11">
      <c r="A41" s="114" t="str">
        <f t="shared" si="0"/>
        <v>1823700OTH REGA-ENERGY WEST186862RA-Deer Creek-ROR Offset-Fossil RockSITUS</v>
      </c>
      <c r="B41" s="126" t="s">
        <v>2163</v>
      </c>
      <c r="C41" s="128" t="s">
        <v>590</v>
      </c>
      <c r="D41" s="126" t="s">
        <v>2192</v>
      </c>
      <c r="E41" s="128" t="s">
        <v>622</v>
      </c>
      <c r="F41" s="127" t="s">
        <v>370</v>
      </c>
      <c r="G41" s="136">
        <v>-3337.8767499999999</v>
      </c>
      <c r="H41" s="113" t="str">
        <f t="shared" si="1"/>
        <v>SITUS</v>
      </c>
      <c r="I41" s="113" t="str">
        <f>INDEX('REGASSET Lookup'!$I:$I,MATCH('REGASSET Jun22data'!$A41,'REGASSET Lookup'!$A:$A,0))</f>
        <v>P</v>
      </c>
      <c r="J41" s="113" t="str">
        <f t="shared" si="2"/>
        <v>NO</v>
      </c>
      <c r="K41"/>
    </row>
    <row r="42" spans="1:11">
      <c r="A42" s="114" t="str">
        <f t="shared" si="0"/>
        <v>1823700OTH REGA-ENERGY WEST186862RA-Deer Creek-ROR Offset-Fossil RockSITUS</v>
      </c>
      <c r="B42" s="126" t="s">
        <v>2163</v>
      </c>
      <c r="C42" s="128" t="s">
        <v>590</v>
      </c>
      <c r="D42" s="126" t="s">
        <v>2192</v>
      </c>
      <c r="E42" s="128" t="s">
        <v>622</v>
      </c>
      <c r="F42" s="127" t="s">
        <v>378</v>
      </c>
      <c r="G42" s="136">
        <v>-214.33125000000001</v>
      </c>
      <c r="H42" s="113" t="str">
        <f t="shared" si="1"/>
        <v>SITUS</v>
      </c>
      <c r="I42" s="113" t="str">
        <f>INDEX('REGASSET Lookup'!$I:$I,MATCH('REGASSET Jun22data'!$A42,'REGASSET Lookup'!$A:$A,0))</f>
        <v>P</v>
      </c>
      <c r="J42" s="113" t="str">
        <f t="shared" si="2"/>
        <v>NO</v>
      </c>
      <c r="K42"/>
    </row>
    <row r="43" spans="1:11">
      <c r="A43" s="114" t="str">
        <f t="shared" si="0"/>
        <v>1823700OTH REGA-ENERGY WEST186863RA-Deer Creek-ROR Offset-Note Intrst-IDSITUS</v>
      </c>
      <c r="B43" s="126" t="s">
        <v>2163</v>
      </c>
      <c r="C43" s="128" t="s">
        <v>590</v>
      </c>
      <c r="D43" s="126" t="s">
        <v>2193</v>
      </c>
      <c r="E43" s="128" t="s">
        <v>623</v>
      </c>
      <c r="F43" s="127" t="s">
        <v>372</v>
      </c>
      <c r="G43" s="136">
        <v>-190.79513458333301</v>
      </c>
      <c r="H43" s="113" t="str">
        <f t="shared" si="1"/>
        <v>SITUS</v>
      </c>
      <c r="I43" s="113" t="str">
        <f>INDEX('REGASSET Lookup'!$I:$I,MATCH('REGASSET Jun22data'!$A43,'REGASSET Lookup'!$A:$A,0))</f>
        <v>P</v>
      </c>
      <c r="J43" s="113" t="str">
        <f t="shared" si="2"/>
        <v>NO</v>
      </c>
      <c r="K43"/>
    </row>
    <row r="44" spans="1:11">
      <c r="A44" s="114" t="str">
        <f t="shared" si="0"/>
        <v>1823700OTH REGA-ENERGY WEST186870RA-DC ROR Offset-Assets Sold-AmortzSITUS</v>
      </c>
      <c r="B44" s="126" t="s">
        <v>2163</v>
      </c>
      <c r="C44" s="128" t="s">
        <v>590</v>
      </c>
      <c r="D44" s="126" t="s">
        <v>2194</v>
      </c>
      <c r="E44" s="128" t="s">
        <v>624</v>
      </c>
      <c r="F44" s="127" t="s">
        <v>370</v>
      </c>
      <c r="G44" s="136">
        <v>1042.9149583333301</v>
      </c>
      <c r="H44" s="113" t="str">
        <f t="shared" si="1"/>
        <v>SITUS</v>
      </c>
      <c r="I44" s="113" t="str">
        <f>INDEX('REGASSET Lookup'!$I:$I,MATCH('REGASSET Jun22data'!$A44,'REGASSET Lookup'!$A:$A,0))</f>
        <v>P</v>
      </c>
      <c r="J44" s="113" t="str">
        <f t="shared" si="2"/>
        <v>NO</v>
      </c>
      <c r="K44"/>
    </row>
    <row r="45" spans="1:11">
      <c r="A45" s="114" t="str">
        <f t="shared" si="0"/>
        <v>1823700OTH REGA-ENERGY WEST186870RA-DC ROR Offset-Assets Sold-AmortzSITUS</v>
      </c>
      <c r="B45" s="126" t="s">
        <v>2163</v>
      </c>
      <c r="C45" s="128" t="s">
        <v>590</v>
      </c>
      <c r="D45" s="126" t="s">
        <v>2194</v>
      </c>
      <c r="E45" s="128" t="s">
        <v>624</v>
      </c>
      <c r="F45" s="127" t="s">
        <v>386</v>
      </c>
      <c r="G45" s="136">
        <v>66.814999999999998</v>
      </c>
      <c r="H45" s="113" t="str">
        <f t="shared" si="1"/>
        <v>SITUS</v>
      </c>
      <c r="I45" s="113" t="str">
        <f>INDEX('REGASSET Lookup'!$I:$I,MATCH('REGASSET Jun22data'!$A45,'REGASSET Lookup'!$A:$A,0))</f>
        <v>P</v>
      </c>
      <c r="J45" s="113" t="str">
        <f t="shared" si="2"/>
        <v>NO</v>
      </c>
      <c r="K45"/>
    </row>
    <row r="46" spans="1:11">
      <c r="A46" s="114" t="str">
        <f t="shared" si="0"/>
        <v>1823700OTH REGA-ENERGY WEST186871RA-DC ROR Offset-Fuel Inventory-AmortzSITUS</v>
      </c>
      <c r="B46" s="126" t="s">
        <v>2163</v>
      </c>
      <c r="C46" s="128" t="s">
        <v>590</v>
      </c>
      <c r="D46" s="126" t="s">
        <v>2195</v>
      </c>
      <c r="E46" s="128" t="s">
        <v>625</v>
      </c>
      <c r="F46" s="127" t="s">
        <v>372</v>
      </c>
      <c r="G46" s="136">
        <v>69.546584999999993</v>
      </c>
      <c r="H46" s="113" t="str">
        <f t="shared" si="1"/>
        <v>SITUS</v>
      </c>
      <c r="I46" s="113" t="str">
        <f>INDEX('REGASSET Lookup'!$I:$I,MATCH('REGASSET Jun22data'!$A46,'REGASSET Lookup'!$A:$A,0))</f>
        <v>P</v>
      </c>
      <c r="J46" s="113" t="str">
        <f t="shared" si="2"/>
        <v>NO</v>
      </c>
      <c r="K46"/>
    </row>
    <row r="47" spans="1:11">
      <c r="A47" s="114" t="str">
        <f t="shared" si="0"/>
        <v>1823700OTH REGA-ENERGY WEST186871RA-DC ROR Offset-Fuel Inventory-AmortzSITUS</v>
      </c>
      <c r="B47" s="126" t="s">
        <v>2163</v>
      </c>
      <c r="C47" s="128" t="s">
        <v>590</v>
      </c>
      <c r="D47" s="126" t="s">
        <v>2195</v>
      </c>
      <c r="E47" s="128" t="s">
        <v>625</v>
      </c>
      <c r="F47" s="127" t="s">
        <v>370</v>
      </c>
      <c r="G47" s="136">
        <v>8931.375</v>
      </c>
      <c r="H47" s="113" t="str">
        <f t="shared" si="1"/>
        <v>SITUS</v>
      </c>
      <c r="I47" s="113" t="str">
        <f>INDEX('REGASSET Lookup'!$I:$I,MATCH('REGASSET Jun22data'!$A47,'REGASSET Lookup'!$A:$A,0))</f>
        <v>P</v>
      </c>
      <c r="J47" s="113" t="str">
        <f t="shared" si="2"/>
        <v>NO</v>
      </c>
      <c r="K47"/>
    </row>
    <row r="48" spans="1:11">
      <c r="A48" s="114" t="str">
        <f t="shared" si="0"/>
        <v>1823700OTH REGA-ENERGY WEST186871RA-DC ROR Offset-Fuel Inventory-AmortzSITUS</v>
      </c>
      <c r="B48" s="126" t="s">
        <v>2163</v>
      </c>
      <c r="C48" s="128" t="s">
        <v>590</v>
      </c>
      <c r="D48" s="126" t="s">
        <v>2195</v>
      </c>
      <c r="E48" s="128" t="s">
        <v>625</v>
      </c>
      <c r="F48" s="127" t="s">
        <v>386</v>
      </c>
      <c r="G48" s="136">
        <v>418.68299999999999</v>
      </c>
      <c r="H48" s="113" t="str">
        <f t="shared" si="1"/>
        <v>SITUS</v>
      </c>
      <c r="I48" s="113" t="str">
        <f>INDEX('REGASSET Lookup'!$I:$I,MATCH('REGASSET Jun22data'!$A48,'REGASSET Lookup'!$A:$A,0))</f>
        <v>P</v>
      </c>
      <c r="J48" s="113" t="str">
        <f t="shared" si="2"/>
        <v>NO</v>
      </c>
      <c r="K48"/>
    </row>
    <row r="49" spans="1:11">
      <c r="A49" s="114" t="str">
        <f t="shared" si="0"/>
        <v>1823700OTH REGA-ENERGY WEST186872RA-DC ROR Offset-Fossil Rock-AmortzSITUS</v>
      </c>
      <c r="B49" s="126" t="s">
        <v>2163</v>
      </c>
      <c r="C49" s="128" t="s">
        <v>590</v>
      </c>
      <c r="D49" s="126" t="s">
        <v>2196</v>
      </c>
      <c r="E49" s="128" t="s">
        <v>626</v>
      </c>
      <c r="F49" s="127" t="s">
        <v>370</v>
      </c>
      <c r="G49" s="136">
        <v>3337.8767499999999</v>
      </c>
      <c r="H49" s="113" t="str">
        <f t="shared" si="1"/>
        <v>SITUS</v>
      </c>
      <c r="I49" s="113" t="str">
        <f>INDEX('REGASSET Lookup'!$I:$I,MATCH('REGASSET Jun22data'!$A49,'REGASSET Lookup'!$A:$A,0))</f>
        <v>P</v>
      </c>
      <c r="J49" s="113" t="str">
        <f t="shared" si="2"/>
        <v>NO</v>
      </c>
      <c r="K49"/>
    </row>
    <row r="50" spans="1:11">
      <c r="A50" s="114" t="str">
        <f t="shared" si="0"/>
        <v>1823700OTH REGA-ENERGY WEST186872RA-DC ROR Offset-Fossil Rock-AmortzSITUS</v>
      </c>
      <c r="B50" s="126" t="s">
        <v>2163</v>
      </c>
      <c r="C50" s="128" t="s">
        <v>590</v>
      </c>
      <c r="D50" s="126" t="s">
        <v>2196</v>
      </c>
      <c r="E50" s="128" t="s">
        <v>626</v>
      </c>
      <c r="F50" s="127" t="s">
        <v>386</v>
      </c>
      <c r="G50" s="136">
        <v>214.33125000000001</v>
      </c>
      <c r="H50" s="113" t="str">
        <f t="shared" si="1"/>
        <v>SITUS</v>
      </c>
      <c r="I50" s="113" t="str">
        <f>INDEX('REGASSET Lookup'!$I:$I,MATCH('REGASSET Jun22data'!$A50,'REGASSET Lookup'!$A:$A,0))</f>
        <v>P</v>
      </c>
      <c r="J50" s="113" t="str">
        <f t="shared" si="2"/>
        <v>NO</v>
      </c>
      <c r="K50"/>
    </row>
    <row r="51" spans="1:11">
      <c r="A51" s="114" t="str">
        <f t="shared" si="0"/>
        <v>1823700OTH REGA-ENERGY WEST186873RA-DC ROR Offset-Note Interest-AmortzSITUS</v>
      </c>
      <c r="B51" s="126" t="s">
        <v>2163</v>
      </c>
      <c r="C51" s="128" t="s">
        <v>590</v>
      </c>
      <c r="D51" s="126" t="s">
        <v>3365</v>
      </c>
      <c r="E51" s="128" t="s">
        <v>3366</v>
      </c>
      <c r="F51" s="127" t="s">
        <v>372</v>
      </c>
      <c r="G51" s="136">
        <v>7.9497900000000001</v>
      </c>
      <c r="H51" s="113" t="str">
        <f t="shared" si="1"/>
        <v>SITUS</v>
      </c>
      <c r="I51" s="113" t="str">
        <f>INDEX('REGASSET Lookup'!$I:$I,MATCH('REGASSET Jun22data'!$A51,'REGASSET Lookup'!$A:$A,0))</f>
        <v>P</v>
      </c>
      <c r="J51" s="113" t="str">
        <f t="shared" si="2"/>
        <v>NO</v>
      </c>
      <c r="K51"/>
    </row>
    <row r="52" spans="1:11">
      <c r="A52" s="114" t="str">
        <f t="shared" si="0"/>
        <v>1823700OTH REGA-ENERGY WEST186881Reg Asset-UMWA Pension Trust ObligSE</v>
      </c>
      <c r="B52" s="126" t="s">
        <v>2163</v>
      </c>
      <c r="C52" s="128" t="s">
        <v>590</v>
      </c>
      <c r="D52" s="126" t="s">
        <v>2197</v>
      </c>
      <c r="E52" s="128" t="s">
        <v>627</v>
      </c>
      <c r="F52" s="127" t="s">
        <v>3110</v>
      </c>
      <c r="G52" s="136">
        <v>115119.09934</v>
      </c>
      <c r="H52" s="113" t="str">
        <f t="shared" si="1"/>
        <v>SE</v>
      </c>
      <c r="I52" s="113" t="str">
        <f>INDEX('REGASSET Lookup'!$I:$I,MATCH('REGASSET Jun22data'!$A52,'REGASSET Lookup'!$A:$A,0))</f>
        <v>P</v>
      </c>
      <c r="J52" s="113" t="str">
        <f t="shared" si="2"/>
        <v>NO</v>
      </c>
      <c r="K52"/>
    </row>
    <row r="53" spans="1:11">
      <c r="A53" s="114" t="str">
        <f t="shared" si="0"/>
        <v>1823700OTH REGA-ENERGY WEST186886Contra RA-UMWA Pens W/D-To Joint OwnersOTHER</v>
      </c>
      <c r="B53" s="126" t="s">
        <v>2163</v>
      </c>
      <c r="C53" s="128" t="s">
        <v>590</v>
      </c>
      <c r="D53" s="126" t="s">
        <v>2198</v>
      </c>
      <c r="E53" s="128" t="s">
        <v>628</v>
      </c>
      <c r="F53" s="127" t="s">
        <v>306</v>
      </c>
      <c r="G53" s="136">
        <v>-4752.5586499999999</v>
      </c>
      <c r="H53" s="113" t="str">
        <f t="shared" si="1"/>
        <v>OTHER</v>
      </c>
      <c r="I53" s="113" t="str">
        <f>INDEX('REGASSET Lookup'!$I:$I,MATCH('REGASSET Jun22data'!$A53,'REGASSET Lookup'!$A:$A,0))</f>
        <v>P</v>
      </c>
      <c r="J53" s="113" t="str">
        <f t="shared" si="2"/>
        <v>NO</v>
      </c>
      <c r="K53"/>
    </row>
    <row r="54" spans="1:11">
      <c r="A54" s="114" t="str">
        <f t="shared" si="0"/>
        <v>1823750OTHER REG A-CHLA U4185831Reg Asset - Cholla Unrec Plant - CASITUS</v>
      </c>
      <c r="B54" s="126" t="s">
        <v>2199</v>
      </c>
      <c r="C54" s="128" t="s">
        <v>2200</v>
      </c>
      <c r="D54" s="126" t="s">
        <v>2201</v>
      </c>
      <c r="E54" s="128" t="s">
        <v>2202</v>
      </c>
      <c r="F54" s="127" t="s">
        <v>387</v>
      </c>
      <c r="G54" s="136">
        <v>4287.5215900000003</v>
      </c>
      <c r="H54" s="113" t="str">
        <f t="shared" si="1"/>
        <v>SITUS</v>
      </c>
      <c r="I54" s="113" t="str">
        <f>INDEX('REGASSET Lookup'!$I:$I,MATCH('REGASSET Jun22data'!$A54,'REGASSET Lookup'!$A:$A,0))</f>
        <v>P</v>
      </c>
      <c r="J54" s="113" t="str">
        <f t="shared" si="2"/>
        <v>NO</v>
      </c>
      <c r="K54"/>
    </row>
    <row r="55" spans="1:11">
      <c r="A55" s="114" t="str">
        <f t="shared" si="0"/>
        <v>1823750OTHER REG A-CHLA U4185836Reg Asset - Cholla Unrec Plant - WYSITUS</v>
      </c>
      <c r="B55" s="126" t="s">
        <v>2199</v>
      </c>
      <c r="C55" s="128" t="s">
        <v>2200</v>
      </c>
      <c r="D55" s="126" t="s">
        <v>2203</v>
      </c>
      <c r="E55" s="128" t="s">
        <v>2204</v>
      </c>
      <c r="F55" s="127" t="s">
        <v>386</v>
      </c>
      <c r="G55" s="136">
        <v>40003.633049999997</v>
      </c>
      <c r="H55" s="113" t="str">
        <f t="shared" si="1"/>
        <v>SITUS</v>
      </c>
      <c r="I55" s="113" t="str">
        <f>INDEX('REGASSET Lookup'!$I:$I,MATCH('REGASSET Jun22data'!$A55,'REGASSET Lookup'!$A:$A,0))</f>
        <v>P</v>
      </c>
      <c r="J55" s="113" t="str">
        <f t="shared" si="2"/>
        <v>NO</v>
      </c>
      <c r="K55"/>
    </row>
    <row r="56" spans="1:11">
      <c r="A56" s="114" t="str">
        <f t="shared" si="0"/>
        <v>1823750OTHER REG A-CHLA U4185864Reg Asset-Cholla U4-Property Taxes-OROTHER</v>
      </c>
      <c r="B56" s="126" t="s">
        <v>2199</v>
      </c>
      <c r="C56" s="128" t="s">
        <v>2200</v>
      </c>
      <c r="D56" s="126" t="s">
        <v>2205</v>
      </c>
      <c r="E56" s="128" t="s">
        <v>2206</v>
      </c>
      <c r="F56" s="127" t="s">
        <v>306</v>
      </c>
      <c r="G56" s="136">
        <v>543.93852916666697</v>
      </c>
      <c r="H56" s="113" t="str">
        <f t="shared" si="1"/>
        <v>OTHER</v>
      </c>
      <c r="I56" s="113" t="str">
        <f>INDEX('REGASSET Lookup'!$I:$I,MATCH('REGASSET Jun22data'!$A56,'REGASSET Lookup'!$A:$A,0))</f>
        <v>P</v>
      </c>
      <c r="J56" s="113" t="str">
        <f t="shared" si="2"/>
        <v>NO</v>
      </c>
      <c r="K56"/>
    </row>
    <row r="57" spans="1:11">
      <c r="A57" s="114" t="str">
        <f t="shared" si="0"/>
        <v>1823750OTHER REG A-CHLA U4185866Reg Asset-Cholla U4-Nonunion SeveranceSG</v>
      </c>
      <c r="B57" s="126" t="s">
        <v>2199</v>
      </c>
      <c r="C57" s="128" t="s">
        <v>2200</v>
      </c>
      <c r="D57" s="126" t="s">
        <v>2207</v>
      </c>
      <c r="E57" s="128" t="s">
        <v>2208</v>
      </c>
      <c r="F57" s="127" t="s">
        <v>3106</v>
      </c>
      <c r="G57" s="136">
        <v>2613.7490625</v>
      </c>
      <c r="H57" s="113" t="str">
        <f t="shared" si="1"/>
        <v>SG</v>
      </c>
      <c r="I57" s="113" t="str">
        <f>INDEX('REGASSET Lookup'!$I:$I,MATCH('REGASSET Jun22data'!$A57,'REGASSET Lookup'!$A:$A,0))</f>
        <v>P</v>
      </c>
      <c r="J57" s="113" t="str">
        <f t="shared" si="2"/>
        <v>NO</v>
      </c>
      <c r="K57"/>
    </row>
    <row r="58" spans="1:11">
      <c r="A58" s="114" t="str">
        <f t="shared" si="0"/>
        <v>1823750OTHER REG A-CHLA U4185867Reg Asset-Cholla U4-Safe Harbor LeaseSG</v>
      </c>
      <c r="B58" s="126" t="s">
        <v>2199</v>
      </c>
      <c r="C58" s="128" t="s">
        <v>2200</v>
      </c>
      <c r="D58" s="126" t="s">
        <v>2209</v>
      </c>
      <c r="E58" s="128" t="s">
        <v>2210</v>
      </c>
      <c r="F58" s="127" t="s">
        <v>3106</v>
      </c>
      <c r="G58" s="136">
        <v>380.871643333333</v>
      </c>
      <c r="H58" s="113" t="str">
        <f t="shared" si="1"/>
        <v>SG</v>
      </c>
      <c r="I58" s="113" t="str">
        <f>INDEX('REGASSET Lookup'!$I:$I,MATCH('REGASSET Jun22data'!$A58,'REGASSET Lookup'!$A:$A,0))</f>
        <v>P</v>
      </c>
      <c r="J58" s="113" t="str">
        <f t="shared" si="2"/>
        <v>NO</v>
      </c>
      <c r="K58"/>
    </row>
    <row r="59" spans="1:11">
      <c r="A59" s="114" t="str">
        <f t="shared" si="0"/>
        <v>1823750OTHER REG A-CHLA U4185869Reg Asset-Cholla U4-ID-O&amp;M/Depr SavingsSITUS</v>
      </c>
      <c r="B59" s="126" t="s">
        <v>2199</v>
      </c>
      <c r="C59" s="128" t="s">
        <v>2200</v>
      </c>
      <c r="D59" s="126" t="s">
        <v>2212</v>
      </c>
      <c r="E59" s="128" t="s">
        <v>2213</v>
      </c>
      <c r="F59" s="127" t="s">
        <v>372</v>
      </c>
      <c r="G59" s="136">
        <v>-537.25372000000004</v>
      </c>
      <c r="H59" s="113" t="str">
        <f t="shared" si="1"/>
        <v>SITUS</v>
      </c>
      <c r="I59" s="113" t="str">
        <f>INDEX('REGASSET Lookup'!$I:$I,MATCH('REGASSET Jun22data'!$A59,'REGASSET Lookup'!$A:$A,0))</f>
        <v>P</v>
      </c>
      <c r="J59" s="113" t="str">
        <f t="shared" si="2"/>
        <v>NO</v>
      </c>
      <c r="K59"/>
    </row>
    <row r="60" spans="1:11">
      <c r="A60" s="114" t="str">
        <f t="shared" si="0"/>
        <v>1823750OTHER REG A-CHLA U4185873Contra Reg Asset-Cholla U4 Closure-ORSITUS</v>
      </c>
      <c r="B60" s="126" t="s">
        <v>2199</v>
      </c>
      <c r="C60" s="128" t="s">
        <v>2200</v>
      </c>
      <c r="D60" s="126" t="s">
        <v>2214</v>
      </c>
      <c r="E60" s="128" t="s">
        <v>2215</v>
      </c>
      <c r="F60" s="127" t="s">
        <v>343</v>
      </c>
      <c r="G60" s="136">
        <v>-802.66636041666698</v>
      </c>
      <c r="H60" s="113" t="str">
        <f t="shared" si="1"/>
        <v>SITUS</v>
      </c>
      <c r="I60" s="113" t="str">
        <f>INDEX('REGASSET Lookup'!$I:$I,MATCH('REGASSET Jun22data'!$A60,'REGASSET Lookup'!$A:$A,0))</f>
        <v>P</v>
      </c>
      <c r="J60" s="113" t="str">
        <f t="shared" si="2"/>
        <v>NO</v>
      </c>
      <c r="K60"/>
    </row>
    <row r="61" spans="1:11">
      <c r="A61" s="114" t="str">
        <f t="shared" si="0"/>
        <v>1823750OTHER REG A-CHLA U4185874Contra Reg Asset-Cholla U4 Closure-UTSITUS</v>
      </c>
      <c r="B61" s="126" t="s">
        <v>2199</v>
      </c>
      <c r="C61" s="128" t="s">
        <v>2200</v>
      </c>
      <c r="D61" s="126" t="s">
        <v>2216</v>
      </c>
      <c r="E61" s="128" t="s">
        <v>2217</v>
      </c>
      <c r="F61" s="127" t="s">
        <v>370</v>
      </c>
      <c r="G61" s="136">
        <v>-1357.1047016666701</v>
      </c>
      <c r="H61" s="113" t="str">
        <f t="shared" si="1"/>
        <v>SITUS</v>
      </c>
      <c r="I61" s="113" t="str">
        <f>INDEX('REGASSET Lookup'!$I:$I,MATCH('REGASSET Jun22data'!$A61,'REGASSET Lookup'!$A:$A,0))</f>
        <v>P</v>
      </c>
      <c r="J61" s="113" t="str">
        <f t="shared" si="2"/>
        <v>NO</v>
      </c>
      <c r="K61"/>
    </row>
    <row r="62" spans="1:11">
      <c r="A62" s="114" t="str">
        <f t="shared" si="0"/>
        <v>1823750OTHER REG A-CHLA U4185876Contra Reg Asset-Cholla U4 Closure-WYSITUS</v>
      </c>
      <c r="B62" s="126" t="s">
        <v>2199</v>
      </c>
      <c r="C62" s="128" t="s">
        <v>2200</v>
      </c>
      <c r="D62" s="126" t="s">
        <v>2218</v>
      </c>
      <c r="E62" s="128" t="s">
        <v>2219</v>
      </c>
      <c r="F62" s="127" t="s">
        <v>386</v>
      </c>
      <c r="G62" s="136">
        <v>-451.1168725</v>
      </c>
      <c r="H62" s="113" t="str">
        <f t="shared" si="1"/>
        <v>SITUS</v>
      </c>
      <c r="I62" s="113" t="str">
        <f>INDEX('REGASSET Lookup'!$I:$I,MATCH('REGASSET Jun22data'!$A62,'REGASSET Lookup'!$A:$A,0))</f>
        <v>P</v>
      </c>
      <c r="J62" s="113" t="str">
        <f t="shared" si="2"/>
        <v>NO</v>
      </c>
      <c r="K62"/>
    </row>
    <row r="63" spans="1:11">
      <c r="A63" s="114" t="str">
        <f t="shared" si="0"/>
        <v>1823870DEFERRED PENSION187608Reg Asset - Pension Settlement - CAOTHER</v>
      </c>
      <c r="B63" s="126" t="s">
        <v>2220</v>
      </c>
      <c r="C63" s="128" t="s">
        <v>631</v>
      </c>
      <c r="D63" s="126" t="s">
        <v>2221</v>
      </c>
      <c r="E63" s="128" t="s">
        <v>1830</v>
      </c>
      <c r="F63" s="127" t="s">
        <v>306</v>
      </c>
      <c r="G63" s="136">
        <v>704.31152666666605</v>
      </c>
      <c r="H63" s="113" t="str">
        <f t="shared" si="1"/>
        <v>OTHER</v>
      </c>
      <c r="I63" s="113" t="str">
        <f>INDEX('REGASSET Lookup'!$I:$I,MATCH('REGASSET Jun22data'!$A63,'REGASSET Lookup'!$A:$A,0))</f>
        <v>LABOR</v>
      </c>
      <c r="J63" s="113" t="str">
        <f t="shared" si="2"/>
        <v>NO</v>
      </c>
      <c r="K63"/>
    </row>
    <row r="64" spans="1:11">
      <c r="A64" s="114" t="str">
        <f t="shared" si="0"/>
        <v>1823870DEFERRED PENSION187611Reg Asset - Pension Settlement - OROTHER</v>
      </c>
      <c r="B64" s="126" t="s">
        <v>2220</v>
      </c>
      <c r="C64" s="128" t="s">
        <v>631</v>
      </c>
      <c r="D64" s="126" t="s">
        <v>2222</v>
      </c>
      <c r="E64" s="128" t="s">
        <v>2080</v>
      </c>
      <c r="F64" s="127" t="s">
        <v>306</v>
      </c>
      <c r="G64" s="136">
        <v>3172.2783095833302</v>
      </c>
      <c r="H64" s="113" t="str">
        <f t="shared" si="1"/>
        <v>OTHER</v>
      </c>
      <c r="I64" s="113" t="str">
        <f>INDEX('REGASSET Lookup'!$I:$I,MATCH('REGASSET Jun22data'!$A64,'REGASSET Lookup'!$A:$A,0))</f>
        <v>LABOR</v>
      </c>
      <c r="J64" s="113" t="str">
        <f t="shared" si="2"/>
        <v>NO</v>
      </c>
      <c r="K64"/>
    </row>
    <row r="65" spans="1:11">
      <c r="A65" s="114" t="str">
        <f t="shared" si="0"/>
        <v>1823870DEFERRED PENSION187612Reg Asset - Pension Settlement - UTOTHER</v>
      </c>
      <c r="B65" s="126" t="s">
        <v>2220</v>
      </c>
      <c r="C65" s="128" t="s">
        <v>631</v>
      </c>
      <c r="D65" s="126" t="s">
        <v>2223</v>
      </c>
      <c r="E65" s="128" t="s">
        <v>2082</v>
      </c>
      <c r="F65" s="127" t="s">
        <v>306</v>
      </c>
      <c r="G65" s="136">
        <v>1036.2255566666699</v>
      </c>
      <c r="H65" s="113" t="str">
        <f t="shared" si="1"/>
        <v>OTHER</v>
      </c>
      <c r="I65" s="113" t="str">
        <f>INDEX('REGASSET Lookup'!$I:$I,MATCH('REGASSET Jun22data'!$A65,'REGASSET Lookup'!$A:$A,0))</f>
        <v>LABOR</v>
      </c>
      <c r="J65" s="113" t="str">
        <f t="shared" si="2"/>
        <v>NO</v>
      </c>
      <c r="K65"/>
    </row>
    <row r="66" spans="1:11">
      <c r="A66" s="114" t="str">
        <f t="shared" si="0"/>
        <v>1823870DEFERRED PENSION187613Reg Asset - Pension Settlement - WYSITUS</v>
      </c>
      <c r="B66" s="126" t="s">
        <v>2220</v>
      </c>
      <c r="C66" s="128" t="s">
        <v>631</v>
      </c>
      <c r="D66" s="126" t="s">
        <v>2224</v>
      </c>
      <c r="E66" s="128" t="s">
        <v>2084</v>
      </c>
      <c r="F66" s="127" t="s">
        <v>378</v>
      </c>
      <c r="G66" s="136">
        <v>1456.58565875</v>
      </c>
      <c r="H66" s="113" t="str">
        <f t="shared" si="1"/>
        <v>SITUS</v>
      </c>
      <c r="I66" s="113" t="str">
        <f>INDEX('REGASSET Lookup'!$I:$I,MATCH('REGASSET Jun22data'!$A66,'REGASSET Lookup'!$A:$A,0))</f>
        <v>LABOR</v>
      </c>
      <c r="J66" s="113" t="str">
        <f t="shared" si="2"/>
        <v>NO</v>
      </c>
      <c r="K66"/>
    </row>
    <row r="67" spans="1:11">
      <c r="A67" s="114" t="str">
        <f t="shared" ref="A67:A130" si="3">CONCATENATE($B67,$C67,$D67,$E67,$H67)</f>
        <v>1823870DEFERRED PENSION187629Reg Asset - Post-Ret - Settlement LossOTHER</v>
      </c>
      <c r="B67" s="126" t="s">
        <v>2220</v>
      </c>
      <c r="C67" s="128" t="s">
        <v>631</v>
      </c>
      <c r="D67" s="126" t="s">
        <v>2225</v>
      </c>
      <c r="E67" s="128" t="s">
        <v>641</v>
      </c>
      <c r="F67" s="127" t="s">
        <v>306</v>
      </c>
      <c r="G67" s="136">
        <v>-507.419424166667</v>
      </c>
      <c r="H67" s="113" t="str">
        <f t="shared" ref="H67:H130" si="4">IF(OR(F67="IDU",F67="OR",F67="UT",F67="WYU",F67="WYP",F67="CA",F67="WA"),"SITUS",IF(OR(F67="CAEE",F67="JBE"),"SE",IF(OR(F67="CAGE",F67="CAGW",F67="JBG"),"SG",F67)))</f>
        <v>OTHER</v>
      </c>
      <c r="I67" s="113" t="str">
        <f>INDEX('REGASSET Lookup'!$I:$I,MATCH('REGASSET Jun22data'!$A67,'REGASSET Lookup'!$A:$A,0))</f>
        <v>LABOR</v>
      </c>
      <c r="J67" s="113" t="str">
        <f t="shared" ref="J67:J130" si="5">IF(G67=0,"NO",IF(ISNA($I67),"YES",IF(_xlfn.ISFORMULA($I67),"NO","YES")))</f>
        <v>NO</v>
      </c>
      <c r="K67"/>
    </row>
    <row r="68" spans="1:11">
      <c r="A68" s="114" t="str">
        <f t="shared" si="3"/>
        <v>1823920DSR COSTS AMORTIZED0DSR COST AMORTOTHER</v>
      </c>
      <c r="B68" s="126" t="s">
        <v>2231</v>
      </c>
      <c r="C68" s="128" t="s">
        <v>695</v>
      </c>
      <c r="D68" s="126" t="s">
        <v>3367</v>
      </c>
      <c r="E68" s="128" t="s">
        <v>696</v>
      </c>
      <c r="F68" s="127" t="s">
        <v>306</v>
      </c>
      <c r="G68" s="136">
        <v>308079.84879916703</v>
      </c>
      <c r="H68" s="113" t="str">
        <f t="shared" si="4"/>
        <v>OTHER</v>
      </c>
      <c r="I68" s="113" t="str">
        <f>INDEX('REGASSET Lookup'!$I:$I,MATCH('REGASSET Jun22data'!$A68,'REGASSET Lookup'!$A:$A,0))</f>
        <v>CUST</v>
      </c>
      <c r="J68" s="113" t="str">
        <f t="shared" si="5"/>
        <v>NO</v>
      </c>
      <c r="K68"/>
    </row>
    <row r="69" spans="1:11">
      <c r="A69" s="114" t="str">
        <f t="shared" si="3"/>
        <v>1823920DSR COSTS AMORTIZED102030ENERGY FINANSWER - WASHINGTONOTHER</v>
      </c>
      <c r="B69" s="126" t="s">
        <v>2231</v>
      </c>
      <c r="C69" s="128" t="s">
        <v>695</v>
      </c>
      <c r="D69" s="126" t="s">
        <v>2232</v>
      </c>
      <c r="E69" s="128" t="s">
        <v>697</v>
      </c>
      <c r="F69" s="127" t="s">
        <v>306</v>
      </c>
      <c r="G69" s="136">
        <v>5064.9558999999999</v>
      </c>
      <c r="H69" s="113" t="str">
        <f t="shared" si="4"/>
        <v>OTHER</v>
      </c>
      <c r="I69" s="113" t="str">
        <f>INDEX('REGASSET Lookup'!$I:$I,MATCH('REGASSET Jun22data'!$A69,'REGASSET Lookup'!$A:$A,0))</f>
        <v>CUST</v>
      </c>
      <c r="J69" s="113" t="str">
        <f t="shared" si="5"/>
        <v>NO</v>
      </c>
      <c r="K69"/>
    </row>
    <row r="70" spans="1:11">
      <c r="A70" s="114" t="str">
        <f t="shared" si="3"/>
        <v>1823920DSR COSTS AMORTIZED102032INDUSTRIAL FINANSWER - WASHINGTONOTHER</v>
      </c>
      <c r="B70" s="126" t="s">
        <v>2231</v>
      </c>
      <c r="C70" s="128" t="s">
        <v>695</v>
      </c>
      <c r="D70" s="126" t="s">
        <v>2233</v>
      </c>
      <c r="E70" s="128" t="s">
        <v>698</v>
      </c>
      <c r="F70" s="127" t="s">
        <v>306</v>
      </c>
      <c r="G70" s="136">
        <v>26337.081480000001</v>
      </c>
      <c r="H70" s="113" t="str">
        <f t="shared" si="4"/>
        <v>OTHER</v>
      </c>
      <c r="I70" s="113" t="str">
        <f>INDEX('REGASSET Lookup'!$I:$I,MATCH('REGASSET Jun22data'!$A70,'REGASSET Lookup'!$A:$A,0))</f>
        <v>CUST</v>
      </c>
      <c r="J70" s="113" t="str">
        <f t="shared" si="5"/>
        <v>NO</v>
      </c>
      <c r="K70"/>
    </row>
    <row r="71" spans="1:11">
      <c r="A71" s="114" t="str">
        <f t="shared" si="3"/>
        <v>1823920DSR COSTS AMORTIZED102033LOW INCOME - WASHINGTONOTHER</v>
      </c>
      <c r="B71" s="126" t="s">
        <v>2231</v>
      </c>
      <c r="C71" s="128" t="s">
        <v>695</v>
      </c>
      <c r="D71" s="126" t="s">
        <v>2234</v>
      </c>
      <c r="E71" s="128" t="s">
        <v>699</v>
      </c>
      <c r="F71" s="127" t="s">
        <v>306</v>
      </c>
      <c r="G71" s="136">
        <v>10718.391890000001</v>
      </c>
      <c r="H71" s="113" t="str">
        <f t="shared" si="4"/>
        <v>OTHER</v>
      </c>
      <c r="I71" s="113" t="str">
        <f>INDEX('REGASSET Lookup'!$I:$I,MATCH('REGASSET Jun22data'!$A71,'REGASSET Lookup'!$A:$A,0))</f>
        <v>CUST</v>
      </c>
      <c r="J71" s="113" t="str">
        <f t="shared" si="5"/>
        <v>NO</v>
      </c>
      <c r="K71"/>
    </row>
    <row r="72" spans="1:11">
      <c r="A72" s="114" t="str">
        <f t="shared" si="3"/>
        <v>1823920DSR COSTS AMORTIZED102034SELF AUDIT - WASHINGTONOTHER</v>
      </c>
      <c r="B72" s="126" t="s">
        <v>2231</v>
      </c>
      <c r="C72" s="128" t="s">
        <v>695</v>
      </c>
      <c r="D72" s="126" t="s">
        <v>2235</v>
      </c>
      <c r="E72" s="128" t="s">
        <v>700</v>
      </c>
      <c r="F72" s="127" t="s">
        <v>306</v>
      </c>
      <c r="G72" s="136">
        <v>14.36074</v>
      </c>
      <c r="H72" s="113" t="str">
        <f t="shared" si="4"/>
        <v>OTHER</v>
      </c>
      <c r="I72" s="113" t="str">
        <f>INDEX('REGASSET Lookup'!$I:$I,MATCH('REGASSET Jun22data'!$A72,'REGASSET Lookup'!$A:$A,0))</f>
        <v>CUST</v>
      </c>
      <c r="J72" s="113" t="str">
        <f t="shared" si="5"/>
        <v>NO</v>
      </c>
      <c r="K72"/>
    </row>
    <row r="73" spans="1:11">
      <c r="A73" s="114" t="str">
        <f t="shared" si="3"/>
        <v>1823920DSR COSTS AMORTIZED102036COMMERCIAL SMALL RETROFIT - WASHINGTONOTHER</v>
      </c>
      <c r="B73" s="126" t="s">
        <v>2231</v>
      </c>
      <c r="C73" s="128" t="s">
        <v>695</v>
      </c>
      <c r="D73" s="126" t="s">
        <v>2236</v>
      </c>
      <c r="E73" s="128" t="s">
        <v>701</v>
      </c>
      <c r="F73" s="127" t="s">
        <v>306</v>
      </c>
      <c r="G73" s="136">
        <v>787.73970999999995</v>
      </c>
      <c r="H73" s="113" t="str">
        <f t="shared" si="4"/>
        <v>OTHER</v>
      </c>
      <c r="I73" s="113" t="str">
        <f>INDEX('REGASSET Lookup'!$I:$I,MATCH('REGASSET Jun22data'!$A73,'REGASSET Lookup'!$A:$A,0))</f>
        <v>CUST</v>
      </c>
      <c r="J73" s="113" t="str">
        <f t="shared" si="5"/>
        <v>NO</v>
      </c>
      <c r="K73"/>
    </row>
    <row r="74" spans="1:11">
      <c r="A74" s="114" t="str">
        <f t="shared" si="3"/>
        <v>1823920DSR COSTS AMORTIZED102037INDUSTRIAL SMALL RETROFIT - WASHINGTONOTHER</v>
      </c>
      <c r="B74" s="126" t="s">
        <v>2231</v>
      </c>
      <c r="C74" s="128" t="s">
        <v>695</v>
      </c>
      <c r="D74" s="126" t="s">
        <v>2237</v>
      </c>
      <c r="E74" s="128" t="s">
        <v>702</v>
      </c>
      <c r="F74" s="127" t="s">
        <v>306</v>
      </c>
      <c r="G74" s="136">
        <v>13.03795</v>
      </c>
      <c r="H74" s="113" t="str">
        <f t="shared" si="4"/>
        <v>OTHER</v>
      </c>
      <c r="I74" s="113" t="str">
        <f>INDEX('REGASSET Lookup'!$I:$I,MATCH('REGASSET Jun22data'!$A74,'REGASSET Lookup'!$A:$A,0))</f>
        <v>CUST</v>
      </c>
      <c r="J74" s="113" t="str">
        <f t="shared" si="5"/>
        <v>NO</v>
      </c>
      <c r="K74"/>
    </row>
    <row r="75" spans="1:11">
      <c r="A75" s="114" t="str">
        <f t="shared" si="3"/>
        <v>1823920DSR COSTS AMORTIZED102038COMMERCIAL RETROFIT LIGHTING - WASHINGTOOTHER</v>
      </c>
      <c r="B75" s="126" t="s">
        <v>2231</v>
      </c>
      <c r="C75" s="128" t="s">
        <v>695</v>
      </c>
      <c r="D75" s="126" t="s">
        <v>2238</v>
      </c>
      <c r="E75" s="128" t="s">
        <v>703</v>
      </c>
      <c r="F75" s="127" t="s">
        <v>306</v>
      </c>
      <c r="G75" s="136">
        <v>624.37847999999997</v>
      </c>
      <c r="H75" s="113" t="str">
        <f t="shared" si="4"/>
        <v>OTHER</v>
      </c>
      <c r="I75" s="113" t="str">
        <f>INDEX('REGASSET Lookup'!$I:$I,MATCH('REGASSET Jun22data'!$A75,'REGASSET Lookup'!$A:$A,0))</f>
        <v>CUST</v>
      </c>
      <c r="J75" s="113" t="str">
        <f t="shared" si="5"/>
        <v>NO</v>
      </c>
      <c r="K75"/>
    </row>
    <row r="76" spans="1:11">
      <c r="A76" s="114" t="str">
        <f t="shared" si="3"/>
        <v>1823920DSR COSTS AMORTIZED102039INDUSTRIAL RETROFIT LIGHTING-WAOTHER</v>
      </c>
      <c r="B76" s="126" t="s">
        <v>2231</v>
      </c>
      <c r="C76" s="128" t="s">
        <v>695</v>
      </c>
      <c r="D76" s="126" t="s">
        <v>2239</v>
      </c>
      <c r="E76" s="128" t="s">
        <v>704</v>
      </c>
      <c r="F76" s="127" t="s">
        <v>306</v>
      </c>
      <c r="G76" s="136">
        <v>88.266459999999995</v>
      </c>
      <c r="H76" s="113" t="str">
        <f t="shared" si="4"/>
        <v>OTHER</v>
      </c>
      <c r="I76" s="113" t="str">
        <f>INDEX('REGASSET Lookup'!$I:$I,MATCH('REGASSET Jun22data'!$A76,'REGASSET Lookup'!$A:$A,0))</f>
        <v>CUST</v>
      </c>
      <c r="J76" s="113" t="str">
        <f t="shared" si="5"/>
        <v>NO</v>
      </c>
      <c r="K76"/>
    </row>
    <row r="77" spans="1:11">
      <c r="A77" s="114" t="str">
        <f t="shared" si="3"/>
        <v>1823920DSR COSTS AMORTIZED102040NEEA - WASHINGTONOTHER</v>
      </c>
      <c r="B77" s="126" t="s">
        <v>2231</v>
      </c>
      <c r="C77" s="128" t="s">
        <v>695</v>
      </c>
      <c r="D77" s="126" t="s">
        <v>2240</v>
      </c>
      <c r="E77" s="128" t="s">
        <v>705</v>
      </c>
      <c r="F77" s="127" t="s">
        <v>306</v>
      </c>
      <c r="G77" s="136">
        <v>11184.871999999999</v>
      </c>
      <c r="H77" s="113" t="str">
        <f t="shared" si="4"/>
        <v>OTHER</v>
      </c>
      <c r="I77" s="113" t="str">
        <f>INDEX('REGASSET Lookup'!$I:$I,MATCH('REGASSET Jun22data'!$A77,'REGASSET Lookup'!$A:$A,0))</f>
        <v>CUST</v>
      </c>
      <c r="J77" s="113" t="str">
        <f t="shared" si="5"/>
        <v>NO</v>
      </c>
      <c r="K77"/>
    </row>
    <row r="78" spans="1:11">
      <c r="A78" s="114" t="str">
        <f t="shared" si="3"/>
        <v>1823920DSR COSTS AMORTIZED102043ENERGY CODE DEVELOPMENTOTHER</v>
      </c>
      <c r="B78" s="126" t="s">
        <v>2231</v>
      </c>
      <c r="C78" s="128" t="s">
        <v>695</v>
      </c>
      <c r="D78" s="126" t="s">
        <v>2241</v>
      </c>
      <c r="E78" s="128" t="s">
        <v>706</v>
      </c>
      <c r="F78" s="127" t="s">
        <v>306</v>
      </c>
      <c r="G78" s="136">
        <v>1.5</v>
      </c>
      <c r="H78" s="113" t="str">
        <f t="shared" si="4"/>
        <v>OTHER</v>
      </c>
      <c r="I78" s="113" t="str">
        <f>INDEX('REGASSET Lookup'!$I:$I,MATCH('REGASSET Jun22data'!$A78,'REGASSET Lookup'!$A:$A,0))</f>
        <v>CUST</v>
      </c>
      <c r="J78" s="113" t="str">
        <f t="shared" si="5"/>
        <v>NO</v>
      </c>
      <c r="K78"/>
    </row>
    <row r="79" spans="1:11">
      <c r="A79" s="114" t="str">
        <f t="shared" si="3"/>
        <v>1823920DSR COSTS AMORTIZED102044HOME COMFORT - WASHINGTONOTHER</v>
      </c>
      <c r="B79" s="126" t="s">
        <v>2231</v>
      </c>
      <c r="C79" s="128" t="s">
        <v>695</v>
      </c>
      <c r="D79" s="126" t="s">
        <v>2242</v>
      </c>
      <c r="E79" s="128" t="s">
        <v>707</v>
      </c>
      <c r="F79" s="127" t="s">
        <v>306</v>
      </c>
      <c r="G79" s="136">
        <v>161.90885</v>
      </c>
      <c r="H79" s="113" t="str">
        <f t="shared" si="4"/>
        <v>OTHER</v>
      </c>
      <c r="I79" s="113" t="str">
        <f>INDEX('REGASSET Lookup'!$I:$I,MATCH('REGASSET Jun22data'!$A79,'REGASSET Lookup'!$A:$A,0))</f>
        <v>CUST</v>
      </c>
      <c r="J79" s="113" t="str">
        <f t="shared" si="5"/>
        <v>NO</v>
      </c>
      <c r="K79"/>
    </row>
    <row r="80" spans="1:11">
      <c r="A80" s="114" t="str">
        <f t="shared" si="3"/>
        <v>1823920DSR COSTS AMORTIZED102045WEATHERIZATION - WASHINGTONOTHER</v>
      </c>
      <c r="B80" s="126" t="s">
        <v>2231</v>
      </c>
      <c r="C80" s="128" t="s">
        <v>695</v>
      </c>
      <c r="D80" s="126" t="s">
        <v>2243</v>
      </c>
      <c r="E80" s="128" t="s">
        <v>708</v>
      </c>
      <c r="F80" s="127" t="s">
        <v>306</v>
      </c>
      <c r="G80" s="136">
        <v>22.437750000000001</v>
      </c>
      <c r="H80" s="113" t="str">
        <f t="shared" si="4"/>
        <v>OTHER</v>
      </c>
      <c r="I80" s="113" t="str">
        <f>INDEX('REGASSET Lookup'!$I:$I,MATCH('REGASSET Jun22data'!$A80,'REGASSET Lookup'!$A:$A,0))</f>
        <v>CUST</v>
      </c>
      <c r="J80" s="113" t="str">
        <f t="shared" si="5"/>
        <v>NO</v>
      </c>
      <c r="K80"/>
    </row>
    <row r="81" spans="1:11">
      <c r="A81" s="114" t="str">
        <f t="shared" si="3"/>
        <v>1823920DSR COSTS AMORTIZED102046HASSLE FREEOTHER</v>
      </c>
      <c r="B81" s="126" t="s">
        <v>2231</v>
      </c>
      <c r="C81" s="128" t="s">
        <v>695</v>
      </c>
      <c r="D81" s="126" t="s">
        <v>2244</v>
      </c>
      <c r="E81" s="128" t="s">
        <v>709</v>
      </c>
      <c r="F81" s="127" t="s">
        <v>306</v>
      </c>
      <c r="G81" s="136">
        <v>40.649470000000001</v>
      </c>
      <c r="H81" s="113" t="str">
        <f t="shared" si="4"/>
        <v>OTHER</v>
      </c>
      <c r="I81" s="113" t="str">
        <f>INDEX('REGASSET Lookup'!$I:$I,MATCH('REGASSET Jun22data'!$A81,'REGASSET Lookup'!$A:$A,0))</f>
        <v>CUST</v>
      </c>
      <c r="J81" s="113" t="str">
        <f t="shared" si="5"/>
        <v>NO</v>
      </c>
      <c r="K81"/>
    </row>
    <row r="82" spans="1:11">
      <c r="A82" s="114" t="str">
        <f t="shared" si="3"/>
        <v>1823920DSR COSTS AMORTIZED102072COMPACT FLUORESCENT LAMPS - WASHINGTONOTHER</v>
      </c>
      <c r="B82" s="126" t="s">
        <v>2231</v>
      </c>
      <c r="C82" s="128" t="s">
        <v>695</v>
      </c>
      <c r="D82" s="126" t="s">
        <v>2245</v>
      </c>
      <c r="E82" s="128" t="s">
        <v>710</v>
      </c>
      <c r="F82" s="127" t="s">
        <v>306</v>
      </c>
      <c r="G82" s="136">
        <v>1182.8038899999999</v>
      </c>
      <c r="H82" s="113" t="str">
        <f t="shared" si="4"/>
        <v>OTHER</v>
      </c>
      <c r="I82" s="113" t="str">
        <f>INDEX('REGASSET Lookup'!$I:$I,MATCH('REGASSET Jun22data'!$A82,'REGASSET Lookup'!$A:$A,0))</f>
        <v>CUST</v>
      </c>
      <c r="J82" s="113" t="str">
        <f t="shared" si="5"/>
        <v>NO</v>
      </c>
      <c r="K82"/>
    </row>
    <row r="83" spans="1:11">
      <c r="A83" s="114" t="str">
        <f t="shared" si="3"/>
        <v>1823920DSR COSTS AMORTIZED102127RESIDENTIAL PROGRAM RESEARCH - WAOTHER</v>
      </c>
      <c r="B83" s="126" t="s">
        <v>2231</v>
      </c>
      <c r="C83" s="128" t="s">
        <v>695</v>
      </c>
      <c r="D83" s="126" t="s">
        <v>2246</v>
      </c>
      <c r="E83" s="128" t="s">
        <v>711</v>
      </c>
      <c r="F83" s="127" t="s">
        <v>306</v>
      </c>
      <c r="G83" s="136">
        <v>24.17418</v>
      </c>
      <c r="H83" s="113" t="str">
        <f t="shared" si="4"/>
        <v>OTHER</v>
      </c>
      <c r="I83" s="113" t="str">
        <f>INDEX('REGASSET Lookup'!$I:$I,MATCH('REGASSET Jun22data'!$A83,'REGASSET Lookup'!$A:$A,0))</f>
        <v>CUST</v>
      </c>
      <c r="J83" s="113" t="str">
        <f t="shared" si="5"/>
        <v>NO</v>
      </c>
      <c r="K83"/>
    </row>
    <row r="84" spans="1:11">
      <c r="A84" s="114" t="str">
        <f t="shared" si="3"/>
        <v>1823920DSR COSTS AMORTIZED102128WA REVENUE RECOVERY - SBC OFFSETOTHER</v>
      </c>
      <c r="B84" s="126" t="s">
        <v>2231</v>
      </c>
      <c r="C84" s="128" t="s">
        <v>695</v>
      </c>
      <c r="D84" s="126" t="s">
        <v>2247</v>
      </c>
      <c r="E84" s="128" t="s">
        <v>712</v>
      </c>
      <c r="F84" s="127" t="s">
        <v>306</v>
      </c>
      <c r="G84" s="136">
        <v>-114871.51897</v>
      </c>
      <c r="H84" s="113" t="str">
        <f t="shared" si="4"/>
        <v>OTHER</v>
      </c>
      <c r="I84" s="113" t="str">
        <f>INDEX('REGASSET Lookup'!$I:$I,MATCH('REGASSET Jun22data'!$A84,'REGASSET Lookup'!$A:$A,0))</f>
        <v>CUST</v>
      </c>
      <c r="J84" s="113" t="str">
        <f t="shared" si="5"/>
        <v>NO</v>
      </c>
      <c r="K84"/>
    </row>
    <row r="85" spans="1:11">
      <c r="A85" s="114" t="str">
        <f t="shared" si="3"/>
        <v>1823920DSR COSTS AMORTIZED102131ENERGY FINANSWER - UTAH 2001/2002OTHER</v>
      </c>
      <c r="B85" s="126" t="s">
        <v>2231</v>
      </c>
      <c r="C85" s="128" t="s">
        <v>695</v>
      </c>
      <c r="D85" s="126" t="s">
        <v>2248</v>
      </c>
      <c r="E85" s="128" t="s">
        <v>713</v>
      </c>
      <c r="F85" s="127" t="s">
        <v>306</v>
      </c>
      <c r="G85" s="136">
        <v>1280.4835399999999</v>
      </c>
      <c r="H85" s="113" t="str">
        <f t="shared" si="4"/>
        <v>OTHER</v>
      </c>
      <c r="I85" s="113" t="str">
        <f>INDEX('REGASSET Lookup'!$I:$I,MATCH('REGASSET Jun22data'!$A85,'REGASSET Lookup'!$A:$A,0))</f>
        <v>CUST</v>
      </c>
      <c r="J85" s="113" t="str">
        <f t="shared" si="5"/>
        <v>NO</v>
      </c>
      <c r="K85"/>
    </row>
    <row r="86" spans="1:11">
      <c r="A86" s="114" t="str">
        <f t="shared" si="3"/>
        <v>1823920DSR COSTS AMORTIZED102133INDUSTRIAL FINANSWER - UTAH 2001/2002OTHER</v>
      </c>
      <c r="B86" s="126" t="s">
        <v>2231</v>
      </c>
      <c r="C86" s="128" t="s">
        <v>695</v>
      </c>
      <c r="D86" s="126" t="s">
        <v>2249</v>
      </c>
      <c r="E86" s="128" t="s">
        <v>714</v>
      </c>
      <c r="F86" s="127" t="s">
        <v>306</v>
      </c>
      <c r="G86" s="136">
        <v>1353.1836699999999</v>
      </c>
      <c r="H86" s="113" t="str">
        <f t="shared" si="4"/>
        <v>OTHER</v>
      </c>
      <c r="I86" s="113" t="str">
        <f>INDEX('REGASSET Lookup'!$I:$I,MATCH('REGASSET Jun22data'!$A86,'REGASSET Lookup'!$A:$A,0))</f>
        <v>CUST</v>
      </c>
      <c r="J86" s="113" t="str">
        <f t="shared" si="5"/>
        <v>NO</v>
      </c>
      <c r="K86"/>
    </row>
    <row r="87" spans="1:11">
      <c r="A87" s="114" t="str">
        <f t="shared" si="3"/>
        <v>1823920DSR COSTS AMORTIZED102138COMPACT FLUOR LAMPS (CFL) UT 2001/2002OTHER</v>
      </c>
      <c r="B87" s="126" t="s">
        <v>2231</v>
      </c>
      <c r="C87" s="128" t="s">
        <v>695</v>
      </c>
      <c r="D87" s="126" t="s">
        <v>2250</v>
      </c>
      <c r="E87" s="128" t="s">
        <v>715</v>
      </c>
      <c r="F87" s="127" t="s">
        <v>306</v>
      </c>
      <c r="G87" s="136">
        <v>4201.68523</v>
      </c>
      <c r="H87" s="113" t="str">
        <f t="shared" si="4"/>
        <v>OTHER</v>
      </c>
      <c r="I87" s="113" t="str">
        <f>INDEX('REGASSET Lookup'!$I:$I,MATCH('REGASSET Jun22data'!$A87,'REGASSET Lookup'!$A:$A,0))</f>
        <v>CUST</v>
      </c>
      <c r="J87" s="113" t="str">
        <f t="shared" si="5"/>
        <v>NO</v>
      </c>
      <c r="K87"/>
    </row>
    <row r="88" spans="1:11">
      <c r="A88" s="114" t="str">
        <f t="shared" si="3"/>
        <v>1823920DSR COSTS AMORTIZED102147COMMERCIAL SMALL RETROFIT - UT 2001/2002OTHER</v>
      </c>
      <c r="B88" s="126" t="s">
        <v>2231</v>
      </c>
      <c r="C88" s="128" t="s">
        <v>695</v>
      </c>
      <c r="D88" s="126" t="s">
        <v>2251</v>
      </c>
      <c r="E88" s="128" t="s">
        <v>716</v>
      </c>
      <c r="F88" s="127" t="s">
        <v>306</v>
      </c>
      <c r="G88" s="136">
        <v>847.94334000000003</v>
      </c>
      <c r="H88" s="113" t="str">
        <f t="shared" si="4"/>
        <v>OTHER</v>
      </c>
      <c r="I88" s="113" t="str">
        <f>INDEX('REGASSET Lookup'!$I:$I,MATCH('REGASSET Jun22data'!$A88,'REGASSET Lookup'!$A:$A,0))</f>
        <v>CUST</v>
      </c>
      <c r="J88" s="113" t="str">
        <f t="shared" si="5"/>
        <v>NO</v>
      </c>
      <c r="K88"/>
    </row>
    <row r="89" spans="1:11">
      <c r="A89" s="114" t="str">
        <f t="shared" si="3"/>
        <v>1823920DSR COSTS AMORTIZED102148INDUSTRIAL SMALL RETROFIT - UT 2002OTHER</v>
      </c>
      <c r="B89" s="126" t="s">
        <v>2231</v>
      </c>
      <c r="C89" s="128" t="s">
        <v>695</v>
      </c>
      <c r="D89" s="126" t="s">
        <v>3368</v>
      </c>
      <c r="E89" s="128" t="s">
        <v>717</v>
      </c>
      <c r="F89" s="127" t="s">
        <v>306</v>
      </c>
      <c r="G89" s="136">
        <v>2.3E-3</v>
      </c>
      <c r="H89" s="113" t="str">
        <f t="shared" si="4"/>
        <v>OTHER</v>
      </c>
      <c r="I89" s="113" t="str">
        <f>INDEX('REGASSET Lookup'!$I:$I,MATCH('REGASSET Jun22data'!$A89,'REGASSET Lookup'!$A:$A,0))</f>
        <v>CUST</v>
      </c>
      <c r="J89" s="113" t="str">
        <f t="shared" si="5"/>
        <v>NO</v>
      </c>
      <c r="K89"/>
    </row>
    <row r="90" spans="1:11">
      <c r="A90" s="114" t="str">
        <f t="shared" si="3"/>
        <v>1823920DSR COSTS AMORTIZED102149COMMERCIAL RETROFIT LIGHTING - UT 2001/2OTHER</v>
      </c>
      <c r="B90" s="126" t="s">
        <v>2231</v>
      </c>
      <c r="C90" s="128" t="s">
        <v>695</v>
      </c>
      <c r="D90" s="126" t="s">
        <v>2252</v>
      </c>
      <c r="E90" s="128" t="s">
        <v>718</v>
      </c>
      <c r="F90" s="127" t="s">
        <v>306</v>
      </c>
      <c r="G90" s="136">
        <v>497.80975999999998</v>
      </c>
      <c r="H90" s="113" t="str">
        <f t="shared" si="4"/>
        <v>OTHER</v>
      </c>
      <c r="I90" s="113" t="str">
        <f>INDEX('REGASSET Lookup'!$I:$I,MATCH('REGASSET Jun22data'!$A90,'REGASSET Lookup'!$A:$A,0))</f>
        <v>CUST</v>
      </c>
      <c r="J90" s="113" t="str">
        <f t="shared" si="5"/>
        <v>NO</v>
      </c>
      <c r="K90"/>
    </row>
    <row r="91" spans="1:11">
      <c r="A91" s="114" t="str">
        <f t="shared" si="3"/>
        <v>1823920DSR COSTS AMORTIZED102150INDUSTRIAL RETROFIT LIGHTING - UT 2001/2OTHER</v>
      </c>
      <c r="B91" s="126" t="s">
        <v>2231</v>
      </c>
      <c r="C91" s="128" t="s">
        <v>695</v>
      </c>
      <c r="D91" s="126" t="s">
        <v>2253</v>
      </c>
      <c r="E91" s="128" t="s">
        <v>719</v>
      </c>
      <c r="F91" s="127" t="s">
        <v>306</v>
      </c>
      <c r="G91" s="136">
        <v>81.799130000000005</v>
      </c>
      <c r="H91" s="113" t="str">
        <f t="shared" si="4"/>
        <v>OTHER</v>
      </c>
      <c r="I91" s="113" t="str">
        <f>INDEX('REGASSET Lookup'!$I:$I,MATCH('REGASSET Jun22data'!$A91,'REGASSET Lookup'!$A:$A,0))</f>
        <v>CUST</v>
      </c>
      <c r="J91" s="113" t="str">
        <f t="shared" si="5"/>
        <v>NO</v>
      </c>
      <c r="K91"/>
    </row>
    <row r="92" spans="1:11">
      <c r="A92" s="114" t="str">
        <f t="shared" si="3"/>
        <v>1823920DSR COSTS AMORTIZED102185WEB AUDIT PILOT - WAOTHER</v>
      </c>
      <c r="B92" s="126" t="s">
        <v>2231</v>
      </c>
      <c r="C92" s="128" t="s">
        <v>695</v>
      </c>
      <c r="D92" s="126" t="s">
        <v>2254</v>
      </c>
      <c r="E92" s="128" t="s">
        <v>720</v>
      </c>
      <c r="F92" s="127" t="s">
        <v>306</v>
      </c>
      <c r="G92" s="136">
        <v>526.85176999999999</v>
      </c>
      <c r="H92" s="113" t="str">
        <f t="shared" si="4"/>
        <v>OTHER</v>
      </c>
      <c r="I92" s="113" t="str">
        <f>INDEX('REGASSET Lookup'!$I:$I,MATCH('REGASSET Jun22data'!$A92,'REGASSET Lookup'!$A:$A,0))</f>
        <v>CUST</v>
      </c>
      <c r="J92" s="113" t="str">
        <f t="shared" si="5"/>
        <v>NO</v>
      </c>
      <c r="K92"/>
    </row>
    <row r="93" spans="1:11">
      <c r="A93" s="114" t="str">
        <f t="shared" si="3"/>
        <v>1823920DSR COSTS AMORTIZED102186APPLIANCE REBATE - WAOTHER</v>
      </c>
      <c r="B93" s="126" t="s">
        <v>2231</v>
      </c>
      <c r="C93" s="128" t="s">
        <v>695</v>
      </c>
      <c r="D93" s="126" t="s">
        <v>2255</v>
      </c>
      <c r="E93" s="128" t="s">
        <v>721</v>
      </c>
      <c r="F93" s="127" t="s">
        <v>306</v>
      </c>
      <c r="G93" s="136">
        <v>17.985720000000001</v>
      </c>
      <c r="H93" s="113" t="str">
        <f t="shared" si="4"/>
        <v>OTHER</v>
      </c>
      <c r="I93" s="113" t="str">
        <f>INDEX('REGASSET Lookup'!$I:$I,MATCH('REGASSET Jun22data'!$A93,'REGASSET Lookup'!$A:$A,0))</f>
        <v>CUST</v>
      </c>
      <c r="J93" s="113" t="str">
        <f t="shared" si="5"/>
        <v>NO</v>
      </c>
      <c r="K93"/>
    </row>
    <row r="94" spans="1:11">
      <c r="A94" s="114" t="str">
        <f t="shared" si="3"/>
        <v>1823920DSR COSTS AMORTIZED102195INDUSTRIAL RETROFIT LIGHTING - UT 2002OTHER</v>
      </c>
      <c r="B94" s="126" t="s">
        <v>2231</v>
      </c>
      <c r="C94" s="128" t="s">
        <v>695</v>
      </c>
      <c r="D94" s="126" t="s">
        <v>2256</v>
      </c>
      <c r="E94" s="128" t="s">
        <v>722</v>
      </c>
      <c r="F94" s="127" t="s">
        <v>306</v>
      </c>
      <c r="G94" s="136">
        <v>70.546120000000002</v>
      </c>
      <c r="H94" s="113" t="str">
        <f t="shared" si="4"/>
        <v>OTHER</v>
      </c>
      <c r="I94" s="113" t="str">
        <f>INDEX('REGASSET Lookup'!$I:$I,MATCH('REGASSET Jun22data'!$A94,'REGASSET Lookup'!$A:$A,0))</f>
        <v>CUST</v>
      </c>
      <c r="J94" s="113" t="str">
        <f t="shared" si="5"/>
        <v>NO</v>
      </c>
      <c r="K94"/>
    </row>
    <row r="95" spans="1:11">
      <c r="A95" s="114" t="str">
        <f t="shared" si="3"/>
        <v>1823920DSR COSTS AMORTIZED102196POWER FORWARD UT 2002OTHER</v>
      </c>
      <c r="B95" s="126" t="s">
        <v>2231</v>
      </c>
      <c r="C95" s="128" t="s">
        <v>695</v>
      </c>
      <c r="D95" s="126" t="s">
        <v>2257</v>
      </c>
      <c r="E95" s="128" t="s">
        <v>723</v>
      </c>
      <c r="F95" s="127" t="s">
        <v>306</v>
      </c>
      <c r="G95" s="136">
        <v>115.02204999999999</v>
      </c>
      <c r="H95" s="113" t="str">
        <f t="shared" si="4"/>
        <v>OTHER</v>
      </c>
      <c r="I95" s="113" t="str">
        <f>INDEX('REGASSET Lookup'!$I:$I,MATCH('REGASSET Jun22data'!$A95,'REGASSET Lookup'!$A:$A,0))</f>
        <v>CUST</v>
      </c>
      <c r="J95" s="113" t="str">
        <f t="shared" si="5"/>
        <v>NO</v>
      </c>
      <c r="K95"/>
    </row>
    <row r="96" spans="1:11">
      <c r="A96" s="114" t="str">
        <f t="shared" si="3"/>
        <v>1823920DSR COSTS AMORTIZED102205A/C LOAD CONTROL PGM - RESIDENTIAL - UTOTHER</v>
      </c>
      <c r="B96" s="126" t="s">
        <v>2231</v>
      </c>
      <c r="C96" s="128" t="s">
        <v>695</v>
      </c>
      <c r="D96" s="126" t="s">
        <v>2258</v>
      </c>
      <c r="E96" s="128" t="s">
        <v>724</v>
      </c>
      <c r="F96" s="127" t="s">
        <v>306</v>
      </c>
      <c r="G96" s="136">
        <v>27.546109999999999</v>
      </c>
      <c r="H96" s="113" t="str">
        <f t="shared" si="4"/>
        <v>OTHER</v>
      </c>
      <c r="I96" s="113" t="str">
        <f>INDEX('REGASSET Lookup'!$I:$I,MATCH('REGASSET Jun22data'!$A96,'REGASSET Lookup'!$A:$A,0))</f>
        <v>CUST</v>
      </c>
      <c r="J96" s="113" t="str">
        <f t="shared" si="5"/>
        <v>NO</v>
      </c>
      <c r="K96"/>
    </row>
    <row r="97" spans="1:11">
      <c r="A97" s="114" t="str">
        <f t="shared" si="3"/>
        <v>1823920DSR COSTS AMORTIZED102206SCHOOL ENERGY EDUCATION - WAOTHER</v>
      </c>
      <c r="B97" s="126" t="s">
        <v>2231</v>
      </c>
      <c r="C97" s="128" t="s">
        <v>695</v>
      </c>
      <c r="D97" s="126" t="s">
        <v>2259</v>
      </c>
      <c r="E97" s="128" t="s">
        <v>725</v>
      </c>
      <c r="F97" s="127" t="s">
        <v>306</v>
      </c>
      <c r="G97" s="136">
        <v>3807.4619600000001</v>
      </c>
      <c r="H97" s="113" t="str">
        <f t="shared" si="4"/>
        <v>OTHER</v>
      </c>
      <c r="I97" s="113" t="str">
        <f>INDEX('REGASSET Lookup'!$I:$I,MATCH('REGASSET Jun22data'!$A97,'REGASSET Lookup'!$A:$A,0))</f>
        <v>CUST</v>
      </c>
      <c r="J97" s="113" t="str">
        <f t="shared" si="5"/>
        <v>NO</v>
      </c>
      <c r="K97"/>
    </row>
    <row r="98" spans="1:11">
      <c r="A98" s="114" t="str">
        <f t="shared" si="3"/>
        <v>1823920DSR COSTS AMORTIZED102209AIR CONDITIONING - UT 2002OTHER</v>
      </c>
      <c r="B98" s="126" t="s">
        <v>2231</v>
      </c>
      <c r="C98" s="128" t="s">
        <v>695</v>
      </c>
      <c r="D98" s="126" t="s">
        <v>2260</v>
      </c>
      <c r="E98" s="128" t="s">
        <v>726</v>
      </c>
      <c r="F98" s="127" t="s">
        <v>306</v>
      </c>
      <c r="G98" s="136">
        <v>23.667570000000001</v>
      </c>
      <c r="H98" s="113" t="str">
        <f t="shared" si="4"/>
        <v>OTHER</v>
      </c>
      <c r="I98" s="113" t="str">
        <f>INDEX('REGASSET Lookup'!$I:$I,MATCH('REGASSET Jun22data'!$A98,'REGASSET Lookup'!$A:$A,0))</f>
        <v>CUST</v>
      </c>
      <c r="J98" s="113" t="str">
        <f t="shared" si="5"/>
        <v>NO</v>
      </c>
      <c r="K98"/>
    </row>
    <row r="99" spans="1:11">
      <c r="A99" s="114" t="str">
        <f t="shared" si="3"/>
        <v>1823920DSR COSTS AMORTIZED102213REFRIGERATOR RECYCLING PGM - UT 2003OTHER</v>
      </c>
      <c r="B99" s="126" t="s">
        <v>2231</v>
      </c>
      <c r="C99" s="128" t="s">
        <v>695</v>
      </c>
      <c r="D99" s="126" t="s">
        <v>2261</v>
      </c>
      <c r="E99" s="128" t="s">
        <v>727</v>
      </c>
      <c r="F99" s="127" t="s">
        <v>306</v>
      </c>
      <c r="G99" s="136">
        <v>1508.7507900000001</v>
      </c>
      <c r="H99" s="113" t="str">
        <f t="shared" si="4"/>
        <v>OTHER</v>
      </c>
      <c r="I99" s="113" t="str">
        <f>INDEX('REGASSET Lookup'!$I:$I,MATCH('REGASSET Jun22data'!$A99,'REGASSET Lookup'!$A:$A,0))</f>
        <v>CUST</v>
      </c>
      <c r="J99" s="113" t="str">
        <f t="shared" si="5"/>
        <v>NO</v>
      </c>
      <c r="K99"/>
    </row>
    <row r="100" spans="1:11">
      <c r="A100" s="114" t="str">
        <f t="shared" si="3"/>
        <v>1823920DSR COSTS AMORTIZED102214REFRIGERATOR RECYCLING PGM - WAOTHER</v>
      </c>
      <c r="B100" s="126" t="s">
        <v>2231</v>
      </c>
      <c r="C100" s="128" t="s">
        <v>695</v>
      </c>
      <c r="D100" s="126" t="s">
        <v>2262</v>
      </c>
      <c r="E100" s="128" t="s">
        <v>728</v>
      </c>
      <c r="F100" s="127" t="s">
        <v>306</v>
      </c>
      <c r="G100" s="136">
        <v>3674.5790000000002</v>
      </c>
      <c r="H100" s="113" t="str">
        <f t="shared" si="4"/>
        <v>OTHER</v>
      </c>
      <c r="I100" s="113" t="str">
        <f>INDEX('REGASSET Lookup'!$I:$I,MATCH('REGASSET Jun22data'!$A100,'REGASSET Lookup'!$A:$A,0))</f>
        <v>CUST</v>
      </c>
      <c r="J100" s="113" t="str">
        <f t="shared" si="5"/>
        <v>NO</v>
      </c>
      <c r="K100"/>
    </row>
    <row r="101" spans="1:11">
      <c r="A101" s="114" t="str">
        <f t="shared" si="3"/>
        <v>1823920DSR COSTS AMORTIZED102223A/C LOAD CONTROL - RESIDENTIAL UT 2003OTHER</v>
      </c>
      <c r="B101" s="126" t="s">
        <v>2231</v>
      </c>
      <c r="C101" s="128" t="s">
        <v>695</v>
      </c>
      <c r="D101" s="126" t="s">
        <v>2263</v>
      </c>
      <c r="E101" s="128" t="s">
        <v>729</v>
      </c>
      <c r="F101" s="127" t="s">
        <v>306</v>
      </c>
      <c r="G101" s="136">
        <v>460.33192000000003</v>
      </c>
      <c r="H101" s="113" t="str">
        <f t="shared" si="4"/>
        <v>OTHER</v>
      </c>
      <c r="I101" s="113" t="str">
        <f>INDEX('REGASSET Lookup'!$I:$I,MATCH('REGASSET Jun22data'!$A101,'REGASSET Lookup'!$A:$A,0))</f>
        <v>CUST</v>
      </c>
      <c r="J101" s="113" t="str">
        <f t="shared" si="5"/>
        <v>NO</v>
      </c>
      <c r="K101"/>
    </row>
    <row r="102" spans="1:11">
      <c r="A102" s="114" t="str">
        <f t="shared" si="3"/>
        <v>1823920DSR COSTS AMORTIZED102225AIR CONDITIONING - UT 2003OTHER</v>
      </c>
      <c r="B102" s="126" t="s">
        <v>2231</v>
      </c>
      <c r="C102" s="128" t="s">
        <v>695</v>
      </c>
      <c r="D102" s="126" t="s">
        <v>2264</v>
      </c>
      <c r="E102" s="128" t="s">
        <v>730</v>
      </c>
      <c r="F102" s="127" t="s">
        <v>306</v>
      </c>
      <c r="G102" s="136">
        <v>2563.5679700000001</v>
      </c>
      <c r="H102" s="113" t="str">
        <f t="shared" si="4"/>
        <v>OTHER</v>
      </c>
      <c r="I102" s="113" t="str">
        <f>INDEX('REGASSET Lookup'!$I:$I,MATCH('REGASSET Jun22data'!$A102,'REGASSET Lookup'!$A:$A,0))</f>
        <v>CUST</v>
      </c>
      <c r="J102" s="113" t="str">
        <f t="shared" si="5"/>
        <v>NO</v>
      </c>
      <c r="K102"/>
    </row>
    <row r="103" spans="1:11">
      <c r="A103" s="114" t="str">
        <f t="shared" si="3"/>
        <v>1823920DSR COSTS AMORTIZED102226COMMERCIAL RETROFIT LIGHTING - UT 2003OTHER</v>
      </c>
      <c r="B103" s="126" t="s">
        <v>2231</v>
      </c>
      <c r="C103" s="128" t="s">
        <v>695</v>
      </c>
      <c r="D103" s="126" t="s">
        <v>2265</v>
      </c>
      <c r="E103" s="128" t="s">
        <v>731</v>
      </c>
      <c r="F103" s="127" t="s">
        <v>306</v>
      </c>
      <c r="G103" s="136">
        <v>1186.5769499999999</v>
      </c>
      <c r="H103" s="113" t="str">
        <f t="shared" si="4"/>
        <v>OTHER</v>
      </c>
      <c r="I103" s="113" t="str">
        <f>INDEX('REGASSET Lookup'!$I:$I,MATCH('REGASSET Jun22data'!$A103,'REGASSET Lookup'!$A:$A,0))</f>
        <v>CUST</v>
      </c>
      <c r="J103" s="113" t="str">
        <f t="shared" si="5"/>
        <v>NO</v>
      </c>
      <c r="K103"/>
    </row>
    <row r="104" spans="1:11">
      <c r="A104" s="114" t="str">
        <f t="shared" si="3"/>
        <v>1823920DSR COSTS AMORTIZED102227COMMERCIAL SMALL RETROFIT - UT 2003OTHER</v>
      </c>
      <c r="B104" s="126" t="s">
        <v>2231</v>
      </c>
      <c r="C104" s="128" t="s">
        <v>695</v>
      </c>
      <c r="D104" s="126" t="s">
        <v>2266</v>
      </c>
      <c r="E104" s="128" t="s">
        <v>732</v>
      </c>
      <c r="F104" s="127" t="s">
        <v>306</v>
      </c>
      <c r="G104" s="136">
        <v>894.60586999999998</v>
      </c>
      <c r="H104" s="113" t="str">
        <f t="shared" si="4"/>
        <v>OTHER</v>
      </c>
      <c r="I104" s="113" t="str">
        <f>INDEX('REGASSET Lookup'!$I:$I,MATCH('REGASSET Jun22data'!$A104,'REGASSET Lookup'!$A:$A,0))</f>
        <v>CUST</v>
      </c>
      <c r="J104" s="113" t="str">
        <f t="shared" si="5"/>
        <v>NO</v>
      </c>
      <c r="K104"/>
    </row>
    <row r="105" spans="1:11">
      <c r="A105" s="114" t="str">
        <f t="shared" si="3"/>
        <v>1823920DSR COSTS AMORTIZED102228COMPACT FLOURESCENT LAMP (CFL) - UT 2002OTHER</v>
      </c>
      <c r="B105" s="126" t="s">
        <v>2231</v>
      </c>
      <c r="C105" s="128" t="s">
        <v>695</v>
      </c>
      <c r="D105" s="126" t="s">
        <v>2267</v>
      </c>
      <c r="E105" s="128" t="s">
        <v>733</v>
      </c>
      <c r="F105" s="127" t="s">
        <v>306</v>
      </c>
      <c r="G105" s="136">
        <v>13.223100000000001</v>
      </c>
      <c r="H105" s="113" t="str">
        <f t="shared" si="4"/>
        <v>OTHER</v>
      </c>
      <c r="I105" s="113" t="str">
        <f>INDEX('REGASSET Lookup'!$I:$I,MATCH('REGASSET Jun22data'!$A105,'REGASSET Lookup'!$A:$A,0))</f>
        <v>CUST</v>
      </c>
      <c r="J105" s="113" t="str">
        <f t="shared" si="5"/>
        <v>NO</v>
      </c>
      <c r="K105"/>
    </row>
    <row r="106" spans="1:11">
      <c r="A106" s="114" t="str">
        <f t="shared" si="3"/>
        <v>1823920DSR COSTS AMORTIZED102229ENERGY FINANSWER - UT 2003OTHER</v>
      </c>
      <c r="B106" s="126" t="s">
        <v>2231</v>
      </c>
      <c r="C106" s="128" t="s">
        <v>695</v>
      </c>
      <c r="D106" s="126" t="s">
        <v>2268</v>
      </c>
      <c r="E106" s="128" t="s">
        <v>734</v>
      </c>
      <c r="F106" s="127" t="s">
        <v>306</v>
      </c>
      <c r="G106" s="136">
        <v>1541.96381</v>
      </c>
      <c r="H106" s="113" t="str">
        <f t="shared" si="4"/>
        <v>OTHER</v>
      </c>
      <c r="I106" s="113" t="str">
        <f>INDEX('REGASSET Lookup'!$I:$I,MATCH('REGASSET Jun22data'!$A106,'REGASSET Lookup'!$A:$A,0))</f>
        <v>CUST</v>
      </c>
      <c r="J106" s="113" t="str">
        <f t="shared" si="5"/>
        <v>NO</v>
      </c>
      <c r="K106"/>
    </row>
    <row r="107" spans="1:11">
      <c r="A107" s="114" t="str">
        <f t="shared" si="3"/>
        <v>1823920DSR COSTS AMORTIZED102230INDUSTRIAL FINANSWER - UT 2003OTHER</v>
      </c>
      <c r="B107" s="126" t="s">
        <v>2231</v>
      </c>
      <c r="C107" s="128" t="s">
        <v>695</v>
      </c>
      <c r="D107" s="126" t="s">
        <v>2269</v>
      </c>
      <c r="E107" s="128" t="s">
        <v>735</v>
      </c>
      <c r="F107" s="127" t="s">
        <v>306</v>
      </c>
      <c r="G107" s="136">
        <v>1658.4727700000001</v>
      </c>
      <c r="H107" s="113" t="str">
        <f t="shared" si="4"/>
        <v>OTHER</v>
      </c>
      <c r="I107" s="113" t="str">
        <f>INDEX('REGASSET Lookup'!$I:$I,MATCH('REGASSET Jun22data'!$A107,'REGASSET Lookup'!$A:$A,0))</f>
        <v>CUST</v>
      </c>
      <c r="J107" s="113" t="str">
        <f t="shared" si="5"/>
        <v>NO</v>
      </c>
      <c r="K107"/>
    </row>
    <row r="108" spans="1:11">
      <c r="A108" s="114" t="str">
        <f t="shared" si="3"/>
        <v>1823920DSR COSTS AMORTIZED102231INDUSTRIAL RETROFIT LIGHTING - UT 2003OTHER</v>
      </c>
      <c r="B108" s="126" t="s">
        <v>2231</v>
      </c>
      <c r="C108" s="128" t="s">
        <v>695</v>
      </c>
      <c r="D108" s="126" t="s">
        <v>2270</v>
      </c>
      <c r="E108" s="128" t="s">
        <v>736</v>
      </c>
      <c r="F108" s="127" t="s">
        <v>306</v>
      </c>
      <c r="G108" s="136">
        <v>190.99912</v>
      </c>
      <c r="H108" s="113" t="str">
        <f t="shared" si="4"/>
        <v>OTHER</v>
      </c>
      <c r="I108" s="113" t="str">
        <f>INDEX('REGASSET Lookup'!$I:$I,MATCH('REGASSET Jun22data'!$A108,'REGASSET Lookup'!$A:$A,0))</f>
        <v>CUST</v>
      </c>
      <c r="J108" s="113" t="str">
        <f t="shared" si="5"/>
        <v>NO</v>
      </c>
      <c r="K108"/>
    </row>
    <row r="109" spans="1:11">
      <c r="A109" s="114" t="str">
        <f t="shared" si="3"/>
        <v>1823920DSR COSTS AMORTIZED102232INDUSTRIAL SMALL RETROFIT - UTAH - 2003OTHER</v>
      </c>
      <c r="B109" s="126" t="s">
        <v>2231</v>
      </c>
      <c r="C109" s="128" t="s">
        <v>695</v>
      </c>
      <c r="D109" s="126" t="s">
        <v>2271</v>
      </c>
      <c r="E109" s="128" t="s">
        <v>737</v>
      </c>
      <c r="F109" s="127" t="s">
        <v>306</v>
      </c>
      <c r="G109" s="136">
        <v>14.031599999999999</v>
      </c>
      <c r="H109" s="113" t="str">
        <f t="shared" si="4"/>
        <v>OTHER</v>
      </c>
      <c r="I109" s="113" t="str">
        <f>INDEX('REGASSET Lookup'!$I:$I,MATCH('REGASSET Jun22data'!$A109,'REGASSET Lookup'!$A:$A,0))</f>
        <v>CUST</v>
      </c>
      <c r="J109" s="113" t="str">
        <f t="shared" si="5"/>
        <v>NO</v>
      </c>
      <c r="K109"/>
    </row>
    <row r="110" spans="1:11">
      <c r="A110" s="114" t="str">
        <f t="shared" si="3"/>
        <v>1823920DSR COSTS AMORTIZED102233POWER FORWARD - UT 2003OTHER</v>
      </c>
      <c r="B110" s="126" t="s">
        <v>2231</v>
      </c>
      <c r="C110" s="128" t="s">
        <v>695</v>
      </c>
      <c r="D110" s="126" t="s">
        <v>2272</v>
      </c>
      <c r="E110" s="128" t="s">
        <v>738</v>
      </c>
      <c r="F110" s="127" t="s">
        <v>306</v>
      </c>
      <c r="G110" s="136">
        <v>-27.3827</v>
      </c>
      <c r="H110" s="113" t="str">
        <f t="shared" si="4"/>
        <v>OTHER</v>
      </c>
      <c r="I110" s="113" t="str">
        <f>INDEX('REGASSET Lookup'!$I:$I,MATCH('REGASSET Jun22data'!$A110,'REGASSET Lookup'!$A:$A,0))</f>
        <v>CUST</v>
      </c>
      <c r="J110" s="113" t="str">
        <f t="shared" si="5"/>
        <v>NO</v>
      </c>
      <c r="K110"/>
    </row>
    <row r="111" spans="1:11">
      <c r="A111" s="114" t="str">
        <f t="shared" si="3"/>
        <v>1823920DSR COSTS AMORTIZED102245CA REVENUE RECOVERY - BALANCING ACCTOTHER</v>
      </c>
      <c r="B111" s="126" t="s">
        <v>2231</v>
      </c>
      <c r="C111" s="128" t="s">
        <v>695</v>
      </c>
      <c r="D111" s="126" t="s">
        <v>3369</v>
      </c>
      <c r="E111" s="128" t="s">
        <v>739</v>
      </c>
      <c r="F111" s="127" t="s">
        <v>306</v>
      </c>
      <c r="G111" s="136">
        <v>-1.2999999999999999E-4</v>
      </c>
      <c r="H111" s="113" t="str">
        <f t="shared" si="4"/>
        <v>OTHER</v>
      </c>
      <c r="I111" s="113" t="str">
        <f>INDEX('REGASSET Lookup'!$I:$I,MATCH('REGASSET Jun22data'!$A111,'REGASSET Lookup'!$A:$A,0))</f>
        <v>CUST</v>
      </c>
      <c r="J111" s="113" t="str">
        <f t="shared" si="5"/>
        <v>NO</v>
      </c>
      <c r="K111"/>
    </row>
    <row r="112" spans="1:11">
      <c r="A112" s="114" t="str">
        <f t="shared" si="3"/>
        <v>1823920DSR COSTS AMORTIZED102327COMMERCIAL SELF-DIRECT UT 2003OTHER</v>
      </c>
      <c r="B112" s="126" t="s">
        <v>2231</v>
      </c>
      <c r="C112" s="128" t="s">
        <v>695</v>
      </c>
      <c r="D112" s="126" t="s">
        <v>2273</v>
      </c>
      <c r="E112" s="128" t="s">
        <v>740</v>
      </c>
      <c r="F112" s="127" t="s">
        <v>306</v>
      </c>
      <c r="G112" s="136">
        <v>4.2194500000000001</v>
      </c>
      <c r="H112" s="113" t="str">
        <f t="shared" si="4"/>
        <v>OTHER</v>
      </c>
      <c r="I112" s="113" t="str">
        <f>INDEX('REGASSET Lookup'!$I:$I,MATCH('REGASSET Jun22data'!$A112,'REGASSET Lookup'!$A:$A,0))</f>
        <v>CUST</v>
      </c>
      <c r="J112" s="113" t="str">
        <f t="shared" si="5"/>
        <v>NO</v>
      </c>
      <c r="K112"/>
    </row>
    <row r="113" spans="1:11">
      <c r="A113" s="114" t="str">
        <f t="shared" si="3"/>
        <v>1823920DSR COSTS AMORTIZED102328INDUSTRIAL SELF-DIRECT UT 2003OTHER</v>
      </c>
      <c r="B113" s="126" t="s">
        <v>2231</v>
      </c>
      <c r="C113" s="128" t="s">
        <v>695</v>
      </c>
      <c r="D113" s="126" t="s">
        <v>2274</v>
      </c>
      <c r="E113" s="128" t="s">
        <v>741</v>
      </c>
      <c r="F113" s="127" t="s">
        <v>306</v>
      </c>
      <c r="G113" s="136">
        <v>7.3594999999999997</v>
      </c>
      <c r="H113" s="113" t="str">
        <f t="shared" si="4"/>
        <v>OTHER</v>
      </c>
      <c r="I113" s="113" t="str">
        <f>INDEX('REGASSET Lookup'!$I:$I,MATCH('REGASSET Jun22data'!$A113,'REGASSET Lookup'!$A:$A,0))</f>
        <v>CUST</v>
      </c>
      <c r="J113" s="113" t="str">
        <f t="shared" si="5"/>
        <v>NO</v>
      </c>
      <c r="K113"/>
    </row>
    <row r="114" spans="1:11">
      <c r="A114" s="114" t="str">
        <f t="shared" si="3"/>
        <v>1823920DSR COSTS AMORTIZED102336LOW INCOME - UTAH - 2004OTHER</v>
      </c>
      <c r="B114" s="126" t="s">
        <v>2231</v>
      </c>
      <c r="C114" s="128" t="s">
        <v>695</v>
      </c>
      <c r="D114" s="126" t="s">
        <v>2275</v>
      </c>
      <c r="E114" s="128" t="s">
        <v>742</v>
      </c>
      <c r="F114" s="127" t="s">
        <v>306</v>
      </c>
      <c r="G114" s="136">
        <v>21.631540000000001</v>
      </c>
      <c r="H114" s="113" t="str">
        <f t="shared" si="4"/>
        <v>OTHER</v>
      </c>
      <c r="I114" s="113" t="str">
        <f>INDEX('REGASSET Lookup'!$I:$I,MATCH('REGASSET Jun22data'!$A114,'REGASSET Lookup'!$A:$A,0))</f>
        <v>CUST</v>
      </c>
      <c r="J114" s="113" t="str">
        <f t="shared" si="5"/>
        <v>NO</v>
      </c>
      <c r="K114"/>
    </row>
    <row r="115" spans="1:11">
      <c r="A115" s="114" t="str">
        <f t="shared" si="3"/>
        <v>1823920DSR COSTS AMORTIZED102337REFRIGERATOR RECYCLING PGM - UT 2004OTHER</v>
      </c>
      <c r="B115" s="126" t="s">
        <v>2231</v>
      </c>
      <c r="C115" s="128" t="s">
        <v>695</v>
      </c>
      <c r="D115" s="126" t="s">
        <v>2276</v>
      </c>
      <c r="E115" s="128" t="s">
        <v>743</v>
      </c>
      <c r="F115" s="127" t="s">
        <v>306</v>
      </c>
      <c r="G115" s="136">
        <v>3581.3064399999998</v>
      </c>
      <c r="H115" s="113" t="str">
        <f t="shared" si="4"/>
        <v>OTHER</v>
      </c>
      <c r="I115" s="113" t="str">
        <f>INDEX('REGASSET Lookup'!$I:$I,MATCH('REGASSET Jun22data'!$A115,'REGASSET Lookup'!$A:$A,0))</f>
        <v>CUST</v>
      </c>
      <c r="J115" s="113" t="str">
        <f t="shared" si="5"/>
        <v>NO</v>
      </c>
      <c r="K115"/>
    </row>
    <row r="116" spans="1:11">
      <c r="A116" s="114" t="str">
        <f t="shared" si="3"/>
        <v>1823920DSR COSTS AMORTIZED102338AC LOAD CONTROL - RESIDENTIAL UT 2004OTHER</v>
      </c>
      <c r="B116" s="126" t="s">
        <v>2231</v>
      </c>
      <c r="C116" s="128" t="s">
        <v>695</v>
      </c>
      <c r="D116" s="126" t="s">
        <v>2277</v>
      </c>
      <c r="E116" s="128" t="s">
        <v>744</v>
      </c>
      <c r="F116" s="127" t="s">
        <v>306</v>
      </c>
      <c r="G116" s="136">
        <v>2910.0947700000002</v>
      </c>
      <c r="H116" s="113" t="str">
        <f t="shared" si="4"/>
        <v>OTHER</v>
      </c>
      <c r="I116" s="113" t="str">
        <f>INDEX('REGASSET Lookup'!$I:$I,MATCH('REGASSET Jun22data'!$A116,'REGASSET Lookup'!$A:$A,0))</f>
        <v>CUST</v>
      </c>
      <c r="J116" s="113" t="str">
        <f t="shared" si="5"/>
        <v>NO</v>
      </c>
      <c r="K116"/>
    </row>
    <row r="117" spans="1:11">
      <c r="A117" s="114" t="str">
        <f t="shared" si="3"/>
        <v>1823920DSR COSTS AMORTIZED102339AIR CONDITIONING - UT 2004OTHER</v>
      </c>
      <c r="B117" s="126" t="s">
        <v>2231</v>
      </c>
      <c r="C117" s="128" t="s">
        <v>695</v>
      </c>
      <c r="D117" s="126" t="s">
        <v>2278</v>
      </c>
      <c r="E117" s="128" t="s">
        <v>745</v>
      </c>
      <c r="F117" s="127" t="s">
        <v>306</v>
      </c>
      <c r="G117" s="136">
        <v>3026.0272500000001</v>
      </c>
      <c r="H117" s="113" t="str">
        <f t="shared" si="4"/>
        <v>OTHER</v>
      </c>
      <c r="I117" s="113" t="str">
        <f>INDEX('REGASSET Lookup'!$I:$I,MATCH('REGASSET Jun22data'!$A117,'REGASSET Lookup'!$A:$A,0))</f>
        <v>CUST</v>
      </c>
      <c r="J117" s="113" t="str">
        <f t="shared" si="5"/>
        <v>NO</v>
      </c>
      <c r="K117"/>
    </row>
    <row r="118" spans="1:11">
      <c r="A118" s="114" t="str">
        <f t="shared" si="3"/>
        <v>1823920DSR COSTS AMORTIZED102340COMMERCIAL RETROFIT LIGHTING - UT 2004OTHER</v>
      </c>
      <c r="B118" s="126" t="s">
        <v>2231</v>
      </c>
      <c r="C118" s="128" t="s">
        <v>695</v>
      </c>
      <c r="D118" s="126" t="s">
        <v>2279</v>
      </c>
      <c r="E118" s="128" t="s">
        <v>746</v>
      </c>
      <c r="F118" s="127" t="s">
        <v>306</v>
      </c>
      <c r="G118" s="136">
        <v>1547.34629</v>
      </c>
      <c r="H118" s="113" t="str">
        <f t="shared" si="4"/>
        <v>OTHER</v>
      </c>
      <c r="I118" s="113" t="str">
        <f>INDEX('REGASSET Lookup'!$I:$I,MATCH('REGASSET Jun22data'!$A118,'REGASSET Lookup'!$A:$A,0))</f>
        <v>CUST</v>
      </c>
      <c r="J118" s="113" t="str">
        <f t="shared" si="5"/>
        <v>NO</v>
      </c>
      <c r="K118"/>
    </row>
    <row r="119" spans="1:11">
      <c r="A119" s="114" t="str">
        <f t="shared" si="3"/>
        <v>1823920DSR COSTS AMORTIZED102341COMMERCIAL SMALL RETROFIT - UT 2004OTHER</v>
      </c>
      <c r="B119" s="126" t="s">
        <v>2231</v>
      </c>
      <c r="C119" s="128" t="s">
        <v>695</v>
      </c>
      <c r="D119" s="126" t="s">
        <v>2280</v>
      </c>
      <c r="E119" s="128" t="s">
        <v>747</v>
      </c>
      <c r="F119" s="127" t="s">
        <v>306</v>
      </c>
      <c r="G119" s="136">
        <v>284.66932000000003</v>
      </c>
      <c r="H119" s="113" t="str">
        <f t="shared" si="4"/>
        <v>OTHER</v>
      </c>
      <c r="I119" s="113" t="str">
        <f>INDEX('REGASSET Lookup'!$I:$I,MATCH('REGASSET Jun22data'!$A119,'REGASSET Lookup'!$A:$A,0))</f>
        <v>CUST</v>
      </c>
      <c r="J119" s="113" t="str">
        <f t="shared" si="5"/>
        <v>NO</v>
      </c>
      <c r="K119"/>
    </row>
    <row r="120" spans="1:11">
      <c r="A120" s="114" t="str">
        <f t="shared" si="3"/>
        <v>1823920DSR COSTS AMORTIZED102342COMPACT FLOURESCENT LAMPS (CFL) UT 2004OTHER</v>
      </c>
      <c r="B120" s="126" t="s">
        <v>2231</v>
      </c>
      <c r="C120" s="128" t="s">
        <v>695</v>
      </c>
      <c r="D120" s="126" t="s">
        <v>2281</v>
      </c>
      <c r="E120" s="128" t="s">
        <v>748</v>
      </c>
      <c r="F120" s="127" t="s">
        <v>306</v>
      </c>
      <c r="G120" s="136">
        <v>-0.50904000000000005</v>
      </c>
      <c r="H120" s="113" t="str">
        <f t="shared" si="4"/>
        <v>OTHER</v>
      </c>
      <c r="I120" s="113" t="str">
        <f>INDEX('REGASSET Lookup'!$I:$I,MATCH('REGASSET Jun22data'!$A120,'REGASSET Lookup'!$A:$A,0))</f>
        <v>CUST</v>
      </c>
      <c r="J120" s="113" t="str">
        <f t="shared" si="5"/>
        <v>NO</v>
      </c>
      <c r="K120"/>
    </row>
    <row r="121" spans="1:11">
      <c r="A121" s="114" t="str">
        <f t="shared" si="3"/>
        <v>1823920DSR COSTS AMORTIZED102343ENERGY FINANSWER - UT 2004OTHER</v>
      </c>
      <c r="B121" s="126" t="s">
        <v>2231</v>
      </c>
      <c r="C121" s="128" t="s">
        <v>695</v>
      </c>
      <c r="D121" s="126" t="s">
        <v>2282</v>
      </c>
      <c r="E121" s="128" t="s">
        <v>749</v>
      </c>
      <c r="F121" s="127" t="s">
        <v>306</v>
      </c>
      <c r="G121" s="136">
        <v>1226.7338999999999</v>
      </c>
      <c r="H121" s="113" t="str">
        <f t="shared" si="4"/>
        <v>OTHER</v>
      </c>
      <c r="I121" s="113" t="str">
        <f>INDEX('REGASSET Lookup'!$I:$I,MATCH('REGASSET Jun22data'!$A121,'REGASSET Lookup'!$A:$A,0))</f>
        <v>CUST</v>
      </c>
      <c r="J121" s="113" t="str">
        <f t="shared" si="5"/>
        <v>NO</v>
      </c>
      <c r="K121"/>
    </row>
    <row r="122" spans="1:11">
      <c r="A122" s="114" t="str">
        <f t="shared" si="3"/>
        <v>1823920DSR COSTS AMORTIZED102344INDUSTRIAL FINANSWER - UT 2004OTHER</v>
      </c>
      <c r="B122" s="126" t="s">
        <v>2231</v>
      </c>
      <c r="C122" s="128" t="s">
        <v>695</v>
      </c>
      <c r="D122" s="126" t="s">
        <v>2283</v>
      </c>
      <c r="E122" s="128" t="s">
        <v>750</v>
      </c>
      <c r="F122" s="127" t="s">
        <v>306</v>
      </c>
      <c r="G122" s="136">
        <v>2561.6680200000001</v>
      </c>
      <c r="H122" s="113" t="str">
        <f t="shared" si="4"/>
        <v>OTHER</v>
      </c>
      <c r="I122" s="113" t="str">
        <f>INDEX('REGASSET Lookup'!$I:$I,MATCH('REGASSET Jun22data'!$A122,'REGASSET Lookup'!$A:$A,0))</f>
        <v>CUST</v>
      </c>
      <c r="J122" s="113" t="str">
        <f t="shared" si="5"/>
        <v>NO</v>
      </c>
      <c r="K122"/>
    </row>
    <row r="123" spans="1:11">
      <c r="A123" s="114" t="str">
        <f t="shared" si="3"/>
        <v>1823920DSR COSTS AMORTIZED102345INDUSTRIAL RETROFIT - UT 2004OTHER</v>
      </c>
      <c r="B123" s="126" t="s">
        <v>2231</v>
      </c>
      <c r="C123" s="128" t="s">
        <v>695</v>
      </c>
      <c r="D123" s="126" t="s">
        <v>2284</v>
      </c>
      <c r="E123" s="128" t="s">
        <v>751</v>
      </c>
      <c r="F123" s="127" t="s">
        <v>306</v>
      </c>
      <c r="G123" s="136">
        <v>230.1515</v>
      </c>
      <c r="H123" s="113" t="str">
        <f t="shared" si="4"/>
        <v>OTHER</v>
      </c>
      <c r="I123" s="113" t="str">
        <f>INDEX('REGASSET Lookup'!$I:$I,MATCH('REGASSET Jun22data'!$A123,'REGASSET Lookup'!$A:$A,0))</f>
        <v>CUST</v>
      </c>
      <c r="J123" s="113" t="str">
        <f t="shared" si="5"/>
        <v>NO</v>
      </c>
      <c r="K123"/>
    </row>
    <row r="124" spans="1:11">
      <c r="A124" s="114" t="str">
        <f t="shared" si="3"/>
        <v>1823920DSR COSTS AMORTIZED102346INDUSTRIAL SMALL RETROFIT - UT 2004OTHER</v>
      </c>
      <c r="B124" s="126" t="s">
        <v>2231</v>
      </c>
      <c r="C124" s="128" t="s">
        <v>695</v>
      </c>
      <c r="D124" s="126" t="s">
        <v>2285</v>
      </c>
      <c r="E124" s="128" t="s">
        <v>752</v>
      </c>
      <c r="F124" s="127" t="s">
        <v>306</v>
      </c>
      <c r="G124" s="136">
        <v>51.263379999999998</v>
      </c>
      <c r="H124" s="113" t="str">
        <f t="shared" si="4"/>
        <v>OTHER</v>
      </c>
      <c r="I124" s="113" t="str">
        <f>INDEX('REGASSET Lookup'!$I:$I,MATCH('REGASSET Jun22data'!$A124,'REGASSET Lookup'!$A:$A,0))</f>
        <v>CUST</v>
      </c>
      <c r="J124" s="113" t="str">
        <f t="shared" si="5"/>
        <v>NO</v>
      </c>
      <c r="K124"/>
    </row>
    <row r="125" spans="1:11">
      <c r="A125" s="114" t="str">
        <f t="shared" si="3"/>
        <v>1823920DSR COSTS AMORTIZED102347POWER FORWARD - UT 2004OTHER</v>
      </c>
      <c r="B125" s="126" t="s">
        <v>2231</v>
      </c>
      <c r="C125" s="128" t="s">
        <v>695</v>
      </c>
      <c r="D125" s="126" t="s">
        <v>2286</v>
      </c>
      <c r="E125" s="128" t="s">
        <v>753</v>
      </c>
      <c r="F125" s="127" t="s">
        <v>306</v>
      </c>
      <c r="G125" s="136">
        <v>54</v>
      </c>
      <c r="H125" s="113" t="str">
        <f t="shared" si="4"/>
        <v>OTHER</v>
      </c>
      <c r="I125" s="113" t="str">
        <f>INDEX('REGASSET Lookup'!$I:$I,MATCH('REGASSET Jun22data'!$A125,'REGASSET Lookup'!$A:$A,0))</f>
        <v>CUST</v>
      </c>
      <c r="J125" s="113" t="str">
        <f t="shared" si="5"/>
        <v>NO</v>
      </c>
      <c r="K125"/>
    </row>
    <row r="126" spans="1:11">
      <c r="A126" s="114" t="str">
        <f t="shared" si="3"/>
        <v>1823920DSR COSTS AMORTIZED102348COMMERCIAL SELF-DIRECT - UT 2004OTHER</v>
      </c>
      <c r="B126" s="126" t="s">
        <v>2231</v>
      </c>
      <c r="C126" s="128" t="s">
        <v>695</v>
      </c>
      <c r="D126" s="126" t="s">
        <v>2287</v>
      </c>
      <c r="E126" s="128" t="s">
        <v>754</v>
      </c>
      <c r="F126" s="127" t="s">
        <v>306</v>
      </c>
      <c r="G126" s="136">
        <v>88.703429999999997</v>
      </c>
      <c r="H126" s="113" t="str">
        <f t="shared" si="4"/>
        <v>OTHER</v>
      </c>
      <c r="I126" s="113" t="str">
        <f>INDEX('REGASSET Lookup'!$I:$I,MATCH('REGASSET Jun22data'!$A126,'REGASSET Lookup'!$A:$A,0))</f>
        <v>CUST</v>
      </c>
      <c r="J126" s="113" t="str">
        <f t="shared" si="5"/>
        <v>NO</v>
      </c>
      <c r="K126"/>
    </row>
    <row r="127" spans="1:11">
      <c r="A127" s="114" t="str">
        <f t="shared" si="3"/>
        <v>1823920DSR COSTS AMORTIZED102349INDUSTRIAL SELF-DIRECT - UT 2004OTHER</v>
      </c>
      <c r="B127" s="126" t="s">
        <v>2231</v>
      </c>
      <c r="C127" s="128" t="s">
        <v>695</v>
      </c>
      <c r="D127" s="126" t="s">
        <v>2288</v>
      </c>
      <c r="E127" s="128" t="s">
        <v>755</v>
      </c>
      <c r="F127" s="127" t="s">
        <v>306</v>
      </c>
      <c r="G127" s="136">
        <v>129.03778</v>
      </c>
      <c r="H127" s="113" t="str">
        <f t="shared" si="4"/>
        <v>OTHER</v>
      </c>
      <c r="I127" s="113" t="str">
        <f>INDEX('REGASSET Lookup'!$I:$I,MATCH('REGASSET Jun22data'!$A127,'REGASSET Lookup'!$A:$A,0))</f>
        <v>CUST</v>
      </c>
      <c r="J127" s="113" t="str">
        <f t="shared" si="5"/>
        <v>NO</v>
      </c>
      <c r="K127"/>
    </row>
    <row r="128" spans="1:11">
      <c r="A128" s="114" t="str">
        <f t="shared" si="3"/>
        <v>1823920DSR COSTS AMORTIZED102443ESIDENTIAL NEW CONSTRUCTION - WASHINGTONOTHER</v>
      </c>
      <c r="B128" s="126" t="s">
        <v>2231</v>
      </c>
      <c r="C128" s="128" t="s">
        <v>695</v>
      </c>
      <c r="D128" s="126" t="s">
        <v>2289</v>
      </c>
      <c r="E128" s="128" t="s">
        <v>756</v>
      </c>
      <c r="F128" s="127" t="s">
        <v>306</v>
      </c>
      <c r="G128" s="136">
        <v>560.81663000000003</v>
      </c>
      <c r="H128" s="113" t="str">
        <f t="shared" si="4"/>
        <v>OTHER</v>
      </c>
      <c r="I128" s="113" t="str">
        <f>INDEX('REGASSET Lookup'!$I:$I,MATCH('REGASSET Jun22data'!$A128,'REGASSET Lookup'!$A:$A,0))</f>
        <v>CUST</v>
      </c>
      <c r="J128" s="113" t="str">
        <f t="shared" si="5"/>
        <v>NO</v>
      </c>
      <c r="K128"/>
    </row>
    <row r="129" spans="1:11">
      <c r="A129" s="114" t="str">
        <f t="shared" si="3"/>
        <v>1823920DSR COSTS AMORTIZED102444RESIDENTIAL NEW CONSTRUCTION - UTAH - 20OTHER</v>
      </c>
      <c r="B129" s="126" t="s">
        <v>2231</v>
      </c>
      <c r="C129" s="128" t="s">
        <v>695</v>
      </c>
      <c r="D129" s="126" t="s">
        <v>2290</v>
      </c>
      <c r="E129" s="128" t="s">
        <v>757</v>
      </c>
      <c r="F129" s="127" t="s">
        <v>306</v>
      </c>
      <c r="G129" s="136">
        <v>76.331549999999993</v>
      </c>
      <c r="H129" s="113" t="str">
        <f t="shared" si="4"/>
        <v>OTHER</v>
      </c>
      <c r="I129" s="113" t="str">
        <f>INDEX('REGASSET Lookup'!$I:$I,MATCH('REGASSET Jun22data'!$A129,'REGASSET Lookup'!$A:$A,0))</f>
        <v>CUST</v>
      </c>
      <c r="J129" s="113" t="str">
        <f t="shared" si="5"/>
        <v>NO</v>
      </c>
      <c r="K129"/>
    </row>
    <row r="130" spans="1:11">
      <c r="A130" s="114" t="str">
        <f t="shared" si="3"/>
        <v>1823920DSR COSTS AMORTIZED102458COMMERCIAL FINANSWER EXPRESS - WASHINGTOOTHER</v>
      </c>
      <c r="B130" s="126" t="s">
        <v>2231</v>
      </c>
      <c r="C130" s="128" t="s">
        <v>695</v>
      </c>
      <c r="D130" s="126" t="s">
        <v>2291</v>
      </c>
      <c r="E130" s="128" t="s">
        <v>758</v>
      </c>
      <c r="F130" s="127" t="s">
        <v>306</v>
      </c>
      <c r="G130" s="136">
        <v>9256.9511600000005</v>
      </c>
      <c r="H130" s="113" t="str">
        <f t="shared" si="4"/>
        <v>OTHER</v>
      </c>
      <c r="I130" s="113" t="str">
        <f>INDEX('REGASSET Lookup'!$I:$I,MATCH('REGASSET Jun22data'!$A130,'REGASSET Lookup'!$A:$A,0))</f>
        <v>CUST</v>
      </c>
      <c r="J130" s="113" t="str">
        <f t="shared" si="5"/>
        <v>NO</v>
      </c>
      <c r="K130"/>
    </row>
    <row r="131" spans="1:11">
      <c r="A131" s="114" t="str">
        <f t="shared" ref="A131:A194" si="6">CONCATENATE($B131,$C131,$D131,$E131,$H131)</f>
        <v>1823920DSR COSTS AMORTIZED102459INDUSTRIAL FINANSWER EXPRESS - WASHINGTOOTHER</v>
      </c>
      <c r="B131" s="126" t="s">
        <v>2231</v>
      </c>
      <c r="C131" s="128" t="s">
        <v>695</v>
      </c>
      <c r="D131" s="126" t="s">
        <v>2292</v>
      </c>
      <c r="E131" s="128" t="s">
        <v>759</v>
      </c>
      <c r="F131" s="127" t="s">
        <v>306</v>
      </c>
      <c r="G131" s="136">
        <v>3275.2843800000001</v>
      </c>
      <c r="H131" s="113" t="str">
        <f t="shared" ref="H131:H194" si="7">IF(OR(F131="IDU",F131="OR",F131="UT",F131="WYU",F131="WYP",F131="CA",F131="WA"),"SITUS",IF(OR(F131="CAEE",F131="JBE"),"SE",IF(OR(F131="CAGE",F131="CAGW",F131="JBG"),"SG",F131)))</f>
        <v>OTHER</v>
      </c>
      <c r="I131" s="113" t="str">
        <f>INDEX('REGASSET Lookup'!$I:$I,MATCH('REGASSET Jun22data'!$A131,'REGASSET Lookup'!$A:$A,0))</f>
        <v>CUST</v>
      </c>
      <c r="J131" s="113" t="str">
        <f t="shared" ref="J131:J194" si="8">IF(G131=0,"NO",IF(ISNA($I131),"YES",IF(_xlfn.ISFORMULA($I131),"NO","YES")))</f>
        <v>NO</v>
      </c>
      <c r="K131"/>
    </row>
    <row r="132" spans="1:11">
      <c r="A132" s="114" t="str">
        <f t="shared" si="6"/>
        <v>1823920DSR COSTS AMORTIZED102460COMMERCIAL FINANSWER EXPRESS - UTAH - 20OTHER</v>
      </c>
      <c r="B132" s="126" t="s">
        <v>2231</v>
      </c>
      <c r="C132" s="128" t="s">
        <v>695</v>
      </c>
      <c r="D132" s="126" t="s">
        <v>2293</v>
      </c>
      <c r="E132" s="128" t="s">
        <v>760</v>
      </c>
      <c r="F132" s="127" t="s">
        <v>306</v>
      </c>
      <c r="G132" s="136">
        <v>445.94877000000002</v>
      </c>
      <c r="H132" s="113" t="str">
        <f t="shared" si="7"/>
        <v>OTHER</v>
      </c>
      <c r="I132" s="113" t="str">
        <f>INDEX('REGASSET Lookup'!$I:$I,MATCH('REGASSET Jun22data'!$A132,'REGASSET Lookup'!$A:$A,0))</f>
        <v>CUST</v>
      </c>
      <c r="J132" s="113" t="str">
        <f t="shared" si="8"/>
        <v>NO</v>
      </c>
      <c r="K132"/>
    </row>
    <row r="133" spans="1:11">
      <c r="A133" s="114" t="str">
        <f t="shared" si="6"/>
        <v>1823920DSR COSTS AMORTIZED102461INDUSTRIAL FINANSWER EXPRESS - UTAH - 20OTHER</v>
      </c>
      <c r="B133" s="126" t="s">
        <v>2231</v>
      </c>
      <c r="C133" s="128" t="s">
        <v>695</v>
      </c>
      <c r="D133" s="126" t="s">
        <v>2294</v>
      </c>
      <c r="E133" s="128" t="s">
        <v>761</v>
      </c>
      <c r="F133" s="127" t="s">
        <v>306</v>
      </c>
      <c r="G133" s="136">
        <v>146.02239</v>
      </c>
      <c r="H133" s="113" t="str">
        <f t="shared" si="7"/>
        <v>OTHER</v>
      </c>
      <c r="I133" s="113" t="str">
        <f>INDEX('REGASSET Lookup'!$I:$I,MATCH('REGASSET Jun22data'!$A133,'REGASSET Lookup'!$A:$A,0))</f>
        <v>CUST</v>
      </c>
      <c r="J133" s="113" t="str">
        <f t="shared" si="8"/>
        <v>NO</v>
      </c>
      <c r="K133"/>
    </row>
    <row r="134" spans="1:11">
      <c r="A134" s="114" t="str">
        <f t="shared" si="6"/>
        <v>1823920DSR COSTS AMORTIZED102462UTAH REVENUE RECOVERY - SBC OFFSETOTHER</v>
      </c>
      <c r="B134" s="126" t="s">
        <v>2231</v>
      </c>
      <c r="C134" s="128" t="s">
        <v>695</v>
      </c>
      <c r="D134" s="126" t="s">
        <v>2295</v>
      </c>
      <c r="E134" s="128" t="s">
        <v>762</v>
      </c>
      <c r="F134" s="127" t="s">
        <v>306</v>
      </c>
      <c r="G134" s="136">
        <v>-587832.34629999998</v>
      </c>
      <c r="H134" s="113" t="str">
        <f t="shared" si="7"/>
        <v>OTHER</v>
      </c>
      <c r="I134" s="113" t="str">
        <f>INDEX('REGASSET Lookup'!$I:$I,MATCH('REGASSET Jun22data'!$A134,'REGASSET Lookup'!$A:$A,0))</f>
        <v>CUST</v>
      </c>
      <c r="J134" s="113" t="str">
        <f t="shared" si="8"/>
        <v>NO</v>
      </c>
      <c r="K134"/>
    </row>
    <row r="135" spans="1:11">
      <c r="A135" s="114" t="str">
        <f t="shared" si="6"/>
        <v>1823920DSR COSTS AMORTIZED102502RETROFIT COMMISSIONING PROGRAM  - UTAHOTHER</v>
      </c>
      <c r="B135" s="126" t="s">
        <v>2231</v>
      </c>
      <c r="C135" s="128" t="s">
        <v>695</v>
      </c>
      <c r="D135" s="126" t="s">
        <v>2296</v>
      </c>
      <c r="E135" s="128" t="s">
        <v>763</v>
      </c>
      <c r="F135" s="127" t="s">
        <v>306</v>
      </c>
      <c r="G135" s="136">
        <v>1.8589</v>
      </c>
      <c r="H135" s="113" t="str">
        <f t="shared" si="7"/>
        <v>OTHER</v>
      </c>
      <c r="I135" s="113" t="str">
        <f>INDEX('REGASSET Lookup'!$I:$I,MATCH('REGASSET Jun22data'!$A135,'REGASSET Lookup'!$A:$A,0))</f>
        <v>CUST</v>
      </c>
      <c r="J135" s="113" t="str">
        <f t="shared" si="8"/>
        <v>NO</v>
      </c>
      <c r="K135"/>
    </row>
    <row r="136" spans="1:11">
      <c r="A136" s="114" t="str">
        <f t="shared" si="6"/>
        <v>1823920DSR COSTS AMORTIZED102503C&amp;I LIGHTING LOAD CONTROL  - UTAH - 2004OTHER</v>
      </c>
      <c r="B136" s="126" t="s">
        <v>2231</v>
      </c>
      <c r="C136" s="128" t="s">
        <v>695</v>
      </c>
      <c r="D136" s="126" t="s">
        <v>2297</v>
      </c>
      <c r="E136" s="128" t="s">
        <v>764</v>
      </c>
      <c r="F136" s="127" t="s">
        <v>306</v>
      </c>
      <c r="G136" s="136">
        <v>22.846060000000001</v>
      </c>
      <c r="H136" s="113" t="str">
        <f t="shared" si="7"/>
        <v>OTHER</v>
      </c>
      <c r="I136" s="113" t="str">
        <f>INDEX('REGASSET Lookup'!$I:$I,MATCH('REGASSET Jun22data'!$A136,'REGASSET Lookup'!$A:$A,0))</f>
        <v>CUST</v>
      </c>
      <c r="J136" s="113" t="str">
        <f t="shared" si="8"/>
        <v>NO</v>
      </c>
      <c r="K136"/>
    </row>
    <row r="137" spans="1:11">
      <c r="A137" s="114" t="str">
        <f t="shared" si="6"/>
        <v>1823920DSR COSTS AMORTIZED102532LOW INCOME - UTAH - 2005OTHER</v>
      </c>
      <c r="B137" s="126" t="s">
        <v>2231</v>
      </c>
      <c r="C137" s="128" t="s">
        <v>695</v>
      </c>
      <c r="D137" s="126" t="s">
        <v>2298</v>
      </c>
      <c r="E137" s="128" t="s">
        <v>770</v>
      </c>
      <c r="F137" s="127" t="s">
        <v>306</v>
      </c>
      <c r="G137" s="136">
        <v>48.278149999999997</v>
      </c>
      <c r="H137" s="113" t="str">
        <f t="shared" si="7"/>
        <v>OTHER</v>
      </c>
      <c r="I137" s="113" t="str">
        <f>INDEX('REGASSET Lookup'!$I:$I,MATCH('REGASSET Jun22data'!$A137,'REGASSET Lookup'!$A:$A,0))</f>
        <v>CUST</v>
      </c>
      <c r="J137" s="113" t="str">
        <f t="shared" si="8"/>
        <v>NO</v>
      </c>
      <c r="K137"/>
    </row>
    <row r="138" spans="1:11">
      <c r="A138" s="114" t="str">
        <f t="shared" si="6"/>
        <v>1823920DSR COSTS AMORTIZED102533REFRIGERATOR RECYCLING PGM- UTAH - 2005OTHER</v>
      </c>
      <c r="B138" s="126" t="s">
        <v>2231</v>
      </c>
      <c r="C138" s="128" t="s">
        <v>695</v>
      </c>
      <c r="D138" s="126" t="s">
        <v>2299</v>
      </c>
      <c r="E138" s="128" t="s">
        <v>771</v>
      </c>
      <c r="F138" s="127" t="s">
        <v>306</v>
      </c>
      <c r="G138" s="136">
        <v>3306.2718399999999</v>
      </c>
      <c r="H138" s="113" t="str">
        <f t="shared" si="7"/>
        <v>OTHER</v>
      </c>
      <c r="I138" s="113" t="str">
        <f>INDEX('REGASSET Lookup'!$I:$I,MATCH('REGASSET Jun22data'!$A138,'REGASSET Lookup'!$A:$A,0))</f>
        <v>CUST</v>
      </c>
      <c r="J138" s="113" t="str">
        <f t="shared" si="8"/>
        <v>NO</v>
      </c>
      <c r="K138"/>
    </row>
    <row r="139" spans="1:11">
      <c r="A139" s="114" t="str">
        <f t="shared" si="6"/>
        <v>1823920DSR COSTS AMORTIZED102534A/C LOAD CONTROL - RESIDENTIAL/UTAH - 20OTHER</v>
      </c>
      <c r="B139" s="126" t="s">
        <v>2231</v>
      </c>
      <c r="C139" s="128" t="s">
        <v>695</v>
      </c>
      <c r="D139" s="126" t="s">
        <v>2300</v>
      </c>
      <c r="E139" s="128" t="s">
        <v>772</v>
      </c>
      <c r="F139" s="127" t="s">
        <v>306</v>
      </c>
      <c r="G139" s="136">
        <v>3059.7789899999998</v>
      </c>
      <c r="H139" s="113" t="str">
        <f t="shared" si="7"/>
        <v>OTHER</v>
      </c>
      <c r="I139" s="113" t="str">
        <f>INDEX('REGASSET Lookup'!$I:$I,MATCH('REGASSET Jun22data'!$A139,'REGASSET Lookup'!$A:$A,0))</f>
        <v>CUST</v>
      </c>
      <c r="J139" s="113" t="str">
        <f t="shared" si="8"/>
        <v>NO</v>
      </c>
      <c r="K139"/>
    </row>
    <row r="140" spans="1:11">
      <c r="A140" s="114" t="str">
        <f t="shared" si="6"/>
        <v>1823920DSR COSTS AMORTIZED102535AIR CONDITIONING - UTAH - 2005OTHER</v>
      </c>
      <c r="B140" s="126" t="s">
        <v>2231</v>
      </c>
      <c r="C140" s="128" t="s">
        <v>695</v>
      </c>
      <c r="D140" s="126" t="s">
        <v>2301</v>
      </c>
      <c r="E140" s="128" t="s">
        <v>773</v>
      </c>
      <c r="F140" s="127" t="s">
        <v>306</v>
      </c>
      <c r="G140" s="136">
        <v>2347.3112900000001</v>
      </c>
      <c r="H140" s="113" t="str">
        <f t="shared" si="7"/>
        <v>OTHER</v>
      </c>
      <c r="I140" s="113" t="str">
        <f>INDEX('REGASSET Lookup'!$I:$I,MATCH('REGASSET Jun22data'!$A140,'REGASSET Lookup'!$A:$A,0))</f>
        <v>CUST</v>
      </c>
      <c r="J140" s="113" t="str">
        <f t="shared" si="8"/>
        <v>NO</v>
      </c>
      <c r="K140"/>
    </row>
    <row r="141" spans="1:11">
      <c r="A141" s="114" t="str">
        <f t="shared" si="6"/>
        <v>1823920DSR COSTS AMORTIZED102536COMMERCIAL RETROFIT LIGHTING - UTAH - 20OTHER</v>
      </c>
      <c r="B141" s="126" t="s">
        <v>2231</v>
      </c>
      <c r="C141" s="128" t="s">
        <v>695</v>
      </c>
      <c r="D141" s="126" t="s">
        <v>2302</v>
      </c>
      <c r="E141" s="128" t="s">
        <v>774</v>
      </c>
      <c r="F141" s="127" t="s">
        <v>306</v>
      </c>
      <c r="G141" s="136">
        <v>65.005750000000006</v>
      </c>
      <c r="H141" s="113" t="str">
        <f t="shared" si="7"/>
        <v>OTHER</v>
      </c>
      <c r="I141" s="113" t="str">
        <f>INDEX('REGASSET Lookup'!$I:$I,MATCH('REGASSET Jun22data'!$A141,'REGASSET Lookup'!$A:$A,0))</f>
        <v>CUST</v>
      </c>
      <c r="J141" s="113" t="str">
        <f t="shared" si="8"/>
        <v>NO</v>
      </c>
      <c r="K141"/>
    </row>
    <row r="142" spans="1:11">
      <c r="A142" s="114" t="str">
        <f t="shared" si="6"/>
        <v>1823920DSR COSTS AMORTIZED102537COMMERCIAL SMALL RETROFIT - UTAH - 2005OTHER</v>
      </c>
      <c r="B142" s="126" t="s">
        <v>2231</v>
      </c>
      <c r="C142" s="128" t="s">
        <v>695</v>
      </c>
      <c r="D142" s="126" t="s">
        <v>2303</v>
      </c>
      <c r="E142" s="128" t="s">
        <v>775</v>
      </c>
      <c r="F142" s="127" t="s">
        <v>306</v>
      </c>
      <c r="G142" s="136">
        <v>222.54929000000001</v>
      </c>
      <c r="H142" s="113" t="str">
        <f t="shared" si="7"/>
        <v>OTHER</v>
      </c>
      <c r="I142" s="113" t="str">
        <f>INDEX('REGASSET Lookup'!$I:$I,MATCH('REGASSET Jun22data'!$A142,'REGASSET Lookup'!$A:$A,0))</f>
        <v>CUST</v>
      </c>
      <c r="J142" s="113" t="str">
        <f t="shared" si="8"/>
        <v>NO</v>
      </c>
      <c r="K142"/>
    </row>
    <row r="143" spans="1:11">
      <c r="A143" s="114" t="str">
        <f t="shared" si="6"/>
        <v>1823920DSR COSTS AMORTIZED102539ENERGY FINANSWER - UTAH - 2005OTHER</v>
      </c>
      <c r="B143" s="126" t="s">
        <v>2231</v>
      </c>
      <c r="C143" s="128" t="s">
        <v>695</v>
      </c>
      <c r="D143" s="126" t="s">
        <v>2304</v>
      </c>
      <c r="E143" s="128" t="s">
        <v>776</v>
      </c>
      <c r="F143" s="127" t="s">
        <v>306</v>
      </c>
      <c r="G143" s="136">
        <v>1475.7383600000001</v>
      </c>
      <c r="H143" s="113" t="str">
        <f t="shared" si="7"/>
        <v>OTHER</v>
      </c>
      <c r="I143" s="113" t="str">
        <f>INDEX('REGASSET Lookup'!$I:$I,MATCH('REGASSET Jun22data'!$A143,'REGASSET Lookup'!$A:$A,0))</f>
        <v>CUST</v>
      </c>
      <c r="J143" s="113" t="str">
        <f t="shared" si="8"/>
        <v>NO</v>
      </c>
      <c r="K143"/>
    </row>
    <row r="144" spans="1:11">
      <c r="A144" s="114" t="str">
        <f t="shared" si="6"/>
        <v>1823920DSR COSTS AMORTIZED102540INDUSTRIAL FINANSWER - UTAH - 2005OTHER</v>
      </c>
      <c r="B144" s="126" t="s">
        <v>2231</v>
      </c>
      <c r="C144" s="128" t="s">
        <v>695</v>
      </c>
      <c r="D144" s="126" t="s">
        <v>2305</v>
      </c>
      <c r="E144" s="128" t="s">
        <v>777</v>
      </c>
      <c r="F144" s="127" t="s">
        <v>306</v>
      </c>
      <c r="G144" s="136">
        <v>3484.5932400000002</v>
      </c>
      <c r="H144" s="113" t="str">
        <f t="shared" si="7"/>
        <v>OTHER</v>
      </c>
      <c r="I144" s="113" t="str">
        <f>INDEX('REGASSET Lookup'!$I:$I,MATCH('REGASSET Jun22data'!$A144,'REGASSET Lookup'!$A:$A,0))</f>
        <v>CUST</v>
      </c>
      <c r="J144" s="113" t="str">
        <f t="shared" si="8"/>
        <v>NO</v>
      </c>
      <c r="K144"/>
    </row>
    <row r="145" spans="1:11">
      <c r="A145" s="114" t="str">
        <f t="shared" si="6"/>
        <v>1823920DSR COSTS AMORTIZED102541INDUSTRIAL RETROFIT LIGHTING - UTAH - 20OTHER</v>
      </c>
      <c r="B145" s="126" t="s">
        <v>2231</v>
      </c>
      <c r="C145" s="128" t="s">
        <v>695</v>
      </c>
      <c r="D145" s="126" t="s">
        <v>2306</v>
      </c>
      <c r="E145" s="128" t="s">
        <v>778</v>
      </c>
      <c r="F145" s="127" t="s">
        <v>306</v>
      </c>
      <c r="G145" s="136">
        <v>59.976289999999999</v>
      </c>
      <c r="H145" s="113" t="str">
        <f t="shared" si="7"/>
        <v>OTHER</v>
      </c>
      <c r="I145" s="113" t="str">
        <f>INDEX('REGASSET Lookup'!$I:$I,MATCH('REGASSET Jun22data'!$A145,'REGASSET Lookup'!$A:$A,0))</f>
        <v>CUST</v>
      </c>
      <c r="J145" s="113" t="str">
        <f t="shared" si="8"/>
        <v>NO</v>
      </c>
      <c r="K145"/>
    </row>
    <row r="146" spans="1:11">
      <c r="A146" s="114" t="str">
        <f t="shared" si="6"/>
        <v>1823920DSR COSTS AMORTIZED102543POWER FORWARD - UTAH - 2005OTHER</v>
      </c>
      <c r="B146" s="126" t="s">
        <v>2231</v>
      </c>
      <c r="C146" s="128" t="s">
        <v>695</v>
      </c>
      <c r="D146" s="126" t="s">
        <v>2307</v>
      </c>
      <c r="E146" s="128" t="s">
        <v>779</v>
      </c>
      <c r="F146" s="127" t="s">
        <v>306</v>
      </c>
      <c r="G146" s="136">
        <v>50</v>
      </c>
      <c r="H146" s="113" t="str">
        <f t="shared" si="7"/>
        <v>OTHER</v>
      </c>
      <c r="I146" s="113" t="str">
        <f>INDEX('REGASSET Lookup'!$I:$I,MATCH('REGASSET Jun22data'!$A146,'REGASSET Lookup'!$A:$A,0))</f>
        <v>CUST</v>
      </c>
      <c r="J146" s="113" t="str">
        <f t="shared" si="8"/>
        <v>NO</v>
      </c>
      <c r="K146"/>
    </row>
    <row r="147" spans="1:11">
      <c r="A147" s="114" t="str">
        <f t="shared" si="6"/>
        <v>1823920DSR COSTS AMORTIZED102544COMMERCIAL SELF-DIRECT - UTAH - 2005OTHER</v>
      </c>
      <c r="B147" s="126" t="s">
        <v>2231</v>
      </c>
      <c r="C147" s="128" t="s">
        <v>695</v>
      </c>
      <c r="D147" s="126" t="s">
        <v>2308</v>
      </c>
      <c r="E147" s="128" t="s">
        <v>780</v>
      </c>
      <c r="F147" s="127" t="s">
        <v>306</v>
      </c>
      <c r="G147" s="136">
        <v>67.378190000000004</v>
      </c>
      <c r="H147" s="113" t="str">
        <f t="shared" si="7"/>
        <v>OTHER</v>
      </c>
      <c r="I147" s="113" t="str">
        <f>INDEX('REGASSET Lookup'!$I:$I,MATCH('REGASSET Jun22data'!$A147,'REGASSET Lookup'!$A:$A,0))</f>
        <v>CUST</v>
      </c>
      <c r="J147" s="113" t="str">
        <f t="shared" si="8"/>
        <v>NO</v>
      </c>
      <c r="K147"/>
    </row>
    <row r="148" spans="1:11">
      <c r="A148" s="114" t="str">
        <f t="shared" si="6"/>
        <v>1823920DSR COSTS AMORTIZED102545INDUSTRIAL SELF-DIRECT - UTAH - 2005OTHER</v>
      </c>
      <c r="B148" s="126" t="s">
        <v>2231</v>
      </c>
      <c r="C148" s="128" t="s">
        <v>695</v>
      </c>
      <c r="D148" s="126" t="s">
        <v>2309</v>
      </c>
      <c r="E148" s="128" t="s">
        <v>781</v>
      </c>
      <c r="F148" s="127" t="s">
        <v>306</v>
      </c>
      <c r="G148" s="136">
        <v>102.7296</v>
      </c>
      <c r="H148" s="113" t="str">
        <f t="shared" si="7"/>
        <v>OTHER</v>
      </c>
      <c r="I148" s="113" t="str">
        <f>INDEX('REGASSET Lookup'!$I:$I,MATCH('REGASSET Jun22data'!$A148,'REGASSET Lookup'!$A:$A,0))</f>
        <v>CUST</v>
      </c>
      <c r="J148" s="113" t="str">
        <f t="shared" si="8"/>
        <v>NO</v>
      </c>
      <c r="K148"/>
    </row>
    <row r="149" spans="1:11">
      <c r="A149" s="114" t="str">
        <f t="shared" si="6"/>
        <v>1823920DSR COSTS AMORTIZED102546RESIDENTIAL NEW CONSTRUCTION - UTAH - 20OTHER</v>
      </c>
      <c r="B149" s="126" t="s">
        <v>2231</v>
      </c>
      <c r="C149" s="128" t="s">
        <v>695</v>
      </c>
      <c r="D149" s="126" t="s">
        <v>2310</v>
      </c>
      <c r="E149" s="128" t="s">
        <v>757</v>
      </c>
      <c r="F149" s="127" t="s">
        <v>306</v>
      </c>
      <c r="G149" s="136">
        <v>943.91087000000005</v>
      </c>
      <c r="H149" s="113" t="str">
        <f t="shared" si="7"/>
        <v>OTHER</v>
      </c>
      <c r="I149" s="113" t="str">
        <f>INDEX('REGASSET Lookup'!$I:$I,MATCH('REGASSET Jun22data'!$A149,'REGASSET Lookup'!$A:$A,0))</f>
        <v>CUST</v>
      </c>
      <c r="J149" s="113" t="str">
        <f t="shared" si="8"/>
        <v>NO</v>
      </c>
      <c r="K149"/>
    </row>
    <row r="150" spans="1:11">
      <c r="A150" s="114" t="str">
        <f t="shared" si="6"/>
        <v>1823920DSR COSTS AMORTIZED102547COMMERCIAL FINANSWER EXPRESS - UTAH - 20OTHER</v>
      </c>
      <c r="B150" s="126" t="s">
        <v>2231</v>
      </c>
      <c r="C150" s="128" t="s">
        <v>695</v>
      </c>
      <c r="D150" s="126" t="s">
        <v>2311</v>
      </c>
      <c r="E150" s="128" t="s">
        <v>760</v>
      </c>
      <c r="F150" s="127" t="s">
        <v>306</v>
      </c>
      <c r="G150" s="136">
        <v>1967.19092</v>
      </c>
      <c r="H150" s="113" t="str">
        <f t="shared" si="7"/>
        <v>OTHER</v>
      </c>
      <c r="I150" s="113" t="str">
        <f>INDEX('REGASSET Lookup'!$I:$I,MATCH('REGASSET Jun22data'!$A150,'REGASSET Lookup'!$A:$A,0))</f>
        <v>CUST</v>
      </c>
      <c r="J150" s="113" t="str">
        <f t="shared" si="8"/>
        <v>NO</v>
      </c>
      <c r="K150"/>
    </row>
    <row r="151" spans="1:11">
      <c r="A151" s="114" t="str">
        <f t="shared" si="6"/>
        <v>1823920DSR COSTS AMORTIZED102548INDUSTRIAL FINANSWER EXPRESS - UTAH - 20OTHER</v>
      </c>
      <c r="B151" s="126" t="s">
        <v>2231</v>
      </c>
      <c r="C151" s="128" t="s">
        <v>695</v>
      </c>
      <c r="D151" s="126" t="s">
        <v>2312</v>
      </c>
      <c r="E151" s="128" t="s">
        <v>761</v>
      </c>
      <c r="F151" s="127" t="s">
        <v>306</v>
      </c>
      <c r="G151" s="136">
        <v>420.56610000000001</v>
      </c>
      <c r="H151" s="113" t="str">
        <f t="shared" si="7"/>
        <v>OTHER</v>
      </c>
      <c r="I151" s="113" t="str">
        <f>INDEX('REGASSET Lookup'!$I:$I,MATCH('REGASSET Jun22data'!$A151,'REGASSET Lookup'!$A:$A,0))</f>
        <v>CUST</v>
      </c>
      <c r="J151" s="113" t="str">
        <f t="shared" si="8"/>
        <v>NO</v>
      </c>
      <c r="K151"/>
    </row>
    <row r="152" spans="1:11">
      <c r="A152" s="114" t="str">
        <f t="shared" si="6"/>
        <v>1823920DSR COSTS AMORTIZED102549RETROFIT COMMISSIONING PROGRAM  - UTAH -OTHER</v>
      </c>
      <c r="B152" s="126" t="s">
        <v>2231</v>
      </c>
      <c r="C152" s="128" t="s">
        <v>695</v>
      </c>
      <c r="D152" s="126" t="s">
        <v>2313</v>
      </c>
      <c r="E152" s="128" t="s">
        <v>782</v>
      </c>
      <c r="F152" s="127" t="s">
        <v>306</v>
      </c>
      <c r="G152" s="136">
        <v>104.62752</v>
      </c>
      <c r="H152" s="113" t="str">
        <f t="shared" si="7"/>
        <v>OTHER</v>
      </c>
      <c r="I152" s="113" t="str">
        <f>INDEX('REGASSET Lookup'!$I:$I,MATCH('REGASSET Jun22data'!$A152,'REGASSET Lookup'!$A:$A,0))</f>
        <v>CUST</v>
      </c>
      <c r="J152" s="113" t="str">
        <f t="shared" si="8"/>
        <v>NO</v>
      </c>
      <c r="K152"/>
    </row>
    <row r="153" spans="1:11">
      <c r="A153" s="114" t="str">
        <f t="shared" si="6"/>
        <v>1823920DSR COSTS AMORTIZED102550C&amp;I LIGHTING LOAD CONTROL  - UTAH - 2005OTHER</v>
      </c>
      <c r="B153" s="126" t="s">
        <v>2231</v>
      </c>
      <c r="C153" s="128" t="s">
        <v>695</v>
      </c>
      <c r="D153" s="126" t="s">
        <v>2314</v>
      </c>
      <c r="E153" s="128" t="s">
        <v>783</v>
      </c>
      <c r="F153" s="127" t="s">
        <v>306</v>
      </c>
      <c r="G153" s="136">
        <v>35.638219999999997</v>
      </c>
      <c r="H153" s="113" t="str">
        <f t="shared" si="7"/>
        <v>OTHER</v>
      </c>
      <c r="I153" s="113" t="str">
        <f>INDEX('REGASSET Lookup'!$I:$I,MATCH('REGASSET Jun22data'!$A153,'REGASSET Lookup'!$A:$A,0))</f>
        <v>CUST</v>
      </c>
      <c r="J153" s="113" t="str">
        <f t="shared" si="8"/>
        <v>NO</v>
      </c>
      <c r="K153"/>
    </row>
    <row r="154" spans="1:11">
      <c r="A154" s="114" t="str">
        <f t="shared" si="6"/>
        <v>1823920DSR COSTS AMORTIZED1025561823920/102556OTHER</v>
      </c>
      <c r="B154" s="126" t="s">
        <v>2231</v>
      </c>
      <c r="C154" s="128" t="s">
        <v>695</v>
      </c>
      <c r="D154" s="126" t="s">
        <v>3370</v>
      </c>
      <c r="E154" s="128" t="s">
        <v>784</v>
      </c>
      <c r="F154" s="127" t="s">
        <v>306</v>
      </c>
      <c r="G154" s="136">
        <v>1.0000000000000001E-5</v>
      </c>
      <c r="H154" s="113" t="str">
        <f t="shared" si="7"/>
        <v>OTHER</v>
      </c>
      <c r="I154" s="113" t="str">
        <f>INDEX('REGASSET Lookup'!$I:$I,MATCH('REGASSET Jun22data'!$A154,'REGASSET Lookup'!$A:$A,0))</f>
        <v>CUST</v>
      </c>
      <c r="J154" s="113" t="str">
        <f t="shared" si="8"/>
        <v>NO</v>
      </c>
      <c r="K154"/>
    </row>
    <row r="155" spans="1:11">
      <c r="A155" s="114" t="str">
        <f t="shared" si="6"/>
        <v>1823920DSR COSTS AMORTIZED102562APPLIANCE INCENTIVE - WASHWISE - WASHINGOTHER</v>
      </c>
      <c r="B155" s="126" t="s">
        <v>2231</v>
      </c>
      <c r="C155" s="128" t="s">
        <v>695</v>
      </c>
      <c r="D155" s="126" t="s">
        <v>2315</v>
      </c>
      <c r="E155" s="128" t="s">
        <v>785</v>
      </c>
      <c r="F155" s="127" t="s">
        <v>306</v>
      </c>
      <c r="G155" s="136">
        <v>52.954230000000003</v>
      </c>
      <c r="H155" s="113" t="str">
        <f t="shared" si="7"/>
        <v>OTHER</v>
      </c>
      <c r="I155" s="113" t="str">
        <f>INDEX('REGASSET Lookup'!$I:$I,MATCH('REGASSET Jun22data'!$A155,'REGASSET Lookup'!$A:$A,0))</f>
        <v>CUST</v>
      </c>
      <c r="J155" s="113" t="str">
        <f t="shared" si="8"/>
        <v>NO</v>
      </c>
      <c r="K155"/>
    </row>
    <row r="156" spans="1:11">
      <c r="A156" s="114" t="str">
        <f t="shared" si="6"/>
        <v>1823920DSR COSTS AMORTIZED102586IRRIGATION LOAD CONTROL - UTAH - 2005OTHER</v>
      </c>
      <c r="B156" s="126" t="s">
        <v>2231</v>
      </c>
      <c r="C156" s="128" t="s">
        <v>695</v>
      </c>
      <c r="D156" s="126" t="s">
        <v>2316</v>
      </c>
      <c r="E156" s="128" t="s">
        <v>786</v>
      </c>
      <c r="F156" s="127" t="s">
        <v>306</v>
      </c>
      <c r="G156" s="136">
        <v>2.8250000000000002</v>
      </c>
      <c r="H156" s="113" t="str">
        <f t="shared" si="7"/>
        <v>OTHER</v>
      </c>
      <c r="I156" s="113" t="str">
        <f>INDEX('REGASSET Lookup'!$I:$I,MATCH('REGASSET Jun22data'!$A156,'REGASSET Lookup'!$A:$A,0))</f>
        <v>CUST</v>
      </c>
      <c r="J156" s="113" t="str">
        <f t="shared" si="8"/>
        <v>NO</v>
      </c>
      <c r="K156"/>
    </row>
    <row r="157" spans="1:11">
      <c r="A157" s="114" t="str">
        <f t="shared" si="6"/>
        <v>1823920DSR COSTS AMORTIZED102706LOW INCOME-UTAH-2006OTHER</v>
      </c>
      <c r="B157" s="126" t="s">
        <v>2231</v>
      </c>
      <c r="C157" s="128" t="s">
        <v>695</v>
      </c>
      <c r="D157" s="126" t="s">
        <v>2317</v>
      </c>
      <c r="E157" s="128" t="s">
        <v>787</v>
      </c>
      <c r="F157" s="127" t="s">
        <v>306</v>
      </c>
      <c r="G157" s="136">
        <v>118.51381000000001</v>
      </c>
      <c r="H157" s="113" t="str">
        <f t="shared" si="7"/>
        <v>OTHER</v>
      </c>
      <c r="I157" s="113" t="str">
        <f>INDEX('REGASSET Lookup'!$I:$I,MATCH('REGASSET Jun22data'!$A157,'REGASSET Lookup'!$A:$A,0))</f>
        <v>CUST</v>
      </c>
      <c r="J157" s="113" t="str">
        <f t="shared" si="8"/>
        <v>NO</v>
      </c>
      <c r="K157"/>
    </row>
    <row r="158" spans="1:11">
      <c r="A158" s="114" t="str">
        <f t="shared" si="6"/>
        <v>1823920DSR COSTS AMORTIZED102707REFRIGERATOR RECYCLING PGM-UTAH-2006OTHER</v>
      </c>
      <c r="B158" s="126" t="s">
        <v>2231</v>
      </c>
      <c r="C158" s="128" t="s">
        <v>695</v>
      </c>
      <c r="D158" s="126" t="s">
        <v>2318</v>
      </c>
      <c r="E158" s="128" t="s">
        <v>788</v>
      </c>
      <c r="F158" s="127" t="s">
        <v>306</v>
      </c>
      <c r="G158" s="136">
        <v>3751.5009100000002</v>
      </c>
      <c r="H158" s="113" t="str">
        <f t="shared" si="7"/>
        <v>OTHER</v>
      </c>
      <c r="I158" s="113" t="str">
        <f>INDEX('REGASSET Lookup'!$I:$I,MATCH('REGASSET Jun22data'!$A158,'REGASSET Lookup'!$A:$A,0))</f>
        <v>CUST</v>
      </c>
      <c r="J158" s="113" t="str">
        <f t="shared" si="8"/>
        <v>NO</v>
      </c>
      <c r="K158"/>
    </row>
    <row r="159" spans="1:11">
      <c r="A159" s="114" t="str">
        <f t="shared" si="6"/>
        <v>1823920DSR COSTS AMORTIZED102708A/C LOAD CONTROL-RESIDENTIAL/UTAH-2006OTHER</v>
      </c>
      <c r="B159" s="126" t="s">
        <v>2231</v>
      </c>
      <c r="C159" s="128" t="s">
        <v>695</v>
      </c>
      <c r="D159" s="126" t="s">
        <v>2319</v>
      </c>
      <c r="E159" s="128" t="s">
        <v>789</v>
      </c>
      <c r="F159" s="127" t="s">
        <v>306</v>
      </c>
      <c r="G159" s="136">
        <v>8623.8516299999992</v>
      </c>
      <c r="H159" s="113" t="str">
        <f t="shared" si="7"/>
        <v>OTHER</v>
      </c>
      <c r="I159" s="113" t="str">
        <f>INDEX('REGASSET Lookup'!$I:$I,MATCH('REGASSET Jun22data'!$A159,'REGASSET Lookup'!$A:$A,0))</f>
        <v>CUST</v>
      </c>
      <c r="J159" s="113" t="str">
        <f t="shared" si="8"/>
        <v>NO</v>
      </c>
      <c r="K159"/>
    </row>
    <row r="160" spans="1:11">
      <c r="A160" s="114" t="str">
        <f t="shared" si="6"/>
        <v>1823920DSR COSTS AMORTIZED102709AIR CONDITIONING-UTAH-2006OTHER</v>
      </c>
      <c r="B160" s="126" t="s">
        <v>2231</v>
      </c>
      <c r="C160" s="128" t="s">
        <v>695</v>
      </c>
      <c r="D160" s="126" t="s">
        <v>2320</v>
      </c>
      <c r="E160" s="128" t="s">
        <v>790</v>
      </c>
      <c r="F160" s="127" t="s">
        <v>306</v>
      </c>
      <c r="G160" s="136">
        <v>1499.1451300000001</v>
      </c>
      <c r="H160" s="113" t="str">
        <f t="shared" si="7"/>
        <v>OTHER</v>
      </c>
      <c r="I160" s="113" t="str">
        <f>INDEX('REGASSET Lookup'!$I:$I,MATCH('REGASSET Jun22data'!$A160,'REGASSET Lookup'!$A:$A,0))</f>
        <v>CUST</v>
      </c>
      <c r="J160" s="113" t="str">
        <f t="shared" si="8"/>
        <v>NO</v>
      </c>
      <c r="K160"/>
    </row>
    <row r="161" spans="1:11">
      <c r="A161" s="114" t="str">
        <f t="shared" si="6"/>
        <v>1823920DSR COSTS AMORTIZED102712ENERGY FINANSWER-UTAH-2006OTHER</v>
      </c>
      <c r="B161" s="126" t="s">
        <v>2231</v>
      </c>
      <c r="C161" s="128" t="s">
        <v>695</v>
      </c>
      <c r="D161" s="126" t="s">
        <v>2321</v>
      </c>
      <c r="E161" s="128" t="s">
        <v>791</v>
      </c>
      <c r="F161" s="127" t="s">
        <v>306</v>
      </c>
      <c r="G161" s="136">
        <v>2187.1782499999999</v>
      </c>
      <c r="H161" s="113" t="str">
        <f t="shared" si="7"/>
        <v>OTHER</v>
      </c>
      <c r="I161" s="113" t="str">
        <f>INDEX('REGASSET Lookup'!$I:$I,MATCH('REGASSET Jun22data'!$A161,'REGASSET Lookup'!$A:$A,0))</f>
        <v>CUST</v>
      </c>
      <c r="J161" s="113" t="str">
        <f t="shared" si="8"/>
        <v>NO</v>
      </c>
      <c r="K161"/>
    </row>
    <row r="162" spans="1:11">
      <c r="A162" s="114" t="str">
        <f t="shared" si="6"/>
        <v>1823920DSR COSTS AMORTIZED102713INDUSTRIAL FINANSWER-WYOMING-UTAH-2006OTHER</v>
      </c>
      <c r="B162" s="126" t="s">
        <v>2231</v>
      </c>
      <c r="C162" s="128" t="s">
        <v>695</v>
      </c>
      <c r="D162" s="126" t="s">
        <v>2322</v>
      </c>
      <c r="E162" s="128" t="s">
        <v>792</v>
      </c>
      <c r="F162" s="127" t="s">
        <v>306</v>
      </c>
      <c r="G162" s="136">
        <v>2747.6797799999999</v>
      </c>
      <c r="H162" s="113" t="str">
        <f t="shared" si="7"/>
        <v>OTHER</v>
      </c>
      <c r="I162" s="113" t="str">
        <f>INDEX('REGASSET Lookup'!$I:$I,MATCH('REGASSET Jun22data'!$A162,'REGASSET Lookup'!$A:$A,0))</f>
        <v>CUST</v>
      </c>
      <c r="J162" s="113" t="str">
        <f t="shared" si="8"/>
        <v>NO</v>
      </c>
      <c r="K162"/>
    </row>
    <row r="163" spans="1:11">
      <c r="A163" s="114" t="str">
        <f t="shared" si="6"/>
        <v>1823920DSR COSTS AMORTIZED102717COMMERCIAL SELF-DIRECT-UTAH-2006OTHER</v>
      </c>
      <c r="B163" s="126" t="s">
        <v>2231</v>
      </c>
      <c r="C163" s="128" t="s">
        <v>695</v>
      </c>
      <c r="D163" s="126" t="s">
        <v>2323</v>
      </c>
      <c r="E163" s="128" t="s">
        <v>793</v>
      </c>
      <c r="F163" s="127" t="s">
        <v>306</v>
      </c>
      <c r="G163" s="136">
        <v>64.919430000000006</v>
      </c>
      <c r="H163" s="113" t="str">
        <f t="shared" si="7"/>
        <v>OTHER</v>
      </c>
      <c r="I163" s="113" t="str">
        <f>INDEX('REGASSET Lookup'!$I:$I,MATCH('REGASSET Jun22data'!$A163,'REGASSET Lookup'!$A:$A,0))</f>
        <v>CUST</v>
      </c>
      <c r="J163" s="113" t="str">
        <f t="shared" si="8"/>
        <v>NO</v>
      </c>
      <c r="K163"/>
    </row>
    <row r="164" spans="1:11">
      <c r="A164" s="114" t="str">
        <f t="shared" si="6"/>
        <v>1823920DSR COSTS AMORTIZED102718INDUSTRIAL SELF-DIRECT-UTAH-2006OTHER</v>
      </c>
      <c r="B164" s="126" t="s">
        <v>2231</v>
      </c>
      <c r="C164" s="128" t="s">
        <v>695</v>
      </c>
      <c r="D164" s="126" t="s">
        <v>2324</v>
      </c>
      <c r="E164" s="128" t="s">
        <v>794</v>
      </c>
      <c r="F164" s="127" t="s">
        <v>306</v>
      </c>
      <c r="G164" s="136">
        <v>121.81515</v>
      </c>
      <c r="H164" s="113" t="str">
        <f t="shared" si="7"/>
        <v>OTHER</v>
      </c>
      <c r="I164" s="113" t="str">
        <f>INDEX('REGASSET Lookup'!$I:$I,MATCH('REGASSET Jun22data'!$A164,'REGASSET Lookup'!$A:$A,0))</f>
        <v>CUST</v>
      </c>
      <c r="J164" s="113" t="str">
        <f t="shared" si="8"/>
        <v>NO</v>
      </c>
      <c r="K164"/>
    </row>
    <row r="165" spans="1:11">
      <c r="A165" s="114" t="str">
        <f t="shared" si="6"/>
        <v>1823920DSR COSTS AMORTIZED102719RESIDENTIAL NEW CONSTRUCTION-UTAH-2006OTHER</v>
      </c>
      <c r="B165" s="126" t="s">
        <v>2231</v>
      </c>
      <c r="C165" s="128" t="s">
        <v>695</v>
      </c>
      <c r="D165" s="126" t="s">
        <v>2325</v>
      </c>
      <c r="E165" s="128" t="s">
        <v>795</v>
      </c>
      <c r="F165" s="127" t="s">
        <v>306</v>
      </c>
      <c r="G165" s="136">
        <v>1848.1562899999999</v>
      </c>
      <c r="H165" s="113" t="str">
        <f t="shared" si="7"/>
        <v>OTHER</v>
      </c>
      <c r="I165" s="113" t="str">
        <f>INDEX('REGASSET Lookup'!$I:$I,MATCH('REGASSET Jun22data'!$A165,'REGASSET Lookup'!$A:$A,0))</f>
        <v>CUST</v>
      </c>
      <c r="J165" s="113" t="str">
        <f t="shared" si="8"/>
        <v>NO</v>
      </c>
      <c r="K165"/>
    </row>
    <row r="166" spans="1:11">
      <c r="A166" s="114" t="str">
        <f t="shared" si="6"/>
        <v>1823920DSR COSTS AMORTIZED102720COMMERCIAL FINANSWER EXPRESS-UTAH-2006OTHER</v>
      </c>
      <c r="B166" s="126" t="s">
        <v>2231</v>
      </c>
      <c r="C166" s="128" t="s">
        <v>695</v>
      </c>
      <c r="D166" s="126" t="s">
        <v>2326</v>
      </c>
      <c r="E166" s="128" t="s">
        <v>796</v>
      </c>
      <c r="F166" s="127" t="s">
        <v>306</v>
      </c>
      <c r="G166" s="136">
        <v>2468.75695</v>
      </c>
      <c r="H166" s="113" t="str">
        <f t="shared" si="7"/>
        <v>OTHER</v>
      </c>
      <c r="I166" s="113" t="str">
        <f>INDEX('REGASSET Lookup'!$I:$I,MATCH('REGASSET Jun22data'!$A166,'REGASSET Lookup'!$A:$A,0))</f>
        <v>CUST</v>
      </c>
      <c r="J166" s="113" t="str">
        <f t="shared" si="8"/>
        <v>NO</v>
      </c>
      <c r="K166"/>
    </row>
    <row r="167" spans="1:11">
      <c r="A167" s="114" t="str">
        <f t="shared" si="6"/>
        <v>1823920DSR COSTS AMORTIZED102721INDUSTRIAL FINANSWER-UTAH-2006OTHER</v>
      </c>
      <c r="B167" s="126" t="s">
        <v>2231</v>
      </c>
      <c r="C167" s="128" t="s">
        <v>695</v>
      </c>
      <c r="D167" s="126" t="s">
        <v>2327</v>
      </c>
      <c r="E167" s="128" t="s">
        <v>797</v>
      </c>
      <c r="F167" s="127" t="s">
        <v>306</v>
      </c>
      <c r="G167" s="136">
        <v>535.93276000000003</v>
      </c>
      <c r="H167" s="113" t="str">
        <f t="shared" si="7"/>
        <v>OTHER</v>
      </c>
      <c r="I167" s="113" t="str">
        <f>INDEX('REGASSET Lookup'!$I:$I,MATCH('REGASSET Jun22data'!$A167,'REGASSET Lookup'!$A:$A,0))</f>
        <v>CUST</v>
      </c>
      <c r="J167" s="113" t="str">
        <f t="shared" si="8"/>
        <v>NO</v>
      </c>
      <c r="K167"/>
    </row>
    <row r="168" spans="1:11">
      <c r="A168" s="114" t="str">
        <f t="shared" si="6"/>
        <v>1823920DSR COSTS AMORTIZED102722RETROFIT COMMISSIONING PROGRAM -UTAH-200OTHER</v>
      </c>
      <c r="B168" s="126" t="s">
        <v>2231</v>
      </c>
      <c r="C168" s="128" t="s">
        <v>695</v>
      </c>
      <c r="D168" s="126" t="s">
        <v>2328</v>
      </c>
      <c r="E168" s="128" t="s">
        <v>798</v>
      </c>
      <c r="F168" s="127" t="s">
        <v>306</v>
      </c>
      <c r="G168" s="136">
        <v>210.95123000000001</v>
      </c>
      <c r="H168" s="113" t="str">
        <f t="shared" si="7"/>
        <v>OTHER</v>
      </c>
      <c r="I168" s="113" t="str">
        <f>INDEX('REGASSET Lookup'!$I:$I,MATCH('REGASSET Jun22data'!$A168,'REGASSET Lookup'!$A:$A,0))</f>
        <v>CUST</v>
      </c>
      <c r="J168" s="113" t="str">
        <f t="shared" si="8"/>
        <v>NO</v>
      </c>
      <c r="K168"/>
    </row>
    <row r="169" spans="1:11">
      <c r="A169" s="114" t="str">
        <f t="shared" si="6"/>
        <v>1823920DSR COSTS AMORTIZED102723C&amp;I LIGHTING LOAD CONTROL -UTAH-2006OTHER</v>
      </c>
      <c r="B169" s="126" t="s">
        <v>2231</v>
      </c>
      <c r="C169" s="128" t="s">
        <v>695</v>
      </c>
      <c r="D169" s="126" t="s">
        <v>2329</v>
      </c>
      <c r="E169" s="128" t="s">
        <v>799</v>
      </c>
      <c r="F169" s="127" t="s">
        <v>306</v>
      </c>
      <c r="G169" s="136">
        <v>7.7117699999999996</v>
      </c>
      <c r="H169" s="113" t="str">
        <f t="shared" si="7"/>
        <v>OTHER</v>
      </c>
      <c r="I169" s="113" t="str">
        <f>INDEX('REGASSET Lookup'!$I:$I,MATCH('REGASSET Jun22data'!$A169,'REGASSET Lookup'!$A:$A,0))</f>
        <v>CUST</v>
      </c>
      <c r="J169" s="113" t="str">
        <f t="shared" si="8"/>
        <v>NO</v>
      </c>
      <c r="K169"/>
    </row>
    <row r="170" spans="1:11">
      <c r="A170" s="114" t="str">
        <f t="shared" si="6"/>
        <v>1823920DSR COSTS AMORTIZED102725CALIFORNIA DSM EXPENSE-2006OTHER</v>
      </c>
      <c r="B170" s="126" t="s">
        <v>2231</v>
      </c>
      <c r="C170" s="128" t="s">
        <v>695</v>
      </c>
      <c r="D170" s="126" t="s">
        <v>3371</v>
      </c>
      <c r="E170" s="128" t="s">
        <v>800</v>
      </c>
      <c r="F170" s="127" t="s">
        <v>306</v>
      </c>
      <c r="G170" s="136">
        <v>1.0000000000000001E-5</v>
      </c>
      <c r="H170" s="113" t="str">
        <f t="shared" si="7"/>
        <v>OTHER</v>
      </c>
      <c r="I170" s="113" t="str">
        <f>INDEX('REGASSET Lookup'!$I:$I,MATCH('REGASSET Jun22data'!$A170,'REGASSET Lookup'!$A:$A,0))</f>
        <v>CUST</v>
      </c>
      <c r="J170" s="113" t="str">
        <f t="shared" si="8"/>
        <v>NO</v>
      </c>
      <c r="K170"/>
    </row>
    <row r="171" spans="1:11">
      <c r="A171" s="114" t="str">
        <f t="shared" si="6"/>
        <v>1823920DSR COSTS AMORTIZED102759HOME ENERGY EFF INCENTIVE PROG-UTAH-2006OTHER</v>
      </c>
      <c r="B171" s="126" t="s">
        <v>2231</v>
      </c>
      <c r="C171" s="128" t="s">
        <v>695</v>
      </c>
      <c r="D171" s="126" t="s">
        <v>2330</v>
      </c>
      <c r="E171" s="128" t="s">
        <v>801</v>
      </c>
      <c r="F171" s="127" t="s">
        <v>306</v>
      </c>
      <c r="G171" s="136">
        <v>240.63041999999999</v>
      </c>
      <c r="H171" s="113" t="str">
        <f t="shared" si="7"/>
        <v>OTHER</v>
      </c>
      <c r="I171" s="113" t="str">
        <f>INDEX('REGASSET Lookup'!$I:$I,MATCH('REGASSET Jun22data'!$A171,'REGASSET Lookup'!$A:$A,0))</f>
        <v>CUST</v>
      </c>
      <c r="J171" s="113" t="str">
        <f t="shared" si="8"/>
        <v>NO</v>
      </c>
      <c r="K171"/>
    </row>
    <row r="172" spans="1:11">
      <c r="A172" s="114" t="str">
        <f t="shared" si="6"/>
        <v>1823920DSR COSTS AMORTIZED102760HOME ENERGY EFF INCENTIVE PROG-WA-2006OTHER</v>
      </c>
      <c r="B172" s="126" t="s">
        <v>2231</v>
      </c>
      <c r="C172" s="128" t="s">
        <v>695</v>
      </c>
      <c r="D172" s="126" t="s">
        <v>2331</v>
      </c>
      <c r="E172" s="128" t="s">
        <v>802</v>
      </c>
      <c r="F172" s="127" t="s">
        <v>306</v>
      </c>
      <c r="G172" s="136">
        <v>15240.2979</v>
      </c>
      <c r="H172" s="113" t="str">
        <f t="shared" si="7"/>
        <v>OTHER</v>
      </c>
      <c r="I172" s="113" t="str">
        <f>INDEX('REGASSET Lookup'!$I:$I,MATCH('REGASSET Jun22data'!$A172,'REGASSET Lookup'!$A:$A,0))</f>
        <v>CUST</v>
      </c>
      <c r="J172" s="113" t="str">
        <f t="shared" si="8"/>
        <v>NO</v>
      </c>
      <c r="K172"/>
    </row>
    <row r="173" spans="1:11">
      <c r="A173" s="114" t="str">
        <f t="shared" si="6"/>
        <v>1823920DSR COSTS AMORTIZED102767DSR COSTS BEING AMORTIZEDOTHER</v>
      </c>
      <c r="B173" s="126" t="s">
        <v>2231</v>
      </c>
      <c r="C173" s="128" t="s">
        <v>695</v>
      </c>
      <c r="D173" s="126" t="s">
        <v>2332</v>
      </c>
      <c r="E173" s="128" t="s">
        <v>803</v>
      </c>
      <c r="F173" s="127" t="s">
        <v>306</v>
      </c>
      <c r="G173" s="136">
        <v>-44183.016029999999</v>
      </c>
      <c r="H173" s="113" t="str">
        <f t="shared" si="7"/>
        <v>OTHER</v>
      </c>
      <c r="I173" s="113" t="str">
        <f>INDEX('REGASSET Lookup'!$I:$I,MATCH('REGASSET Jun22data'!$A173,'REGASSET Lookup'!$A:$A,0))</f>
        <v>CUST</v>
      </c>
      <c r="J173" s="113" t="str">
        <f t="shared" si="8"/>
        <v>NO</v>
      </c>
      <c r="K173"/>
    </row>
    <row r="174" spans="1:11">
      <c r="A174" s="114" t="str">
        <f t="shared" si="6"/>
        <v>1823920DSR COSTS AMORTIZED102796DSR COSTS BEING AMORTIZEDOTHER</v>
      </c>
      <c r="B174" s="126" t="s">
        <v>2231</v>
      </c>
      <c r="C174" s="128" t="s">
        <v>695</v>
      </c>
      <c r="D174" s="126" t="s">
        <v>3372</v>
      </c>
      <c r="E174" s="128" t="s">
        <v>803</v>
      </c>
      <c r="F174" s="127" t="s">
        <v>306</v>
      </c>
      <c r="G174" s="136">
        <v>1.0000000000000001E-5</v>
      </c>
      <c r="H174" s="113" t="str">
        <f t="shared" si="7"/>
        <v>OTHER</v>
      </c>
      <c r="I174" s="113" t="str">
        <f>INDEX('REGASSET Lookup'!$I:$I,MATCH('REGASSET Jun22data'!$A174,'REGASSET Lookup'!$A:$A,0))</f>
        <v>CUST</v>
      </c>
      <c r="J174" s="113" t="str">
        <f t="shared" si="8"/>
        <v>NO</v>
      </c>
      <c r="K174"/>
    </row>
    <row r="175" spans="1:11">
      <c r="A175" s="114" t="str">
        <f t="shared" si="6"/>
        <v>1823920DSR COSTS AMORTIZED102819A/C LOAD CONTROL - RESIDENTIAL/UTAH - 20OTHER</v>
      </c>
      <c r="B175" s="126" t="s">
        <v>2231</v>
      </c>
      <c r="C175" s="128" t="s">
        <v>695</v>
      </c>
      <c r="D175" s="126" t="s">
        <v>2333</v>
      </c>
      <c r="E175" s="128" t="s">
        <v>772</v>
      </c>
      <c r="F175" s="127" t="s">
        <v>306</v>
      </c>
      <c r="G175" s="136">
        <v>5982.4867400000003</v>
      </c>
      <c r="H175" s="113" t="str">
        <f t="shared" si="7"/>
        <v>OTHER</v>
      </c>
      <c r="I175" s="113" t="str">
        <f>INDEX('REGASSET Lookup'!$I:$I,MATCH('REGASSET Jun22data'!$A175,'REGASSET Lookup'!$A:$A,0))</f>
        <v>CUST</v>
      </c>
      <c r="J175" s="113" t="str">
        <f t="shared" si="8"/>
        <v>NO</v>
      </c>
      <c r="K175"/>
    </row>
    <row r="176" spans="1:11">
      <c r="A176" s="114" t="str">
        <f t="shared" si="6"/>
        <v>1823920DSR COSTS AMORTIZED102820AIR CONDITIONING - UTAH - 2007OTHER</v>
      </c>
      <c r="B176" s="126" t="s">
        <v>2231</v>
      </c>
      <c r="C176" s="128" t="s">
        <v>695</v>
      </c>
      <c r="D176" s="126" t="s">
        <v>2334</v>
      </c>
      <c r="E176" s="128" t="s">
        <v>812</v>
      </c>
      <c r="F176" s="127" t="s">
        <v>306</v>
      </c>
      <c r="G176" s="136">
        <v>882.56244000000004</v>
      </c>
      <c r="H176" s="113" t="str">
        <f t="shared" si="7"/>
        <v>OTHER</v>
      </c>
      <c r="I176" s="113" t="str">
        <f>INDEX('REGASSET Lookup'!$I:$I,MATCH('REGASSET Jun22data'!$A176,'REGASSET Lookup'!$A:$A,0))</f>
        <v>CUST</v>
      </c>
      <c r="J176" s="113" t="str">
        <f t="shared" si="8"/>
        <v>NO</v>
      </c>
      <c r="K176"/>
    </row>
    <row r="177" spans="1:11">
      <c r="A177" s="114" t="str">
        <f t="shared" si="6"/>
        <v>1823920DSR COSTS AMORTIZED102821ENERGY FINANSWER - UTAH - 2007OTHER</v>
      </c>
      <c r="B177" s="126" t="s">
        <v>2231</v>
      </c>
      <c r="C177" s="128" t="s">
        <v>695</v>
      </c>
      <c r="D177" s="126" t="s">
        <v>2335</v>
      </c>
      <c r="E177" s="128" t="s">
        <v>813</v>
      </c>
      <c r="F177" s="127" t="s">
        <v>306</v>
      </c>
      <c r="G177" s="136">
        <v>1952.2843399999999</v>
      </c>
      <c r="H177" s="113" t="str">
        <f t="shared" si="7"/>
        <v>OTHER</v>
      </c>
      <c r="I177" s="113" t="str">
        <f>INDEX('REGASSET Lookup'!$I:$I,MATCH('REGASSET Jun22data'!$A177,'REGASSET Lookup'!$A:$A,0))</f>
        <v>CUST</v>
      </c>
      <c r="J177" s="113" t="str">
        <f t="shared" si="8"/>
        <v>NO</v>
      </c>
      <c r="K177"/>
    </row>
    <row r="178" spans="1:11">
      <c r="A178" s="114" t="str">
        <f t="shared" si="6"/>
        <v>1823920DSR COSTS AMORTIZED102822INDUSTRIAL FINANSWER - UTAH - 2007OTHER</v>
      </c>
      <c r="B178" s="126" t="s">
        <v>2231</v>
      </c>
      <c r="C178" s="128" t="s">
        <v>695</v>
      </c>
      <c r="D178" s="126" t="s">
        <v>2336</v>
      </c>
      <c r="E178" s="128" t="s">
        <v>814</v>
      </c>
      <c r="F178" s="127" t="s">
        <v>306</v>
      </c>
      <c r="G178" s="136">
        <v>3369.3951299999999</v>
      </c>
      <c r="H178" s="113" t="str">
        <f t="shared" si="7"/>
        <v>OTHER</v>
      </c>
      <c r="I178" s="113" t="str">
        <f>INDEX('REGASSET Lookup'!$I:$I,MATCH('REGASSET Jun22data'!$A178,'REGASSET Lookup'!$A:$A,0))</f>
        <v>CUST</v>
      </c>
      <c r="J178" s="113" t="str">
        <f t="shared" si="8"/>
        <v>NO</v>
      </c>
      <c r="K178"/>
    </row>
    <row r="179" spans="1:11">
      <c r="A179" s="114" t="str">
        <f t="shared" si="6"/>
        <v>1823920DSR COSTS AMORTIZED102823LOW INCOME - UTAH - 2007OTHER</v>
      </c>
      <c r="B179" s="126" t="s">
        <v>2231</v>
      </c>
      <c r="C179" s="128" t="s">
        <v>695</v>
      </c>
      <c r="D179" s="126" t="s">
        <v>2337</v>
      </c>
      <c r="E179" s="128" t="s">
        <v>815</v>
      </c>
      <c r="F179" s="127" t="s">
        <v>306</v>
      </c>
      <c r="G179" s="136">
        <v>117.12991</v>
      </c>
      <c r="H179" s="113" t="str">
        <f t="shared" si="7"/>
        <v>OTHER</v>
      </c>
      <c r="I179" s="113" t="str">
        <f>INDEX('REGASSET Lookup'!$I:$I,MATCH('REGASSET Jun22data'!$A179,'REGASSET Lookup'!$A:$A,0))</f>
        <v>CUST</v>
      </c>
      <c r="J179" s="113" t="str">
        <f t="shared" si="8"/>
        <v>NO</v>
      </c>
      <c r="K179"/>
    </row>
    <row r="180" spans="1:11">
      <c r="A180" s="114" t="str">
        <f t="shared" si="6"/>
        <v>1823920DSR COSTS AMORTIZED102824POWER FORWARD - UTAH - 2007OTHER</v>
      </c>
      <c r="B180" s="126" t="s">
        <v>2231</v>
      </c>
      <c r="C180" s="128" t="s">
        <v>695</v>
      </c>
      <c r="D180" s="126" t="s">
        <v>2338</v>
      </c>
      <c r="E180" s="128" t="s">
        <v>816</v>
      </c>
      <c r="F180" s="127" t="s">
        <v>306</v>
      </c>
      <c r="G180" s="136">
        <v>50</v>
      </c>
      <c r="H180" s="113" t="str">
        <f t="shared" si="7"/>
        <v>OTHER</v>
      </c>
      <c r="I180" s="113" t="str">
        <f>INDEX('REGASSET Lookup'!$I:$I,MATCH('REGASSET Jun22data'!$A180,'REGASSET Lookup'!$A:$A,0))</f>
        <v>CUST</v>
      </c>
      <c r="J180" s="113" t="str">
        <f t="shared" si="8"/>
        <v>NO</v>
      </c>
      <c r="K180"/>
    </row>
    <row r="181" spans="1:11">
      <c r="A181" s="114" t="str">
        <f t="shared" si="6"/>
        <v>1823920DSR COSTS AMORTIZED102825REFRIGERATOR RECYCLING PGM- UTAH - 2007OTHER</v>
      </c>
      <c r="B181" s="126" t="s">
        <v>2231</v>
      </c>
      <c r="C181" s="128" t="s">
        <v>695</v>
      </c>
      <c r="D181" s="126" t="s">
        <v>2339</v>
      </c>
      <c r="E181" s="128" t="s">
        <v>817</v>
      </c>
      <c r="F181" s="127" t="s">
        <v>306</v>
      </c>
      <c r="G181" s="136">
        <v>3398.6216399999998</v>
      </c>
      <c r="H181" s="113" t="str">
        <f t="shared" si="7"/>
        <v>OTHER</v>
      </c>
      <c r="I181" s="113" t="str">
        <f>INDEX('REGASSET Lookup'!$I:$I,MATCH('REGASSET Jun22data'!$A181,'REGASSET Lookup'!$A:$A,0))</f>
        <v>CUST</v>
      </c>
      <c r="J181" s="113" t="str">
        <f t="shared" si="8"/>
        <v>NO</v>
      </c>
      <c r="K181"/>
    </row>
    <row r="182" spans="1:11">
      <c r="A182" s="114" t="str">
        <f t="shared" si="6"/>
        <v>1823920DSR COSTS AMORTIZED102826COMMERCIAL SELF-DIRECT - UTAH - 2007OTHER</v>
      </c>
      <c r="B182" s="126" t="s">
        <v>2231</v>
      </c>
      <c r="C182" s="128" t="s">
        <v>695</v>
      </c>
      <c r="D182" s="126" t="s">
        <v>2340</v>
      </c>
      <c r="E182" s="128" t="s">
        <v>818</v>
      </c>
      <c r="F182" s="127" t="s">
        <v>306</v>
      </c>
      <c r="G182" s="136">
        <v>61.213540000000002</v>
      </c>
      <c r="H182" s="113" t="str">
        <f t="shared" si="7"/>
        <v>OTHER</v>
      </c>
      <c r="I182" s="113" t="str">
        <f>INDEX('REGASSET Lookup'!$I:$I,MATCH('REGASSET Jun22data'!$A182,'REGASSET Lookup'!$A:$A,0))</f>
        <v>CUST</v>
      </c>
      <c r="J182" s="113" t="str">
        <f t="shared" si="8"/>
        <v>NO</v>
      </c>
      <c r="K182"/>
    </row>
    <row r="183" spans="1:11">
      <c r="A183" s="114" t="str">
        <f t="shared" si="6"/>
        <v>1823920DSR COSTS AMORTIZED102827INDUSTRIAL SELF-DIRECT - UTAH - 2007OTHER</v>
      </c>
      <c r="B183" s="126" t="s">
        <v>2231</v>
      </c>
      <c r="C183" s="128" t="s">
        <v>695</v>
      </c>
      <c r="D183" s="126" t="s">
        <v>2341</v>
      </c>
      <c r="E183" s="128" t="s">
        <v>819</v>
      </c>
      <c r="F183" s="127" t="s">
        <v>306</v>
      </c>
      <c r="G183" s="136">
        <v>107.61076</v>
      </c>
      <c r="H183" s="113" t="str">
        <f t="shared" si="7"/>
        <v>OTHER</v>
      </c>
      <c r="I183" s="113" t="str">
        <f>INDEX('REGASSET Lookup'!$I:$I,MATCH('REGASSET Jun22data'!$A183,'REGASSET Lookup'!$A:$A,0))</f>
        <v>CUST</v>
      </c>
      <c r="J183" s="113" t="str">
        <f t="shared" si="8"/>
        <v>NO</v>
      </c>
      <c r="K183"/>
    </row>
    <row r="184" spans="1:11">
      <c r="A184" s="114" t="str">
        <f t="shared" si="6"/>
        <v>1823920DSR COSTS AMORTIZED102828RESIDENTIAL NEW CONSTRUCTION - UTAH - 20OTHER</v>
      </c>
      <c r="B184" s="126" t="s">
        <v>2231</v>
      </c>
      <c r="C184" s="128" t="s">
        <v>695</v>
      </c>
      <c r="D184" s="126" t="s">
        <v>2342</v>
      </c>
      <c r="E184" s="128" t="s">
        <v>757</v>
      </c>
      <c r="F184" s="127" t="s">
        <v>306</v>
      </c>
      <c r="G184" s="136">
        <v>1936.3963799999999</v>
      </c>
      <c r="H184" s="113" t="str">
        <f t="shared" si="7"/>
        <v>OTHER</v>
      </c>
      <c r="I184" s="113" t="str">
        <f>INDEX('REGASSET Lookup'!$I:$I,MATCH('REGASSET Jun22data'!$A184,'REGASSET Lookup'!$A:$A,0))</f>
        <v>CUST</v>
      </c>
      <c r="J184" s="113" t="str">
        <f t="shared" si="8"/>
        <v>NO</v>
      </c>
      <c r="K184"/>
    </row>
    <row r="185" spans="1:11">
      <c r="A185" s="114" t="str">
        <f t="shared" si="6"/>
        <v>1823920DSR COSTS AMORTIZED102829COMMERCIAL FINANSWER EXPRESS - UTAH - 20OTHER</v>
      </c>
      <c r="B185" s="126" t="s">
        <v>2231</v>
      </c>
      <c r="C185" s="128" t="s">
        <v>695</v>
      </c>
      <c r="D185" s="126" t="s">
        <v>2343</v>
      </c>
      <c r="E185" s="128" t="s">
        <v>760</v>
      </c>
      <c r="F185" s="127" t="s">
        <v>306</v>
      </c>
      <c r="G185" s="136">
        <v>3276.6373699999999</v>
      </c>
      <c r="H185" s="113" t="str">
        <f t="shared" si="7"/>
        <v>OTHER</v>
      </c>
      <c r="I185" s="113" t="str">
        <f>INDEX('REGASSET Lookup'!$I:$I,MATCH('REGASSET Jun22data'!$A185,'REGASSET Lookup'!$A:$A,0))</f>
        <v>CUST</v>
      </c>
      <c r="J185" s="113" t="str">
        <f t="shared" si="8"/>
        <v>NO</v>
      </c>
      <c r="K185"/>
    </row>
    <row r="186" spans="1:11">
      <c r="A186" s="114" t="str">
        <f t="shared" si="6"/>
        <v>1823920DSR COSTS AMORTIZED102830INDUSTRIAL FINANSWER EXPRESS - UTAH - 20OTHER</v>
      </c>
      <c r="B186" s="126" t="s">
        <v>2231</v>
      </c>
      <c r="C186" s="128" t="s">
        <v>695</v>
      </c>
      <c r="D186" s="126" t="s">
        <v>2344</v>
      </c>
      <c r="E186" s="128" t="s">
        <v>761</v>
      </c>
      <c r="F186" s="127" t="s">
        <v>306</v>
      </c>
      <c r="G186" s="136">
        <v>967.89549999999997</v>
      </c>
      <c r="H186" s="113" t="str">
        <f t="shared" si="7"/>
        <v>OTHER</v>
      </c>
      <c r="I186" s="113" t="str">
        <f>INDEX('REGASSET Lookup'!$I:$I,MATCH('REGASSET Jun22data'!$A186,'REGASSET Lookup'!$A:$A,0))</f>
        <v>CUST</v>
      </c>
      <c r="J186" s="113" t="str">
        <f t="shared" si="8"/>
        <v>NO</v>
      </c>
      <c r="K186"/>
    </row>
    <row r="187" spans="1:11">
      <c r="A187" s="114" t="str">
        <f t="shared" si="6"/>
        <v>1823920DSR COSTS AMORTIZED102831RETROFIT COMMISSIONING PROGRAM - UTAH -OTHER</v>
      </c>
      <c r="B187" s="126" t="s">
        <v>2231</v>
      </c>
      <c r="C187" s="128" t="s">
        <v>695</v>
      </c>
      <c r="D187" s="126" t="s">
        <v>2345</v>
      </c>
      <c r="E187" s="128" t="s">
        <v>820</v>
      </c>
      <c r="F187" s="127" t="s">
        <v>306</v>
      </c>
      <c r="G187" s="136">
        <v>187.28456</v>
      </c>
      <c r="H187" s="113" t="str">
        <f t="shared" si="7"/>
        <v>OTHER</v>
      </c>
      <c r="I187" s="113" t="str">
        <f>INDEX('REGASSET Lookup'!$I:$I,MATCH('REGASSET Jun22data'!$A187,'REGASSET Lookup'!$A:$A,0))</f>
        <v>CUST</v>
      </c>
      <c r="J187" s="113" t="str">
        <f t="shared" si="8"/>
        <v>NO</v>
      </c>
      <c r="K187"/>
    </row>
    <row r="188" spans="1:11">
      <c r="A188" s="114" t="str">
        <f t="shared" si="6"/>
        <v>1823920DSR COSTS AMORTIZED102833IRRIGATION LOAD CONTROL  - UTAH - 2007OTHER</v>
      </c>
      <c r="B188" s="126" t="s">
        <v>2231</v>
      </c>
      <c r="C188" s="128" t="s">
        <v>695</v>
      </c>
      <c r="D188" s="126" t="s">
        <v>2346</v>
      </c>
      <c r="E188" s="128" t="s">
        <v>821</v>
      </c>
      <c r="F188" s="127" t="s">
        <v>306</v>
      </c>
      <c r="G188" s="136">
        <v>276.50463999999999</v>
      </c>
      <c r="H188" s="113" t="str">
        <f t="shared" si="7"/>
        <v>OTHER</v>
      </c>
      <c r="I188" s="113" t="str">
        <f>INDEX('REGASSET Lookup'!$I:$I,MATCH('REGASSET Jun22data'!$A188,'REGASSET Lookup'!$A:$A,0))</f>
        <v>CUST</v>
      </c>
      <c r="J188" s="113" t="str">
        <f t="shared" si="8"/>
        <v>NO</v>
      </c>
      <c r="K188"/>
    </row>
    <row r="189" spans="1:11">
      <c r="A189" s="114" t="str">
        <f t="shared" si="6"/>
        <v>1823920DSR COSTS AMORTIZED102834HOME ENERGY EFF INCENTIVE PROG - UT 2007OTHER</v>
      </c>
      <c r="B189" s="126" t="s">
        <v>2231</v>
      </c>
      <c r="C189" s="128" t="s">
        <v>695</v>
      </c>
      <c r="D189" s="126" t="s">
        <v>2347</v>
      </c>
      <c r="E189" s="128" t="s">
        <v>822</v>
      </c>
      <c r="F189" s="127" t="s">
        <v>306</v>
      </c>
      <c r="G189" s="136">
        <v>3033.9213100000002</v>
      </c>
      <c r="H189" s="113" t="str">
        <f t="shared" si="7"/>
        <v>OTHER</v>
      </c>
      <c r="I189" s="113" t="str">
        <f>INDEX('REGASSET Lookup'!$I:$I,MATCH('REGASSET Jun22data'!$A189,'REGASSET Lookup'!$A:$A,0))</f>
        <v>CUST</v>
      </c>
      <c r="J189" s="113" t="str">
        <f t="shared" si="8"/>
        <v>NO</v>
      </c>
      <c r="K189"/>
    </row>
    <row r="190" spans="1:11">
      <c r="A190" s="114" t="str">
        <f t="shared" si="6"/>
        <v>1823920DSR COSTS AMORTIZED102883CALIFORNIA DSM EXPENSE - 2008OTHER</v>
      </c>
      <c r="B190" s="126" t="s">
        <v>2231</v>
      </c>
      <c r="C190" s="128" t="s">
        <v>695</v>
      </c>
      <c r="D190" s="126" t="s">
        <v>3373</v>
      </c>
      <c r="E190" s="128" t="s">
        <v>823</v>
      </c>
      <c r="F190" s="127" t="s">
        <v>306</v>
      </c>
      <c r="G190" s="136">
        <v>1.0000000000000001E-5</v>
      </c>
      <c r="H190" s="113" t="str">
        <f t="shared" si="7"/>
        <v>OTHER</v>
      </c>
      <c r="I190" s="113" t="str">
        <f>INDEX('REGASSET Lookup'!$I:$I,MATCH('REGASSET Jun22data'!$A190,'REGASSET Lookup'!$A:$A,0))</f>
        <v>DMSC</v>
      </c>
      <c r="J190" s="113" t="str">
        <f t="shared" si="8"/>
        <v>NO</v>
      </c>
      <c r="K190"/>
    </row>
    <row r="191" spans="1:11">
      <c r="A191" s="114" t="str">
        <f t="shared" si="6"/>
        <v>1823920DSR COSTS AMORTIZED102906AC LOAD CONTROL - RESIDENTIAL - UTAH 200OTHER</v>
      </c>
      <c r="B191" s="126" t="s">
        <v>2231</v>
      </c>
      <c r="C191" s="128" t="s">
        <v>695</v>
      </c>
      <c r="D191" s="126" t="s">
        <v>2348</v>
      </c>
      <c r="E191" s="128" t="s">
        <v>833</v>
      </c>
      <c r="F191" s="127" t="s">
        <v>306</v>
      </c>
      <c r="G191" s="136">
        <v>7175.2080900000001</v>
      </c>
      <c r="H191" s="113" t="str">
        <f t="shared" si="7"/>
        <v>OTHER</v>
      </c>
      <c r="I191" s="113" t="str">
        <f>INDEX('REGASSET Lookup'!$I:$I,MATCH('REGASSET Jun22data'!$A191,'REGASSET Lookup'!$A:$A,0))</f>
        <v>CUST</v>
      </c>
      <c r="J191" s="113" t="str">
        <f t="shared" si="8"/>
        <v>NO</v>
      </c>
      <c r="K191"/>
    </row>
    <row r="192" spans="1:11">
      <c r="A192" s="114" t="str">
        <f t="shared" si="6"/>
        <v>1823920DSR COSTS AMORTIZED102907AIR CONDITIONING - UTAH 2008OTHER</v>
      </c>
      <c r="B192" s="126" t="s">
        <v>2231</v>
      </c>
      <c r="C192" s="128" t="s">
        <v>695</v>
      </c>
      <c r="D192" s="126" t="s">
        <v>2349</v>
      </c>
      <c r="E192" s="128" t="s">
        <v>834</v>
      </c>
      <c r="F192" s="127" t="s">
        <v>306</v>
      </c>
      <c r="G192" s="136">
        <v>526.31577000000004</v>
      </c>
      <c r="H192" s="113" t="str">
        <f t="shared" si="7"/>
        <v>OTHER</v>
      </c>
      <c r="I192" s="113" t="str">
        <f>INDEX('REGASSET Lookup'!$I:$I,MATCH('REGASSET Jun22data'!$A192,'REGASSET Lookup'!$A:$A,0))</f>
        <v>CUST</v>
      </c>
      <c r="J192" s="113" t="str">
        <f t="shared" si="8"/>
        <v>NO</v>
      </c>
      <c r="K192"/>
    </row>
    <row r="193" spans="1:11">
      <c r="A193" s="114" t="str">
        <f t="shared" si="6"/>
        <v>1823920DSR COSTS AMORTIZED102908ENERGY FINANSWER - UTAH - 2008OTHER</v>
      </c>
      <c r="B193" s="126" t="s">
        <v>2231</v>
      </c>
      <c r="C193" s="128" t="s">
        <v>695</v>
      </c>
      <c r="D193" s="126" t="s">
        <v>2350</v>
      </c>
      <c r="E193" s="128" t="s">
        <v>835</v>
      </c>
      <c r="F193" s="127" t="s">
        <v>306</v>
      </c>
      <c r="G193" s="136">
        <v>3466.0316800000001</v>
      </c>
      <c r="H193" s="113" t="str">
        <f t="shared" si="7"/>
        <v>OTHER</v>
      </c>
      <c r="I193" s="113" t="str">
        <f>INDEX('REGASSET Lookup'!$I:$I,MATCH('REGASSET Jun22data'!$A193,'REGASSET Lookup'!$A:$A,0))</f>
        <v>CUST</v>
      </c>
      <c r="J193" s="113" t="str">
        <f t="shared" si="8"/>
        <v>NO</v>
      </c>
      <c r="K193"/>
    </row>
    <row r="194" spans="1:11">
      <c r="A194" s="114" t="str">
        <f t="shared" si="6"/>
        <v>1823920DSR COSTS AMORTIZED102909INDUSTRIAL FINANSWER - UTAH - 2008OTHER</v>
      </c>
      <c r="B194" s="126" t="s">
        <v>2231</v>
      </c>
      <c r="C194" s="128" t="s">
        <v>695</v>
      </c>
      <c r="D194" s="126" t="s">
        <v>2351</v>
      </c>
      <c r="E194" s="128" t="s">
        <v>836</v>
      </c>
      <c r="F194" s="127" t="s">
        <v>306</v>
      </c>
      <c r="G194" s="136">
        <v>4288.9031299999997</v>
      </c>
      <c r="H194" s="113" t="str">
        <f t="shared" si="7"/>
        <v>OTHER</v>
      </c>
      <c r="I194" s="113" t="str">
        <f>INDEX('REGASSET Lookup'!$I:$I,MATCH('REGASSET Jun22data'!$A194,'REGASSET Lookup'!$A:$A,0))</f>
        <v>CUST</v>
      </c>
      <c r="J194" s="113" t="str">
        <f t="shared" si="8"/>
        <v>NO</v>
      </c>
      <c r="K194"/>
    </row>
    <row r="195" spans="1:11">
      <c r="A195" s="114" t="str">
        <f t="shared" ref="A195:A258" si="9">CONCATENATE($B195,$C195,$D195,$E195,$H195)</f>
        <v>1823920DSR COSTS AMORTIZED102910LOW INCOME - UTAH 2008OTHER</v>
      </c>
      <c r="B195" s="126" t="s">
        <v>2231</v>
      </c>
      <c r="C195" s="128" t="s">
        <v>695</v>
      </c>
      <c r="D195" s="126" t="s">
        <v>2352</v>
      </c>
      <c r="E195" s="128" t="s">
        <v>837</v>
      </c>
      <c r="F195" s="127" t="s">
        <v>306</v>
      </c>
      <c r="G195" s="136">
        <v>127.42278</v>
      </c>
      <c r="H195" s="113" t="str">
        <f t="shared" ref="H195:H258" si="10">IF(OR(F195="IDU",F195="OR",F195="UT",F195="WYU",F195="WYP",F195="CA",F195="WA"),"SITUS",IF(OR(F195="CAEE",F195="JBE"),"SE",IF(OR(F195="CAGE",F195="CAGW",F195="JBG"),"SG",F195)))</f>
        <v>OTHER</v>
      </c>
      <c r="I195" s="113" t="str">
        <f>INDEX('REGASSET Lookup'!$I:$I,MATCH('REGASSET Jun22data'!$A195,'REGASSET Lookup'!$A:$A,0))</f>
        <v>CUST</v>
      </c>
      <c r="J195" s="113" t="str">
        <f t="shared" ref="J195:J258" si="11">IF(G195=0,"NO",IF(ISNA($I195),"YES",IF(_xlfn.ISFORMULA($I195),"NO","YES")))</f>
        <v>NO</v>
      </c>
      <c r="K195"/>
    </row>
    <row r="196" spans="1:11">
      <c r="A196" s="114" t="str">
        <f t="shared" si="9"/>
        <v>1823920DSR COSTS AMORTIZED102911POWER FORWARD - UTAH - 2008OTHER</v>
      </c>
      <c r="B196" s="126" t="s">
        <v>2231</v>
      </c>
      <c r="C196" s="128" t="s">
        <v>695</v>
      </c>
      <c r="D196" s="126" t="s">
        <v>2353</v>
      </c>
      <c r="E196" s="128" t="s">
        <v>838</v>
      </c>
      <c r="F196" s="127" t="s">
        <v>306</v>
      </c>
      <c r="G196" s="136">
        <v>50.073210000000003</v>
      </c>
      <c r="H196" s="113" t="str">
        <f t="shared" si="10"/>
        <v>OTHER</v>
      </c>
      <c r="I196" s="113" t="str">
        <f>INDEX('REGASSET Lookup'!$I:$I,MATCH('REGASSET Jun22data'!$A196,'REGASSET Lookup'!$A:$A,0))</f>
        <v>CUST</v>
      </c>
      <c r="J196" s="113" t="str">
        <f t="shared" si="11"/>
        <v>NO</v>
      </c>
      <c r="K196"/>
    </row>
    <row r="197" spans="1:11">
      <c r="A197" s="114" t="str">
        <f t="shared" si="9"/>
        <v>1823920DSR COSTS AMORTIZED102912REFRIGERATOR RECYCLING - UTAH - 2008OTHER</v>
      </c>
      <c r="B197" s="126" t="s">
        <v>2231</v>
      </c>
      <c r="C197" s="128" t="s">
        <v>695</v>
      </c>
      <c r="D197" s="126" t="s">
        <v>2354</v>
      </c>
      <c r="E197" s="128" t="s">
        <v>839</v>
      </c>
      <c r="F197" s="127" t="s">
        <v>306</v>
      </c>
      <c r="G197" s="136">
        <v>2570.3730799999998</v>
      </c>
      <c r="H197" s="113" t="str">
        <f t="shared" si="10"/>
        <v>OTHER</v>
      </c>
      <c r="I197" s="113" t="str">
        <f>INDEX('REGASSET Lookup'!$I:$I,MATCH('REGASSET Jun22data'!$A197,'REGASSET Lookup'!$A:$A,0))</f>
        <v>CUST</v>
      </c>
      <c r="J197" s="113" t="str">
        <f t="shared" si="11"/>
        <v>NO</v>
      </c>
      <c r="K197"/>
    </row>
    <row r="198" spans="1:11">
      <c r="A198" s="114" t="str">
        <f t="shared" si="9"/>
        <v>1823920DSR COSTS AMORTIZED102913COMMERCIAL SELF DIRECT - UTAH - 2008OTHER</v>
      </c>
      <c r="B198" s="126" t="s">
        <v>2231</v>
      </c>
      <c r="C198" s="128" t="s">
        <v>695</v>
      </c>
      <c r="D198" s="126" t="s">
        <v>2355</v>
      </c>
      <c r="E198" s="128" t="s">
        <v>840</v>
      </c>
      <c r="F198" s="127" t="s">
        <v>306</v>
      </c>
      <c r="G198" s="136">
        <v>83.079470000000001</v>
      </c>
      <c r="H198" s="113" t="str">
        <f t="shared" si="10"/>
        <v>OTHER</v>
      </c>
      <c r="I198" s="113" t="str">
        <f>INDEX('REGASSET Lookup'!$I:$I,MATCH('REGASSET Jun22data'!$A198,'REGASSET Lookup'!$A:$A,0))</f>
        <v>CUST</v>
      </c>
      <c r="J198" s="113" t="str">
        <f t="shared" si="11"/>
        <v>NO</v>
      </c>
      <c r="K198"/>
    </row>
    <row r="199" spans="1:11">
      <c r="A199" s="114" t="str">
        <f t="shared" si="9"/>
        <v>1823920DSR COSTS AMORTIZED102914INDUSTRIAL SELF DIRECT - UTAH - 2008OTHER</v>
      </c>
      <c r="B199" s="126" t="s">
        <v>2231</v>
      </c>
      <c r="C199" s="128" t="s">
        <v>695</v>
      </c>
      <c r="D199" s="126" t="s">
        <v>2356</v>
      </c>
      <c r="E199" s="128" t="s">
        <v>841</v>
      </c>
      <c r="F199" s="127" t="s">
        <v>306</v>
      </c>
      <c r="G199" s="136">
        <v>126.04481</v>
      </c>
      <c r="H199" s="113" t="str">
        <f t="shared" si="10"/>
        <v>OTHER</v>
      </c>
      <c r="I199" s="113" t="str">
        <f>INDEX('REGASSET Lookup'!$I:$I,MATCH('REGASSET Jun22data'!$A199,'REGASSET Lookup'!$A:$A,0))</f>
        <v>CUST</v>
      </c>
      <c r="J199" s="113" t="str">
        <f t="shared" si="11"/>
        <v>NO</v>
      </c>
      <c r="K199"/>
    </row>
    <row r="200" spans="1:11">
      <c r="A200" s="114" t="str">
        <f t="shared" si="9"/>
        <v>1823920DSR COSTS AMORTIZED102915RESIDENTIAL NEW CONSTRUCTION - UTAH 2008OTHER</v>
      </c>
      <c r="B200" s="126" t="s">
        <v>2231</v>
      </c>
      <c r="C200" s="128" t="s">
        <v>695</v>
      </c>
      <c r="D200" s="126" t="s">
        <v>2357</v>
      </c>
      <c r="E200" s="128" t="s">
        <v>842</v>
      </c>
      <c r="F200" s="127" t="s">
        <v>306</v>
      </c>
      <c r="G200" s="136">
        <v>1663.64887</v>
      </c>
      <c r="H200" s="113" t="str">
        <f t="shared" si="10"/>
        <v>OTHER</v>
      </c>
      <c r="I200" s="113" t="str">
        <f>INDEX('REGASSET Lookup'!$I:$I,MATCH('REGASSET Jun22data'!$A200,'REGASSET Lookup'!$A:$A,0))</f>
        <v>CUST</v>
      </c>
      <c r="J200" s="113" t="str">
        <f t="shared" si="11"/>
        <v>NO</v>
      </c>
      <c r="K200"/>
    </row>
    <row r="201" spans="1:11">
      <c r="A201" s="114" t="str">
        <f t="shared" si="9"/>
        <v>1823920DSR COSTS AMORTIZED102916COMMERCIAL FINANSWER EXPRESS - UTAH 2008OTHER</v>
      </c>
      <c r="B201" s="126" t="s">
        <v>2231</v>
      </c>
      <c r="C201" s="128" t="s">
        <v>695</v>
      </c>
      <c r="D201" s="126" t="s">
        <v>2358</v>
      </c>
      <c r="E201" s="128" t="s">
        <v>843</v>
      </c>
      <c r="F201" s="127" t="s">
        <v>306</v>
      </c>
      <c r="G201" s="136">
        <v>3790.9827599999999</v>
      </c>
      <c r="H201" s="113" t="str">
        <f t="shared" si="10"/>
        <v>OTHER</v>
      </c>
      <c r="I201" s="113" t="str">
        <f>INDEX('REGASSET Lookup'!$I:$I,MATCH('REGASSET Jun22data'!$A201,'REGASSET Lookup'!$A:$A,0))</f>
        <v>CUST</v>
      </c>
      <c r="J201" s="113" t="str">
        <f t="shared" si="11"/>
        <v>NO</v>
      </c>
      <c r="K201"/>
    </row>
    <row r="202" spans="1:11">
      <c r="A202" s="114" t="str">
        <f t="shared" si="9"/>
        <v>1823920DSR COSTS AMORTIZED102917INDUSTRIAL FINANSWER EXPRESS - UTAH 2008OTHER</v>
      </c>
      <c r="B202" s="126" t="s">
        <v>2231</v>
      </c>
      <c r="C202" s="128" t="s">
        <v>695</v>
      </c>
      <c r="D202" s="126" t="s">
        <v>2359</v>
      </c>
      <c r="E202" s="128" t="s">
        <v>844</v>
      </c>
      <c r="F202" s="127" t="s">
        <v>306</v>
      </c>
      <c r="G202" s="136">
        <v>1133.1433500000001</v>
      </c>
      <c r="H202" s="113" t="str">
        <f t="shared" si="10"/>
        <v>OTHER</v>
      </c>
      <c r="I202" s="113" t="str">
        <f>INDEX('REGASSET Lookup'!$I:$I,MATCH('REGASSET Jun22data'!$A202,'REGASSET Lookup'!$A:$A,0))</f>
        <v>CUST</v>
      </c>
      <c r="J202" s="113" t="str">
        <f t="shared" si="11"/>
        <v>NO</v>
      </c>
      <c r="K202"/>
    </row>
    <row r="203" spans="1:11">
      <c r="A203" s="114" t="str">
        <f t="shared" si="9"/>
        <v>1823920DSR COSTS AMORTIZED102918RETROFIT COMMISSIONING PROGRAM - UTAH -OTHER</v>
      </c>
      <c r="B203" s="126" t="s">
        <v>2231</v>
      </c>
      <c r="C203" s="128" t="s">
        <v>695</v>
      </c>
      <c r="D203" s="126" t="s">
        <v>2360</v>
      </c>
      <c r="E203" s="128" t="s">
        <v>820</v>
      </c>
      <c r="F203" s="127" t="s">
        <v>306</v>
      </c>
      <c r="G203" s="136">
        <v>1053.38078</v>
      </c>
      <c r="H203" s="113" t="str">
        <f t="shared" si="10"/>
        <v>OTHER</v>
      </c>
      <c r="I203" s="113" t="str">
        <f>INDEX('REGASSET Lookup'!$I:$I,MATCH('REGASSET Jun22data'!$A203,'REGASSET Lookup'!$A:$A,0))</f>
        <v>CUST</v>
      </c>
      <c r="J203" s="113" t="str">
        <f t="shared" si="11"/>
        <v>NO</v>
      </c>
      <c r="K203"/>
    </row>
    <row r="204" spans="1:11">
      <c r="A204" s="114" t="str">
        <f t="shared" si="9"/>
        <v>1823920DSR COSTS AMORTIZED102919C&amp;I LIGHTING LOAD CONTROL  - UTAH - 2008OTHER</v>
      </c>
      <c r="B204" s="126" t="s">
        <v>2231</v>
      </c>
      <c r="C204" s="128" t="s">
        <v>695</v>
      </c>
      <c r="D204" s="126" t="s">
        <v>2361</v>
      </c>
      <c r="E204" s="128" t="s">
        <v>845</v>
      </c>
      <c r="F204" s="127" t="s">
        <v>306</v>
      </c>
      <c r="G204" s="136">
        <v>3.64</v>
      </c>
      <c r="H204" s="113" t="str">
        <f t="shared" si="10"/>
        <v>OTHER</v>
      </c>
      <c r="I204" s="113" t="str">
        <f>INDEX('REGASSET Lookup'!$I:$I,MATCH('REGASSET Jun22data'!$A204,'REGASSET Lookup'!$A:$A,0))</f>
        <v>CUST</v>
      </c>
      <c r="J204" s="113" t="str">
        <f t="shared" si="11"/>
        <v>NO</v>
      </c>
      <c r="K204"/>
    </row>
    <row r="205" spans="1:11">
      <c r="A205" s="114" t="str">
        <f t="shared" si="9"/>
        <v>1823920DSR COSTS AMORTIZED102920IRRIGATION LOAD CONTROL - UTAHOTHER</v>
      </c>
      <c r="B205" s="126" t="s">
        <v>2231</v>
      </c>
      <c r="C205" s="128" t="s">
        <v>695</v>
      </c>
      <c r="D205" s="126" t="s">
        <v>2362</v>
      </c>
      <c r="E205" s="128" t="s">
        <v>846</v>
      </c>
      <c r="F205" s="127" t="s">
        <v>306</v>
      </c>
      <c r="G205" s="136">
        <v>761.93082000000004</v>
      </c>
      <c r="H205" s="113" t="str">
        <f t="shared" si="10"/>
        <v>OTHER</v>
      </c>
      <c r="I205" s="113" t="str">
        <f>INDEX('REGASSET Lookup'!$I:$I,MATCH('REGASSET Jun22data'!$A205,'REGASSET Lookup'!$A:$A,0))</f>
        <v>CUST</v>
      </c>
      <c r="J205" s="113" t="str">
        <f t="shared" si="11"/>
        <v>NO</v>
      </c>
      <c r="K205"/>
    </row>
    <row r="206" spans="1:11">
      <c r="A206" s="114" t="str">
        <f t="shared" si="9"/>
        <v>1823920DSR COSTS AMORTIZED102921HOME ENERGY EFF INCENTIVE PROGRAM - UTAHOTHER</v>
      </c>
      <c r="B206" s="126" t="s">
        <v>2231</v>
      </c>
      <c r="C206" s="128" t="s">
        <v>695</v>
      </c>
      <c r="D206" s="126" t="s">
        <v>2363</v>
      </c>
      <c r="E206" s="128" t="s">
        <v>847</v>
      </c>
      <c r="F206" s="127" t="s">
        <v>306</v>
      </c>
      <c r="G206" s="136">
        <v>7816.55476</v>
      </c>
      <c r="H206" s="113" t="str">
        <f t="shared" si="10"/>
        <v>OTHER</v>
      </c>
      <c r="I206" s="113" t="str">
        <f>INDEX('REGASSET Lookup'!$I:$I,MATCH('REGASSET Jun22data'!$A206,'REGASSET Lookup'!$A:$A,0))</f>
        <v>CUST</v>
      </c>
      <c r="J206" s="113" t="str">
        <f t="shared" si="11"/>
        <v>NO</v>
      </c>
      <c r="K206"/>
    </row>
    <row r="207" spans="1:11">
      <c r="A207" s="114" t="str">
        <f t="shared" si="9"/>
        <v>1823920DSR COSTS AMORTIZED102964CALIFORNIA DSM EXPENSE - 2009OTHER</v>
      </c>
      <c r="B207" s="126" t="s">
        <v>2231</v>
      </c>
      <c r="C207" s="128" t="s">
        <v>695</v>
      </c>
      <c r="D207" s="126" t="s">
        <v>3374</v>
      </c>
      <c r="E207" s="128" t="s">
        <v>848</v>
      </c>
      <c r="F207" s="127" t="s">
        <v>306</v>
      </c>
      <c r="G207" s="136">
        <v>1.0000000000000001E-5</v>
      </c>
      <c r="H207" s="113" t="str">
        <f t="shared" si="10"/>
        <v>OTHER</v>
      </c>
      <c r="I207" s="113" t="str">
        <f>INDEX('REGASSET Lookup'!$I:$I,MATCH('REGASSET Jun22data'!$A207,'REGASSET Lookup'!$A:$A,0))</f>
        <v>CUST</v>
      </c>
      <c r="J207" s="113" t="str">
        <f t="shared" si="11"/>
        <v>NO</v>
      </c>
      <c r="K207"/>
    </row>
    <row r="208" spans="1:11">
      <c r="A208" s="114" t="str">
        <f t="shared" si="9"/>
        <v>1823920DSR COSTS AMORTIZED102976A/C LOAD CONTROL - RESIDENTIAL/UTAH - 20OTHER</v>
      </c>
      <c r="B208" s="126" t="s">
        <v>2231</v>
      </c>
      <c r="C208" s="128" t="s">
        <v>695</v>
      </c>
      <c r="D208" s="126" t="s">
        <v>2364</v>
      </c>
      <c r="E208" s="128" t="s">
        <v>772</v>
      </c>
      <c r="F208" s="127" t="s">
        <v>306</v>
      </c>
      <c r="G208" s="136">
        <v>9816.5333300000002</v>
      </c>
      <c r="H208" s="113" t="str">
        <f t="shared" si="10"/>
        <v>OTHER</v>
      </c>
      <c r="I208" s="113" t="str">
        <f>INDEX('REGASSET Lookup'!$I:$I,MATCH('REGASSET Jun22data'!$A208,'REGASSET Lookup'!$A:$A,0))</f>
        <v>CUST</v>
      </c>
      <c r="J208" s="113" t="str">
        <f t="shared" si="11"/>
        <v>NO</v>
      </c>
      <c r="K208"/>
    </row>
    <row r="209" spans="1:11">
      <c r="A209" s="114" t="str">
        <f t="shared" si="9"/>
        <v>1823920DSR COSTS AMORTIZED102977AIR CONDITIONING - UTAH - 2009OTHER</v>
      </c>
      <c r="B209" s="126" t="s">
        <v>2231</v>
      </c>
      <c r="C209" s="128" t="s">
        <v>695</v>
      </c>
      <c r="D209" s="126" t="s">
        <v>2365</v>
      </c>
      <c r="E209" s="128" t="s">
        <v>849</v>
      </c>
      <c r="F209" s="127" t="s">
        <v>306</v>
      </c>
      <c r="G209" s="136">
        <v>499.54298</v>
      </c>
      <c r="H209" s="113" t="str">
        <f t="shared" si="10"/>
        <v>OTHER</v>
      </c>
      <c r="I209" s="113" t="str">
        <f>INDEX('REGASSET Lookup'!$I:$I,MATCH('REGASSET Jun22data'!$A209,'REGASSET Lookup'!$A:$A,0))</f>
        <v>CUST</v>
      </c>
      <c r="J209" s="113" t="str">
        <f t="shared" si="11"/>
        <v>NO</v>
      </c>
      <c r="K209"/>
    </row>
    <row r="210" spans="1:11">
      <c r="A210" s="114" t="str">
        <f t="shared" si="9"/>
        <v>1823920DSR COSTS AMORTIZED102978ENERGY FINANSWER - UTAH - 2009OTHER</v>
      </c>
      <c r="B210" s="126" t="s">
        <v>2231</v>
      </c>
      <c r="C210" s="128" t="s">
        <v>695</v>
      </c>
      <c r="D210" s="126" t="s">
        <v>2366</v>
      </c>
      <c r="E210" s="128" t="s">
        <v>850</v>
      </c>
      <c r="F210" s="127" t="s">
        <v>306</v>
      </c>
      <c r="G210" s="136">
        <v>2531.72993</v>
      </c>
      <c r="H210" s="113" t="str">
        <f t="shared" si="10"/>
        <v>OTHER</v>
      </c>
      <c r="I210" s="113" t="str">
        <f>INDEX('REGASSET Lookup'!$I:$I,MATCH('REGASSET Jun22data'!$A210,'REGASSET Lookup'!$A:$A,0))</f>
        <v>CUST</v>
      </c>
      <c r="J210" s="113" t="str">
        <f t="shared" si="11"/>
        <v>NO</v>
      </c>
      <c r="K210"/>
    </row>
    <row r="211" spans="1:11">
      <c r="A211" s="114" t="str">
        <f t="shared" si="9"/>
        <v>1823920DSR COSTS AMORTIZED102979INDUSTRIAL FINANSWER - UTAH - 2009OTHER</v>
      </c>
      <c r="B211" s="126" t="s">
        <v>2231</v>
      </c>
      <c r="C211" s="128" t="s">
        <v>695</v>
      </c>
      <c r="D211" s="126" t="s">
        <v>2367</v>
      </c>
      <c r="E211" s="128" t="s">
        <v>851</v>
      </c>
      <c r="F211" s="127" t="s">
        <v>306</v>
      </c>
      <c r="G211" s="136">
        <v>5215.3013000000001</v>
      </c>
      <c r="H211" s="113" t="str">
        <f t="shared" si="10"/>
        <v>OTHER</v>
      </c>
      <c r="I211" s="113" t="str">
        <f>INDEX('REGASSET Lookup'!$I:$I,MATCH('REGASSET Jun22data'!$A211,'REGASSET Lookup'!$A:$A,0))</f>
        <v>CUST</v>
      </c>
      <c r="J211" s="113" t="str">
        <f t="shared" si="11"/>
        <v>NO</v>
      </c>
      <c r="K211"/>
    </row>
    <row r="212" spans="1:11">
      <c r="A212" s="114" t="str">
        <f t="shared" si="9"/>
        <v>1823920DSR COSTS AMORTIZED102980LOW INCOME - UTAH - 2009OTHER</v>
      </c>
      <c r="B212" s="126" t="s">
        <v>2231</v>
      </c>
      <c r="C212" s="128" t="s">
        <v>695</v>
      </c>
      <c r="D212" s="126" t="s">
        <v>2368</v>
      </c>
      <c r="E212" s="128" t="s">
        <v>852</v>
      </c>
      <c r="F212" s="127" t="s">
        <v>306</v>
      </c>
      <c r="G212" s="136">
        <v>162.35163</v>
      </c>
      <c r="H212" s="113" t="str">
        <f t="shared" si="10"/>
        <v>OTHER</v>
      </c>
      <c r="I212" s="113" t="str">
        <f>INDEX('REGASSET Lookup'!$I:$I,MATCH('REGASSET Jun22data'!$A212,'REGASSET Lookup'!$A:$A,0))</f>
        <v>CUST</v>
      </c>
      <c r="J212" s="113" t="str">
        <f t="shared" si="11"/>
        <v>NO</v>
      </c>
      <c r="K212"/>
    </row>
    <row r="213" spans="1:11">
      <c r="A213" s="114" t="str">
        <f t="shared" si="9"/>
        <v>1823920DSR COSTS AMORTIZED102981POWER FORWARD - UTAH - 2009OTHER</v>
      </c>
      <c r="B213" s="126" t="s">
        <v>2231</v>
      </c>
      <c r="C213" s="128" t="s">
        <v>695</v>
      </c>
      <c r="D213" s="126" t="s">
        <v>2369</v>
      </c>
      <c r="E213" s="128" t="s">
        <v>853</v>
      </c>
      <c r="F213" s="127" t="s">
        <v>306</v>
      </c>
      <c r="G213" s="136">
        <v>50.171720000000001</v>
      </c>
      <c r="H213" s="113" t="str">
        <f t="shared" si="10"/>
        <v>OTHER</v>
      </c>
      <c r="I213" s="113" t="str">
        <f>INDEX('REGASSET Lookup'!$I:$I,MATCH('REGASSET Jun22data'!$A213,'REGASSET Lookup'!$A:$A,0))</f>
        <v>CUST</v>
      </c>
      <c r="J213" s="113" t="str">
        <f t="shared" si="11"/>
        <v>NO</v>
      </c>
      <c r="K213"/>
    </row>
    <row r="214" spans="1:11">
      <c r="A214" s="114" t="str">
        <f t="shared" si="9"/>
        <v>1823920DSR COSTS AMORTIZED102982REFRIGERATOR RECYCLING PGM- UTAH - 2009OTHER</v>
      </c>
      <c r="B214" s="126" t="s">
        <v>2231</v>
      </c>
      <c r="C214" s="128" t="s">
        <v>695</v>
      </c>
      <c r="D214" s="126" t="s">
        <v>2370</v>
      </c>
      <c r="E214" s="128" t="s">
        <v>854</v>
      </c>
      <c r="F214" s="127" t="s">
        <v>306</v>
      </c>
      <c r="G214" s="136">
        <v>2339.0797200000002</v>
      </c>
      <c r="H214" s="113" t="str">
        <f t="shared" si="10"/>
        <v>OTHER</v>
      </c>
      <c r="I214" s="113" t="str">
        <f>INDEX('REGASSET Lookup'!$I:$I,MATCH('REGASSET Jun22data'!$A214,'REGASSET Lookup'!$A:$A,0))</f>
        <v>CUST</v>
      </c>
      <c r="J214" s="113" t="str">
        <f t="shared" si="11"/>
        <v>NO</v>
      </c>
      <c r="K214"/>
    </row>
    <row r="215" spans="1:11">
      <c r="A215" s="114" t="str">
        <f t="shared" si="9"/>
        <v>1823920DSR COSTS AMORTIZED102983COMMERCIAL SELF-DIRECT - UTAH - 2009OTHER</v>
      </c>
      <c r="B215" s="126" t="s">
        <v>2231</v>
      </c>
      <c r="C215" s="128" t="s">
        <v>695</v>
      </c>
      <c r="D215" s="126" t="s">
        <v>2371</v>
      </c>
      <c r="E215" s="128" t="s">
        <v>855</v>
      </c>
      <c r="F215" s="127" t="s">
        <v>306</v>
      </c>
      <c r="G215" s="136">
        <v>52.810299999999998</v>
      </c>
      <c r="H215" s="113" t="str">
        <f t="shared" si="10"/>
        <v>OTHER</v>
      </c>
      <c r="I215" s="113" t="str">
        <f>INDEX('REGASSET Lookup'!$I:$I,MATCH('REGASSET Jun22data'!$A215,'REGASSET Lookup'!$A:$A,0))</f>
        <v>CUST</v>
      </c>
      <c r="J215" s="113" t="str">
        <f t="shared" si="11"/>
        <v>NO</v>
      </c>
      <c r="K215"/>
    </row>
    <row r="216" spans="1:11">
      <c r="A216" s="114" t="str">
        <f t="shared" si="9"/>
        <v>1823920DSR COSTS AMORTIZED102984INDUSTRIAL SELF-DIRECT - UTAH - 2009OTHER</v>
      </c>
      <c r="B216" s="126" t="s">
        <v>2231</v>
      </c>
      <c r="C216" s="128" t="s">
        <v>695</v>
      </c>
      <c r="D216" s="126" t="s">
        <v>2372</v>
      </c>
      <c r="E216" s="128" t="s">
        <v>856</v>
      </c>
      <c r="F216" s="127" t="s">
        <v>306</v>
      </c>
      <c r="G216" s="136">
        <v>71.720429999999993</v>
      </c>
      <c r="H216" s="113" t="str">
        <f t="shared" si="10"/>
        <v>OTHER</v>
      </c>
      <c r="I216" s="113" t="str">
        <f>INDEX('REGASSET Lookup'!$I:$I,MATCH('REGASSET Jun22data'!$A216,'REGASSET Lookup'!$A:$A,0))</f>
        <v>CUST</v>
      </c>
      <c r="J216" s="113" t="str">
        <f t="shared" si="11"/>
        <v>NO</v>
      </c>
      <c r="K216"/>
    </row>
    <row r="217" spans="1:11">
      <c r="A217" s="114" t="str">
        <f t="shared" si="9"/>
        <v>1823920DSR COSTS AMORTIZED102985RESIDENTIAL NEW CONSTRUCTION - UTAH - 20OTHER</v>
      </c>
      <c r="B217" s="126" t="s">
        <v>2231</v>
      </c>
      <c r="C217" s="128" t="s">
        <v>695</v>
      </c>
      <c r="D217" s="126" t="s">
        <v>2373</v>
      </c>
      <c r="E217" s="128" t="s">
        <v>757</v>
      </c>
      <c r="F217" s="127" t="s">
        <v>306</v>
      </c>
      <c r="G217" s="136">
        <v>1446.3907099999999</v>
      </c>
      <c r="H217" s="113" t="str">
        <f t="shared" si="10"/>
        <v>OTHER</v>
      </c>
      <c r="I217" s="113" t="str">
        <f>INDEX('REGASSET Lookup'!$I:$I,MATCH('REGASSET Jun22data'!$A217,'REGASSET Lookup'!$A:$A,0))</f>
        <v>CUST</v>
      </c>
      <c r="J217" s="113" t="str">
        <f t="shared" si="11"/>
        <v>NO</v>
      </c>
      <c r="K217"/>
    </row>
    <row r="218" spans="1:11">
      <c r="A218" s="114" t="str">
        <f t="shared" si="9"/>
        <v>1823920DSR COSTS AMORTIZED102986COMMERCIAL FINANSWER EXPRESS - UTAH - 20OTHER</v>
      </c>
      <c r="B218" s="126" t="s">
        <v>2231</v>
      </c>
      <c r="C218" s="128" t="s">
        <v>695</v>
      </c>
      <c r="D218" s="126" t="s">
        <v>2374</v>
      </c>
      <c r="E218" s="128" t="s">
        <v>760</v>
      </c>
      <c r="F218" s="127" t="s">
        <v>306</v>
      </c>
      <c r="G218" s="136">
        <v>3258.2743999999998</v>
      </c>
      <c r="H218" s="113" t="str">
        <f t="shared" si="10"/>
        <v>OTHER</v>
      </c>
      <c r="I218" s="113" t="str">
        <f>INDEX('REGASSET Lookup'!$I:$I,MATCH('REGASSET Jun22data'!$A218,'REGASSET Lookup'!$A:$A,0))</f>
        <v>CUST</v>
      </c>
      <c r="J218" s="113" t="str">
        <f t="shared" si="11"/>
        <v>NO</v>
      </c>
      <c r="K218"/>
    </row>
    <row r="219" spans="1:11">
      <c r="A219" s="114" t="str">
        <f t="shared" si="9"/>
        <v>1823920DSR COSTS AMORTIZED102987INDUSTRIAL FINANSWER EXPRESS - UTAH - 20OTHER</v>
      </c>
      <c r="B219" s="126" t="s">
        <v>2231</v>
      </c>
      <c r="C219" s="128" t="s">
        <v>695</v>
      </c>
      <c r="D219" s="126" t="s">
        <v>2375</v>
      </c>
      <c r="E219" s="128" t="s">
        <v>761</v>
      </c>
      <c r="F219" s="127" t="s">
        <v>306</v>
      </c>
      <c r="G219" s="136">
        <v>775.53372000000002</v>
      </c>
      <c r="H219" s="113" t="str">
        <f t="shared" si="10"/>
        <v>OTHER</v>
      </c>
      <c r="I219" s="113" t="str">
        <f>INDEX('REGASSET Lookup'!$I:$I,MATCH('REGASSET Jun22data'!$A219,'REGASSET Lookup'!$A:$A,0))</f>
        <v>CUST</v>
      </c>
      <c r="J219" s="113" t="str">
        <f t="shared" si="11"/>
        <v>NO</v>
      </c>
      <c r="K219"/>
    </row>
    <row r="220" spans="1:11">
      <c r="A220" s="114" t="str">
        <f t="shared" si="9"/>
        <v>1823920DSR COSTS AMORTIZED102988RETROFIT COMMISSIONING PROGRAM  - UTAH -OTHER</v>
      </c>
      <c r="B220" s="126" t="s">
        <v>2231</v>
      </c>
      <c r="C220" s="128" t="s">
        <v>695</v>
      </c>
      <c r="D220" s="126" t="s">
        <v>2376</v>
      </c>
      <c r="E220" s="128" t="s">
        <v>782</v>
      </c>
      <c r="F220" s="127" t="s">
        <v>306</v>
      </c>
      <c r="G220" s="136">
        <v>947.45029999999997</v>
      </c>
      <c r="H220" s="113" t="str">
        <f t="shared" si="10"/>
        <v>OTHER</v>
      </c>
      <c r="I220" s="113" t="str">
        <f>INDEX('REGASSET Lookup'!$I:$I,MATCH('REGASSET Jun22data'!$A220,'REGASSET Lookup'!$A:$A,0))</f>
        <v>CUST</v>
      </c>
      <c r="J220" s="113" t="str">
        <f t="shared" si="11"/>
        <v>NO</v>
      </c>
      <c r="K220"/>
    </row>
    <row r="221" spans="1:11">
      <c r="A221" s="114" t="str">
        <f t="shared" si="9"/>
        <v>1823920DSR COSTS AMORTIZED102990IRRIGATION LOAD CONTROL  - UTAH - 2009OTHER</v>
      </c>
      <c r="B221" s="126" t="s">
        <v>2231</v>
      </c>
      <c r="C221" s="128" t="s">
        <v>695</v>
      </c>
      <c r="D221" s="126" t="s">
        <v>2377</v>
      </c>
      <c r="E221" s="128" t="s">
        <v>857</v>
      </c>
      <c r="F221" s="127" t="s">
        <v>306</v>
      </c>
      <c r="G221" s="136">
        <v>2731.80899</v>
      </c>
      <c r="H221" s="113" t="str">
        <f t="shared" si="10"/>
        <v>OTHER</v>
      </c>
      <c r="I221" s="113" t="str">
        <f>INDEX('REGASSET Lookup'!$I:$I,MATCH('REGASSET Jun22data'!$A221,'REGASSET Lookup'!$A:$A,0))</f>
        <v>CUST</v>
      </c>
      <c r="J221" s="113" t="str">
        <f t="shared" si="11"/>
        <v>NO</v>
      </c>
      <c r="K221"/>
    </row>
    <row r="222" spans="1:11">
      <c r="A222" s="114" t="str">
        <f t="shared" si="9"/>
        <v>1823920DSR COSTS AMORTIZED102991HOME ENERGY EFF INCENTIVE PROG - UT 2009OTHER</v>
      </c>
      <c r="B222" s="126" t="s">
        <v>2231</v>
      </c>
      <c r="C222" s="128" t="s">
        <v>695</v>
      </c>
      <c r="D222" s="126" t="s">
        <v>2378</v>
      </c>
      <c r="E222" s="128" t="s">
        <v>858</v>
      </c>
      <c r="F222" s="127" t="s">
        <v>306</v>
      </c>
      <c r="G222" s="136">
        <v>25439.422709999999</v>
      </c>
      <c r="H222" s="113" t="str">
        <f t="shared" si="10"/>
        <v>OTHER</v>
      </c>
      <c r="I222" s="113" t="str">
        <f>INDEX('REGASSET Lookup'!$I:$I,MATCH('REGASSET Jun22data'!$A222,'REGASSET Lookup'!$A:$A,0))</f>
        <v>CUST</v>
      </c>
      <c r="J222" s="113" t="str">
        <f t="shared" si="11"/>
        <v>NO</v>
      </c>
      <c r="K222"/>
    </row>
    <row r="223" spans="1:11">
      <c r="A223" s="114" t="str">
        <f t="shared" si="9"/>
        <v>1823920DSR COSTS AMORTIZED102992ENERGY FINANSWER - WYOMING PPL - 2009OTHER</v>
      </c>
      <c r="B223" s="126" t="s">
        <v>2231</v>
      </c>
      <c r="C223" s="128" t="s">
        <v>695</v>
      </c>
      <c r="D223" s="126" t="s">
        <v>2379</v>
      </c>
      <c r="E223" s="128" t="s">
        <v>859</v>
      </c>
      <c r="F223" s="127" t="s">
        <v>306</v>
      </c>
      <c r="G223" s="136">
        <v>21.01595</v>
      </c>
      <c r="H223" s="113" t="str">
        <f t="shared" si="10"/>
        <v>OTHER</v>
      </c>
      <c r="I223" s="113" t="str">
        <f>INDEX('REGASSET Lookup'!$I:$I,MATCH('REGASSET Jun22data'!$A223,'REGASSET Lookup'!$A:$A,0))</f>
        <v>CUST</v>
      </c>
      <c r="J223" s="113" t="str">
        <f t="shared" si="11"/>
        <v>NO</v>
      </c>
      <c r="K223"/>
    </row>
    <row r="224" spans="1:11">
      <c r="A224" s="114" t="str">
        <f t="shared" si="9"/>
        <v>1823920DSR COSTS AMORTIZED102993INDUSTRIAL FINANSWER-WYOMING - PPL 2009OTHER</v>
      </c>
      <c r="B224" s="126" t="s">
        <v>2231</v>
      </c>
      <c r="C224" s="128" t="s">
        <v>695</v>
      </c>
      <c r="D224" s="126" t="s">
        <v>2380</v>
      </c>
      <c r="E224" s="128" t="s">
        <v>860</v>
      </c>
      <c r="F224" s="127" t="s">
        <v>306</v>
      </c>
      <c r="G224" s="136">
        <v>95.673599999999993</v>
      </c>
      <c r="H224" s="113" t="str">
        <f t="shared" si="10"/>
        <v>OTHER</v>
      </c>
      <c r="I224" s="113" t="str">
        <f>INDEX('REGASSET Lookup'!$I:$I,MATCH('REGASSET Jun22data'!$A224,'REGASSET Lookup'!$A:$A,0))</f>
        <v>CUST</v>
      </c>
      <c r="J224" s="113" t="str">
        <f t="shared" si="11"/>
        <v>NO</v>
      </c>
      <c r="K224"/>
    </row>
    <row r="225" spans="1:11">
      <c r="A225" s="114" t="str">
        <f t="shared" si="9"/>
        <v>1823920DSR COSTS AMORTIZED102995REFRIGERATOR RECYCLING - PPL WYOMING - 2OTHER</v>
      </c>
      <c r="B225" s="126" t="s">
        <v>2231</v>
      </c>
      <c r="C225" s="128" t="s">
        <v>695</v>
      </c>
      <c r="D225" s="126" t="s">
        <v>2381</v>
      </c>
      <c r="E225" s="128" t="s">
        <v>861</v>
      </c>
      <c r="F225" s="127" t="s">
        <v>306</v>
      </c>
      <c r="G225" s="136">
        <v>140.11482000000001</v>
      </c>
      <c r="H225" s="113" t="str">
        <f t="shared" si="10"/>
        <v>OTHER</v>
      </c>
      <c r="I225" s="113" t="str">
        <f>INDEX('REGASSET Lookup'!$I:$I,MATCH('REGASSET Jun22data'!$A225,'REGASSET Lookup'!$A:$A,0))</f>
        <v>CUST</v>
      </c>
      <c r="J225" s="113" t="str">
        <f t="shared" si="11"/>
        <v>NO</v>
      </c>
      <c r="K225"/>
    </row>
    <row r="226" spans="1:11">
      <c r="A226" s="114" t="str">
        <f t="shared" si="9"/>
        <v>1823920DSR COSTS AMORTIZED102996HOME ENERGY EFF INCENTIVE PRO - PPL WYOMOTHER</v>
      </c>
      <c r="B226" s="126" t="s">
        <v>2231</v>
      </c>
      <c r="C226" s="128" t="s">
        <v>695</v>
      </c>
      <c r="D226" s="126" t="s">
        <v>2382</v>
      </c>
      <c r="E226" s="128" t="s">
        <v>806</v>
      </c>
      <c r="F226" s="127" t="s">
        <v>306</v>
      </c>
      <c r="G226" s="136">
        <v>439.24164000000002</v>
      </c>
      <c r="H226" s="113" t="str">
        <f t="shared" si="10"/>
        <v>OTHER</v>
      </c>
      <c r="I226" s="113" t="str">
        <f>INDEX('REGASSET Lookup'!$I:$I,MATCH('REGASSET Jun22data'!$A226,'REGASSET Lookup'!$A:$A,0))</f>
        <v>CUST</v>
      </c>
      <c r="J226" s="113" t="str">
        <f t="shared" si="11"/>
        <v>NO</v>
      </c>
      <c r="K226"/>
    </row>
    <row r="227" spans="1:11">
      <c r="A227" s="114" t="str">
        <f t="shared" si="9"/>
        <v>1823920DSR COSTS AMORTIZED102997LOW-INCOME WEATHERIZATION - WYOMING PPLOTHER</v>
      </c>
      <c r="B227" s="126" t="s">
        <v>2231</v>
      </c>
      <c r="C227" s="128" t="s">
        <v>695</v>
      </c>
      <c r="D227" s="126" t="s">
        <v>2383</v>
      </c>
      <c r="E227" s="128" t="s">
        <v>862</v>
      </c>
      <c r="F227" s="127" t="s">
        <v>306</v>
      </c>
      <c r="G227" s="136">
        <v>85.836780000000005</v>
      </c>
      <c r="H227" s="113" t="str">
        <f t="shared" si="10"/>
        <v>OTHER</v>
      </c>
      <c r="I227" s="113" t="str">
        <f>INDEX('REGASSET Lookup'!$I:$I,MATCH('REGASSET Jun22data'!$A227,'REGASSET Lookup'!$A:$A,0))</f>
        <v>CUST</v>
      </c>
      <c r="J227" s="113" t="str">
        <f t="shared" si="11"/>
        <v>NO</v>
      </c>
      <c r="K227"/>
    </row>
    <row r="228" spans="1:11">
      <c r="A228" s="114" t="str">
        <f t="shared" si="9"/>
        <v>1823920DSR COSTS AMORTIZED102998COMMERCIAL FINANSWER EXPRESS - WY - 2009OTHER</v>
      </c>
      <c r="B228" s="126" t="s">
        <v>2231</v>
      </c>
      <c r="C228" s="128" t="s">
        <v>695</v>
      </c>
      <c r="D228" s="126" t="s">
        <v>2384</v>
      </c>
      <c r="E228" s="128" t="s">
        <v>863</v>
      </c>
      <c r="F228" s="127" t="s">
        <v>306</v>
      </c>
      <c r="G228" s="136">
        <v>139.49113</v>
      </c>
      <c r="H228" s="113" t="str">
        <f t="shared" si="10"/>
        <v>OTHER</v>
      </c>
      <c r="I228" s="113" t="str">
        <f>INDEX('REGASSET Lookup'!$I:$I,MATCH('REGASSET Jun22data'!$A228,'REGASSET Lookup'!$A:$A,0))</f>
        <v>CUST</v>
      </c>
      <c r="J228" s="113" t="str">
        <f t="shared" si="11"/>
        <v>NO</v>
      </c>
      <c r="K228"/>
    </row>
    <row r="229" spans="1:11">
      <c r="A229" s="114" t="str">
        <f t="shared" si="9"/>
        <v>1823920DSR COSTS AMORTIZED102999INDUSTRIAL FINANSWER EXPRESS - WY - 2009OTHER</v>
      </c>
      <c r="B229" s="126" t="s">
        <v>2231</v>
      </c>
      <c r="C229" s="128" t="s">
        <v>695</v>
      </c>
      <c r="D229" s="126" t="s">
        <v>2385</v>
      </c>
      <c r="E229" s="128" t="s">
        <v>864</v>
      </c>
      <c r="F229" s="127" t="s">
        <v>306</v>
      </c>
      <c r="G229" s="136">
        <v>58.969430000000003</v>
      </c>
      <c r="H229" s="113" t="str">
        <f t="shared" si="10"/>
        <v>OTHER</v>
      </c>
      <c r="I229" s="113" t="str">
        <f>INDEX('REGASSET Lookup'!$I:$I,MATCH('REGASSET Jun22data'!$A229,'REGASSET Lookup'!$A:$A,0))</f>
        <v>CUST</v>
      </c>
      <c r="J229" s="113" t="str">
        <f t="shared" si="11"/>
        <v>NO</v>
      </c>
      <c r="K229"/>
    </row>
    <row r="230" spans="1:11">
      <c r="A230" s="114" t="str">
        <f t="shared" si="9"/>
        <v>1823920DSR COSTS AMORTIZED103000SELF DIRECT - COMMERCIAL - WY - 2009OTHER</v>
      </c>
      <c r="B230" s="126" t="s">
        <v>2231</v>
      </c>
      <c r="C230" s="128" t="s">
        <v>695</v>
      </c>
      <c r="D230" s="126" t="s">
        <v>2386</v>
      </c>
      <c r="E230" s="128" t="s">
        <v>865</v>
      </c>
      <c r="F230" s="127" t="s">
        <v>306</v>
      </c>
      <c r="G230" s="136">
        <v>4.7113899999999997</v>
      </c>
      <c r="H230" s="113" t="str">
        <f t="shared" si="10"/>
        <v>OTHER</v>
      </c>
      <c r="I230" s="113" t="str">
        <f>INDEX('REGASSET Lookup'!$I:$I,MATCH('REGASSET Jun22data'!$A230,'REGASSET Lookup'!$A:$A,0))</f>
        <v>CUST</v>
      </c>
      <c r="J230" s="113" t="str">
        <f t="shared" si="11"/>
        <v>NO</v>
      </c>
      <c r="K230"/>
    </row>
    <row r="231" spans="1:11">
      <c r="A231" s="114" t="str">
        <f t="shared" si="9"/>
        <v>1823920DSR COSTS AMORTIZED103001SELF DIRECT - INDUSTRIAL  - WY - 2009OTHER</v>
      </c>
      <c r="B231" s="126" t="s">
        <v>2231</v>
      </c>
      <c r="C231" s="128" t="s">
        <v>695</v>
      </c>
      <c r="D231" s="126" t="s">
        <v>2387</v>
      </c>
      <c r="E231" s="128" t="s">
        <v>866</v>
      </c>
      <c r="F231" s="127" t="s">
        <v>306</v>
      </c>
      <c r="G231" s="136">
        <v>11.546659999999999</v>
      </c>
      <c r="H231" s="113" t="str">
        <f t="shared" si="10"/>
        <v>OTHER</v>
      </c>
      <c r="I231" s="113" t="str">
        <f>INDEX('REGASSET Lookup'!$I:$I,MATCH('REGASSET Jun22data'!$A231,'REGASSET Lookup'!$A:$A,0))</f>
        <v>CUST</v>
      </c>
      <c r="J231" s="113" t="str">
        <f t="shared" si="11"/>
        <v>NO</v>
      </c>
      <c r="K231"/>
    </row>
    <row r="232" spans="1:11">
      <c r="A232" s="114" t="str">
        <f t="shared" si="9"/>
        <v>1823920DSR COSTS AMORTIZED103003MAIN CHECK DISB-WIRES/ACH IN CLEAR ACCTOTHER</v>
      </c>
      <c r="B232" s="126" t="s">
        <v>2231</v>
      </c>
      <c r="C232" s="128" t="s">
        <v>695</v>
      </c>
      <c r="D232" s="126" t="s">
        <v>2388</v>
      </c>
      <c r="E232" s="128" t="s">
        <v>867</v>
      </c>
      <c r="F232" s="127" t="s">
        <v>306</v>
      </c>
      <c r="G232" s="136">
        <v>1.79514</v>
      </c>
      <c r="H232" s="113" t="str">
        <f t="shared" si="10"/>
        <v>OTHER</v>
      </c>
      <c r="I232" s="113" t="str">
        <f>INDEX('REGASSET Lookup'!$I:$I,MATCH('REGASSET Jun22data'!$A232,'REGASSET Lookup'!$A:$A,0))</f>
        <v>CUST</v>
      </c>
      <c r="J232" s="113" t="str">
        <f t="shared" si="11"/>
        <v>NO</v>
      </c>
      <c r="K232"/>
    </row>
    <row r="233" spans="1:11">
      <c r="A233" s="114" t="str">
        <f t="shared" si="9"/>
        <v>1823920DSR COSTS AMORTIZED103004MAIN CHECK DISB-WIRES/ACH OUT CLEAR ACCTOTHER</v>
      </c>
      <c r="B233" s="126" t="s">
        <v>2231</v>
      </c>
      <c r="C233" s="128" t="s">
        <v>695</v>
      </c>
      <c r="D233" s="126" t="s">
        <v>2389</v>
      </c>
      <c r="E233" s="128" t="s">
        <v>868</v>
      </c>
      <c r="F233" s="127" t="s">
        <v>306</v>
      </c>
      <c r="G233" s="136">
        <v>1.7908200000000001</v>
      </c>
      <c r="H233" s="113" t="str">
        <f t="shared" si="10"/>
        <v>OTHER</v>
      </c>
      <c r="I233" s="113" t="str">
        <f>INDEX('REGASSET Lookup'!$I:$I,MATCH('REGASSET Jun22data'!$A233,'REGASSET Lookup'!$A:$A,0))</f>
        <v>CUST</v>
      </c>
      <c r="J233" s="113" t="str">
        <f t="shared" si="11"/>
        <v>NO</v>
      </c>
      <c r="K233"/>
    </row>
    <row r="234" spans="1:11">
      <c r="A234" s="114" t="str">
        <f t="shared" si="9"/>
        <v>1823920DSR COSTS AMORTIZED103005COMMERCIAL FINANSWER EXPRESS Cat 2- WY -OTHER</v>
      </c>
      <c r="B234" s="126" t="s">
        <v>2231</v>
      </c>
      <c r="C234" s="128" t="s">
        <v>695</v>
      </c>
      <c r="D234" s="126" t="s">
        <v>2390</v>
      </c>
      <c r="E234" s="128" t="s">
        <v>869</v>
      </c>
      <c r="F234" s="127" t="s">
        <v>306</v>
      </c>
      <c r="G234" s="136">
        <v>236.04952</v>
      </c>
      <c r="H234" s="113" t="str">
        <f t="shared" si="10"/>
        <v>OTHER</v>
      </c>
      <c r="I234" s="113" t="str">
        <f>INDEX('REGASSET Lookup'!$I:$I,MATCH('REGASSET Jun22data'!$A234,'REGASSET Lookup'!$A:$A,0))</f>
        <v>CUST</v>
      </c>
      <c r="J234" s="113" t="str">
        <f t="shared" si="11"/>
        <v>NO</v>
      </c>
      <c r="K234"/>
    </row>
    <row r="235" spans="1:11">
      <c r="A235" s="114" t="str">
        <f t="shared" si="9"/>
        <v>1823920DSR COSTS AMORTIZED103006INDUSTRIAL FINANSWER EXPRESS Cat 2- WY -OTHER</v>
      </c>
      <c r="B235" s="126" t="s">
        <v>2231</v>
      </c>
      <c r="C235" s="128" t="s">
        <v>695</v>
      </c>
      <c r="D235" s="126" t="s">
        <v>2391</v>
      </c>
      <c r="E235" s="128" t="s">
        <v>870</v>
      </c>
      <c r="F235" s="127" t="s">
        <v>306</v>
      </c>
      <c r="G235" s="136">
        <v>33.684919999999998</v>
      </c>
      <c r="H235" s="113" t="str">
        <f t="shared" si="10"/>
        <v>OTHER</v>
      </c>
      <c r="I235" s="113" t="str">
        <f>INDEX('REGASSET Lookup'!$I:$I,MATCH('REGASSET Jun22data'!$A235,'REGASSET Lookup'!$A:$A,0))</f>
        <v>CUST</v>
      </c>
      <c r="J235" s="113" t="str">
        <f t="shared" si="11"/>
        <v>NO</v>
      </c>
      <c r="K235"/>
    </row>
    <row r="236" spans="1:11">
      <c r="A236" s="114" t="str">
        <f t="shared" si="9"/>
        <v>1823920DSR COSTS AMORTIZED103007ENERGY FINANSWER Cat 2 - WY 2009OTHER</v>
      </c>
      <c r="B236" s="126" t="s">
        <v>2231</v>
      </c>
      <c r="C236" s="128" t="s">
        <v>695</v>
      </c>
      <c r="D236" s="126" t="s">
        <v>2392</v>
      </c>
      <c r="E236" s="128" t="s">
        <v>871</v>
      </c>
      <c r="F236" s="127" t="s">
        <v>306</v>
      </c>
      <c r="G236" s="136">
        <v>39.66245</v>
      </c>
      <c r="H236" s="113" t="str">
        <f t="shared" si="10"/>
        <v>OTHER</v>
      </c>
      <c r="I236" s="113" t="str">
        <f>INDEX('REGASSET Lookup'!$I:$I,MATCH('REGASSET Jun22data'!$A236,'REGASSET Lookup'!$A:$A,0))</f>
        <v>CUST</v>
      </c>
      <c r="J236" s="113" t="str">
        <f t="shared" si="11"/>
        <v>NO</v>
      </c>
      <c r="K236"/>
    </row>
    <row r="237" spans="1:11">
      <c r="A237" s="114" t="str">
        <f t="shared" si="9"/>
        <v>1823920DSR COSTS AMORTIZED103008INDUSTRIAL FINANSWER Cat 2 -WY 2009OTHER</v>
      </c>
      <c r="B237" s="126" t="s">
        <v>2231</v>
      </c>
      <c r="C237" s="128" t="s">
        <v>695</v>
      </c>
      <c r="D237" s="126" t="s">
        <v>2393</v>
      </c>
      <c r="E237" s="128" t="s">
        <v>872</v>
      </c>
      <c r="F237" s="127" t="s">
        <v>306</v>
      </c>
      <c r="G237" s="136">
        <v>34.008110000000002</v>
      </c>
      <c r="H237" s="113" t="str">
        <f t="shared" si="10"/>
        <v>OTHER</v>
      </c>
      <c r="I237" s="113" t="str">
        <f>INDEX('REGASSET Lookup'!$I:$I,MATCH('REGASSET Jun22data'!$A237,'REGASSET Lookup'!$A:$A,0))</f>
        <v>CUST</v>
      </c>
      <c r="J237" s="113" t="str">
        <f t="shared" si="11"/>
        <v>NO</v>
      </c>
      <c r="K237"/>
    </row>
    <row r="238" spans="1:11">
      <c r="A238" s="114" t="str">
        <f t="shared" si="9"/>
        <v>1823920DSR COSTS AMORTIZED103012WYOMING REV RECOVERY - SBC OFFSET CAT 1OTHER</v>
      </c>
      <c r="B238" s="126" t="s">
        <v>2231</v>
      </c>
      <c r="C238" s="128" t="s">
        <v>695</v>
      </c>
      <c r="D238" s="126" t="s">
        <v>2394</v>
      </c>
      <c r="E238" s="128" t="s">
        <v>873</v>
      </c>
      <c r="F238" s="127" t="s">
        <v>306</v>
      </c>
      <c r="G238" s="136">
        <v>-10759.266820000001</v>
      </c>
      <c r="H238" s="113" t="str">
        <f t="shared" si="10"/>
        <v>OTHER</v>
      </c>
      <c r="I238" s="113" t="str">
        <f>INDEX('REGASSET Lookup'!$I:$I,MATCH('REGASSET Jun22data'!$A238,'REGASSET Lookup'!$A:$A,0))</f>
        <v>CUST</v>
      </c>
      <c r="J238" s="113" t="str">
        <f t="shared" si="11"/>
        <v>NO</v>
      </c>
      <c r="K238"/>
    </row>
    <row r="239" spans="1:11">
      <c r="A239" s="114" t="str">
        <f t="shared" si="9"/>
        <v>1823920DSR COSTS AMORTIZED103013WYOMING REV RECOVERY - SBC OFFSET CAT 2OTHER</v>
      </c>
      <c r="B239" s="126" t="s">
        <v>2231</v>
      </c>
      <c r="C239" s="128" t="s">
        <v>695</v>
      </c>
      <c r="D239" s="126" t="s">
        <v>2395</v>
      </c>
      <c r="E239" s="128" t="s">
        <v>874</v>
      </c>
      <c r="F239" s="127" t="s">
        <v>306</v>
      </c>
      <c r="G239" s="136">
        <v>-10608.9004</v>
      </c>
      <c r="H239" s="113" t="str">
        <f t="shared" si="10"/>
        <v>OTHER</v>
      </c>
      <c r="I239" s="113" t="str">
        <f>INDEX('REGASSET Lookup'!$I:$I,MATCH('REGASSET Jun22data'!$A239,'REGASSET Lookup'!$A:$A,0))</f>
        <v>CUST</v>
      </c>
      <c r="J239" s="113" t="str">
        <f t="shared" si="11"/>
        <v>NO</v>
      </c>
      <c r="K239"/>
    </row>
    <row r="240" spans="1:11">
      <c r="A240" s="114" t="str">
        <f t="shared" si="9"/>
        <v>1823920DSR COSTS AMORTIZED103014WYOMING REV RECOVERY - SBC OFFSET CAT 3OTHER</v>
      </c>
      <c r="B240" s="126" t="s">
        <v>2231</v>
      </c>
      <c r="C240" s="128" t="s">
        <v>695</v>
      </c>
      <c r="D240" s="126" t="s">
        <v>2396</v>
      </c>
      <c r="E240" s="128" t="s">
        <v>875</v>
      </c>
      <c r="F240" s="127" t="s">
        <v>306</v>
      </c>
      <c r="G240" s="136">
        <v>-10191.93166</v>
      </c>
      <c r="H240" s="113" t="str">
        <f t="shared" si="10"/>
        <v>OTHER</v>
      </c>
      <c r="I240" s="113" t="str">
        <f>INDEX('REGASSET Lookup'!$I:$I,MATCH('REGASSET Jun22data'!$A240,'REGASSET Lookup'!$A:$A,0))</f>
        <v>CUST</v>
      </c>
      <c r="J240" s="113" t="str">
        <f t="shared" si="11"/>
        <v>NO</v>
      </c>
      <c r="K240"/>
    </row>
    <row r="241" spans="1:11">
      <c r="A241" s="114" t="str">
        <f t="shared" si="9"/>
        <v>1823920DSR COSTS AMORTIZED103031OUTREACH and COMMUNICATIONS - UT 2009OTHER</v>
      </c>
      <c r="B241" s="126" t="s">
        <v>2231</v>
      </c>
      <c r="C241" s="128" t="s">
        <v>695</v>
      </c>
      <c r="D241" s="126" t="s">
        <v>2397</v>
      </c>
      <c r="E241" s="128" t="s">
        <v>876</v>
      </c>
      <c r="F241" s="127" t="s">
        <v>306</v>
      </c>
      <c r="G241" s="136">
        <v>571.49108000000001</v>
      </c>
      <c r="H241" s="113" t="str">
        <f t="shared" si="10"/>
        <v>OTHER</v>
      </c>
      <c r="I241" s="113" t="str">
        <f>INDEX('REGASSET Lookup'!$I:$I,MATCH('REGASSET Jun22data'!$A241,'REGASSET Lookup'!$A:$A,0))</f>
        <v>CUST</v>
      </c>
      <c r="J241" s="113" t="str">
        <f t="shared" si="11"/>
        <v>NO</v>
      </c>
      <c r="K241"/>
    </row>
    <row r="242" spans="1:11">
      <c r="A242" s="114" t="str">
        <f t="shared" si="9"/>
        <v>1823920DSR COSTS AMORTIZED103059CALIFORNIA DSM EXPENSE - 2010OTHER</v>
      </c>
      <c r="B242" s="126" t="s">
        <v>2231</v>
      </c>
      <c r="C242" s="128" t="s">
        <v>695</v>
      </c>
      <c r="D242" s="126" t="s">
        <v>3375</v>
      </c>
      <c r="E242" s="128" t="s">
        <v>877</v>
      </c>
      <c r="F242" s="127" t="s">
        <v>306</v>
      </c>
      <c r="G242" s="136">
        <v>1.0000000000000001E-5</v>
      </c>
      <c r="H242" s="113" t="str">
        <f t="shared" si="10"/>
        <v>OTHER</v>
      </c>
      <c r="I242" s="113" t="str">
        <f>INDEX('REGASSET Lookup'!$I:$I,MATCH('REGASSET Jun22data'!$A242,'REGASSET Lookup'!$A:$A,0))</f>
        <v>CUST</v>
      </c>
      <c r="J242" s="113" t="str">
        <f t="shared" si="11"/>
        <v>NO</v>
      </c>
      <c r="K242"/>
    </row>
    <row r="243" spans="1:11">
      <c r="A243" s="114" t="str">
        <f t="shared" si="9"/>
        <v>1823920DSR COSTS AMORTIZED103071A/C LOAD CONTROL - RESIDENTIAL/UTAH - 20OTHER</v>
      </c>
      <c r="B243" s="126" t="s">
        <v>2231</v>
      </c>
      <c r="C243" s="128" t="s">
        <v>695</v>
      </c>
      <c r="D243" s="126" t="s">
        <v>2398</v>
      </c>
      <c r="E243" s="128" t="s">
        <v>772</v>
      </c>
      <c r="F243" s="127" t="s">
        <v>306</v>
      </c>
      <c r="G243" s="136">
        <v>4836.2692500000003</v>
      </c>
      <c r="H243" s="113" t="str">
        <f t="shared" si="10"/>
        <v>OTHER</v>
      </c>
      <c r="I243" s="113" t="str">
        <f>INDEX('REGASSET Lookup'!$I:$I,MATCH('REGASSET Jun22data'!$A243,'REGASSET Lookup'!$A:$A,0))</f>
        <v>CUST</v>
      </c>
      <c r="J243" s="113" t="str">
        <f t="shared" si="11"/>
        <v>NO</v>
      </c>
      <c r="K243"/>
    </row>
    <row r="244" spans="1:11">
      <c r="A244" s="114" t="str">
        <f t="shared" si="9"/>
        <v>1823920DSR COSTS AMORTIZED103072AIR CONDITIONING - UTAH - 2010OTHER</v>
      </c>
      <c r="B244" s="126" t="s">
        <v>2231</v>
      </c>
      <c r="C244" s="128" t="s">
        <v>695</v>
      </c>
      <c r="D244" s="126" t="s">
        <v>2399</v>
      </c>
      <c r="E244" s="128" t="s">
        <v>878</v>
      </c>
      <c r="F244" s="127" t="s">
        <v>306</v>
      </c>
      <c r="G244" s="136">
        <v>1490.28963</v>
      </c>
      <c r="H244" s="113" t="str">
        <f t="shared" si="10"/>
        <v>OTHER</v>
      </c>
      <c r="I244" s="113" t="str">
        <f>INDEX('REGASSET Lookup'!$I:$I,MATCH('REGASSET Jun22data'!$A244,'REGASSET Lookup'!$A:$A,0))</f>
        <v>CUST</v>
      </c>
      <c r="J244" s="113" t="str">
        <f t="shared" si="11"/>
        <v>NO</v>
      </c>
      <c r="K244"/>
    </row>
    <row r="245" spans="1:11">
      <c r="A245" s="114" t="str">
        <f t="shared" si="9"/>
        <v>1823920DSR COSTS AMORTIZED103073ENERGY FINANSWER - UTAH - 2010OTHER</v>
      </c>
      <c r="B245" s="126" t="s">
        <v>2231</v>
      </c>
      <c r="C245" s="128" t="s">
        <v>695</v>
      </c>
      <c r="D245" s="126" t="s">
        <v>2400</v>
      </c>
      <c r="E245" s="128" t="s">
        <v>879</v>
      </c>
      <c r="F245" s="127" t="s">
        <v>306</v>
      </c>
      <c r="G245" s="136">
        <v>3246.0749799999999</v>
      </c>
      <c r="H245" s="113" t="str">
        <f t="shared" si="10"/>
        <v>OTHER</v>
      </c>
      <c r="I245" s="113" t="str">
        <f>INDEX('REGASSET Lookup'!$I:$I,MATCH('REGASSET Jun22data'!$A245,'REGASSET Lookup'!$A:$A,0))</f>
        <v>CUST</v>
      </c>
      <c r="J245" s="113" t="str">
        <f t="shared" si="11"/>
        <v>NO</v>
      </c>
      <c r="K245"/>
    </row>
    <row r="246" spans="1:11">
      <c r="A246" s="114" t="str">
        <f t="shared" si="9"/>
        <v>1823920DSR COSTS AMORTIZED103074INDUSTRIAL FINANSWER - UTAH - 2010OTHER</v>
      </c>
      <c r="B246" s="126" t="s">
        <v>2231</v>
      </c>
      <c r="C246" s="128" t="s">
        <v>695</v>
      </c>
      <c r="D246" s="126" t="s">
        <v>2401</v>
      </c>
      <c r="E246" s="128" t="s">
        <v>880</v>
      </c>
      <c r="F246" s="127" t="s">
        <v>306</v>
      </c>
      <c r="G246" s="136">
        <v>4523.5925900000002</v>
      </c>
      <c r="H246" s="113" t="str">
        <f t="shared" si="10"/>
        <v>OTHER</v>
      </c>
      <c r="I246" s="113" t="str">
        <f>INDEX('REGASSET Lookup'!$I:$I,MATCH('REGASSET Jun22data'!$A246,'REGASSET Lookup'!$A:$A,0))</f>
        <v>CUST</v>
      </c>
      <c r="J246" s="113" t="str">
        <f t="shared" si="11"/>
        <v>NO</v>
      </c>
      <c r="K246"/>
    </row>
    <row r="247" spans="1:11">
      <c r="A247" s="114" t="str">
        <f t="shared" si="9"/>
        <v>1823920DSR COSTS AMORTIZED103075LOW INCOME - UTAH - 2010OTHER</v>
      </c>
      <c r="B247" s="126" t="s">
        <v>2231</v>
      </c>
      <c r="C247" s="128" t="s">
        <v>695</v>
      </c>
      <c r="D247" s="126" t="s">
        <v>2402</v>
      </c>
      <c r="E247" s="128" t="s">
        <v>881</v>
      </c>
      <c r="F247" s="127" t="s">
        <v>306</v>
      </c>
      <c r="G247" s="136">
        <v>258.42205999999999</v>
      </c>
      <c r="H247" s="113" t="str">
        <f t="shared" si="10"/>
        <v>OTHER</v>
      </c>
      <c r="I247" s="113" t="str">
        <f>INDEX('REGASSET Lookup'!$I:$I,MATCH('REGASSET Jun22data'!$A247,'REGASSET Lookup'!$A:$A,0))</f>
        <v>CUST</v>
      </c>
      <c r="J247" s="113" t="str">
        <f t="shared" si="11"/>
        <v>NO</v>
      </c>
      <c r="K247"/>
    </row>
    <row r="248" spans="1:11">
      <c r="A248" s="114" t="str">
        <f t="shared" si="9"/>
        <v>1823920DSR COSTS AMORTIZED103076POWER FORWARD - UTAH # 2010OTHER</v>
      </c>
      <c r="B248" s="126" t="s">
        <v>2231</v>
      </c>
      <c r="C248" s="128" t="s">
        <v>695</v>
      </c>
      <c r="D248" s="126" t="s">
        <v>2403</v>
      </c>
      <c r="E248" s="128" t="s">
        <v>882</v>
      </c>
      <c r="F248" s="127" t="s">
        <v>306</v>
      </c>
      <c r="G248" s="136">
        <v>50.091999999999999</v>
      </c>
      <c r="H248" s="113" t="str">
        <f t="shared" si="10"/>
        <v>OTHER</v>
      </c>
      <c r="I248" s="113" t="str">
        <f>INDEX('REGASSET Lookup'!$I:$I,MATCH('REGASSET Jun22data'!$A248,'REGASSET Lookup'!$A:$A,0))</f>
        <v>CUST</v>
      </c>
      <c r="J248" s="113" t="str">
        <f t="shared" si="11"/>
        <v>NO</v>
      </c>
      <c r="K248"/>
    </row>
    <row r="249" spans="1:11">
      <c r="A249" s="114" t="str">
        <f t="shared" si="9"/>
        <v>1823920DSR COSTS AMORTIZED103077REFRIGERATOR RECYCLING PGM- UTAH - 2010OTHER</v>
      </c>
      <c r="B249" s="126" t="s">
        <v>2231</v>
      </c>
      <c r="C249" s="128" t="s">
        <v>695</v>
      </c>
      <c r="D249" s="126" t="s">
        <v>2404</v>
      </c>
      <c r="E249" s="128" t="s">
        <v>883</v>
      </c>
      <c r="F249" s="127" t="s">
        <v>306</v>
      </c>
      <c r="G249" s="136">
        <v>2369.8033500000001</v>
      </c>
      <c r="H249" s="113" t="str">
        <f t="shared" si="10"/>
        <v>OTHER</v>
      </c>
      <c r="I249" s="113" t="str">
        <f>INDEX('REGASSET Lookup'!$I:$I,MATCH('REGASSET Jun22data'!$A249,'REGASSET Lookup'!$A:$A,0))</f>
        <v>CUST</v>
      </c>
      <c r="J249" s="113" t="str">
        <f t="shared" si="11"/>
        <v>NO</v>
      </c>
      <c r="K249"/>
    </row>
    <row r="250" spans="1:11">
      <c r="A250" s="114" t="str">
        <f t="shared" si="9"/>
        <v>1823920DSR COSTS AMORTIZED103078COMMERCIAL SELF-DIRECT - UTAH - 2010OTHER</v>
      </c>
      <c r="B250" s="126" t="s">
        <v>2231</v>
      </c>
      <c r="C250" s="128" t="s">
        <v>695</v>
      </c>
      <c r="D250" s="126" t="s">
        <v>2405</v>
      </c>
      <c r="E250" s="128" t="s">
        <v>884</v>
      </c>
      <c r="F250" s="127" t="s">
        <v>306</v>
      </c>
      <c r="G250" s="136">
        <v>186.83529999999999</v>
      </c>
      <c r="H250" s="113" t="str">
        <f t="shared" si="10"/>
        <v>OTHER</v>
      </c>
      <c r="I250" s="113" t="str">
        <f>INDEX('REGASSET Lookup'!$I:$I,MATCH('REGASSET Jun22data'!$A250,'REGASSET Lookup'!$A:$A,0))</f>
        <v>CUST</v>
      </c>
      <c r="J250" s="113" t="str">
        <f t="shared" si="11"/>
        <v>NO</v>
      </c>
      <c r="K250"/>
    </row>
    <row r="251" spans="1:11">
      <c r="A251" s="114" t="str">
        <f t="shared" si="9"/>
        <v>1823920DSR COSTS AMORTIZED103079INDUSTRIAL SELF-DIRECT - UTAH - 2010OTHER</v>
      </c>
      <c r="B251" s="126" t="s">
        <v>2231</v>
      </c>
      <c r="C251" s="128" t="s">
        <v>695</v>
      </c>
      <c r="D251" s="126" t="s">
        <v>2406</v>
      </c>
      <c r="E251" s="128" t="s">
        <v>885</v>
      </c>
      <c r="F251" s="127" t="s">
        <v>306</v>
      </c>
      <c r="G251" s="136">
        <v>330.07195000000002</v>
      </c>
      <c r="H251" s="113" t="str">
        <f t="shared" si="10"/>
        <v>OTHER</v>
      </c>
      <c r="I251" s="113" t="str">
        <f>INDEX('REGASSET Lookup'!$I:$I,MATCH('REGASSET Jun22data'!$A251,'REGASSET Lookup'!$A:$A,0))</f>
        <v>CUST</v>
      </c>
      <c r="J251" s="113" t="str">
        <f t="shared" si="11"/>
        <v>NO</v>
      </c>
      <c r="K251"/>
    </row>
    <row r="252" spans="1:11">
      <c r="A252" s="114" t="str">
        <f t="shared" si="9"/>
        <v>1823920DSR COSTS AMORTIZED103080RESIDENTIAL NEW CONSTRUCTION - UTAH - 20OTHER</v>
      </c>
      <c r="B252" s="126" t="s">
        <v>2231</v>
      </c>
      <c r="C252" s="128" t="s">
        <v>695</v>
      </c>
      <c r="D252" s="126" t="s">
        <v>2407</v>
      </c>
      <c r="E252" s="128" t="s">
        <v>757</v>
      </c>
      <c r="F252" s="127" t="s">
        <v>306</v>
      </c>
      <c r="G252" s="136">
        <v>2604.5521699999999</v>
      </c>
      <c r="H252" s="113" t="str">
        <f t="shared" si="10"/>
        <v>OTHER</v>
      </c>
      <c r="I252" s="113" t="str">
        <f>INDEX('REGASSET Lookup'!$I:$I,MATCH('REGASSET Jun22data'!$A252,'REGASSET Lookup'!$A:$A,0))</f>
        <v>CUST</v>
      </c>
      <c r="J252" s="113" t="str">
        <f t="shared" si="11"/>
        <v>NO</v>
      </c>
      <c r="K252"/>
    </row>
    <row r="253" spans="1:11">
      <c r="A253" s="114" t="str">
        <f t="shared" si="9"/>
        <v>1823920DSR COSTS AMORTIZED103081COMMERCIAL FINANSWER EXPRESS - UTAH - 20OTHER</v>
      </c>
      <c r="B253" s="126" t="s">
        <v>2231</v>
      </c>
      <c r="C253" s="128" t="s">
        <v>695</v>
      </c>
      <c r="D253" s="126" t="s">
        <v>2408</v>
      </c>
      <c r="E253" s="128" t="s">
        <v>760</v>
      </c>
      <c r="F253" s="127" t="s">
        <v>306</v>
      </c>
      <c r="G253" s="136">
        <v>4107.1484</v>
      </c>
      <c r="H253" s="113" t="str">
        <f t="shared" si="10"/>
        <v>OTHER</v>
      </c>
      <c r="I253" s="113" t="str">
        <f>INDEX('REGASSET Lookup'!$I:$I,MATCH('REGASSET Jun22data'!$A253,'REGASSET Lookup'!$A:$A,0))</f>
        <v>CUST</v>
      </c>
      <c r="J253" s="113" t="str">
        <f t="shared" si="11"/>
        <v>NO</v>
      </c>
      <c r="K253"/>
    </row>
    <row r="254" spans="1:11">
      <c r="A254" s="114" t="str">
        <f t="shared" si="9"/>
        <v>1823920DSR COSTS AMORTIZED103082INDUSTRIAL FINANSWER EXPRESS - UTAH - 20OTHER</v>
      </c>
      <c r="B254" s="126" t="s">
        <v>2231</v>
      </c>
      <c r="C254" s="128" t="s">
        <v>695</v>
      </c>
      <c r="D254" s="126" t="s">
        <v>2409</v>
      </c>
      <c r="E254" s="128" t="s">
        <v>761</v>
      </c>
      <c r="F254" s="127" t="s">
        <v>306</v>
      </c>
      <c r="G254" s="136">
        <v>1019.0800400000001</v>
      </c>
      <c r="H254" s="113" t="str">
        <f t="shared" si="10"/>
        <v>OTHER</v>
      </c>
      <c r="I254" s="113" t="str">
        <f>INDEX('REGASSET Lookup'!$I:$I,MATCH('REGASSET Jun22data'!$A254,'REGASSET Lookup'!$A:$A,0))</f>
        <v>CUST</v>
      </c>
      <c r="J254" s="113" t="str">
        <f t="shared" si="11"/>
        <v>NO</v>
      </c>
      <c r="K254"/>
    </row>
    <row r="255" spans="1:11">
      <c r="A255" s="114" t="str">
        <f t="shared" si="9"/>
        <v>1823920DSR COSTS AMORTIZED103083RETROFIT COMMISSIONING PROGRAM  - UTAH -OTHER</v>
      </c>
      <c r="B255" s="126" t="s">
        <v>2231</v>
      </c>
      <c r="C255" s="128" t="s">
        <v>695</v>
      </c>
      <c r="D255" s="126" t="s">
        <v>2410</v>
      </c>
      <c r="E255" s="128" t="s">
        <v>782</v>
      </c>
      <c r="F255" s="127" t="s">
        <v>306</v>
      </c>
      <c r="G255" s="136">
        <v>986.41423999999995</v>
      </c>
      <c r="H255" s="113" t="str">
        <f t="shared" si="10"/>
        <v>OTHER</v>
      </c>
      <c r="I255" s="113" t="str">
        <f>INDEX('REGASSET Lookup'!$I:$I,MATCH('REGASSET Jun22data'!$A255,'REGASSET Lookup'!$A:$A,0))</f>
        <v>CUST</v>
      </c>
      <c r="J255" s="113" t="str">
        <f t="shared" si="11"/>
        <v>NO</v>
      </c>
      <c r="K255"/>
    </row>
    <row r="256" spans="1:11">
      <c r="A256" s="114" t="str">
        <f t="shared" si="9"/>
        <v>1823920DSR COSTS AMORTIZED103085IRRIGATION LOAD CONTROL  - UTAH - 2010OTHER</v>
      </c>
      <c r="B256" s="126" t="s">
        <v>2231</v>
      </c>
      <c r="C256" s="128" t="s">
        <v>695</v>
      </c>
      <c r="D256" s="126" t="s">
        <v>2411</v>
      </c>
      <c r="E256" s="128" t="s">
        <v>886</v>
      </c>
      <c r="F256" s="127" t="s">
        <v>306</v>
      </c>
      <c r="G256" s="136">
        <v>2512.7119600000001</v>
      </c>
      <c r="H256" s="113" t="str">
        <f t="shared" si="10"/>
        <v>OTHER</v>
      </c>
      <c r="I256" s="113" t="str">
        <f>INDEX('REGASSET Lookup'!$I:$I,MATCH('REGASSET Jun22data'!$A256,'REGASSET Lookup'!$A:$A,0))</f>
        <v>CUST</v>
      </c>
      <c r="J256" s="113" t="str">
        <f t="shared" si="11"/>
        <v>NO</v>
      </c>
      <c r="K256"/>
    </row>
    <row r="257" spans="1:11">
      <c r="A257" s="114" t="str">
        <f t="shared" si="9"/>
        <v>1823920DSR COSTS AMORTIZED103086HOME ENERGY EFF INCENTIVE PROG - UT 2010OTHER</v>
      </c>
      <c r="B257" s="126" t="s">
        <v>2231</v>
      </c>
      <c r="C257" s="128" t="s">
        <v>695</v>
      </c>
      <c r="D257" s="126" t="s">
        <v>2412</v>
      </c>
      <c r="E257" s="128" t="s">
        <v>887</v>
      </c>
      <c r="F257" s="127" t="s">
        <v>306</v>
      </c>
      <c r="G257" s="136">
        <v>16875.685020000001</v>
      </c>
      <c r="H257" s="113" t="str">
        <f t="shared" si="10"/>
        <v>OTHER</v>
      </c>
      <c r="I257" s="113" t="str">
        <f>INDEX('REGASSET Lookup'!$I:$I,MATCH('REGASSET Jun22data'!$A257,'REGASSET Lookup'!$A:$A,0))</f>
        <v>CUST</v>
      </c>
      <c r="J257" s="113" t="str">
        <f t="shared" si="11"/>
        <v>NO</v>
      </c>
      <c r="K257"/>
    </row>
    <row r="258" spans="1:11">
      <c r="A258" s="114" t="str">
        <f t="shared" si="9"/>
        <v>1823920DSR COSTS AMORTIZED103087OUTREACH and COMMUNICATIONS - UT 2010OTHER</v>
      </c>
      <c r="B258" s="126" t="s">
        <v>2231</v>
      </c>
      <c r="C258" s="128" t="s">
        <v>695</v>
      </c>
      <c r="D258" s="126" t="s">
        <v>2413</v>
      </c>
      <c r="E258" s="128" t="s">
        <v>888</v>
      </c>
      <c r="F258" s="127" t="s">
        <v>306</v>
      </c>
      <c r="G258" s="136">
        <v>1485.4817700000001</v>
      </c>
      <c r="H258" s="113" t="str">
        <f t="shared" si="10"/>
        <v>OTHER</v>
      </c>
      <c r="I258" s="113" t="str">
        <f>INDEX('REGASSET Lookup'!$I:$I,MATCH('REGASSET Jun22data'!$A258,'REGASSET Lookup'!$A:$A,0))</f>
        <v>CUST</v>
      </c>
      <c r="J258" s="113" t="str">
        <f t="shared" si="11"/>
        <v>NO</v>
      </c>
      <c r="K258"/>
    </row>
    <row r="259" spans="1:11">
      <c r="A259" s="114" t="str">
        <f t="shared" ref="A259:A322" si="12">CONCATENATE($B259,$C259,$D259,$E259,$H259)</f>
        <v>1823920DSR COSTS AMORTIZED103089ENERGY FINANSWER-WY-2010 CAT3OTHER</v>
      </c>
      <c r="B259" s="126" t="s">
        <v>2231</v>
      </c>
      <c r="C259" s="128" t="s">
        <v>695</v>
      </c>
      <c r="D259" s="126" t="s">
        <v>2414</v>
      </c>
      <c r="E259" s="128" t="s">
        <v>889</v>
      </c>
      <c r="F259" s="127" t="s">
        <v>306</v>
      </c>
      <c r="G259" s="136">
        <v>11.26351</v>
      </c>
      <c r="H259" s="113" t="str">
        <f t="shared" ref="H259:H322" si="13">IF(OR(F259="IDU",F259="OR",F259="UT",F259="WYU",F259="WYP",F259="CA",F259="WA"),"SITUS",IF(OR(F259="CAEE",F259="JBE"),"SE",IF(OR(F259="CAGE",F259="CAGW",F259="JBG"),"SG",F259)))</f>
        <v>OTHER</v>
      </c>
      <c r="I259" s="113" t="str">
        <f>INDEX('REGASSET Lookup'!$I:$I,MATCH('REGASSET Jun22data'!$A259,'REGASSET Lookup'!$A:$A,0))</f>
        <v>CUST</v>
      </c>
      <c r="J259" s="113" t="str">
        <f t="shared" ref="J259:J322" si="14">IF(G259=0,"NO",IF(ISNA($I259),"YES",IF(_xlfn.ISFORMULA($I259),"NO","YES")))</f>
        <v>NO</v>
      </c>
      <c r="K259"/>
    </row>
    <row r="260" spans="1:11">
      <c r="A260" s="114" t="str">
        <f t="shared" si="12"/>
        <v>1823920DSR COSTS AMORTIZED103090INDUSTRIAL FINANSWER-WY-2010 CAT3OTHER</v>
      </c>
      <c r="B260" s="126" t="s">
        <v>2231</v>
      </c>
      <c r="C260" s="128" t="s">
        <v>695</v>
      </c>
      <c r="D260" s="126" t="s">
        <v>2415</v>
      </c>
      <c r="E260" s="128" t="s">
        <v>890</v>
      </c>
      <c r="F260" s="127" t="s">
        <v>306</v>
      </c>
      <c r="G260" s="136">
        <v>668.87369000000001</v>
      </c>
      <c r="H260" s="113" t="str">
        <f t="shared" si="13"/>
        <v>OTHER</v>
      </c>
      <c r="I260" s="113" t="str">
        <f>INDEX('REGASSET Lookup'!$I:$I,MATCH('REGASSET Jun22data'!$A260,'REGASSET Lookup'!$A:$A,0))</f>
        <v>CUST</v>
      </c>
      <c r="J260" s="113" t="str">
        <f t="shared" si="14"/>
        <v>NO</v>
      </c>
      <c r="K260"/>
    </row>
    <row r="261" spans="1:11">
      <c r="A261" s="114" t="str">
        <f t="shared" si="12"/>
        <v>1823920DSR COSTS AMORTIZED103092REFRIGERATOR RECYCLING-WY -2010 CAT1OTHER</v>
      </c>
      <c r="B261" s="126" t="s">
        <v>2231</v>
      </c>
      <c r="C261" s="128" t="s">
        <v>695</v>
      </c>
      <c r="D261" s="126" t="s">
        <v>2416</v>
      </c>
      <c r="E261" s="128" t="s">
        <v>891</v>
      </c>
      <c r="F261" s="127" t="s">
        <v>306</v>
      </c>
      <c r="G261" s="136">
        <v>175.62272999999999</v>
      </c>
      <c r="H261" s="113" t="str">
        <f t="shared" si="13"/>
        <v>OTHER</v>
      </c>
      <c r="I261" s="113" t="str">
        <f>INDEX('REGASSET Lookup'!$I:$I,MATCH('REGASSET Jun22data'!$A261,'REGASSET Lookup'!$A:$A,0))</f>
        <v>CUST</v>
      </c>
      <c r="J261" s="113" t="str">
        <f t="shared" si="14"/>
        <v>NO</v>
      </c>
      <c r="K261"/>
    </row>
    <row r="262" spans="1:11">
      <c r="A262" s="114" t="str">
        <f t="shared" si="12"/>
        <v>1823920DSR COSTS AMORTIZED103093HOME ENERGY EFF INCENT PROG Y-2010 CAT1OTHER</v>
      </c>
      <c r="B262" s="126" t="s">
        <v>2231</v>
      </c>
      <c r="C262" s="128" t="s">
        <v>695</v>
      </c>
      <c r="D262" s="126" t="s">
        <v>2417</v>
      </c>
      <c r="E262" s="128" t="s">
        <v>892</v>
      </c>
      <c r="F262" s="127" t="s">
        <v>306</v>
      </c>
      <c r="G262" s="136">
        <v>739.81547</v>
      </c>
      <c r="H262" s="113" t="str">
        <f t="shared" si="13"/>
        <v>OTHER</v>
      </c>
      <c r="I262" s="113" t="str">
        <f>INDEX('REGASSET Lookup'!$I:$I,MATCH('REGASSET Jun22data'!$A262,'REGASSET Lookup'!$A:$A,0))</f>
        <v>CUST</v>
      </c>
      <c r="J262" s="113" t="str">
        <f t="shared" si="14"/>
        <v>NO</v>
      </c>
      <c r="K262"/>
    </row>
    <row r="263" spans="1:11">
      <c r="A263" s="114" t="str">
        <f t="shared" si="12"/>
        <v>1823920DSR COSTS AMORTIZED103094LOW-INCOME WEATHERZTN - WY 2010 CAT1OTHER</v>
      </c>
      <c r="B263" s="126" t="s">
        <v>2231</v>
      </c>
      <c r="C263" s="128" t="s">
        <v>695</v>
      </c>
      <c r="D263" s="126" t="s">
        <v>2418</v>
      </c>
      <c r="E263" s="128" t="s">
        <v>893</v>
      </c>
      <c r="F263" s="127" t="s">
        <v>306</v>
      </c>
      <c r="G263" s="136">
        <v>49.151409999999998</v>
      </c>
      <c r="H263" s="113" t="str">
        <f t="shared" si="13"/>
        <v>OTHER</v>
      </c>
      <c r="I263" s="113" t="str">
        <f>INDEX('REGASSET Lookup'!$I:$I,MATCH('REGASSET Jun22data'!$A263,'REGASSET Lookup'!$A:$A,0))</f>
        <v>CUST</v>
      </c>
      <c r="J263" s="113" t="str">
        <f t="shared" si="14"/>
        <v>NO</v>
      </c>
      <c r="K263"/>
    </row>
    <row r="264" spans="1:11">
      <c r="A264" s="114" t="str">
        <f t="shared" si="12"/>
        <v>1823920DSR COSTS AMORTIZED103095COMMERCIAL FINANSWER EXP WY-2010 CAT3OTHER</v>
      </c>
      <c r="B264" s="126" t="s">
        <v>2231</v>
      </c>
      <c r="C264" s="128" t="s">
        <v>695</v>
      </c>
      <c r="D264" s="126" t="s">
        <v>2419</v>
      </c>
      <c r="E264" s="128" t="s">
        <v>894</v>
      </c>
      <c r="F264" s="127" t="s">
        <v>306</v>
      </c>
      <c r="G264" s="136">
        <v>64.702100000000002</v>
      </c>
      <c r="H264" s="113" t="str">
        <f t="shared" si="13"/>
        <v>OTHER</v>
      </c>
      <c r="I264" s="113" t="str">
        <f>INDEX('REGASSET Lookup'!$I:$I,MATCH('REGASSET Jun22data'!$A264,'REGASSET Lookup'!$A:$A,0))</f>
        <v>CUST</v>
      </c>
      <c r="J264" s="113" t="str">
        <f t="shared" si="14"/>
        <v>NO</v>
      </c>
      <c r="K264"/>
    </row>
    <row r="265" spans="1:11">
      <c r="A265" s="114" t="str">
        <f t="shared" si="12"/>
        <v>1823920DSR COSTS AMORTIZED103096INDUSTRIAL FINANSWER EXP WY-2010 CAT3OTHER</v>
      </c>
      <c r="B265" s="126" t="s">
        <v>2231</v>
      </c>
      <c r="C265" s="128" t="s">
        <v>695</v>
      </c>
      <c r="D265" s="126" t="s">
        <v>2420</v>
      </c>
      <c r="E265" s="128" t="s">
        <v>895</v>
      </c>
      <c r="F265" s="127" t="s">
        <v>306</v>
      </c>
      <c r="G265" s="136">
        <v>127.25987000000001</v>
      </c>
      <c r="H265" s="113" t="str">
        <f t="shared" si="13"/>
        <v>OTHER</v>
      </c>
      <c r="I265" s="113" t="str">
        <f>INDEX('REGASSET Lookup'!$I:$I,MATCH('REGASSET Jun22data'!$A265,'REGASSET Lookup'!$A:$A,0))</f>
        <v>CUST</v>
      </c>
      <c r="J265" s="113" t="str">
        <f t="shared" si="14"/>
        <v>NO</v>
      </c>
      <c r="K265"/>
    </row>
    <row r="266" spans="1:11">
      <c r="A266" s="114" t="str">
        <f t="shared" si="12"/>
        <v>1823920DSR COSTS AMORTIZED103097SELF DIRECT - COMMERCIAL -WY-2010 CAT3OTHER</v>
      </c>
      <c r="B266" s="126" t="s">
        <v>2231</v>
      </c>
      <c r="C266" s="128" t="s">
        <v>695</v>
      </c>
      <c r="D266" s="126" t="s">
        <v>2421</v>
      </c>
      <c r="E266" s="128" t="s">
        <v>896</v>
      </c>
      <c r="F266" s="127" t="s">
        <v>306</v>
      </c>
      <c r="G266" s="136">
        <v>3.2514400000000001</v>
      </c>
      <c r="H266" s="113" t="str">
        <f t="shared" si="13"/>
        <v>OTHER</v>
      </c>
      <c r="I266" s="113" t="str">
        <f>INDEX('REGASSET Lookup'!$I:$I,MATCH('REGASSET Jun22data'!$A266,'REGASSET Lookup'!$A:$A,0))</f>
        <v>CUST</v>
      </c>
      <c r="J266" s="113" t="str">
        <f t="shared" si="14"/>
        <v>NO</v>
      </c>
      <c r="K266"/>
    </row>
    <row r="267" spans="1:11">
      <c r="A267" s="114" t="str">
        <f t="shared" si="12"/>
        <v>1823920DSR COSTS AMORTIZED103098SELF DIRECT -INDUSTRIAL -WY-2010 CAT3OTHER</v>
      </c>
      <c r="B267" s="126" t="s">
        <v>2231</v>
      </c>
      <c r="C267" s="128" t="s">
        <v>695</v>
      </c>
      <c r="D267" s="126" t="s">
        <v>2422</v>
      </c>
      <c r="E267" s="128" t="s">
        <v>897</v>
      </c>
      <c r="F267" s="127" t="s">
        <v>306</v>
      </c>
      <c r="G267" s="136">
        <v>11.94477</v>
      </c>
      <c r="H267" s="113" t="str">
        <f t="shared" si="13"/>
        <v>OTHER</v>
      </c>
      <c r="I267" s="113" t="str">
        <f>INDEX('REGASSET Lookup'!$I:$I,MATCH('REGASSET Jun22data'!$A267,'REGASSET Lookup'!$A:$A,0))</f>
        <v>CUST</v>
      </c>
      <c r="J267" s="113" t="str">
        <f t="shared" si="14"/>
        <v>NO</v>
      </c>
      <c r="K267"/>
    </row>
    <row r="268" spans="1:11">
      <c r="A268" s="114" t="str">
        <f t="shared" si="12"/>
        <v>1823920DSR COSTS AMORTIZED103099COMMERCIAL FINANSWER EXP- WY-2010 CAT2OTHER</v>
      </c>
      <c r="B268" s="126" t="s">
        <v>2231</v>
      </c>
      <c r="C268" s="128" t="s">
        <v>695</v>
      </c>
      <c r="D268" s="126" t="s">
        <v>2423</v>
      </c>
      <c r="E268" s="128" t="s">
        <v>898</v>
      </c>
      <c r="F268" s="127" t="s">
        <v>306</v>
      </c>
      <c r="G268" s="136">
        <v>586.97055999999998</v>
      </c>
      <c r="H268" s="113" t="str">
        <f t="shared" si="13"/>
        <v>OTHER</v>
      </c>
      <c r="I268" s="113" t="str">
        <f>INDEX('REGASSET Lookup'!$I:$I,MATCH('REGASSET Jun22data'!$A268,'REGASSET Lookup'!$A:$A,0))</f>
        <v>CUST</v>
      </c>
      <c r="J268" s="113" t="str">
        <f t="shared" si="14"/>
        <v>NO</v>
      </c>
      <c r="K268"/>
    </row>
    <row r="269" spans="1:11">
      <c r="A269" s="114" t="str">
        <f t="shared" si="12"/>
        <v>1823920DSR COSTS AMORTIZED103100INDUSTRIAL FINAN EXPRESS WY-2010 CAT2OTHER</v>
      </c>
      <c r="B269" s="126" t="s">
        <v>2231</v>
      </c>
      <c r="C269" s="128" t="s">
        <v>695</v>
      </c>
      <c r="D269" s="126" t="s">
        <v>2424</v>
      </c>
      <c r="E269" s="128" t="s">
        <v>899</v>
      </c>
      <c r="F269" s="127" t="s">
        <v>306</v>
      </c>
      <c r="G269" s="136">
        <v>54.880290000000002</v>
      </c>
      <c r="H269" s="113" t="str">
        <f t="shared" si="13"/>
        <v>OTHER</v>
      </c>
      <c r="I269" s="113" t="str">
        <f>INDEX('REGASSET Lookup'!$I:$I,MATCH('REGASSET Jun22data'!$A269,'REGASSET Lookup'!$A:$A,0))</f>
        <v>CUST</v>
      </c>
      <c r="J269" s="113" t="str">
        <f t="shared" si="14"/>
        <v>NO</v>
      </c>
      <c r="K269"/>
    </row>
    <row r="270" spans="1:11">
      <c r="A270" s="114" t="str">
        <f t="shared" si="12"/>
        <v>1823920DSR COSTS AMORTIZED103101ENERGY FINANSWER -WY 2010 CAT2OTHER</v>
      </c>
      <c r="B270" s="126" t="s">
        <v>2231</v>
      </c>
      <c r="C270" s="128" t="s">
        <v>695</v>
      </c>
      <c r="D270" s="126" t="s">
        <v>2425</v>
      </c>
      <c r="E270" s="128" t="s">
        <v>900</v>
      </c>
      <c r="F270" s="127" t="s">
        <v>306</v>
      </c>
      <c r="G270" s="136">
        <v>186.01231000000001</v>
      </c>
      <c r="H270" s="113" t="str">
        <f t="shared" si="13"/>
        <v>OTHER</v>
      </c>
      <c r="I270" s="113" t="str">
        <f>INDEX('REGASSET Lookup'!$I:$I,MATCH('REGASSET Jun22data'!$A270,'REGASSET Lookup'!$A:$A,0))</f>
        <v>CUST</v>
      </c>
      <c r="J270" s="113" t="str">
        <f t="shared" si="14"/>
        <v>NO</v>
      </c>
      <c r="K270"/>
    </row>
    <row r="271" spans="1:11">
      <c r="A271" s="114" t="str">
        <f t="shared" si="12"/>
        <v>1823920DSR COSTS AMORTIZED103102INDUSTRIAL FINANSWER -WY 2010 CAT2OTHER</v>
      </c>
      <c r="B271" s="126" t="s">
        <v>2231</v>
      </c>
      <c r="C271" s="128" t="s">
        <v>695</v>
      </c>
      <c r="D271" s="126" t="s">
        <v>2426</v>
      </c>
      <c r="E271" s="128" t="s">
        <v>901</v>
      </c>
      <c r="F271" s="127" t="s">
        <v>306</v>
      </c>
      <c r="G271" s="136">
        <v>125.45623000000001</v>
      </c>
      <c r="H271" s="113" t="str">
        <f t="shared" si="13"/>
        <v>OTHER</v>
      </c>
      <c r="I271" s="113" t="str">
        <f>INDEX('REGASSET Lookup'!$I:$I,MATCH('REGASSET Jun22data'!$A271,'REGASSET Lookup'!$A:$A,0))</f>
        <v>CUST</v>
      </c>
      <c r="J271" s="113" t="str">
        <f t="shared" si="14"/>
        <v>NO</v>
      </c>
      <c r="K271"/>
    </row>
    <row r="272" spans="1:11">
      <c r="A272" s="114" t="str">
        <f t="shared" si="12"/>
        <v>1823920DSR COSTS AMORTIZED103103Check Disb-Wires/ACH In Clearing - BTOTHER</v>
      </c>
      <c r="B272" s="126" t="s">
        <v>2231</v>
      </c>
      <c r="C272" s="128" t="s">
        <v>695</v>
      </c>
      <c r="D272" s="126" t="s">
        <v>2427</v>
      </c>
      <c r="E272" s="128" t="s">
        <v>902</v>
      </c>
      <c r="F272" s="127" t="s">
        <v>306</v>
      </c>
      <c r="G272" s="136">
        <v>0.86268</v>
      </c>
      <c r="H272" s="113" t="str">
        <f t="shared" si="13"/>
        <v>OTHER</v>
      </c>
      <c r="I272" s="113" t="str">
        <f>INDEX('REGASSET Lookup'!$I:$I,MATCH('REGASSET Jun22data'!$A272,'REGASSET Lookup'!$A:$A,0))</f>
        <v>CUST</v>
      </c>
      <c r="J272" s="113" t="str">
        <f t="shared" si="14"/>
        <v>NO</v>
      </c>
      <c r="K272"/>
    </row>
    <row r="273" spans="1:11">
      <c r="A273" s="114" t="str">
        <f t="shared" si="12"/>
        <v>1823920DSR COSTS AMORTIZED103104Check Disb-Wires/ACH Out Clearing - BTOTHER</v>
      </c>
      <c r="B273" s="126" t="s">
        <v>2231</v>
      </c>
      <c r="C273" s="128" t="s">
        <v>695</v>
      </c>
      <c r="D273" s="126" t="s">
        <v>2428</v>
      </c>
      <c r="E273" s="128" t="s">
        <v>903</v>
      </c>
      <c r="F273" s="127" t="s">
        <v>306</v>
      </c>
      <c r="G273" s="136">
        <v>3.0861700000000001</v>
      </c>
      <c r="H273" s="113" t="str">
        <f t="shared" si="13"/>
        <v>OTHER</v>
      </c>
      <c r="I273" s="113" t="str">
        <f>INDEX('REGASSET Lookup'!$I:$I,MATCH('REGASSET Jun22data'!$A273,'REGASSET Lookup'!$A:$A,0))</f>
        <v>CUST</v>
      </c>
      <c r="J273" s="113" t="str">
        <f t="shared" si="14"/>
        <v>NO</v>
      </c>
      <c r="K273"/>
    </row>
    <row r="274" spans="1:11">
      <c r="A274" s="114" t="str">
        <f t="shared" si="12"/>
        <v>1823920DSR COSTS AMORTIZED103137Company Initiatives DEI Study- WashingtoOTHER</v>
      </c>
      <c r="B274" s="126" t="s">
        <v>2231</v>
      </c>
      <c r="C274" s="128" t="s">
        <v>695</v>
      </c>
      <c r="D274" s="126" t="s">
        <v>2429</v>
      </c>
      <c r="E274" s="128" t="s">
        <v>904</v>
      </c>
      <c r="F274" s="127" t="s">
        <v>306</v>
      </c>
      <c r="G274" s="136">
        <v>724.31773999999996</v>
      </c>
      <c r="H274" s="113" t="str">
        <f t="shared" si="13"/>
        <v>OTHER</v>
      </c>
      <c r="I274" s="113" t="str">
        <f>INDEX('REGASSET Lookup'!$I:$I,MATCH('REGASSET Jun22data'!$A274,'REGASSET Lookup'!$A:$A,0))</f>
        <v>CUST</v>
      </c>
      <c r="J274" s="113" t="str">
        <f t="shared" si="14"/>
        <v>NO</v>
      </c>
      <c r="K274"/>
    </row>
    <row r="275" spans="1:11">
      <c r="A275" s="114" t="str">
        <f t="shared" si="12"/>
        <v>1823920DSR COSTS AMORTIZED103163Commercial Direct Install - Utah - 2011OTHER</v>
      </c>
      <c r="B275" s="126" t="s">
        <v>2231</v>
      </c>
      <c r="C275" s="128" t="s">
        <v>695</v>
      </c>
      <c r="D275" s="126" t="s">
        <v>2430</v>
      </c>
      <c r="E275" s="128" t="s">
        <v>905</v>
      </c>
      <c r="F275" s="127" t="s">
        <v>306</v>
      </c>
      <c r="G275" s="136">
        <v>2.8718400000000002</v>
      </c>
      <c r="H275" s="113" t="str">
        <f t="shared" si="13"/>
        <v>OTHER</v>
      </c>
      <c r="I275" s="113" t="str">
        <f>INDEX('REGASSET Lookup'!$I:$I,MATCH('REGASSET Jun22data'!$A275,'REGASSET Lookup'!$A:$A,0))</f>
        <v>CUST</v>
      </c>
      <c r="J275" s="113" t="str">
        <f t="shared" si="14"/>
        <v>NO</v>
      </c>
      <c r="K275"/>
    </row>
    <row r="276" spans="1:11">
      <c r="A276" s="114" t="str">
        <f t="shared" si="12"/>
        <v>1823920DSR COSTS AMORTIZED103164Commercial Curtailment - Utah - 2011OTHER</v>
      </c>
      <c r="B276" s="126" t="s">
        <v>2231</v>
      </c>
      <c r="C276" s="128" t="s">
        <v>695</v>
      </c>
      <c r="D276" s="126" t="s">
        <v>2431</v>
      </c>
      <c r="E276" s="128" t="s">
        <v>906</v>
      </c>
      <c r="F276" s="127" t="s">
        <v>306</v>
      </c>
      <c r="G276" s="136">
        <v>29.676439999999999</v>
      </c>
      <c r="H276" s="113" t="str">
        <f t="shared" si="13"/>
        <v>OTHER</v>
      </c>
      <c r="I276" s="113" t="str">
        <f>INDEX('REGASSET Lookup'!$I:$I,MATCH('REGASSET Jun22data'!$A276,'REGASSET Lookup'!$A:$A,0))</f>
        <v>CUST</v>
      </c>
      <c r="J276" s="113" t="str">
        <f t="shared" si="14"/>
        <v>NO</v>
      </c>
      <c r="K276"/>
    </row>
    <row r="277" spans="1:11">
      <c r="A277" s="114" t="str">
        <f t="shared" si="12"/>
        <v>1823920DSR COSTS AMORTIZED103165Commercial Direct Install - WashingtonOTHER</v>
      </c>
      <c r="B277" s="126" t="s">
        <v>2231</v>
      </c>
      <c r="C277" s="128" t="s">
        <v>695</v>
      </c>
      <c r="D277" s="126" t="s">
        <v>2432</v>
      </c>
      <c r="E277" s="128" t="s">
        <v>907</v>
      </c>
      <c r="F277" s="127" t="s">
        <v>306</v>
      </c>
      <c r="G277" s="136">
        <v>0.32700000000000001</v>
      </c>
      <c r="H277" s="113" t="str">
        <f t="shared" si="13"/>
        <v>OTHER</v>
      </c>
      <c r="I277" s="113" t="str">
        <f>INDEX('REGASSET Lookup'!$I:$I,MATCH('REGASSET Jun22data'!$A277,'REGASSET Lookup'!$A:$A,0))</f>
        <v>CUST</v>
      </c>
      <c r="J277" s="113" t="str">
        <f t="shared" si="14"/>
        <v>NO</v>
      </c>
      <c r="K277"/>
    </row>
    <row r="278" spans="1:11">
      <c r="A278" s="114" t="str">
        <f t="shared" si="12"/>
        <v>1823920DSR COSTS AMORTIZED103168CALIFORNIA DSM EXPENSE - 2011OTHER</v>
      </c>
      <c r="B278" s="126" t="s">
        <v>2231</v>
      </c>
      <c r="C278" s="128" t="s">
        <v>695</v>
      </c>
      <c r="D278" s="126" t="s">
        <v>3376</v>
      </c>
      <c r="E278" s="128" t="s">
        <v>908</v>
      </c>
      <c r="F278" s="127" t="s">
        <v>306</v>
      </c>
      <c r="G278" s="136">
        <v>1.0000000000000001E-5</v>
      </c>
      <c r="H278" s="113" t="str">
        <f t="shared" si="13"/>
        <v>OTHER</v>
      </c>
      <c r="I278" s="113" t="str">
        <f>INDEX('REGASSET Lookup'!$I:$I,MATCH('REGASSET Jun22data'!$A278,'REGASSET Lookup'!$A:$A,0))</f>
        <v>CUST</v>
      </c>
      <c r="J278" s="113" t="str">
        <f t="shared" si="14"/>
        <v>NO</v>
      </c>
      <c r="K278"/>
    </row>
    <row r="279" spans="1:11">
      <c r="A279" s="114" t="str">
        <f t="shared" si="12"/>
        <v>1823920DSR COSTS AMORTIZED103169Commercial Curtailment - OregonOTHER</v>
      </c>
      <c r="B279" s="126" t="s">
        <v>2231</v>
      </c>
      <c r="C279" s="128" t="s">
        <v>695</v>
      </c>
      <c r="D279" s="126" t="s">
        <v>2433</v>
      </c>
      <c r="E279" s="128" t="s">
        <v>909</v>
      </c>
      <c r="F279" s="127" t="s">
        <v>306</v>
      </c>
      <c r="G279" s="136">
        <v>26.626629999999999</v>
      </c>
      <c r="H279" s="113" t="str">
        <f t="shared" si="13"/>
        <v>OTHER</v>
      </c>
      <c r="I279" s="113" t="str">
        <f>INDEX('REGASSET Lookup'!$I:$I,MATCH('REGASSET Jun22data'!$A279,'REGASSET Lookup'!$A:$A,0))</f>
        <v>CUST</v>
      </c>
      <c r="J279" s="113" t="str">
        <f t="shared" si="14"/>
        <v>NO</v>
      </c>
      <c r="K279"/>
    </row>
    <row r="280" spans="1:11">
      <c r="A280" s="114" t="str">
        <f t="shared" si="12"/>
        <v>1823920DSR COSTS AMORTIZED103181A/C LOAD CONTROL - RESIDENTIAL/UTAH - 20OTHER</v>
      </c>
      <c r="B280" s="126" t="s">
        <v>2231</v>
      </c>
      <c r="C280" s="128" t="s">
        <v>695</v>
      </c>
      <c r="D280" s="126" t="s">
        <v>2434</v>
      </c>
      <c r="E280" s="128" t="s">
        <v>772</v>
      </c>
      <c r="F280" s="127" t="s">
        <v>306</v>
      </c>
      <c r="G280" s="136">
        <v>6498.2851300000002</v>
      </c>
      <c r="H280" s="113" t="str">
        <f t="shared" si="13"/>
        <v>OTHER</v>
      </c>
      <c r="I280" s="113" t="str">
        <f>INDEX('REGASSET Lookup'!$I:$I,MATCH('REGASSET Jun22data'!$A280,'REGASSET Lookup'!$A:$A,0))</f>
        <v>CUST</v>
      </c>
      <c r="J280" s="113" t="str">
        <f t="shared" si="14"/>
        <v>NO</v>
      </c>
      <c r="K280"/>
    </row>
    <row r="281" spans="1:11">
      <c r="A281" s="114" t="str">
        <f t="shared" si="12"/>
        <v>1823920DSR COSTS AMORTIZED103182AIR CONDITIONING - UTAH - 2011OTHER</v>
      </c>
      <c r="B281" s="126" t="s">
        <v>2231</v>
      </c>
      <c r="C281" s="128" t="s">
        <v>695</v>
      </c>
      <c r="D281" s="126" t="s">
        <v>2435</v>
      </c>
      <c r="E281" s="128" t="s">
        <v>910</v>
      </c>
      <c r="F281" s="127" t="s">
        <v>306</v>
      </c>
      <c r="G281" s="136">
        <v>1304.8748800000001</v>
      </c>
      <c r="H281" s="113" t="str">
        <f t="shared" si="13"/>
        <v>OTHER</v>
      </c>
      <c r="I281" s="113" t="str">
        <f>INDEX('REGASSET Lookup'!$I:$I,MATCH('REGASSET Jun22data'!$A281,'REGASSET Lookup'!$A:$A,0))</f>
        <v>CUST</v>
      </c>
      <c r="J281" s="113" t="str">
        <f t="shared" si="14"/>
        <v>NO</v>
      </c>
      <c r="K281"/>
    </row>
    <row r="282" spans="1:11">
      <c r="A282" s="114" t="str">
        <f t="shared" si="12"/>
        <v>1823920DSR COSTS AMORTIZED103183ENERGY FINANSWER - UTAH - 2011OTHER</v>
      </c>
      <c r="B282" s="126" t="s">
        <v>2231</v>
      </c>
      <c r="C282" s="128" t="s">
        <v>695</v>
      </c>
      <c r="D282" s="126" t="s">
        <v>2436</v>
      </c>
      <c r="E282" s="128" t="s">
        <v>911</v>
      </c>
      <c r="F282" s="127" t="s">
        <v>306</v>
      </c>
      <c r="G282" s="136">
        <v>3647.42121</v>
      </c>
      <c r="H282" s="113" t="str">
        <f t="shared" si="13"/>
        <v>OTHER</v>
      </c>
      <c r="I282" s="113" t="str">
        <f>INDEX('REGASSET Lookup'!$I:$I,MATCH('REGASSET Jun22data'!$A282,'REGASSET Lookup'!$A:$A,0))</f>
        <v>CUST</v>
      </c>
      <c r="J282" s="113" t="str">
        <f t="shared" si="14"/>
        <v>NO</v>
      </c>
      <c r="K282"/>
    </row>
    <row r="283" spans="1:11">
      <c r="A283" s="114" t="str">
        <f t="shared" si="12"/>
        <v>1823920DSR COSTS AMORTIZED103184INDUSTRIAL FINANSWER - UTAH - 2011OTHER</v>
      </c>
      <c r="B283" s="126" t="s">
        <v>2231</v>
      </c>
      <c r="C283" s="128" t="s">
        <v>695</v>
      </c>
      <c r="D283" s="126" t="s">
        <v>2437</v>
      </c>
      <c r="E283" s="128" t="s">
        <v>912</v>
      </c>
      <c r="F283" s="127" t="s">
        <v>306</v>
      </c>
      <c r="G283" s="136">
        <v>5015.8909999999996</v>
      </c>
      <c r="H283" s="113" t="str">
        <f t="shared" si="13"/>
        <v>OTHER</v>
      </c>
      <c r="I283" s="113" t="str">
        <f>INDEX('REGASSET Lookup'!$I:$I,MATCH('REGASSET Jun22data'!$A283,'REGASSET Lookup'!$A:$A,0))</f>
        <v>CUST</v>
      </c>
      <c r="J283" s="113" t="str">
        <f t="shared" si="14"/>
        <v>NO</v>
      </c>
      <c r="K283"/>
    </row>
    <row r="284" spans="1:11">
      <c r="A284" s="114" t="str">
        <f t="shared" si="12"/>
        <v>1823920DSR COSTS AMORTIZED103185LOW INCOME - UTAH - 2011OTHER</v>
      </c>
      <c r="B284" s="126" t="s">
        <v>2231</v>
      </c>
      <c r="C284" s="128" t="s">
        <v>695</v>
      </c>
      <c r="D284" s="126" t="s">
        <v>2438</v>
      </c>
      <c r="E284" s="128" t="s">
        <v>913</v>
      </c>
      <c r="F284" s="127" t="s">
        <v>306</v>
      </c>
      <c r="G284" s="136">
        <v>254.58275</v>
      </c>
      <c r="H284" s="113" t="str">
        <f t="shared" si="13"/>
        <v>OTHER</v>
      </c>
      <c r="I284" s="113" t="str">
        <f>INDEX('REGASSET Lookup'!$I:$I,MATCH('REGASSET Jun22data'!$A284,'REGASSET Lookup'!$A:$A,0))</f>
        <v>CUST</v>
      </c>
      <c r="J284" s="113" t="str">
        <f t="shared" si="14"/>
        <v>NO</v>
      </c>
      <c r="K284"/>
    </row>
    <row r="285" spans="1:11">
      <c r="A285" s="114" t="str">
        <f t="shared" si="12"/>
        <v>1823920DSR COSTS AMORTIZED103186Power Forward - Utah - 2011OTHER</v>
      </c>
      <c r="B285" s="126" t="s">
        <v>2231</v>
      </c>
      <c r="C285" s="128" t="s">
        <v>695</v>
      </c>
      <c r="D285" s="126" t="s">
        <v>2439</v>
      </c>
      <c r="E285" s="128" t="s">
        <v>914</v>
      </c>
      <c r="F285" s="127" t="s">
        <v>306</v>
      </c>
      <c r="G285" s="136">
        <v>3.807E-2</v>
      </c>
      <c r="H285" s="113" t="str">
        <f t="shared" si="13"/>
        <v>OTHER</v>
      </c>
      <c r="I285" s="113" t="str">
        <f>INDEX('REGASSET Lookup'!$I:$I,MATCH('REGASSET Jun22data'!$A285,'REGASSET Lookup'!$A:$A,0))</f>
        <v>CUST</v>
      </c>
      <c r="J285" s="113" t="str">
        <f t="shared" si="14"/>
        <v>NO</v>
      </c>
      <c r="K285"/>
    </row>
    <row r="286" spans="1:11">
      <c r="A286" s="114" t="str">
        <f t="shared" si="12"/>
        <v>1823920DSR COSTS AMORTIZED103187REFRIGERATOR RECYCLING PGM- UTAH - 2011OTHER</v>
      </c>
      <c r="B286" s="126" t="s">
        <v>2231</v>
      </c>
      <c r="C286" s="128" t="s">
        <v>695</v>
      </c>
      <c r="D286" s="126" t="s">
        <v>2440</v>
      </c>
      <c r="E286" s="128" t="s">
        <v>915</v>
      </c>
      <c r="F286" s="127" t="s">
        <v>306</v>
      </c>
      <c r="G286" s="136">
        <v>1880.4767099999999</v>
      </c>
      <c r="H286" s="113" t="str">
        <f t="shared" si="13"/>
        <v>OTHER</v>
      </c>
      <c r="I286" s="113" t="str">
        <f>INDEX('REGASSET Lookup'!$I:$I,MATCH('REGASSET Jun22data'!$A286,'REGASSET Lookup'!$A:$A,0))</f>
        <v>CUST</v>
      </c>
      <c r="J286" s="113" t="str">
        <f t="shared" si="14"/>
        <v>NO</v>
      </c>
      <c r="K286"/>
    </row>
    <row r="287" spans="1:11">
      <c r="A287" s="114" t="str">
        <f t="shared" si="12"/>
        <v>1823920DSR COSTS AMORTIZED103188COMMERCIAL SELF-DIRECT - UTAH - 2011OTHER</v>
      </c>
      <c r="B287" s="126" t="s">
        <v>2231</v>
      </c>
      <c r="C287" s="128" t="s">
        <v>695</v>
      </c>
      <c r="D287" s="126" t="s">
        <v>2441</v>
      </c>
      <c r="E287" s="128" t="s">
        <v>916</v>
      </c>
      <c r="F287" s="127" t="s">
        <v>306</v>
      </c>
      <c r="G287" s="136">
        <v>125.50482</v>
      </c>
      <c r="H287" s="113" t="str">
        <f t="shared" si="13"/>
        <v>OTHER</v>
      </c>
      <c r="I287" s="113" t="str">
        <f>INDEX('REGASSET Lookup'!$I:$I,MATCH('REGASSET Jun22data'!$A287,'REGASSET Lookup'!$A:$A,0))</f>
        <v>CUST</v>
      </c>
      <c r="J287" s="113" t="str">
        <f t="shared" si="14"/>
        <v>NO</v>
      </c>
      <c r="K287"/>
    </row>
    <row r="288" spans="1:11">
      <c r="A288" s="114" t="str">
        <f t="shared" si="12"/>
        <v>1823920DSR COSTS AMORTIZED103189INDUSTRIAL SELF-DIRECT - UTAH - 2011OTHER</v>
      </c>
      <c r="B288" s="126" t="s">
        <v>2231</v>
      </c>
      <c r="C288" s="128" t="s">
        <v>695</v>
      </c>
      <c r="D288" s="126" t="s">
        <v>2442</v>
      </c>
      <c r="E288" s="128" t="s">
        <v>917</v>
      </c>
      <c r="F288" s="127" t="s">
        <v>306</v>
      </c>
      <c r="G288" s="136">
        <v>239.85731999999999</v>
      </c>
      <c r="H288" s="113" t="str">
        <f t="shared" si="13"/>
        <v>OTHER</v>
      </c>
      <c r="I288" s="113" t="str">
        <f>INDEX('REGASSET Lookup'!$I:$I,MATCH('REGASSET Jun22data'!$A288,'REGASSET Lookup'!$A:$A,0))</f>
        <v>CUST</v>
      </c>
      <c r="J288" s="113" t="str">
        <f t="shared" si="14"/>
        <v>NO</v>
      </c>
      <c r="K288"/>
    </row>
    <row r="289" spans="1:11">
      <c r="A289" s="114" t="str">
        <f t="shared" si="12"/>
        <v>1823920DSR COSTS AMORTIZED103190RESIDENTIAL NEW CONSTRUCTION - UTAH - 20OTHER</v>
      </c>
      <c r="B289" s="126" t="s">
        <v>2231</v>
      </c>
      <c r="C289" s="128" t="s">
        <v>695</v>
      </c>
      <c r="D289" s="126" t="s">
        <v>2443</v>
      </c>
      <c r="E289" s="128" t="s">
        <v>757</v>
      </c>
      <c r="F289" s="127" t="s">
        <v>306</v>
      </c>
      <c r="G289" s="136">
        <v>3071.2638200000001</v>
      </c>
      <c r="H289" s="113" t="str">
        <f t="shared" si="13"/>
        <v>OTHER</v>
      </c>
      <c r="I289" s="113" t="str">
        <f>INDEX('REGASSET Lookup'!$I:$I,MATCH('REGASSET Jun22data'!$A289,'REGASSET Lookup'!$A:$A,0))</f>
        <v>CUST</v>
      </c>
      <c r="J289" s="113" t="str">
        <f t="shared" si="14"/>
        <v>NO</v>
      </c>
      <c r="K289"/>
    </row>
    <row r="290" spans="1:11">
      <c r="A290" s="114" t="str">
        <f t="shared" si="12"/>
        <v>1823920DSR COSTS AMORTIZED103191COMMERCIAL FINANSWER EXPRESS - UTAH - 20OTHER</v>
      </c>
      <c r="B290" s="126" t="s">
        <v>2231</v>
      </c>
      <c r="C290" s="128" t="s">
        <v>695</v>
      </c>
      <c r="D290" s="126" t="s">
        <v>2444</v>
      </c>
      <c r="E290" s="128" t="s">
        <v>760</v>
      </c>
      <c r="F290" s="127" t="s">
        <v>306</v>
      </c>
      <c r="G290" s="136">
        <v>4606.6943600000004</v>
      </c>
      <c r="H290" s="113" t="str">
        <f t="shared" si="13"/>
        <v>OTHER</v>
      </c>
      <c r="I290" s="113" t="str">
        <f>INDEX('REGASSET Lookup'!$I:$I,MATCH('REGASSET Jun22data'!$A290,'REGASSET Lookup'!$A:$A,0))</f>
        <v>CUST</v>
      </c>
      <c r="J290" s="113" t="str">
        <f t="shared" si="14"/>
        <v>NO</v>
      </c>
      <c r="K290"/>
    </row>
    <row r="291" spans="1:11">
      <c r="A291" s="114" t="str">
        <f t="shared" si="12"/>
        <v>1823920DSR COSTS AMORTIZED103192INDUSTRIAL FINANSWER EXPRESS - UTAH - 20OTHER</v>
      </c>
      <c r="B291" s="126" t="s">
        <v>2231</v>
      </c>
      <c r="C291" s="128" t="s">
        <v>695</v>
      </c>
      <c r="D291" s="126" t="s">
        <v>2445</v>
      </c>
      <c r="E291" s="128" t="s">
        <v>761</v>
      </c>
      <c r="F291" s="127" t="s">
        <v>306</v>
      </c>
      <c r="G291" s="136">
        <v>1233.1958299999999</v>
      </c>
      <c r="H291" s="113" t="str">
        <f t="shared" si="13"/>
        <v>OTHER</v>
      </c>
      <c r="I291" s="113" t="str">
        <f>INDEX('REGASSET Lookup'!$I:$I,MATCH('REGASSET Jun22data'!$A291,'REGASSET Lookup'!$A:$A,0))</f>
        <v>CUST</v>
      </c>
      <c r="J291" s="113" t="str">
        <f t="shared" si="14"/>
        <v>NO</v>
      </c>
      <c r="K291"/>
    </row>
    <row r="292" spans="1:11">
      <c r="A292" s="114" t="str">
        <f t="shared" si="12"/>
        <v>1823920DSR COSTS AMORTIZED103193RETROFIT COMMISSIONING PROGRAM  - UTAH -OTHER</v>
      </c>
      <c r="B292" s="126" t="s">
        <v>2231</v>
      </c>
      <c r="C292" s="128" t="s">
        <v>695</v>
      </c>
      <c r="D292" s="126" t="s">
        <v>2446</v>
      </c>
      <c r="E292" s="128" t="s">
        <v>782</v>
      </c>
      <c r="F292" s="127" t="s">
        <v>306</v>
      </c>
      <c r="G292" s="136">
        <v>410.93335999999999</v>
      </c>
      <c r="H292" s="113" t="str">
        <f t="shared" si="13"/>
        <v>OTHER</v>
      </c>
      <c r="I292" s="113" t="str">
        <f>INDEX('REGASSET Lookup'!$I:$I,MATCH('REGASSET Jun22data'!$A292,'REGASSET Lookup'!$A:$A,0))</f>
        <v>CUST</v>
      </c>
      <c r="J292" s="113" t="str">
        <f t="shared" si="14"/>
        <v>NO</v>
      </c>
      <c r="K292"/>
    </row>
    <row r="293" spans="1:11">
      <c r="A293" s="114" t="str">
        <f t="shared" si="12"/>
        <v>1823920DSR COSTS AMORTIZED103195IRRIGATION LOAD CONTROL  - UTAH - 2011OTHER</v>
      </c>
      <c r="B293" s="126" t="s">
        <v>2231</v>
      </c>
      <c r="C293" s="128" t="s">
        <v>695</v>
      </c>
      <c r="D293" s="126" t="s">
        <v>2447</v>
      </c>
      <c r="E293" s="128" t="s">
        <v>918</v>
      </c>
      <c r="F293" s="127" t="s">
        <v>306</v>
      </c>
      <c r="G293" s="136">
        <v>2513.3569299999999</v>
      </c>
      <c r="H293" s="113" t="str">
        <f t="shared" si="13"/>
        <v>OTHER</v>
      </c>
      <c r="I293" s="113" t="str">
        <f>INDEX('REGASSET Lookup'!$I:$I,MATCH('REGASSET Jun22data'!$A293,'REGASSET Lookup'!$A:$A,0))</f>
        <v>CUST</v>
      </c>
      <c r="J293" s="113" t="str">
        <f t="shared" si="14"/>
        <v>NO</v>
      </c>
      <c r="K293"/>
    </row>
    <row r="294" spans="1:11">
      <c r="A294" s="114" t="str">
        <f t="shared" si="12"/>
        <v>1823920DSR COSTS AMORTIZED103196HOME ENERGY EFF INCENTIVE PROG - UT 2011OTHER</v>
      </c>
      <c r="B294" s="126" t="s">
        <v>2231</v>
      </c>
      <c r="C294" s="128" t="s">
        <v>695</v>
      </c>
      <c r="D294" s="126" t="s">
        <v>2448</v>
      </c>
      <c r="E294" s="128" t="s">
        <v>919</v>
      </c>
      <c r="F294" s="127" t="s">
        <v>306</v>
      </c>
      <c r="G294" s="136">
        <v>11359.762559999999</v>
      </c>
      <c r="H294" s="113" t="str">
        <f t="shared" si="13"/>
        <v>OTHER</v>
      </c>
      <c r="I294" s="113" t="str">
        <f>INDEX('REGASSET Lookup'!$I:$I,MATCH('REGASSET Jun22data'!$A294,'REGASSET Lookup'!$A:$A,0))</f>
        <v>CUST</v>
      </c>
      <c r="J294" s="113" t="str">
        <f t="shared" si="14"/>
        <v>NO</v>
      </c>
      <c r="K294"/>
    </row>
    <row r="295" spans="1:11">
      <c r="A295" s="114" t="str">
        <f t="shared" si="12"/>
        <v>1823920DSR COSTS AMORTIZED103197OUTREACH and COMMUNICATIONS - UT 2011OTHER</v>
      </c>
      <c r="B295" s="126" t="s">
        <v>2231</v>
      </c>
      <c r="C295" s="128" t="s">
        <v>695</v>
      </c>
      <c r="D295" s="126" t="s">
        <v>2449</v>
      </c>
      <c r="E295" s="128" t="s">
        <v>920</v>
      </c>
      <c r="F295" s="127" t="s">
        <v>306</v>
      </c>
      <c r="G295" s="136">
        <v>1437.0285200000001</v>
      </c>
      <c r="H295" s="113" t="str">
        <f t="shared" si="13"/>
        <v>OTHER</v>
      </c>
      <c r="I295" s="113" t="str">
        <f>INDEX('REGASSET Lookup'!$I:$I,MATCH('REGASSET Jun22data'!$A295,'REGASSET Lookup'!$A:$A,0))</f>
        <v>CUST</v>
      </c>
      <c r="J295" s="113" t="str">
        <f t="shared" si="14"/>
        <v>NO</v>
      </c>
      <c r="K295"/>
    </row>
    <row r="296" spans="1:11">
      <c r="A296" s="114" t="str">
        <f t="shared" si="12"/>
        <v>1823920DSR COSTS AMORTIZED103199ENERGY FINANSWER-WY-2011 CAT3OTHER</v>
      </c>
      <c r="B296" s="126" t="s">
        <v>2231</v>
      </c>
      <c r="C296" s="128" t="s">
        <v>695</v>
      </c>
      <c r="D296" s="126" t="s">
        <v>2450</v>
      </c>
      <c r="E296" s="128" t="s">
        <v>921</v>
      </c>
      <c r="F296" s="127" t="s">
        <v>306</v>
      </c>
      <c r="G296" s="136">
        <v>29.857749999999999</v>
      </c>
      <c r="H296" s="113" t="str">
        <f t="shared" si="13"/>
        <v>OTHER</v>
      </c>
      <c r="I296" s="113" t="str">
        <f>INDEX('REGASSET Lookup'!$I:$I,MATCH('REGASSET Jun22data'!$A296,'REGASSET Lookup'!$A:$A,0))</f>
        <v>CUST</v>
      </c>
      <c r="J296" s="113" t="str">
        <f t="shared" si="14"/>
        <v>NO</v>
      </c>
      <c r="K296"/>
    </row>
    <row r="297" spans="1:11">
      <c r="A297" s="114" t="str">
        <f t="shared" si="12"/>
        <v>1823920DSR COSTS AMORTIZED103200INDUSTRIAL FINANSWER-WY-2011 CAT3OTHER</v>
      </c>
      <c r="B297" s="126" t="s">
        <v>2231</v>
      </c>
      <c r="C297" s="128" t="s">
        <v>695</v>
      </c>
      <c r="D297" s="126" t="s">
        <v>2451</v>
      </c>
      <c r="E297" s="128" t="s">
        <v>922</v>
      </c>
      <c r="F297" s="127" t="s">
        <v>306</v>
      </c>
      <c r="G297" s="136">
        <v>433.12884000000003</v>
      </c>
      <c r="H297" s="113" t="str">
        <f t="shared" si="13"/>
        <v>OTHER</v>
      </c>
      <c r="I297" s="113" t="str">
        <f>INDEX('REGASSET Lookup'!$I:$I,MATCH('REGASSET Jun22data'!$A297,'REGASSET Lookup'!$A:$A,0))</f>
        <v>CUST</v>
      </c>
      <c r="J297" s="113" t="str">
        <f t="shared" si="14"/>
        <v>NO</v>
      </c>
      <c r="K297"/>
    </row>
    <row r="298" spans="1:11">
      <c r="A298" s="114" t="str">
        <f t="shared" si="12"/>
        <v>1823920DSR COSTS AMORTIZED103202REFRIGERATOR RECYCLING-WY -2011 CAT1OTHER</v>
      </c>
      <c r="B298" s="126" t="s">
        <v>2231</v>
      </c>
      <c r="C298" s="128" t="s">
        <v>695</v>
      </c>
      <c r="D298" s="126" t="s">
        <v>2452</v>
      </c>
      <c r="E298" s="128" t="s">
        <v>923</v>
      </c>
      <c r="F298" s="127" t="s">
        <v>306</v>
      </c>
      <c r="G298" s="136">
        <v>182.83957000000001</v>
      </c>
      <c r="H298" s="113" t="str">
        <f t="shared" si="13"/>
        <v>OTHER</v>
      </c>
      <c r="I298" s="113" t="str">
        <f>INDEX('REGASSET Lookup'!$I:$I,MATCH('REGASSET Jun22data'!$A298,'REGASSET Lookup'!$A:$A,0))</f>
        <v>CUST</v>
      </c>
      <c r="J298" s="113" t="str">
        <f t="shared" si="14"/>
        <v>NO</v>
      </c>
      <c r="K298"/>
    </row>
    <row r="299" spans="1:11">
      <c r="A299" s="114" t="str">
        <f t="shared" si="12"/>
        <v>1823920DSR COSTS AMORTIZED103203HOME ENERGY EFF INCENT PROG Y-2011 CAT1OTHER</v>
      </c>
      <c r="B299" s="126" t="s">
        <v>2231</v>
      </c>
      <c r="C299" s="128" t="s">
        <v>695</v>
      </c>
      <c r="D299" s="126" t="s">
        <v>2453</v>
      </c>
      <c r="E299" s="128" t="s">
        <v>924</v>
      </c>
      <c r="F299" s="127" t="s">
        <v>306</v>
      </c>
      <c r="G299" s="136">
        <v>1069.93316</v>
      </c>
      <c r="H299" s="113" t="str">
        <f t="shared" si="13"/>
        <v>OTHER</v>
      </c>
      <c r="I299" s="113" t="str">
        <f>INDEX('REGASSET Lookup'!$I:$I,MATCH('REGASSET Jun22data'!$A299,'REGASSET Lookup'!$A:$A,0))</f>
        <v>CUST</v>
      </c>
      <c r="J299" s="113" t="str">
        <f t="shared" si="14"/>
        <v>NO</v>
      </c>
      <c r="K299"/>
    </row>
    <row r="300" spans="1:11">
      <c r="A300" s="114" t="str">
        <f t="shared" si="12"/>
        <v>1823920DSR COSTS AMORTIZED103204Low-Income Weatherztn - Wy 2011 CAT1OTHER</v>
      </c>
      <c r="B300" s="126" t="s">
        <v>2231</v>
      </c>
      <c r="C300" s="128" t="s">
        <v>695</v>
      </c>
      <c r="D300" s="126" t="s">
        <v>2454</v>
      </c>
      <c r="E300" s="128" t="s">
        <v>925</v>
      </c>
      <c r="F300" s="127" t="s">
        <v>306</v>
      </c>
      <c r="G300" s="136">
        <v>41.544229999999999</v>
      </c>
      <c r="H300" s="113" t="str">
        <f t="shared" si="13"/>
        <v>OTHER</v>
      </c>
      <c r="I300" s="113" t="str">
        <f>INDEX('REGASSET Lookup'!$I:$I,MATCH('REGASSET Jun22data'!$A300,'REGASSET Lookup'!$A:$A,0))</f>
        <v>CUST</v>
      </c>
      <c r="J300" s="113" t="str">
        <f t="shared" si="14"/>
        <v>NO</v>
      </c>
      <c r="K300"/>
    </row>
    <row r="301" spans="1:11">
      <c r="A301" s="114" t="str">
        <f t="shared" si="12"/>
        <v>1823920DSR COSTS AMORTIZED103205COMMERCIAL FINANSWER EXP WY-2011 CAT3OTHER</v>
      </c>
      <c r="B301" s="126" t="s">
        <v>2231</v>
      </c>
      <c r="C301" s="128" t="s">
        <v>695</v>
      </c>
      <c r="D301" s="126" t="s">
        <v>2455</v>
      </c>
      <c r="E301" s="128" t="s">
        <v>926</v>
      </c>
      <c r="F301" s="127" t="s">
        <v>306</v>
      </c>
      <c r="G301" s="136">
        <v>102.34610000000001</v>
      </c>
      <c r="H301" s="113" t="str">
        <f t="shared" si="13"/>
        <v>OTHER</v>
      </c>
      <c r="I301" s="113" t="str">
        <f>INDEX('REGASSET Lookup'!$I:$I,MATCH('REGASSET Jun22data'!$A301,'REGASSET Lookup'!$A:$A,0))</f>
        <v>CUST</v>
      </c>
      <c r="J301" s="113" t="str">
        <f t="shared" si="14"/>
        <v>NO</v>
      </c>
      <c r="K301"/>
    </row>
    <row r="302" spans="1:11">
      <c r="A302" s="114" t="str">
        <f t="shared" si="12"/>
        <v>1823920DSR COSTS AMORTIZED103206INDUSTRIAL FINANSWER EXP WY-2011 CAT3OTHER</v>
      </c>
      <c r="B302" s="126" t="s">
        <v>2231</v>
      </c>
      <c r="C302" s="128" t="s">
        <v>695</v>
      </c>
      <c r="D302" s="126" t="s">
        <v>2456</v>
      </c>
      <c r="E302" s="128" t="s">
        <v>927</v>
      </c>
      <c r="F302" s="127" t="s">
        <v>306</v>
      </c>
      <c r="G302" s="136">
        <v>167.73187999999999</v>
      </c>
      <c r="H302" s="113" t="str">
        <f t="shared" si="13"/>
        <v>OTHER</v>
      </c>
      <c r="I302" s="113" t="str">
        <f>INDEX('REGASSET Lookup'!$I:$I,MATCH('REGASSET Jun22data'!$A302,'REGASSET Lookup'!$A:$A,0))</f>
        <v>CUST</v>
      </c>
      <c r="J302" s="113" t="str">
        <f t="shared" si="14"/>
        <v>NO</v>
      </c>
      <c r="K302"/>
    </row>
    <row r="303" spans="1:11">
      <c r="A303" s="114" t="str">
        <f t="shared" si="12"/>
        <v>1823920DSR COSTS AMORTIZED103207Self Direct - Commercial -Wy-2011 CAT3OTHER</v>
      </c>
      <c r="B303" s="126" t="s">
        <v>2231</v>
      </c>
      <c r="C303" s="128" t="s">
        <v>695</v>
      </c>
      <c r="D303" s="126" t="s">
        <v>2457</v>
      </c>
      <c r="E303" s="128" t="s">
        <v>928</v>
      </c>
      <c r="F303" s="127" t="s">
        <v>306</v>
      </c>
      <c r="G303" s="136">
        <v>5.5312200000000002</v>
      </c>
      <c r="H303" s="113" t="str">
        <f t="shared" si="13"/>
        <v>OTHER</v>
      </c>
      <c r="I303" s="113" t="str">
        <f>INDEX('REGASSET Lookup'!$I:$I,MATCH('REGASSET Jun22data'!$A303,'REGASSET Lookup'!$A:$A,0))</f>
        <v>CUST</v>
      </c>
      <c r="J303" s="113" t="str">
        <f t="shared" si="14"/>
        <v>NO</v>
      </c>
      <c r="K303"/>
    </row>
    <row r="304" spans="1:11">
      <c r="A304" s="114" t="str">
        <f t="shared" si="12"/>
        <v>1823920DSR COSTS AMORTIZED103208Self Direct -Industrial -Wy-2011 CAT3OTHER</v>
      </c>
      <c r="B304" s="126" t="s">
        <v>2231</v>
      </c>
      <c r="C304" s="128" t="s">
        <v>695</v>
      </c>
      <c r="D304" s="126" t="s">
        <v>2458</v>
      </c>
      <c r="E304" s="128" t="s">
        <v>929</v>
      </c>
      <c r="F304" s="127" t="s">
        <v>306</v>
      </c>
      <c r="G304" s="136">
        <v>268.36527000000001</v>
      </c>
      <c r="H304" s="113" t="str">
        <f t="shared" si="13"/>
        <v>OTHER</v>
      </c>
      <c r="I304" s="113" t="str">
        <f>INDEX('REGASSET Lookup'!$I:$I,MATCH('REGASSET Jun22data'!$A304,'REGASSET Lookup'!$A:$A,0))</f>
        <v>CUST</v>
      </c>
      <c r="J304" s="113" t="str">
        <f t="shared" si="14"/>
        <v>NO</v>
      </c>
      <c r="K304"/>
    </row>
    <row r="305" spans="1:11">
      <c r="A305" s="114" t="str">
        <f t="shared" si="12"/>
        <v>1823920DSR COSTS AMORTIZED103209COMMERCIAL FINANSWER EXP- WY-2011 CAT2OTHER</v>
      </c>
      <c r="B305" s="126" t="s">
        <v>2231</v>
      </c>
      <c r="C305" s="128" t="s">
        <v>695</v>
      </c>
      <c r="D305" s="126" t="s">
        <v>2459</v>
      </c>
      <c r="E305" s="128" t="s">
        <v>930</v>
      </c>
      <c r="F305" s="127" t="s">
        <v>306</v>
      </c>
      <c r="G305" s="136">
        <v>894.20281</v>
      </c>
      <c r="H305" s="113" t="str">
        <f t="shared" si="13"/>
        <v>OTHER</v>
      </c>
      <c r="I305" s="113" t="str">
        <f>INDEX('REGASSET Lookup'!$I:$I,MATCH('REGASSET Jun22data'!$A305,'REGASSET Lookup'!$A:$A,0))</f>
        <v>CUST</v>
      </c>
      <c r="J305" s="113" t="str">
        <f t="shared" si="14"/>
        <v>NO</v>
      </c>
      <c r="K305"/>
    </row>
    <row r="306" spans="1:11">
      <c r="A306" s="114" t="str">
        <f t="shared" si="12"/>
        <v>1823920DSR COSTS AMORTIZED103210INDUSTRIAL FINAN EXPRESS WY-2011 CAT2OTHER</v>
      </c>
      <c r="B306" s="126" t="s">
        <v>2231</v>
      </c>
      <c r="C306" s="128" t="s">
        <v>695</v>
      </c>
      <c r="D306" s="126" t="s">
        <v>2460</v>
      </c>
      <c r="E306" s="128" t="s">
        <v>931</v>
      </c>
      <c r="F306" s="127" t="s">
        <v>306</v>
      </c>
      <c r="G306" s="136">
        <v>55.277000000000001</v>
      </c>
      <c r="H306" s="113" t="str">
        <f t="shared" si="13"/>
        <v>OTHER</v>
      </c>
      <c r="I306" s="113" t="str">
        <f>INDEX('REGASSET Lookup'!$I:$I,MATCH('REGASSET Jun22data'!$A306,'REGASSET Lookup'!$A:$A,0))</f>
        <v>CUST</v>
      </c>
      <c r="J306" s="113" t="str">
        <f t="shared" si="14"/>
        <v>NO</v>
      </c>
      <c r="K306"/>
    </row>
    <row r="307" spans="1:11">
      <c r="A307" s="114" t="str">
        <f t="shared" si="12"/>
        <v>1823920DSR COSTS AMORTIZED103211ENERGY FINANSWER -WY 2011 CAT2OTHER</v>
      </c>
      <c r="B307" s="126" t="s">
        <v>2231</v>
      </c>
      <c r="C307" s="128" t="s">
        <v>695</v>
      </c>
      <c r="D307" s="126" t="s">
        <v>2461</v>
      </c>
      <c r="E307" s="128" t="s">
        <v>932</v>
      </c>
      <c r="F307" s="127" t="s">
        <v>306</v>
      </c>
      <c r="G307" s="136">
        <v>50.846200000000003</v>
      </c>
      <c r="H307" s="113" t="str">
        <f t="shared" si="13"/>
        <v>OTHER</v>
      </c>
      <c r="I307" s="113" t="str">
        <f>INDEX('REGASSET Lookup'!$I:$I,MATCH('REGASSET Jun22data'!$A307,'REGASSET Lookup'!$A:$A,0))</f>
        <v>CUST</v>
      </c>
      <c r="J307" s="113" t="str">
        <f t="shared" si="14"/>
        <v>NO</v>
      </c>
      <c r="K307"/>
    </row>
    <row r="308" spans="1:11">
      <c r="A308" s="114" t="str">
        <f t="shared" si="12"/>
        <v>1823920DSR COSTS AMORTIZED103212INDUSTRIAL FINANSWER -WY 2011 CAT2OTHER</v>
      </c>
      <c r="B308" s="126" t="s">
        <v>2231</v>
      </c>
      <c r="C308" s="128" t="s">
        <v>695</v>
      </c>
      <c r="D308" s="126" t="s">
        <v>2462</v>
      </c>
      <c r="E308" s="128" t="s">
        <v>933</v>
      </c>
      <c r="F308" s="127" t="s">
        <v>306</v>
      </c>
      <c r="G308" s="136">
        <v>97.67774</v>
      </c>
      <c r="H308" s="113" t="str">
        <f t="shared" si="13"/>
        <v>OTHER</v>
      </c>
      <c r="I308" s="113" t="str">
        <f>INDEX('REGASSET Lookup'!$I:$I,MATCH('REGASSET Jun22data'!$A308,'REGASSET Lookup'!$A:$A,0))</f>
        <v>CUST</v>
      </c>
      <c r="J308" s="113" t="str">
        <f t="shared" si="14"/>
        <v>NO</v>
      </c>
      <c r="K308"/>
    </row>
    <row r="309" spans="1:11">
      <c r="A309" s="114" t="str">
        <f t="shared" si="12"/>
        <v>1823920DSR COSTS AMORTIZED103213Self Direct - Commercial Wy-2011 CAT2OTHER</v>
      </c>
      <c r="B309" s="126" t="s">
        <v>2231</v>
      </c>
      <c r="C309" s="128" t="s">
        <v>695</v>
      </c>
      <c r="D309" s="126" t="s">
        <v>2463</v>
      </c>
      <c r="E309" s="128" t="s">
        <v>934</v>
      </c>
      <c r="F309" s="127" t="s">
        <v>306</v>
      </c>
      <c r="G309" s="136">
        <v>2.8799399999999999</v>
      </c>
      <c r="H309" s="113" t="str">
        <f t="shared" si="13"/>
        <v>OTHER</v>
      </c>
      <c r="I309" s="113" t="str">
        <f>INDEX('REGASSET Lookup'!$I:$I,MATCH('REGASSET Jun22data'!$A309,'REGASSET Lookup'!$A:$A,0))</f>
        <v>CUST</v>
      </c>
      <c r="J309" s="113" t="str">
        <f t="shared" si="14"/>
        <v>NO</v>
      </c>
      <c r="K309"/>
    </row>
    <row r="310" spans="1:11">
      <c r="A310" s="114" t="str">
        <f t="shared" si="12"/>
        <v>1823920DSR COSTS AMORTIZED103214Self Direct- Industrial Wy-2011 CAT2OTHER</v>
      </c>
      <c r="B310" s="126" t="s">
        <v>2231</v>
      </c>
      <c r="C310" s="128" t="s">
        <v>695</v>
      </c>
      <c r="D310" s="126" t="s">
        <v>2464</v>
      </c>
      <c r="E310" s="128" t="s">
        <v>935</v>
      </c>
      <c r="F310" s="127" t="s">
        <v>306</v>
      </c>
      <c r="G310" s="136">
        <v>10.69408</v>
      </c>
      <c r="H310" s="113" t="str">
        <f t="shared" si="13"/>
        <v>OTHER</v>
      </c>
      <c r="I310" s="113" t="str">
        <f>INDEX('REGASSET Lookup'!$I:$I,MATCH('REGASSET Jun22data'!$A310,'REGASSET Lookup'!$A:$A,0))</f>
        <v>CUST</v>
      </c>
      <c r="J310" s="113" t="str">
        <f t="shared" si="14"/>
        <v>NO</v>
      </c>
      <c r="K310"/>
    </row>
    <row r="311" spans="1:11">
      <c r="A311" s="114" t="str">
        <f t="shared" si="12"/>
        <v>1823920DSR COSTS AMORTIZED103277OUTREACH &amp; COMM- WATTSMART - EVALUATIONOTHER</v>
      </c>
      <c r="B311" s="126" t="s">
        <v>2231</v>
      </c>
      <c r="C311" s="128" t="s">
        <v>695</v>
      </c>
      <c r="D311" s="126" t="s">
        <v>2465</v>
      </c>
      <c r="E311" s="128" t="s">
        <v>936</v>
      </c>
      <c r="F311" s="127" t="s">
        <v>306</v>
      </c>
      <c r="G311" s="136">
        <v>1307.8153</v>
      </c>
      <c r="H311" s="113" t="str">
        <f t="shared" si="13"/>
        <v>OTHER</v>
      </c>
      <c r="I311" s="113" t="str">
        <f>INDEX('REGASSET Lookup'!$I:$I,MATCH('REGASSET Jun22data'!$A311,'REGASSET Lookup'!$A:$A,0))</f>
        <v>CUST</v>
      </c>
      <c r="J311" s="113" t="str">
        <f t="shared" si="14"/>
        <v>NO</v>
      </c>
      <c r="K311"/>
    </row>
    <row r="312" spans="1:11">
      <c r="A312" s="114" t="str">
        <f t="shared" si="12"/>
        <v>1823920DSR COSTS AMORTIZED103280COMPANY INITIATIVES -PRODUCTION EFFICIENOTHER</v>
      </c>
      <c r="B312" s="126" t="s">
        <v>2231</v>
      </c>
      <c r="C312" s="128" t="s">
        <v>695</v>
      </c>
      <c r="D312" s="126" t="s">
        <v>2466</v>
      </c>
      <c r="E312" s="128" t="s">
        <v>937</v>
      </c>
      <c r="F312" s="127" t="s">
        <v>306</v>
      </c>
      <c r="G312" s="136">
        <v>387.56200999999999</v>
      </c>
      <c r="H312" s="113" t="str">
        <f t="shared" si="13"/>
        <v>OTHER</v>
      </c>
      <c r="I312" s="113" t="str">
        <f>INDEX('REGASSET Lookup'!$I:$I,MATCH('REGASSET Jun22data'!$A312,'REGASSET Lookup'!$A:$A,0))</f>
        <v>CUST</v>
      </c>
      <c r="J312" s="113" t="str">
        <f t="shared" si="14"/>
        <v>NO</v>
      </c>
      <c r="K312"/>
    </row>
    <row r="313" spans="1:11">
      <c r="A313" s="114" t="str">
        <f t="shared" si="12"/>
        <v>1823920DSR COSTS AMORTIZED103291Portfolio -WY-2011   Cat4OTHER</v>
      </c>
      <c r="B313" s="126" t="s">
        <v>2231</v>
      </c>
      <c r="C313" s="128" t="s">
        <v>695</v>
      </c>
      <c r="D313" s="126" t="s">
        <v>2467</v>
      </c>
      <c r="E313" s="128" t="s">
        <v>938</v>
      </c>
      <c r="F313" s="127" t="s">
        <v>306</v>
      </c>
      <c r="G313" s="136">
        <v>266.24419</v>
      </c>
      <c r="H313" s="113" t="str">
        <f t="shared" si="13"/>
        <v>OTHER</v>
      </c>
      <c r="I313" s="113" t="str">
        <f>INDEX('REGASSET Lookup'!$I:$I,MATCH('REGASSET Jun22data'!$A313,'REGASSET Lookup'!$A:$A,0))</f>
        <v>CUST</v>
      </c>
      <c r="J313" s="113" t="str">
        <f t="shared" si="14"/>
        <v>NO</v>
      </c>
      <c r="K313"/>
    </row>
    <row r="314" spans="1:11">
      <c r="A314" s="114" t="str">
        <f t="shared" si="12"/>
        <v>1823920DSR COSTS AMORTIZED103292Portfolio - WashingtonOTHER</v>
      </c>
      <c r="B314" s="126" t="s">
        <v>2231</v>
      </c>
      <c r="C314" s="128" t="s">
        <v>695</v>
      </c>
      <c r="D314" s="126" t="s">
        <v>2468</v>
      </c>
      <c r="E314" s="128" t="s">
        <v>939</v>
      </c>
      <c r="F314" s="127" t="s">
        <v>306</v>
      </c>
      <c r="G314" s="136">
        <v>3295.9004100000002</v>
      </c>
      <c r="H314" s="113" t="str">
        <f t="shared" si="13"/>
        <v>OTHER</v>
      </c>
      <c r="I314" s="113" t="str">
        <f>INDEX('REGASSET Lookup'!$I:$I,MATCH('REGASSET Jun22data'!$A314,'REGASSET Lookup'!$A:$A,0))</f>
        <v>CUST</v>
      </c>
      <c r="J314" s="113" t="str">
        <f t="shared" si="14"/>
        <v>NO</v>
      </c>
      <c r="K314"/>
    </row>
    <row r="315" spans="1:11">
      <c r="A315" s="114" t="str">
        <f t="shared" si="12"/>
        <v>1823920DSR COSTS AMORTIZED103293Energy Storage Demonstration Project -UTOTHER</v>
      </c>
      <c r="B315" s="126" t="s">
        <v>2231</v>
      </c>
      <c r="C315" s="128" t="s">
        <v>695</v>
      </c>
      <c r="D315" s="126" t="s">
        <v>2469</v>
      </c>
      <c r="E315" s="128" t="s">
        <v>940</v>
      </c>
      <c r="F315" s="127" t="s">
        <v>306</v>
      </c>
      <c r="G315" s="136">
        <v>6.8141999999999996</v>
      </c>
      <c r="H315" s="113" t="str">
        <f t="shared" si="13"/>
        <v>OTHER</v>
      </c>
      <c r="I315" s="113" t="str">
        <f>INDEX('REGASSET Lookup'!$I:$I,MATCH('REGASSET Jun22data'!$A315,'REGASSET Lookup'!$A:$A,0))</f>
        <v>CUST</v>
      </c>
      <c r="J315" s="113" t="str">
        <f t="shared" si="14"/>
        <v>NO</v>
      </c>
      <c r="K315"/>
    </row>
    <row r="316" spans="1:11">
      <c r="A316" s="114" t="str">
        <f t="shared" si="12"/>
        <v>1823920DSR COSTS AMORTIZED103295Outreach And Communication-WY-2011OTHER</v>
      </c>
      <c r="B316" s="126" t="s">
        <v>2231</v>
      </c>
      <c r="C316" s="128" t="s">
        <v>695</v>
      </c>
      <c r="D316" s="126" t="s">
        <v>2470</v>
      </c>
      <c r="E316" s="128" t="s">
        <v>941</v>
      </c>
      <c r="F316" s="127" t="s">
        <v>306</v>
      </c>
      <c r="G316" s="136">
        <v>0.54224000000000006</v>
      </c>
      <c r="H316" s="113" t="str">
        <f t="shared" si="13"/>
        <v>OTHER</v>
      </c>
      <c r="I316" s="113" t="str">
        <f>INDEX('REGASSET Lookup'!$I:$I,MATCH('REGASSET Jun22data'!$A316,'REGASSET Lookup'!$A:$A,0))</f>
        <v>CUST</v>
      </c>
      <c r="J316" s="113" t="str">
        <f t="shared" si="14"/>
        <v>NO</v>
      </c>
      <c r="K316"/>
    </row>
    <row r="317" spans="1:11">
      <c r="A317" s="114" t="str">
        <f t="shared" si="12"/>
        <v>1823920DSR COSTS AMORTIZED103299AGRICULURAL FINANSWER EXPRESS - UTAH - 2OTHER</v>
      </c>
      <c r="B317" s="126" t="s">
        <v>2231</v>
      </c>
      <c r="C317" s="128" t="s">
        <v>695</v>
      </c>
      <c r="D317" s="126" t="s">
        <v>2471</v>
      </c>
      <c r="E317" s="128" t="s">
        <v>942</v>
      </c>
      <c r="F317" s="127" t="s">
        <v>306</v>
      </c>
      <c r="G317" s="136">
        <v>0.4</v>
      </c>
      <c r="H317" s="113" t="str">
        <f t="shared" si="13"/>
        <v>OTHER</v>
      </c>
      <c r="I317" s="113" t="str">
        <f>INDEX('REGASSET Lookup'!$I:$I,MATCH('REGASSET Jun22data'!$A317,'REGASSET Lookup'!$A:$A,0))</f>
        <v>CUST</v>
      </c>
      <c r="J317" s="113" t="str">
        <f t="shared" si="14"/>
        <v>NO</v>
      </c>
      <c r="K317"/>
    </row>
    <row r="318" spans="1:11">
      <c r="A318" s="114" t="str">
        <f t="shared" si="12"/>
        <v>1823920DSR COSTS AMORTIZED103300AGRICULTURAL FINANSWER EXPRESS - WASHINGOTHER</v>
      </c>
      <c r="B318" s="126" t="s">
        <v>2231</v>
      </c>
      <c r="C318" s="128" t="s">
        <v>695</v>
      </c>
      <c r="D318" s="126" t="s">
        <v>2472</v>
      </c>
      <c r="E318" s="128" t="s">
        <v>943</v>
      </c>
      <c r="F318" s="127" t="s">
        <v>306</v>
      </c>
      <c r="G318" s="136">
        <v>75.372039999999998</v>
      </c>
      <c r="H318" s="113" t="str">
        <f t="shared" si="13"/>
        <v>OTHER</v>
      </c>
      <c r="I318" s="113" t="str">
        <f>INDEX('REGASSET Lookup'!$I:$I,MATCH('REGASSET Jun22data'!$A318,'REGASSET Lookup'!$A:$A,0))</f>
        <v>CUST</v>
      </c>
      <c r="J318" s="113" t="str">
        <f t="shared" si="14"/>
        <v>NO</v>
      </c>
      <c r="K318"/>
    </row>
    <row r="319" spans="1:11">
      <c r="A319" s="114" t="str">
        <f t="shared" si="12"/>
        <v>1823920DSR COSTS AMORTIZED103301PORTFOLIO -WY-2011   CAT2OTHER</v>
      </c>
      <c r="B319" s="126" t="s">
        <v>2231</v>
      </c>
      <c r="C319" s="128" t="s">
        <v>695</v>
      </c>
      <c r="D319" s="126" t="s">
        <v>2473</v>
      </c>
      <c r="E319" s="128" t="s">
        <v>944</v>
      </c>
      <c r="F319" s="127" t="s">
        <v>306</v>
      </c>
      <c r="G319" s="136">
        <v>73.616749999999996</v>
      </c>
      <c r="H319" s="113" t="str">
        <f t="shared" si="13"/>
        <v>OTHER</v>
      </c>
      <c r="I319" s="113" t="str">
        <f>INDEX('REGASSET Lookup'!$I:$I,MATCH('REGASSET Jun22data'!$A319,'REGASSET Lookup'!$A:$A,0))</f>
        <v>CUST</v>
      </c>
      <c r="J319" s="113" t="str">
        <f t="shared" si="14"/>
        <v>NO</v>
      </c>
      <c r="K319"/>
    </row>
    <row r="320" spans="1:11">
      <c r="A320" s="114" t="str">
        <f t="shared" si="12"/>
        <v>1823920DSR COSTS AMORTIZED103302PORTFOLIO -WY-2011   CAT3OTHER</v>
      </c>
      <c r="B320" s="126" t="s">
        <v>2231</v>
      </c>
      <c r="C320" s="128" t="s">
        <v>695</v>
      </c>
      <c r="D320" s="126" t="s">
        <v>2474</v>
      </c>
      <c r="E320" s="128" t="s">
        <v>945</v>
      </c>
      <c r="F320" s="127" t="s">
        <v>306</v>
      </c>
      <c r="G320" s="136">
        <v>109.91634000000001</v>
      </c>
      <c r="H320" s="113" t="str">
        <f t="shared" si="13"/>
        <v>OTHER</v>
      </c>
      <c r="I320" s="113" t="str">
        <f>INDEX('REGASSET Lookup'!$I:$I,MATCH('REGASSET Jun22data'!$A320,'REGASSET Lookup'!$A:$A,0))</f>
        <v>CUST</v>
      </c>
      <c r="J320" s="113" t="str">
        <f t="shared" si="14"/>
        <v>NO</v>
      </c>
      <c r="K320"/>
    </row>
    <row r="321" spans="1:11">
      <c r="A321" s="114" t="str">
        <f t="shared" si="12"/>
        <v>1823920DSR COSTS AMORTIZED103308Home Energy Reporting -OPower -WA 2011OTHER</v>
      </c>
      <c r="B321" s="126" t="s">
        <v>2231</v>
      </c>
      <c r="C321" s="128" t="s">
        <v>695</v>
      </c>
      <c r="D321" s="126" t="s">
        <v>2475</v>
      </c>
      <c r="E321" s="128" t="s">
        <v>946</v>
      </c>
      <c r="F321" s="127" t="s">
        <v>306</v>
      </c>
      <c r="G321" s="136">
        <v>1292.11277</v>
      </c>
      <c r="H321" s="113" t="str">
        <f t="shared" si="13"/>
        <v>OTHER</v>
      </c>
      <c r="I321" s="113" t="str">
        <f>INDEX('REGASSET Lookup'!$I:$I,MATCH('REGASSET Jun22data'!$A321,'REGASSET Lookup'!$A:$A,0))</f>
        <v>CUST</v>
      </c>
      <c r="J321" s="113" t="str">
        <f t="shared" si="14"/>
        <v>NO</v>
      </c>
      <c r="K321"/>
    </row>
    <row r="322" spans="1:11">
      <c r="A322" s="114" t="str">
        <f t="shared" si="12"/>
        <v>1823920DSR COSTS AMORTIZED103311CALIFORNIA DSM EXPENSE - 2012OTHER</v>
      </c>
      <c r="B322" s="126" t="s">
        <v>2231</v>
      </c>
      <c r="C322" s="128" t="s">
        <v>695</v>
      </c>
      <c r="D322" s="126" t="s">
        <v>3377</v>
      </c>
      <c r="E322" s="128" t="s">
        <v>947</v>
      </c>
      <c r="F322" s="127" t="s">
        <v>306</v>
      </c>
      <c r="G322" s="136">
        <v>1.0000000000000001E-5</v>
      </c>
      <c r="H322" s="113" t="str">
        <f t="shared" si="13"/>
        <v>OTHER</v>
      </c>
      <c r="I322" s="113" t="str">
        <f>INDEX('REGASSET Lookup'!$I:$I,MATCH('REGASSET Jun22data'!$A322,'REGASSET Lookup'!$A:$A,0))</f>
        <v>CUST</v>
      </c>
      <c r="J322" s="113" t="str">
        <f t="shared" si="14"/>
        <v>NO</v>
      </c>
      <c r="K322"/>
    </row>
    <row r="323" spans="1:11">
      <c r="A323" s="114" t="str">
        <f t="shared" ref="A323:A386" si="15">CONCATENATE($B323,$C323,$D323,$E323,$H323)</f>
        <v>1823920DSR COSTS AMORTIZED103324A/C LOAD CONTROL - RESIDENTIAL/UTAH - 20OTHER</v>
      </c>
      <c r="B323" s="126" t="s">
        <v>2231</v>
      </c>
      <c r="C323" s="128" t="s">
        <v>695</v>
      </c>
      <c r="D323" s="126" t="s">
        <v>2476</v>
      </c>
      <c r="E323" s="128" t="s">
        <v>772</v>
      </c>
      <c r="F323" s="127" t="s">
        <v>306</v>
      </c>
      <c r="G323" s="136">
        <v>5793.5013300000001</v>
      </c>
      <c r="H323" s="113" t="str">
        <f t="shared" ref="H323:H386" si="16">IF(OR(F323="IDU",F323="OR",F323="UT",F323="WYU",F323="WYP",F323="CA",F323="WA"),"SITUS",IF(OR(F323="CAEE",F323="JBE"),"SE",IF(OR(F323="CAGE",F323="CAGW",F323="JBG"),"SG",F323)))</f>
        <v>OTHER</v>
      </c>
      <c r="I323" s="113" t="str">
        <f>INDEX('REGASSET Lookup'!$I:$I,MATCH('REGASSET Jun22data'!$A323,'REGASSET Lookup'!$A:$A,0))</f>
        <v>CUST</v>
      </c>
      <c r="J323" s="113" t="str">
        <f t="shared" ref="J323:J386" si="17">IF(G323=0,"NO",IF(ISNA($I323),"YES",IF(_xlfn.ISFORMULA($I323),"NO","YES")))</f>
        <v>NO</v>
      </c>
      <c r="K323"/>
    </row>
    <row r="324" spans="1:11">
      <c r="A324" s="114" t="str">
        <f t="shared" si="15"/>
        <v>1823920DSR COSTS AMORTIZED103325AIR CONDITIONING - UTAH - 2012OTHER</v>
      </c>
      <c r="B324" s="126" t="s">
        <v>2231</v>
      </c>
      <c r="C324" s="128" t="s">
        <v>695</v>
      </c>
      <c r="D324" s="126" t="s">
        <v>2477</v>
      </c>
      <c r="E324" s="128" t="s">
        <v>948</v>
      </c>
      <c r="F324" s="127" t="s">
        <v>306</v>
      </c>
      <c r="G324" s="136">
        <v>1469.8777600000001</v>
      </c>
      <c r="H324" s="113" t="str">
        <f t="shared" si="16"/>
        <v>OTHER</v>
      </c>
      <c r="I324" s="113" t="str">
        <f>INDEX('REGASSET Lookup'!$I:$I,MATCH('REGASSET Jun22data'!$A324,'REGASSET Lookup'!$A:$A,0))</f>
        <v>CUST</v>
      </c>
      <c r="J324" s="113" t="str">
        <f t="shared" si="17"/>
        <v>NO</v>
      </c>
      <c r="K324"/>
    </row>
    <row r="325" spans="1:11">
      <c r="A325" s="114" t="str">
        <f t="shared" si="15"/>
        <v>1823920DSR COSTS AMORTIZED103326ENERGY FINANSWER - UTAH - 2012OTHER</v>
      </c>
      <c r="B325" s="126" t="s">
        <v>2231</v>
      </c>
      <c r="C325" s="128" t="s">
        <v>695</v>
      </c>
      <c r="D325" s="126" t="s">
        <v>2478</v>
      </c>
      <c r="E325" s="128" t="s">
        <v>949</v>
      </c>
      <c r="F325" s="127" t="s">
        <v>306</v>
      </c>
      <c r="G325" s="136">
        <v>6898.5187599999999</v>
      </c>
      <c r="H325" s="113" t="str">
        <f t="shared" si="16"/>
        <v>OTHER</v>
      </c>
      <c r="I325" s="113" t="str">
        <f>INDEX('REGASSET Lookup'!$I:$I,MATCH('REGASSET Jun22data'!$A325,'REGASSET Lookup'!$A:$A,0))</f>
        <v>CUST</v>
      </c>
      <c r="J325" s="113" t="str">
        <f t="shared" si="17"/>
        <v>NO</v>
      </c>
      <c r="K325"/>
    </row>
    <row r="326" spans="1:11">
      <c r="A326" s="114" t="str">
        <f t="shared" si="15"/>
        <v>1823920DSR COSTS AMORTIZED103327INDUSTRIAL FINANSWER - UTAH - 2012OTHER</v>
      </c>
      <c r="B326" s="126" t="s">
        <v>2231</v>
      </c>
      <c r="C326" s="128" t="s">
        <v>695</v>
      </c>
      <c r="D326" s="126" t="s">
        <v>2479</v>
      </c>
      <c r="E326" s="128" t="s">
        <v>950</v>
      </c>
      <c r="F326" s="127" t="s">
        <v>306</v>
      </c>
      <c r="G326" s="136">
        <v>2934.9706200000001</v>
      </c>
      <c r="H326" s="113" t="str">
        <f t="shared" si="16"/>
        <v>OTHER</v>
      </c>
      <c r="I326" s="113" t="str">
        <f>INDEX('REGASSET Lookup'!$I:$I,MATCH('REGASSET Jun22data'!$A326,'REGASSET Lookup'!$A:$A,0))</f>
        <v>CUST</v>
      </c>
      <c r="J326" s="113" t="str">
        <f t="shared" si="17"/>
        <v>NO</v>
      </c>
      <c r="K326"/>
    </row>
    <row r="327" spans="1:11">
      <c r="A327" s="114" t="str">
        <f t="shared" si="15"/>
        <v>1823920DSR COSTS AMORTIZED103328LOW INCOME - UTAH - 2012OTHER</v>
      </c>
      <c r="B327" s="126" t="s">
        <v>2231</v>
      </c>
      <c r="C327" s="128" t="s">
        <v>695</v>
      </c>
      <c r="D327" s="126" t="s">
        <v>2480</v>
      </c>
      <c r="E327" s="128" t="s">
        <v>951</v>
      </c>
      <c r="F327" s="127" t="s">
        <v>306</v>
      </c>
      <c r="G327" s="136">
        <v>177.00416999999999</v>
      </c>
      <c r="H327" s="113" t="str">
        <f t="shared" si="16"/>
        <v>OTHER</v>
      </c>
      <c r="I327" s="113" t="str">
        <f>INDEX('REGASSET Lookup'!$I:$I,MATCH('REGASSET Jun22data'!$A327,'REGASSET Lookup'!$A:$A,0))</f>
        <v>CUST</v>
      </c>
      <c r="J327" s="113" t="str">
        <f t="shared" si="17"/>
        <v>NO</v>
      </c>
      <c r="K327"/>
    </row>
    <row r="328" spans="1:11">
      <c r="A328" s="114" t="str">
        <f t="shared" si="15"/>
        <v>1823920DSR COSTS AMORTIZED103330REFRIGERATOR RECYCLING PGM- UTAH - 2012OTHER</v>
      </c>
      <c r="B328" s="126" t="s">
        <v>2231</v>
      </c>
      <c r="C328" s="128" t="s">
        <v>695</v>
      </c>
      <c r="D328" s="126" t="s">
        <v>2481</v>
      </c>
      <c r="E328" s="128" t="s">
        <v>952</v>
      </c>
      <c r="F328" s="127" t="s">
        <v>306</v>
      </c>
      <c r="G328" s="136">
        <v>1473.8865699999999</v>
      </c>
      <c r="H328" s="113" t="str">
        <f t="shared" si="16"/>
        <v>OTHER</v>
      </c>
      <c r="I328" s="113" t="str">
        <f>INDEX('REGASSET Lookup'!$I:$I,MATCH('REGASSET Jun22data'!$A328,'REGASSET Lookup'!$A:$A,0))</f>
        <v>CUST</v>
      </c>
      <c r="J328" s="113" t="str">
        <f t="shared" si="17"/>
        <v>NO</v>
      </c>
      <c r="K328"/>
    </row>
    <row r="329" spans="1:11">
      <c r="A329" s="114" t="str">
        <f t="shared" si="15"/>
        <v>1823920DSR COSTS AMORTIZED103331COMMERCIAL SELF-DIRECT - UTAH - 2012OTHER</v>
      </c>
      <c r="B329" s="126" t="s">
        <v>2231</v>
      </c>
      <c r="C329" s="128" t="s">
        <v>695</v>
      </c>
      <c r="D329" s="126" t="s">
        <v>2482</v>
      </c>
      <c r="E329" s="128" t="s">
        <v>953</v>
      </c>
      <c r="F329" s="127" t="s">
        <v>306</v>
      </c>
      <c r="G329" s="136">
        <v>171.93923000000001</v>
      </c>
      <c r="H329" s="113" t="str">
        <f t="shared" si="16"/>
        <v>OTHER</v>
      </c>
      <c r="I329" s="113" t="str">
        <f>INDEX('REGASSET Lookup'!$I:$I,MATCH('REGASSET Jun22data'!$A329,'REGASSET Lookup'!$A:$A,0))</f>
        <v>CUST</v>
      </c>
      <c r="J329" s="113" t="str">
        <f t="shared" si="17"/>
        <v>NO</v>
      </c>
      <c r="K329"/>
    </row>
    <row r="330" spans="1:11">
      <c r="A330" s="114" t="str">
        <f t="shared" si="15"/>
        <v>1823920DSR COSTS AMORTIZED103332INDUSTRIAL SELF-DIRECT - UTAH - 2012OTHER</v>
      </c>
      <c r="B330" s="126" t="s">
        <v>2231</v>
      </c>
      <c r="C330" s="128" t="s">
        <v>695</v>
      </c>
      <c r="D330" s="126" t="s">
        <v>2483</v>
      </c>
      <c r="E330" s="128" t="s">
        <v>954</v>
      </c>
      <c r="F330" s="127" t="s">
        <v>306</v>
      </c>
      <c r="G330" s="136">
        <v>428.76724999999999</v>
      </c>
      <c r="H330" s="113" t="str">
        <f t="shared" si="16"/>
        <v>OTHER</v>
      </c>
      <c r="I330" s="113" t="str">
        <f>INDEX('REGASSET Lookup'!$I:$I,MATCH('REGASSET Jun22data'!$A330,'REGASSET Lookup'!$A:$A,0))</f>
        <v>CUST</v>
      </c>
      <c r="J330" s="113" t="str">
        <f t="shared" si="17"/>
        <v>NO</v>
      </c>
      <c r="K330"/>
    </row>
    <row r="331" spans="1:11">
      <c r="A331" s="114" t="str">
        <f t="shared" si="15"/>
        <v>1823920DSR COSTS AMORTIZED103333RESIDENTIAL NEW CONSTRUCTION - UTAH - 20OTHER</v>
      </c>
      <c r="B331" s="126" t="s">
        <v>2231</v>
      </c>
      <c r="C331" s="128" t="s">
        <v>695</v>
      </c>
      <c r="D331" s="126" t="s">
        <v>2484</v>
      </c>
      <c r="E331" s="128" t="s">
        <v>757</v>
      </c>
      <c r="F331" s="127" t="s">
        <v>306</v>
      </c>
      <c r="G331" s="136">
        <v>1943.2113099999999</v>
      </c>
      <c r="H331" s="113" t="str">
        <f t="shared" si="16"/>
        <v>OTHER</v>
      </c>
      <c r="I331" s="113" t="str">
        <f>INDEX('REGASSET Lookup'!$I:$I,MATCH('REGASSET Jun22data'!$A331,'REGASSET Lookup'!$A:$A,0))</f>
        <v>CUST</v>
      </c>
      <c r="J331" s="113" t="str">
        <f t="shared" si="17"/>
        <v>NO</v>
      </c>
      <c r="K331"/>
    </row>
    <row r="332" spans="1:11">
      <c r="A332" s="114" t="str">
        <f t="shared" si="15"/>
        <v>1823920DSR COSTS AMORTIZED103334COMMERCIAL FINANSWER EXPRESS - UTAH - 20OTHER</v>
      </c>
      <c r="B332" s="126" t="s">
        <v>2231</v>
      </c>
      <c r="C332" s="128" t="s">
        <v>695</v>
      </c>
      <c r="D332" s="126" t="s">
        <v>2485</v>
      </c>
      <c r="E332" s="128" t="s">
        <v>760</v>
      </c>
      <c r="F332" s="127" t="s">
        <v>306</v>
      </c>
      <c r="G332" s="136">
        <v>6221.4018299999998</v>
      </c>
      <c r="H332" s="113" t="str">
        <f t="shared" si="16"/>
        <v>OTHER</v>
      </c>
      <c r="I332" s="113" t="str">
        <f>INDEX('REGASSET Lookup'!$I:$I,MATCH('REGASSET Jun22data'!$A332,'REGASSET Lookup'!$A:$A,0))</f>
        <v>CUST</v>
      </c>
      <c r="J332" s="113" t="str">
        <f t="shared" si="17"/>
        <v>NO</v>
      </c>
      <c r="K332"/>
    </row>
    <row r="333" spans="1:11">
      <c r="A333" s="114" t="str">
        <f t="shared" si="15"/>
        <v>1823920DSR COSTS AMORTIZED103335INDUSTRIAL FINANSWER EXPRESS - UTAH - 20OTHER</v>
      </c>
      <c r="B333" s="126" t="s">
        <v>2231</v>
      </c>
      <c r="C333" s="128" t="s">
        <v>695</v>
      </c>
      <c r="D333" s="126" t="s">
        <v>2486</v>
      </c>
      <c r="E333" s="128" t="s">
        <v>761</v>
      </c>
      <c r="F333" s="127" t="s">
        <v>306</v>
      </c>
      <c r="G333" s="136">
        <v>1280.4048499999999</v>
      </c>
      <c r="H333" s="113" t="str">
        <f t="shared" si="16"/>
        <v>OTHER</v>
      </c>
      <c r="I333" s="113" t="str">
        <f>INDEX('REGASSET Lookup'!$I:$I,MATCH('REGASSET Jun22data'!$A333,'REGASSET Lookup'!$A:$A,0))</f>
        <v>CUST</v>
      </c>
      <c r="J333" s="113" t="str">
        <f t="shared" si="17"/>
        <v>NO</v>
      </c>
      <c r="K333"/>
    </row>
    <row r="334" spans="1:11">
      <c r="A334" s="114" t="str">
        <f t="shared" si="15"/>
        <v>1823920DSR COSTS AMORTIZED103336RETROFIT COMMISSIONING PROGRAM  - UTAH -OTHER</v>
      </c>
      <c r="B334" s="126" t="s">
        <v>2231</v>
      </c>
      <c r="C334" s="128" t="s">
        <v>695</v>
      </c>
      <c r="D334" s="126" t="s">
        <v>2487</v>
      </c>
      <c r="E334" s="128" t="s">
        <v>782</v>
      </c>
      <c r="F334" s="127" t="s">
        <v>306</v>
      </c>
      <c r="G334" s="136">
        <v>459.69344000000001</v>
      </c>
      <c r="H334" s="113" t="str">
        <f t="shared" si="16"/>
        <v>OTHER</v>
      </c>
      <c r="I334" s="113" t="str">
        <f>INDEX('REGASSET Lookup'!$I:$I,MATCH('REGASSET Jun22data'!$A334,'REGASSET Lookup'!$A:$A,0))</f>
        <v>CUST</v>
      </c>
      <c r="J334" s="113" t="str">
        <f t="shared" si="17"/>
        <v>NO</v>
      </c>
      <c r="K334"/>
    </row>
    <row r="335" spans="1:11">
      <c r="A335" s="114" t="str">
        <f t="shared" si="15"/>
        <v>1823920DSR COSTS AMORTIZED103337IRRIGATION LOAD CONTROL  - UTAH - 2012OTHER</v>
      </c>
      <c r="B335" s="126" t="s">
        <v>2231</v>
      </c>
      <c r="C335" s="128" t="s">
        <v>695</v>
      </c>
      <c r="D335" s="126" t="s">
        <v>2488</v>
      </c>
      <c r="E335" s="128" t="s">
        <v>955</v>
      </c>
      <c r="F335" s="127" t="s">
        <v>306</v>
      </c>
      <c r="G335" s="136">
        <v>2096.5670500000001</v>
      </c>
      <c r="H335" s="113" t="str">
        <f t="shared" si="16"/>
        <v>OTHER</v>
      </c>
      <c r="I335" s="113" t="str">
        <f>INDEX('REGASSET Lookup'!$I:$I,MATCH('REGASSET Jun22data'!$A335,'REGASSET Lookup'!$A:$A,0))</f>
        <v>CUST</v>
      </c>
      <c r="J335" s="113" t="str">
        <f t="shared" si="17"/>
        <v>NO</v>
      </c>
      <c r="K335"/>
    </row>
    <row r="336" spans="1:11">
      <c r="A336" s="114" t="str">
        <f t="shared" si="15"/>
        <v>1823920DSR COSTS AMORTIZED103338HOME ENERGY EFF INCENTIVE PROG - UT 2012OTHER</v>
      </c>
      <c r="B336" s="126" t="s">
        <v>2231</v>
      </c>
      <c r="C336" s="128" t="s">
        <v>695</v>
      </c>
      <c r="D336" s="126" t="s">
        <v>2489</v>
      </c>
      <c r="E336" s="128" t="s">
        <v>956</v>
      </c>
      <c r="F336" s="127" t="s">
        <v>306</v>
      </c>
      <c r="G336" s="136">
        <v>11113.2752</v>
      </c>
      <c r="H336" s="113" t="str">
        <f t="shared" si="16"/>
        <v>OTHER</v>
      </c>
      <c r="I336" s="113" t="str">
        <f>INDEX('REGASSET Lookup'!$I:$I,MATCH('REGASSET Jun22data'!$A336,'REGASSET Lookup'!$A:$A,0))</f>
        <v>CUST</v>
      </c>
      <c r="J336" s="113" t="str">
        <f t="shared" si="17"/>
        <v>NO</v>
      </c>
      <c r="K336"/>
    </row>
    <row r="337" spans="1:11">
      <c r="A337" s="114" t="str">
        <f t="shared" si="15"/>
        <v>1823920DSR COSTS AMORTIZED103339OUTREACH and COMMUNICATIONS - UT 2012OTHER</v>
      </c>
      <c r="B337" s="126" t="s">
        <v>2231</v>
      </c>
      <c r="C337" s="128" t="s">
        <v>695</v>
      </c>
      <c r="D337" s="126" t="s">
        <v>2490</v>
      </c>
      <c r="E337" s="128" t="s">
        <v>957</v>
      </c>
      <c r="F337" s="127" t="s">
        <v>306</v>
      </c>
      <c r="G337" s="136">
        <v>1836.0049200000001</v>
      </c>
      <c r="H337" s="113" t="str">
        <f t="shared" si="16"/>
        <v>OTHER</v>
      </c>
      <c r="I337" s="113" t="str">
        <f>INDEX('REGASSET Lookup'!$I:$I,MATCH('REGASSET Jun22data'!$A337,'REGASSET Lookup'!$A:$A,0))</f>
        <v>CUST</v>
      </c>
      <c r="J337" s="113" t="str">
        <f t="shared" si="17"/>
        <v>NO</v>
      </c>
      <c r="K337"/>
    </row>
    <row r="338" spans="1:11">
      <c r="A338" s="114" t="str">
        <f t="shared" si="15"/>
        <v>1823920DSR COSTS AMORTIZED103340COMMERCIAL DIRECT INSTALL - UT 2012OTHER</v>
      </c>
      <c r="B338" s="126" t="s">
        <v>2231</v>
      </c>
      <c r="C338" s="128" t="s">
        <v>695</v>
      </c>
      <c r="D338" s="126" t="s">
        <v>2491</v>
      </c>
      <c r="E338" s="128" t="s">
        <v>958</v>
      </c>
      <c r="F338" s="127" t="s">
        <v>306</v>
      </c>
      <c r="G338" s="136">
        <v>0.436</v>
      </c>
      <c r="H338" s="113" t="str">
        <f t="shared" si="16"/>
        <v>OTHER</v>
      </c>
      <c r="I338" s="113" t="str">
        <f>INDEX('REGASSET Lookup'!$I:$I,MATCH('REGASSET Jun22data'!$A338,'REGASSET Lookup'!$A:$A,0))</f>
        <v>CUST</v>
      </c>
      <c r="J338" s="113" t="str">
        <f t="shared" si="17"/>
        <v>NO</v>
      </c>
      <c r="K338"/>
    </row>
    <row r="339" spans="1:11">
      <c r="A339" s="114" t="str">
        <f t="shared" si="15"/>
        <v>1823920DSR COSTS AMORTIZED103341COMMERCIAL CURTAILMENT - UT 2012OTHER</v>
      </c>
      <c r="B339" s="126" t="s">
        <v>2231</v>
      </c>
      <c r="C339" s="128" t="s">
        <v>695</v>
      </c>
      <c r="D339" s="126" t="s">
        <v>2492</v>
      </c>
      <c r="E339" s="128" t="s">
        <v>959</v>
      </c>
      <c r="F339" s="127" t="s">
        <v>306</v>
      </c>
      <c r="G339" s="136">
        <v>-29.676439999999999</v>
      </c>
      <c r="H339" s="113" t="str">
        <f t="shared" si="16"/>
        <v>OTHER</v>
      </c>
      <c r="I339" s="113" t="str">
        <f>INDEX('REGASSET Lookup'!$I:$I,MATCH('REGASSET Jun22data'!$A339,'REGASSET Lookup'!$A:$A,0))</f>
        <v>CUST</v>
      </c>
      <c r="J339" s="113" t="str">
        <f t="shared" si="17"/>
        <v>NO</v>
      </c>
      <c r="K339"/>
    </row>
    <row r="340" spans="1:11">
      <c r="A340" s="114" t="str">
        <f t="shared" si="15"/>
        <v>1823920DSR COSTS AMORTIZED103342ENERGY STORAGE DEMO PROJECT - UT 2012OTHER</v>
      </c>
      <c r="B340" s="126" t="s">
        <v>2231</v>
      </c>
      <c r="C340" s="128" t="s">
        <v>695</v>
      </c>
      <c r="D340" s="126" t="s">
        <v>2493</v>
      </c>
      <c r="E340" s="128" t="s">
        <v>960</v>
      </c>
      <c r="F340" s="127" t="s">
        <v>306</v>
      </c>
      <c r="G340" s="136">
        <v>6.3997900000000003</v>
      </c>
      <c r="H340" s="113" t="str">
        <f t="shared" si="16"/>
        <v>OTHER</v>
      </c>
      <c r="I340" s="113" t="str">
        <f>INDEX('REGASSET Lookup'!$I:$I,MATCH('REGASSET Jun22data'!$A340,'REGASSET Lookup'!$A:$A,0))</f>
        <v>CUST</v>
      </c>
      <c r="J340" s="113" t="str">
        <f t="shared" si="17"/>
        <v>NO</v>
      </c>
      <c r="K340"/>
    </row>
    <row r="341" spans="1:11">
      <c r="A341" s="114" t="str">
        <f t="shared" si="15"/>
        <v>1823920DSR COSTS AMORTIZED103343AGRICULTURAL FINANSWER EXPRESS - UTAH -OTHER</v>
      </c>
      <c r="B341" s="126" t="s">
        <v>2231</v>
      </c>
      <c r="C341" s="128" t="s">
        <v>695</v>
      </c>
      <c r="D341" s="126" t="s">
        <v>2494</v>
      </c>
      <c r="E341" s="128" t="s">
        <v>961</v>
      </c>
      <c r="F341" s="127" t="s">
        <v>306</v>
      </c>
      <c r="G341" s="136">
        <v>21.026949999999999</v>
      </c>
      <c r="H341" s="113" t="str">
        <f t="shared" si="16"/>
        <v>OTHER</v>
      </c>
      <c r="I341" s="113" t="str">
        <f>INDEX('REGASSET Lookup'!$I:$I,MATCH('REGASSET Jun22data'!$A341,'REGASSET Lookup'!$A:$A,0))</f>
        <v>CUST</v>
      </c>
      <c r="J341" s="113" t="str">
        <f t="shared" si="17"/>
        <v>NO</v>
      </c>
      <c r="K341"/>
    </row>
    <row r="342" spans="1:11">
      <c r="A342" s="114" t="str">
        <f t="shared" si="15"/>
        <v>1823920DSR COSTS AMORTIZED103346HOME ENERGY REPORTING - UT 2012OTHER</v>
      </c>
      <c r="B342" s="126" t="s">
        <v>2231</v>
      </c>
      <c r="C342" s="128" t="s">
        <v>695</v>
      </c>
      <c r="D342" s="126" t="s">
        <v>2495</v>
      </c>
      <c r="E342" s="128" t="s">
        <v>962</v>
      </c>
      <c r="F342" s="127" t="s">
        <v>306</v>
      </c>
      <c r="G342" s="136">
        <v>534.08069</v>
      </c>
      <c r="H342" s="113" t="str">
        <f t="shared" si="16"/>
        <v>OTHER</v>
      </c>
      <c r="I342" s="113" t="str">
        <f>INDEX('REGASSET Lookup'!$I:$I,MATCH('REGASSET Jun22data'!$A342,'REGASSET Lookup'!$A:$A,0))</f>
        <v>CUST</v>
      </c>
      <c r="J342" s="113" t="str">
        <f t="shared" si="17"/>
        <v>NO</v>
      </c>
      <c r="K342"/>
    </row>
    <row r="343" spans="1:11">
      <c r="A343" s="114" t="str">
        <f t="shared" si="15"/>
        <v>1823920DSR COSTS AMORTIZED103347ENERGY FINANSWER-WY-2012 CAT3OTHER</v>
      </c>
      <c r="B343" s="126" t="s">
        <v>2231</v>
      </c>
      <c r="C343" s="128" t="s">
        <v>695</v>
      </c>
      <c r="D343" s="126" t="s">
        <v>2496</v>
      </c>
      <c r="E343" s="128" t="s">
        <v>963</v>
      </c>
      <c r="F343" s="127" t="s">
        <v>306</v>
      </c>
      <c r="G343" s="136">
        <v>19.904620000000001</v>
      </c>
      <c r="H343" s="113" t="str">
        <f t="shared" si="16"/>
        <v>OTHER</v>
      </c>
      <c r="I343" s="113" t="str">
        <f>INDEX('REGASSET Lookup'!$I:$I,MATCH('REGASSET Jun22data'!$A343,'REGASSET Lookup'!$A:$A,0))</f>
        <v>CUST</v>
      </c>
      <c r="J343" s="113" t="str">
        <f t="shared" si="17"/>
        <v>NO</v>
      </c>
      <c r="K343"/>
    </row>
    <row r="344" spans="1:11">
      <c r="A344" s="114" t="str">
        <f t="shared" si="15"/>
        <v>1823920DSR COSTS AMORTIZED103348INDUSTRIAL FINANSWER-WY-2012 CAT3OTHER</v>
      </c>
      <c r="B344" s="126" t="s">
        <v>2231</v>
      </c>
      <c r="C344" s="128" t="s">
        <v>695</v>
      </c>
      <c r="D344" s="126" t="s">
        <v>2497</v>
      </c>
      <c r="E344" s="128" t="s">
        <v>964</v>
      </c>
      <c r="F344" s="127" t="s">
        <v>306</v>
      </c>
      <c r="G344" s="136">
        <v>606.10437999999999</v>
      </c>
      <c r="H344" s="113" t="str">
        <f t="shared" si="16"/>
        <v>OTHER</v>
      </c>
      <c r="I344" s="113" t="str">
        <f>INDEX('REGASSET Lookup'!$I:$I,MATCH('REGASSET Jun22data'!$A344,'REGASSET Lookup'!$A:$A,0))</f>
        <v>CUST</v>
      </c>
      <c r="J344" s="113" t="str">
        <f t="shared" si="17"/>
        <v>NO</v>
      </c>
      <c r="K344"/>
    </row>
    <row r="345" spans="1:11">
      <c r="A345" s="114" t="str">
        <f t="shared" si="15"/>
        <v>1823920DSR COSTS AMORTIZED103349REFRIGERATOR RECYCLING-WY -2012 CAT1OTHER</v>
      </c>
      <c r="B345" s="126" t="s">
        <v>2231</v>
      </c>
      <c r="C345" s="128" t="s">
        <v>695</v>
      </c>
      <c r="D345" s="126" t="s">
        <v>2498</v>
      </c>
      <c r="E345" s="128" t="s">
        <v>965</v>
      </c>
      <c r="F345" s="127" t="s">
        <v>306</v>
      </c>
      <c r="G345" s="136">
        <v>168.84137999999999</v>
      </c>
      <c r="H345" s="113" t="str">
        <f t="shared" si="16"/>
        <v>OTHER</v>
      </c>
      <c r="I345" s="113" t="str">
        <f>INDEX('REGASSET Lookup'!$I:$I,MATCH('REGASSET Jun22data'!$A345,'REGASSET Lookup'!$A:$A,0))</f>
        <v>CUST</v>
      </c>
      <c r="J345" s="113" t="str">
        <f t="shared" si="17"/>
        <v>NO</v>
      </c>
      <c r="K345"/>
    </row>
    <row r="346" spans="1:11">
      <c r="A346" s="114" t="str">
        <f t="shared" si="15"/>
        <v>1823920DSR COSTS AMORTIZED103350HOME ENERGY EFF INCENT PROG Y-2012 CAT1OTHER</v>
      </c>
      <c r="B346" s="126" t="s">
        <v>2231</v>
      </c>
      <c r="C346" s="128" t="s">
        <v>695</v>
      </c>
      <c r="D346" s="126" t="s">
        <v>2499</v>
      </c>
      <c r="E346" s="128" t="s">
        <v>966</v>
      </c>
      <c r="F346" s="127" t="s">
        <v>306</v>
      </c>
      <c r="G346" s="136">
        <v>904.0471</v>
      </c>
      <c r="H346" s="113" t="str">
        <f t="shared" si="16"/>
        <v>OTHER</v>
      </c>
      <c r="I346" s="113" t="str">
        <f>INDEX('REGASSET Lookup'!$I:$I,MATCH('REGASSET Jun22data'!$A346,'REGASSET Lookup'!$A:$A,0))</f>
        <v>CUST</v>
      </c>
      <c r="J346" s="113" t="str">
        <f t="shared" si="17"/>
        <v>NO</v>
      </c>
      <c r="K346"/>
    </row>
    <row r="347" spans="1:11">
      <c r="A347" s="114" t="str">
        <f t="shared" si="15"/>
        <v>1823920DSR COSTS AMORTIZED103351LOW-INCOME WEATHERZTN - WY 2012 CAT1OTHER</v>
      </c>
      <c r="B347" s="126" t="s">
        <v>2231</v>
      </c>
      <c r="C347" s="128" t="s">
        <v>695</v>
      </c>
      <c r="D347" s="126" t="s">
        <v>2500</v>
      </c>
      <c r="E347" s="128" t="s">
        <v>967</v>
      </c>
      <c r="F347" s="127" t="s">
        <v>306</v>
      </c>
      <c r="G347" s="136">
        <v>31.07817</v>
      </c>
      <c r="H347" s="113" t="str">
        <f t="shared" si="16"/>
        <v>OTHER</v>
      </c>
      <c r="I347" s="113" t="str">
        <f>INDEX('REGASSET Lookup'!$I:$I,MATCH('REGASSET Jun22data'!$A347,'REGASSET Lookup'!$A:$A,0))</f>
        <v>CUST</v>
      </c>
      <c r="J347" s="113" t="str">
        <f t="shared" si="17"/>
        <v>NO</v>
      </c>
      <c r="K347"/>
    </row>
    <row r="348" spans="1:11">
      <c r="A348" s="114" t="str">
        <f t="shared" si="15"/>
        <v>1823920DSR COSTS AMORTIZED103352COMMERCIAL FINANSWER EXP WY-2012 CAT3OTHER</v>
      </c>
      <c r="B348" s="126" t="s">
        <v>2231</v>
      </c>
      <c r="C348" s="128" t="s">
        <v>695</v>
      </c>
      <c r="D348" s="126" t="s">
        <v>2501</v>
      </c>
      <c r="E348" s="128" t="s">
        <v>968</v>
      </c>
      <c r="F348" s="127" t="s">
        <v>306</v>
      </c>
      <c r="G348" s="136">
        <v>142.82818</v>
      </c>
      <c r="H348" s="113" t="str">
        <f t="shared" si="16"/>
        <v>OTHER</v>
      </c>
      <c r="I348" s="113" t="str">
        <f>INDEX('REGASSET Lookup'!$I:$I,MATCH('REGASSET Jun22data'!$A348,'REGASSET Lookup'!$A:$A,0))</f>
        <v>CUST</v>
      </c>
      <c r="J348" s="113" t="str">
        <f t="shared" si="17"/>
        <v>NO</v>
      </c>
      <c r="K348"/>
    </row>
    <row r="349" spans="1:11">
      <c r="A349" s="114" t="str">
        <f t="shared" si="15"/>
        <v>1823920DSR COSTS AMORTIZED103353INDUSTRIAL FINANSWER EXP WY-2012 CAT3OTHER</v>
      </c>
      <c r="B349" s="126" t="s">
        <v>2231</v>
      </c>
      <c r="C349" s="128" t="s">
        <v>695</v>
      </c>
      <c r="D349" s="126" t="s">
        <v>2502</v>
      </c>
      <c r="E349" s="128" t="s">
        <v>969</v>
      </c>
      <c r="F349" s="127" t="s">
        <v>306</v>
      </c>
      <c r="G349" s="136">
        <v>169.86372</v>
      </c>
      <c r="H349" s="113" t="str">
        <f t="shared" si="16"/>
        <v>OTHER</v>
      </c>
      <c r="I349" s="113" t="str">
        <f>INDEX('REGASSET Lookup'!$I:$I,MATCH('REGASSET Jun22data'!$A349,'REGASSET Lookup'!$A:$A,0))</f>
        <v>CUST</v>
      </c>
      <c r="J349" s="113" t="str">
        <f t="shared" si="17"/>
        <v>NO</v>
      </c>
      <c r="K349"/>
    </row>
    <row r="350" spans="1:11">
      <c r="A350" s="114" t="str">
        <f t="shared" si="15"/>
        <v>1823920DSR COSTS AMORTIZED103354SELF DIRECT - COMMERCIAL -WY-2012 CAT3OTHER</v>
      </c>
      <c r="B350" s="126" t="s">
        <v>2231</v>
      </c>
      <c r="C350" s="128" t="s">
        <v>695</v>
      </c>
      <c r="D350" s="126" t="s">
        <v>2503</v>
      </c>
      <c r="E350" s="128" t="s">
        <v>970</v>
      </c>
      <c r="F350" s="127" t="s">
        <v>306</v>
      </c>
      <c r="G350" s="136">
        <v>3.6276199999999998</v>
      </c>
      <c r="H350" s="113" t="str">
        <f t="shared" si="16"/>
        <v>OTHER</v>
      </c>
      <c r="I350" s="113" t="str">
        <f>INDEX('REGASSET Lookup'!$I:$I,MATCH('REGASSET Jun22data'!$A350,'REGASSET Lookup'!$A:$A,0))</f>
        <v>CUST</v>
      </c>
      <c r="J350" s="113" t="str">
        <f t="shared" si="17"/>
        <v>NO</v>
      </c>
      <c r="K350"/>
    </row>
    <row r="351" spans="1:11">
      <c r="A351" s="114" t="str">
        <f t="shared" si="15"/>
        <v>1823920DSR COSTS AMORTIZED103355SELF DIRECT -INDUSTRIAL -WY-2012 CAT3OTHER</v>
      </c>
      <c r="B351" s="126" t="s">
        <v>2231</v>
      </c>
      <c r="C351" s="128" t="s">
        <v>695</v>
      </c>
      <c r="D351" s="126" t="s">
        <v>2504</v>
      </c>
      <c r="E351" s="128" t="s">
        <v>971</v>
      </c>
      <c r="F351" s="127" t="s">
        <v>306</v>
      </c>
      <c r="G351" s="136">
        <v>60.461350000000003</v>
      </c>
      <c r="H351" s="113" t="str">
        <f t="shared" si="16"/>
        <v>OTHER</v>
      </c>
      <c r="I351" s="113" t="str">
        <f>INDEX('REGASSET Lookup'!$I:$I,MATCH('REGASSET Jun22data'!$A351,'REGASSET Lookup'!$A:$A,0))</f>
        <v>CUST</v>
      </c>
      <c r="J351" s="113" t="str">
        <f t="shared" si="17"/>
        <v>NO</v>
      </c>
      <c r="K351"/>
    </row>
    <row r="352" spans="1:11">
      <c r="A352" s="114" t="str">
        <f t="shared" si="15"/>
        <v>1823920DSR COSTS AMORTIZED103356COMMERCIAL FINANSWER EXP- WY-2012 CAT2OTHER</v>
      </c>
      <c r="B352" s="126" t="s">
        <v>2231</v>
      </c>
      <c r="C352" s="128" t="s">
        <v>695</v>
      </c>
      <c r="D352" s="126" t="s">
        <v>2505</v>
      </c>
      <c r="E352" s="128" t="s">
        <v>972</v>
      </c>
      <c r="F352" s="127" t="s">
        <v>306</v>
      </c>
      <c r="G352" s="136">
        <v>1203.22327</v>
      </c>
      <c r="H352" s="113" t="str">
        <f t="shared" si="16"/>
        <v>OTHER</v>
      </c>
      <c r="I352" s="113" t="str">
        <f>INDEX('REGASSET Lookup'!$I:$I,MATCH('REGASSET Jun22data'!$A352,'REGASSET Lookup'!$A:$A,0))</f>
        <v>CUST</v>
      </c>
      <c r="J352" s="113" t="str">
        <f t="shared" si="17"/>
        <v>NO</v>
      </c>
      <c r="K352"/>
    </row>
    <row r="353" spans="1:11">
      <c r="A353" s="114" t="str">
        <f t="shared" si="15"/>
        <v>1823920DSR COSTS AMORTIZED103357INDUSTRIAL FINAN EXPRESS WY-2012 CAT2OTHER</v>
      </c>
      <c r="B353" s="126" t="s">
        <v>2231</v>
      </c>
      <c r="C353" s="128" t="s">
        <v>695</v>
      </c>
      <c r="D353" s="126" t="s">
        <v>2506</v>
      </c>
      <c r="E353" s="128" t="s">
        <v>973</v>
      </c>
      <c r="F353" s="127" t="s">
        <v>306</v>
      </c>
      <c r="G353" s="136">
        <v>58.164349999999999</v>
      </c>
      <c r="H353" s="113" t="str">
        <f t="shared" si="16"/>
        <v>OTHER</v>
      </c>
      <c r="I353" s="113" t="str">
        <f>INDEX('REGASSET Lookup'!$I:$I,MATCH('REGASSET Jun22data'!$A353,'REGASSET Lookup'!$A:$A,0))</f>
        <v>CUST</v>
      </c>
      <c r="J353" s="113" t="str">
        <f t="shared" si="17"/>
        <v>NO</v>
      </c>
      <c r="K353"/>
    </row>
    <row r="354" spans="1:11">
      <c r="A354" s="114" t="str">
        <f t="shared" si="15"/>
        <v>1823920DSR COSTS AMORTIZED103358ENERGY FINANSWER -WY 2012 CAT2OTHER</v>
      </c>
      <c r="B354" s="126" t="s">
        <v>2231</v>
      </c>
      <c r="C354" s="128" t="s">
        <v>695</v>
      </c>
      <c r="D354" s="126" t="s">
        <v>2507</v>
      </c>
      <c r="E354" s="128" t="s">
        <v>974</v>
      </c>
      <c r="F354" s="127" t="s">
        <v>306</v>
      </c>
      <c r="G354" s="136">
        <v>59.140839999999997</v>
      </c>
      <c r="H354" s="113" t="str">
        <f t="shared" si="16"/>
        <v>OTHER</v>
      </c>
      <c r="I354" s="113" t="str">
        <f>INDEX('REGASSET Lookup'!$I:$I,MATCH('REGASSET Jun22data'!$A354,'REGASSET Lookup'!$A:$A,0))</f>
        <v>CUST</v>
      </c>
      <c r="J354" s="113" t="str">
        <f t="shared" si="17"/>
        <v>NO</v>
      </c>
      <c r="K354"/>
    </row>
    <row r="355" spans="1:11">
      <c r="A355" s="114" t="str">
        <f t="shared" si="15"/>
        <v>1823920DSR COSTS AMORTIZED103359INDUSTRIAL FINANSWER -WY 2012 CAT2OTHER</v>
      </c>
      <c r="B355" s="126" t="s">
        <v>2231</v>
      </c>
      <c r="C355" s="128" t="s">
        <v>695</v>
      </c>
      <c r="D355" s="126" t="s">
        <v>2508</v>
      </c>
      <c r="E355" s="128" t="s">
        <v>975</v>
      </c>
      <c r="F355" s="127" t="s">
        <v>306</v>
      </c>
      <c r="G355" s="136">
        <v>204.65092000000001</v>
      </c>
      <c r="H355" s="113" t="str">
        <f t="shared" si="16"/>
        <v>OTHER</v>
      </c>
      <c r="I355" s="113" t="str">
        <f>INDEX('REGASSET Lookup'!$I:$I,MATCH('REGASSET Jun22data'!$A355,'REGASSET Lookup'!$A:$A,0))</f>
        <v>CUST</v>
      </c>
      <c r="J355" s="113" t="str">
        <f t="shared" si="17"/>
        <v>NO</v>
      </c>
      <c r="K355"/>
    </row>
    <row r="356" spans="1:11">
      <c r="A356" s="114" t="str">
        <f t="shared" si="15"/>
        <v>1823920DSR COSTS AMORTIZED103360SELF DIRECT - COMMERCIAL WY-2012 CAT2OTHER</v>
      </c>
      <c r="B356" s="126" t="s">
        <v>2231</v>
      </c>
      <c r="C356" s="128" t="s">
        <v>695</v>
      </c>
      <c r="D356" s="126" t="s">
        <v>2509</v>
      </c>
      <c r="E356" s="128" t="s">
        <v>976</v>
      </c>
      <c r="F356" s="127" t="s">
        <v>306</v>
      </c>
      <c r="G356" s="136">
        <v>0.89290999999999998</v>
      </c>
      <c r="H356" s="113" t="str">
        <f t="shared" si="16"/>
        <v>OTHER</v>
      </c>
      <c r="I356" s="113" t="str">
        <f>INDEX('REGASSET Lookup'!$I:$I,MATCH('REGASSET Jun22data'!$A356,'REGASSET Lookup'!$A:$A,0))</f>
        <v>CUST</v>
      </c>
      <c r="J356" s="113" t="str">
        <f t="shared" si="17"/>
        <v>NO</v>
      </c>
      <c r="K356"/>
    </row>
    <row r="357" spans="1:11">
      <c r="A357" s="114" t="str">
        <f t="shared" si="15"/>
        <v>1823920DSR COSTS AMORTIZED103361SELF DIRECT- INDUSTRIAL WY-2012 CAT2OTHER</v>
      </c>
      <c r="B357" s="126" t="s">
        <v>2231</v>
      </c>
      <c r="C357" s="128" t="s">
        <v>695</v>
      </c>
      <c r="D357" s="126" t="s">
        <v>2510</v>
      </c>
      <c r="E357" s="128" t="s">
        <v>977</v>
      </c>
      <c r="F357" s="127" t="s">
        <v>306</v>
      </c>
      <c r="G357" s="136">
        <v>1.14706</v>
      </c>
      <c r="H357" s="113" t="str">
        <f t="shared" si="16"/>
        <v>OTHER</v>
      </c>
      <c r="I357" s="113" t="str">
        <f>INDEX('REGASSET Lookup'!$I:$I,MATCH('REGASSET Jun22data'!$A357,'REGASSET Lookup'!$A:$A,0))</f>
        <v>CUST</v>
      </c>
      <c r="J357" s="113" t="str">
        <f t="shared" si="17"/>
        <v>NO</v>
      </c>
      <c r="K357"/>
    </row>
    <row r="358" spans="1:11">
      <c r="A358" s="114" t="str">
        <f t="shared" si="15"/>
        <v>1823920DSR COSTS AMORTIZED103363PORTFOLIO WY-2012 CAT1OTHER</v>
      </c>
      <c r="B358" s="126" t="s">
        <v>2231</v>
      </c>
      <c r="C358" s="128" t="s">
        <v>695</v>
      </c>
      <c r="D358" s="126" t="s">
        <v>2511</v>
      </c>
      <c r="E358" s="128" t="s">
        <v>978</v>
      </c>
      <c r="F358" s="127" t="s">
        <v>306</v>
      </c>
      <c r="G358" s="136">
        <v>32.74492</v>
      </c>
      <c r="H358" s="113" t="str">
        <f t="shared" si="16"/>
        <v>OTHER</v>
      </c>
      <c r="I358" s="113" t="str">
        <f>INDEX('REGASSET Lookup'!$I:$I,MATCH('REGASSET Jun22data'!$A358,'REGASSET Lookup'!$A:$A,0))</f>
        <v>CUST</v>
      </c>
      <c r="J358" s="113" t="str">
        <f t="shared" si="17"/>
        <v>NO</v>
      </c>
      <c r="K358"/>
    </row>
    <row r="359" spans="1:11">
      <c r="A359" s="114" t="str">
        <f t="shared" si="15"/>
        <v>1823920DSR COSTS AMORTIZED103364OUTREACH AND COMMUNICATION WATTSMT  WY-2OTHER</v>
      </c>
      <c r="B359" s="126" t="s">
        <v>2231</v>
      </c>
      <c r="C359" s="128" t="s">
        <v>695</v>
      </c>
      <c r="D359" s="126" t="s">
        <v>2512</v>
      </c>
      <c r="E359" s="128" t="s">
        <v>979</v>
      </c>
      <c r="F359" s="127" t="s">
        <v>306</v>
      </c>
      <c r="G359" s="136">
        <v>154.75172000000001</v>
      </c>
      <c r="H359" s="113" t="str">
        <f t="shared" si="16"/>
        <v>OTHER</v>
      </c>
      <c r="I359" s="113" t="str">
        <f>INDEX('REGASSET Lookup'!$I:$I,MATCH('REGASSET Jun22data'!$A359,'REGASSET Lookup'!$A:$A,0))</f>
        <v>CUST</v>
      </c>
      <c r="J359" s="113" t="str">
        <f t="shared" si="17"/>
        <v>NO</v>
      </c>
      <c r="K359"/>
    </row>
    <row r="360" spans="1:11">
      <c r="A360" s="114" t="str">
        <f t="shared" si="15"/>
        <v>1823920DSR COSTS AMORTIZED103365AGRICULURAL FINANSWER EXP WY-2012 CAT2OTHER</v>
      </c>
      <c r="B360" s="126" t="s">
        <v>2231</v>
      </c>
      <c r="C360" s="128" t="s">
        <v>695</v>
      </c>
      <c r="D360" s="126" t="s">
        <v>2513</v>
      </c>
      <c r="E360" s="128" t="s">
        <v>980</v>
      </c>
      <c r="F360" s="127" t="s">
        <v>306</v>
      </c>
      <c r="G360" s="136">
        <v>0.59624999999999995</v>
      </c>
      <c r="H360" s="113" t="str">
        <f t="shared" si="16"/>
        <v>OTHER</v>
      </c>
      <c r="I360" s="113" t="str">
        <f>INDEX('REGASSET Lookup'!$I:$I,MATCH('REGASSET Jun22data'!$A360,'REGASSET Lookup'!$A:$A,0))</f>
        <v>CUST</v>
      </c>
      <c r="J360" s="113" t="str">
        <f t="shared" si="17"/>
        <v>NO</v>
      </c>
      <c r="K360"/>
    </row>
    <row r="361" spans="1:11">
      <c r="A361" s="114" t="str">
        <f t="shared" si="15"/>
        <v>1823920DSR COSTS AMORTIZED103366AGRICULURAL FINANSWER EXP WY-2012 CAT3OTHER</v>
      </c>
      <c r="B361" s="126" t="s">
        <v>2231</v>
      </c>
      <c r="C361" s="128" t="s">
        <v>695</v>
      </c>
      <c r="D361" s="126" t="s">
        <v>2514</v>
      </c>
      <c r="E361" s="128" t="s">
        <v>981</v>
      </c>
      <c r="F361" s="127" t="s">
        <v>306</v>
      </c>
      <c r="G361" s="136">
        <v>7.7400000000000004E-3</v>
      </c>
      <c r="H361" s="113" t="str">
        <f t="shared" si="16"/>
        <v>OTHER</v>
      </c>
      <c r="I361" s="113" t="str">
        <f>INDEX('REGASSET Lookup'!$I:$I,MATCH('REGASSET Jun22data'!$A361,'REGASSET Lookup'!$A:$A,0))</f>
        <v>CUST</v>
      </c>
      <c r="J361" s="113" t="str">
        <f t="shared" si="17"/>
        <v>NO</v>
      </c>
      <c r="K361"/>
    </row>
    <row r="362" spans="1:11">
      <c r="A362" s="114" t="str">
        <f t="shared" si="15"/>
        <v>1823920DSR COSTS AMORTIZED103367PORTFOLIO WY-2012 CAT2OTHER</v>
      </c>
      <c r="B362" s="126" t="s">
        <v>2231</v>
      </c>
      <c r="C362" s="128" t="s">
        <v>695</v>
      </c>
      <c r="D362" s="126" t="s">
        <v>2515</v>
      </c>
      <c r="E362" s="128" t="s">
        <v>982</v>
      </c>
      <c r="F362" s="127" t="s">
        <v>306</v>
      </c>
      <c r="G362" s="136">
        <v>34.96707</v>
      </c>
      <c r="H362" s="113" t="str">
        <f t="shared" si="16"/>
        <v>OTHER</v>
      </c>
      <c r="I362" s="113" t="str">
        <f>INDEX('REGASSET Lookup'!$I:$I,MATCH('REGASSET Jun22data'!$A362,'REGASSET Lookup'!$A:$A,0))</f>
        <v>CUST</v>
      </c>
      <c r="J362" s="113" t="str">
        <f t="shared" si="17"/>
        <v>NO</v>
      </c>
      <c r="K362"/>
    </row>
    <row r="363" spans="1:11">
      <c r="A363" s="114" t="str">
        <f t="shared" si="15"/>
        <v>1823920DSR COSTS AMORTIZED103368PORTFOLIO WY-2012 CAT3OTHER</v>
      </c>
      <c r="B363" s="126" t="s">
        <v>2231</v>
      </c>
      <c r="C363" s="128" t="s">
        <v>695</v>
      </c>
      <c r="D363" s="126" t="s">
        <v>2516</v>
      </c>
      <c r="E363" s="128" t="s">
        <v>983</v>
      </c>
      <c r="F363" s="127" t="s">
        <v>306</v>
      </c>
      <c r="G363" s="136">
        <v>29.709720000000001</v>
      </c>
      <c r="H363" s="113" t="str">
        <f t="shared" si="16"/>
        <v>OTHER</v>
      </c>
      <c r="I363" s="113" t="str">
        <f>INDEX('REGASSET Lookup'!$I:$I,MATCH('REGASSET Jun22data'!$A363,'REGASSET Lookup'!$A:$A,0))</f>
        <v>CUST</v>
      </c>
      <c r="J363" s="113" t="str">
        <f t="shared" si="17"/>
        <v>NO</v>
      </c>
      <c r="K363"/>
    </row>
    <row r="364" spans="1:11">
      <c r="A364" s="114" t="str">
        <f t="shared" si="15"/>
        <v>1823920DSR COSTS AMORTIZED103369COMMERCIAL CURTAILMENT - OR 2012OTHER</v>
      </c>
      <c r="B364" s="126" t="s">
        <v>2231</v>
      </c>
      <c r="C364" s="128" t="s">
        <v>695</v>
      </c>
      <c r="D364" s="126" t="s">
        <v>2517</v>
      </c>
      <c r="E364" s="128" t="s">
        <v>984</v>
      </c>
      <c r="F364" s="127" t="s">
        <v>306</v>
      </c>
      <c r="G364" s="136">
        <v>-26.626629999999999</v>
      </c>
      <c r="H364" s="113" t="str">
        <f t="shared" si="16"/>
        <v>OTHER</v>
      </c>
      <c r="I364" s="113" t="str">
        <f>INDEX('REGASSET Lookup'!$I:$I,MATCH('REGASSET Jun22data'!$A364,'REGASSET Lookup'!$A:$A,0))</f>
        <v>CUST</v>
      </c>
      <c r="J364" s="113" t="str">
        <f t="shared" si="17"/>
        <v>NO</v>
      </c>
      <c r="K364"/>
    </row>
    <row r="365" spans="1:11">
      <c r="A365" s="114" t="str">
        <f t="shared" si="15"/>
        <v>1823920DSR COSTS AMORTIZED103493U.of Utah Student Energy Sponsorship- UTOTHER</v>
      </c>
      <c r="B365" s="126" t="s">
        <v>2231</v>
      </c>
      <c r="C365" s="128" t="s">
        <v>695</v>
      </c>
      <c r="D365" s="126" t="s">
        <v>2518</v>
      </c>
      <c r="E365" s="128" t="s">
        <v>985</v>
      </c>
      <c r="F365" s="127" t="s">
        <v>306</v>
      </c>
      <c r="G365" s="136">
        <v>7.7960000000000003</v>
      </c>
      <c r="H365" s="113" t="str">
        <f t="shared" si="16"/>
        <v>OTHER</v>
      </c>
      <c r="I365" s="113" t="str">
        <f>INDEX('REGASSET Lookup'!$I:$I,MATCH('REGASSET Jun22data'!$A365,'REGASSET Lookup'!$A:$A,0))</f>
        <v>CUST</v>
      </c>
      <c r="J365" s="113" t="str">
        <f t="shared" si="17"/>
        <v>NO</v>
      </c>
      <c r="K365"/>
    </row>
    <row r="366" spans="1:11">
      <c r="A366" s="114" t="str">
        <f t="shared" si="15"/>
        <v>1823920DSR COSTS AMORTIZED103496PORTFOLIO - IDAHOOTHER</v>
      </c>
      <c r="B366" s="126" t="s">
        <v>2231</v>
      </c>
      <c r="C366" s="128" t="s">
        <v>695</v>
      </c>
      <c r="D366" s="126" t="s">
        <v>2519</v>
      </c>
      <c r="E366" s="128" t="s">
        <v>986</v>
      </c>
      <c r="F366" s="127" t="s">
        <v>306</v>
      </c>
      <c r="G366" s="136">
        <v>2.48142</v>
      </c>
      <c r="H366" s="113" t="str">
        <f t="shared" si="16"/>
        <v>OTHER</v>
      </c>
      <c r="I366" s="113" t="str">
        <f>INDEX('REGASSET Lookup'!$I:$I,MATCH('REGASSET Jun22data'!$A366,'REGASSET Lookup'!$A:$A,0))</f>
        <v>CUST</v>
      </c>
      <c r="J366" s="113" t="str">
        <f t="shared" si="17"/>
        <v>NO</v>
      </c>
      <c r="K366"/>
    </row>
    <row r="367" spans="1:11">
      <c r="A367" s="114" t="str">
        <f t="shared" si="15"/>
        <v>1823920DSR COSTS AMORTIZED103497PORTFOLIO - UTAHOTHER</v>
      </c>
      <c r="B367" s="126" t="s">
        <v>2231</v>
      </c>
      <c r="C367" s="128" t="s">
        <v>695</v>
      </c>
      <c r="D367" s="126" t="s">
        <v>2520</v>
      </c>
      <c r="E367" s="128" t="s">
        <v>987</v>
      </c>
      <c r="F367" s="127" t="s">
        <v>306</v>
      </c>
      <c r="G367" s="136">
        <v>42.010570000000001</v>
      </c>
      <c r="H367" s="113" t="str">
        <f t="shared" si="16"/>
        <v>OTHER</v>
      </c>
      <c r="I367" s="113" t="str">
        <f>INDEX('REGASSET Lookup'!$I:$I,MATCH('REGASSET Jun22data'!$A367,'REGASSET Lookup'!$A:$A,0))</f>
        <v>CUST</v>
      </c>
      <c r="J367" s="113" t="str">
        <f t="shared" si="17"/>
        <v>NO</v>
      </c>
      <c r="K367"/>
    </row>
    <row r="368" spans="1:11">
      <c r="A368" s="114" t="str">
        <f t="shared" si="15"/>
        <v>1823920DSR COSTS AMORTIZED103623CALIFORNIA DSM EXPENSE - 2013OTHER</v>
      </c>
      <c r="B368" s="126" t="s">
        <v>2231</v>
      </c>
      <c r="C368" s="128" t="s">
        <v>695</v>
      </c>
      <c r="D368" s="126" t="s">
        <v>3378</v>
      </c>
      <c r="E368" s="128" t="s">
        <v>988</v>
      </c>
      <c r="F368" s="127" t="s">
        <v>306</v>
      </c>
      <c r="G368" s="136">
        <v>1.0000000000000001E-5</v>
      </c>
      <c r="H368" s="113" t="str">
        <f t="shared" si="16"/>
        <v>OTHER</v>
      </c>
      <c r="I368" s="113" t="str">
        <f>INDEX('REGASSET Lookup'!$I:$I,MATCH('REGASSET Jun22data'!$A368,'REGASSET Lookup'!$A:$A,0))</f>
        <v>CUST</v>
      </c>
      <c r="J368" s="113" t="str">
        <f t="shared" si="17"/>
        <v>NO</v>
      </c>
      <c r="K368"/>
    </row>
    <row r="369" spans="1:11">
      <c r="A369" s="114" t="str">
        <f t="shared" si="15"/>
        <v>1823920DSR COSTS AMORTIZED103646PORTFOLIO - IDAHO 2013OTHER</v>
      </c>
      <c r="B369" s="126" t="s">
        <v>2231</v>
      </c>
      <c r="C369" s="128" t="s">
        <v>695</v>
      </c>
      <c r="D369" s="126" t="s">
        <v>2521</v>
      </c>
      <c r="E369" s="128" t="s">
        <v>989</v>
      </c>
      <c r="F369" s="127" t="s">
        <v>306</v>
      </c>
      <c r="G369" s="136">
        <v>38.10718</v>
      </c>
      <c r="H369" s="113" t="str">
        <f t="shared" si="16"/>
        <v>OTHER</v>
      </c>
      <c r="I369" s="113" t="str">
        <f>INDEX('REGASSET Lookup'!$I:$I,MATCH('REGASSET Jun22data'!$A369,'REGASSET Lookup'!$A:$A,0))</f>
        <v>CUST</v>
      </c>
      <c r="J369" s="113" t="str">
        <f t="shared" si="17"/>
        <v>NO</v>
      </c>
      <c r="K369"/>
    </row>
    <row r="370" spans="1:11">
      <c r="A370" s="114" t="str">
        <f t="shared" si="15"/>
        <v>1823920DSR COSTS AMORTIZED103647A/C LOAD CONTROL - RESIDENTIAL/UTAH - 20OTHER</v>
      </c>
      <c r="B370" s="126" t="s">
        <v>2231</v>
      </c>
      <c r="C370" s="128" t="s">
        <v>695</v>
      </c>
      <c r="D370" s="126" t="s">
        <v>2522</v>
      </c>
      <c r="E370" s="128" t="s">
        <v>772</v>
      </c>
      <c r="F370" s="127" t="s">
        <v>306</v>
      </c>
      <c r="G370" s="136">
        <v>10293.442940000001</v>
      </c>
      <c r="H370" s="113" t="str">
        <f t="shared" si="16"/>
        <v>OTHER</v>
      </c>
      <c r="I370" s="113" t="str">
        <f>INDEX('REGASSET Lookup'!$I:$I,MATCH('REGASSET Jun22data'!$A370,'REGASSET Lookup'!$A:$A,0))</f>
        <v>CUST</v>
      </c>
      <c r="J370" s="113" t="str">
        <f t="shared" si="17"/>
        <v>NO</v>
      </c>
      <c r="K370"/>
    </row>
    <row r="371" spans="1:11">
      <c r="A371" s="114" t="str">
        <f t="shared" si="15"/>
        <v>1823920DSR COSTS AMORTIZED103648AIR CONDITIONING - UTAH - 2013OTHER</v>
      </c>
      <c r="B371" s="126" t="s">
        <v>2231</v>
      </c>
      <c r="C371" s="128" t="s">
        <v>695</v>
      </c>
      <c r="D371" s="126" t="s">
        <v>2523</v>
      </c>
      <c r="E371" s="128" t="s">
        <v>990</v>
      </c>
      <c r="F371" s="127" t="s">
        <v>306</v>
      </c>
      <c r="G371" s="136">
        <v>66.270449999999997</v>
      </c>
      <c r="H371" s="113" t="str">
        <f t="shared" si="16"/>
        <v>OTHER</v>
      </c>
      <c r="I371" s="113" t="str">
        <f>INDEX('REGASSET Lookup'!$I:$I,MATCH('REGASSET Jun22data'!$A371,'REGASSET Lookup'!$A:$A,0))</f>
        <v>CUST</v>
      </c>
      <c r="J371" s="113" t="str">
        <f t="shared" si="17"/>
        <v>NO</v>
      </c>
      <c r="K371"/>
    </row>
    <row r="372" spans="1:11">
      <c r="A372" s="114" t="str">
        <f t="shared" si="15"/>
        <v>1823920DSR COSTS AMORTIZED103649ENERGY FINANSWER - UTAH - 2013OTHER</v>
      </c>
      <c r="B372" s="126" t="s">
        <v>2231</v>
      </c>
      <c r="C372" s="128" t="s">
        <v>695</v>
      </c>
      <c r="D372" s="126" t="s">
        <v>2524</v>
      </c>
      <c r="E372" s="128" t="s">
        <v>991</v>
      </c>
      <c r="F372" s="127" t="s">
        <v>306</v>
      </c>
      <c r="G372" s="136">
        <v>1444.7774899999999</v>
      </c>
      <c r="H372" s="113" t="str">
        <f t="shared" si="16"/>
        <v>OTHER</v>
      </c>
      <c r="I372" s="113" t="str">
        <f>INDEX('REGASSET Lookup'!$I:$I,MATCH('REGASSET Jun22data'!$A372,'REGASSET Lookup'!$A:$A,0))</f>
        <v>CUST</v>
      </c>
      <c r="J372" s="113" t="str">
        <f t="shared" si="17"/>
        <v>NO</v>
      </c>
      <c r="K372"/>
    </row>
    <row r="373" spans="1:11">
      <c r="A373" s="114" t="str">
        <f t="shared" si="15"/>
        <v>1823920DSR COSTS AMORTIZED103650INDUSTRIAL FINANSWER - UTAH - 2013OTHER</v>
      </c>
      <c r="B373" s="126" t="s">
        <v>2231</v>
      </c>
      <c r="C373" s="128" t="s">
        <v>695</v>
      </c>
      <c r="D373" s="126" t="s">
        <v>2525</v>
      </c>
      <c r="E373" s="128" t="s">
        <v>992</v>
      </c>
      <c r="F373" s="127" t="s">
        <v>306</v>
      </c>
      <c r="G373" s="136">
        <v>2168.27189</v>
      </c>
      <c r="H373" s="113" t="str">
        <f t="shared" si="16"/>
        <v>OTHER</v>
      </c>
      <c r="I373" s="113" t="str">
        <f>INDEX('REGASSET Lookup'!$I:$I,MATCH('REGASSET Jun22data'!$A373,'REGASSET Lookup'!$A:$A,0))</f>
        <v>CUST</v>
      </c>
      <c r="J373" s="113" t="str">
        <f t="shared" si="17"/>
        <v>NO</v>
      </c>
      <c r="K373"/>
    </row>
    <row r="374" spans="1:11">
      <c r="A374" s="114" t="str">
        <f t="shared" si="15"/>
        <v>1823920DSR COSTS AMORTIZED103651LOW INCOME - UTAH - 2013OTHER</v>
      </c>
      <c r="B374" s="126" t="s">
        <v>2231</v>
      </c>
      <c r="C374" s="128" t="s">
        <v>695</v>
      </c>
      <c r="D374" s="126" t="s">
        <v>2526</v>
      </c>
      <c r="E374" s="128" t="s">
        <v>993</v>
      </c>
      <c r="F374" s="127" t="s">
        <v>306</v>
      </c>
      <c r="G374" s="136">
        <v>119.81564</v>
      </c>
      <c r="H374" s="113" t="str">
        <f t="shared" si="16"/>
        <v>OTHER</v>
      </c>
      <c r="I374" s="113" t="str">
        <f>INDEX('REGASSET Lookup'!$I:$I,MATCH('REGASSET Jun22data'!$A374,'REGASSET Lookup'!$A:$A,0))</f>
        <v>CUST</v>
      </c>
      <c r="J374" s="113" t="str">
        <f t="shared" si="17"/>
        <v>NO</v>
      </c>
      <c r="K374"/>
    </row>
    <row r="375" spans="1:11">
      <c r="A375" s="114" t="str">
        <f t="shared" si="15"/>
        <v>1823920DSR COSTS AMORTIZED103653REFRIGERATOR RECYCLING PGM- UTAH - 2013OTHER</v>
      </c>
      <c r="B375" s="126" t="s">
        <v>2231</v>
      </c>
      <c r="C375" s="128" t="s">
        <v>695</v>
      </c>
      <c r="D375" s="126" t="s">
        <v>2527</v>
      </c>
      <c r="E375" s="128" t="s">
        <v>994</v>
      </c>
      <c r="F375" s="127" t="s">
        <v>306</v>
      </c>
      <c r="G375" s="136">
        <v>1543.8144400000001</v>
      </c>
      <c r="H375" s="113" t="str">
        <f t="shared" si="16"/>
        <v>OTHER</v>
      </c>
      <c r="I375" s="113" t="str">
        <f>INDEX('REGASSET Lookup'!$I:$I,MATCH('REGASSET Jun22data'!$A375,'REGASSET Lookup'!$A:$A,0))</f>
        <v>CUST</v>
      </c>
      <c r="J375" s="113" t="str">
        <f t="shared" si="17"/>
        <v>NO</v>
      </c>
      <c r="K375"/>
    </row>
    <row r="376" spans="1:11">
      <c r="A376" s="114" t="str">
        <f t="shared" si="15"/>
        <v>1823920DSR COSTS AMORTIZED103654COMMERCIAL SELF-DIRECT - UTAH - 2013OTHER</v>
      </c>
      <c r="B376" s="126" t="s">
        <v>2231</v>
      </c>
      <c r="C376" s="128" t="s">
        <v>695</v>
      </c>
      <c r="D376" s="126" t="s">
        <v>2528</v>
      </c>
      <c r="E376" s="128" t="s">
        <v>995</v>
      </c>
      <c r="F376" s="127" t="s">
        <v>306</v>
      </c>
      <c r="G376" s="136">
        <v>115.78887</v>
      </c>
      <c r="H376" s="113" t="str">
        <f t="shared" si="16"/>
        <v>OTHER</v>
      </c>
      <c r="I376" s="113" t="str">
        <f>INDEX('REGASSET Lookup'!$I:$I,MATCH('REGASSET Jun22data'!$A376,'REGASSET Lookup'!$A:$A,0))</f>
        <v>CUST</v>
      </c>
      <c r="J376" s="113" t="str">
        <f t="shared" si="17"/>
        <v>NO</v>
      </c>
      <c r="K376"/>
    </row>
    <row r="377" spans="1:11">
      <c r="A377" s="114" t="str">
        <f t="shared" si="15"/>
        <v>1823920DSR COSTS AMORTIZED103655INDUSTRIAL SELF-DIRECT - UTAH - 2013OTHER</v>
      </c>
      <c r="B377" s="126" t="s">
        <v>2231</v>
      </c>
      <c r="C377" s="128" t="s">
        <v>695</v>
      </c>
      <c r="D377" s="126" t="s">
        <v>2529</v>
      </c>
      <c r="E377" s="128" t="s">
        <v>996</v>
      </c>
      <c r="F377" s="127" t="s">
        <v>306</v>
      </c>
      <c r="G377" s="136">
        <v>318.8664</v>
      </c>
      <c r="H377" s="113" t="str">
        <f t="shared" si="16"/>
        <v>OTHER</v>
      </c>
      <c r="I377" s="113" t="str">
        <f>INDEX('REGASSET Lookup'!$I:$I,MATCH('REGASSET Jun22data'!$A377,'REGASSET Lookup'!$A:$A,0))</f>
        <v>CUST</v>
      </c>
      <c r="J377" s="113" t="str">
        <f t="shared" si="17"/>
        <v>NO</v>
      </c>
      <c r="K377"/>
    </row>
    <row r="378" spans="1:11">
      <c r="A378" s="114" t="str">
        <f t="shared" si="15"/>
        <v>1823920DSR COSTS AMORTIZED103656RESIDENTIAL NEW CONSTRUCTION - UTAH - 20OTHER</v>
      </c>
      <c r="B378" s="126" t="s">
        <v>2231</v>
      </c>
      <c r="C378" s="128" t="s">
        <v>695</v>
      </c>
      <c r="D378" s="126" t="s">
        <v>2530</v>
      </c>
      <c r="E378" s="128" t="s">
        <v>757</v>
      </c>
      <c r="F378" s="127" t="s">
        <v>306</v>
      </c>
      <c r="G378" s="136">
        <v>1313.7971199999999</v>
      </c>
      <c r="H378" s="113" t="str">
        <f t="shared" si="16"/>
        <v>OTHER</v>
      </c>
      <c r="I378" s="113" t="str">
        <f>INDEX('REGASSET Lookup'!$I:$I,MATCH('REGASSET Jun22data'!$A378,'REGASSET Lookup'!$A:$A,0))</f>
        <v>CUST</v>
      </c>
      <c r="J378" s="113" t="str">
        <f t="shared" si="17"/>
        <v>NO</v>
      </c>
      <c r="K378"/>
    </row>
    <row r="379" spans="1:11">
      <c r="A379" s="114" t="str">
        <f t="shared" si="15"/>
        <v>1823920DSR COSTS AMORTIZED103657COMMERCIAL FINANSWER EXPRESS - UTAH - 20OTHER</v>
      </c>
      <c r="B379" s="126" t="s">
        <v>2231</v>
      </c>
      <c r="C379" s="128" t="s">
        <v>695</v>
      </c>
      <c r="D379" s="126" t="s">
        <v>2531</v>
      </c>
      <c r="E379" s="128" t="s">
        <v>760</v>
      </c>
      <c r="F379" s="127" t="s">
        <v>306</v>
      </c>
      <c r="G379" s="136">
        <v>8289.5647200000003</v>
      </c>
      <c r="H379" s="113" t="str">
        <f t="shared" si="16"/>
        <v>OTHER</v>
      </c>
      <c r="I379" s="113" t="str">
        <f>INDEX('REGASSET Lookup'!$I:$I,MATCH('REGASSET Jun22data'!$A379,'REGASSET Lookup'!$A:$A,0))</f>
        <v>CUST</v>
      </c>
      <c r="J379" s="113" t="str">
        <f t="shared" si="17"/>
        <v>NO</v>
      </c>
      <c r="K379"/>
    </row>
    <row r="380" spans="1:11">
      <c r="A380" s="114" t="str">
        <f t="shared" si="15"/>
        <v>1823920DSR COSTS AMORTIZED103658INDUSTRIAL FINANSWER EXPRESS - UTAH - 20OTHER</v>
      </c>
      <c r="B380" s="126" t="s">
        <v>2231</v>
      </c>
      <c r="C380" s="128" t="s">
        <v>695</v>
      </c>
      <c r="D380" s="126" t="s">
        <v>2532</v>
      </c>
      <c r="E380" s="128" t="s">
        <v>761</v>
      </c>
      <c r="F380" s="127" t="s">
        <v>306</v>
      </c>
      <c r="G380" s="136">
        <v>1444.13159</v>
      </c>
      <c r="H380" s="113" t="str">
        <f t="shared" si="16"/>
        <v>OTHER</v>
      </c>
      <c r="I380" s="113" t="str">
        <f>INDEX('REGASSET Lookup'!$I:$I,MATCH('REGASSET Jun22data'!$A380,'REGASSET Lookup'!$A:$A,0))</f>
        <v>CUST</v>
      </c>
      <c r="J380" s="113" t="str">
        <f t="shared" si="17"/>
        <v>NO</v>
      </c>
      <c r="K380"/>
    </row>
    <row r="381" spans="1:11">
      <c r="A381" s="114" t="str">
        <f t="shared" si="15"/>
        <v>1823920DSR COSTS AMORTIZED103660IRRIGATION LOAD CONTROL  - UTAH - 2013OTHER</v>
      </c>
      <c r="B381" s="126" t="s">
        <v>2231</v>
      </c>
      <c r="C381" s="128" t="s">
        <v>695</v>
      </c>
      <c r="D381" s="126" t="s">
        <v>2533</v>
      </c>
      <c r="E381" s="128" t="s">
        <v>997</v>
      </c>
      <c r="F381" s="127" t="s">
        <v>306</v>
      </c>
      <c r="G381" s="136">
        <v>806.65102000000002</v>
      </c>
      <c r="H381" s="113" t="str">
        <f t="shared" si="16"/>
        <v>OTHER</v>
      </c>
      <c r="I381" s="113" t="str">
        <f>INDEX('REGASSET Lookup'!$I:$I,MATCH('REGASSET Jun22data'!$A381,'REGASSET Lookup'!$A:$A,0))</f>
        <v>CUST</v>
      </c>
      <c r="J381" s="113" t="str">
        <f t="shared" si="17"/>
        <v>NO</v>
      </c>
      <c r="K381"/>
    </row>
    <row r="382" spans="1:11">
      <c r="A382" s="114" t="str">
        <f t="shared" si="15"/>
        <v>1823920DSR COSTS AMORTIZED103661HOME ENERGY EFF INCENTIVE PROG - UT 2013OTHER</v>
      </c>
      <c r="B382" s="126" t="s">
        <v>2231</v>
      </c>
      <c r="C382" s="128" t="s">
        <v>695</v>
      </c>
      <c r="D382" s="126" t="s">
        <v>2534</v>
      </c>
      <c r="E382" s="128" t="s">
        <v>998</v>
      </c>
      <c r="F382" s="127" t="s">
        <v>306</v>
      </c>
      <c r="G382" s="136">
        <v>20268.770469999999</v>
      </c>
      <c r="H382" s="113" t="str">
        <f t="shared" si="16"/>
        <v>OTHER</v>
      </c>
      <c r="I382" s="113" t="str">
        <f>INDEX('REGASSET Lookup'!$I:$I,MATCH('REGASSET Jun22data'!$A382,'REGASSET Lookup'!$A:$A,0))</f>
        <v>CUST</v>
      </c>
      <c r="J382" s="113" t="str">
        <f t="shared" si="17"/>
        <v>NO</v>
      </c>
      <c r="K382"/>
    </row>
    <row r="383" spans="1:11">
      <c r="A383" s="114" t="str">
        <f t="shared" si="15"/>
        <v>1823920DSR COSTS AMORTIZED103662OUTREACH and COMMUNICATIONS - UT 2013OTHER</v>
      </c>
      <c r="B383" s="126" t="s">
        <v>2231</v>
      </c>
      <c r="C383" s="128" t="s">
        <v>695</v>
      </c>
      <c r="D383" s="126" t="s">
        <v>2535</v>
      </c>
      <c r="E383" s="128" t="s">
        <v>999</v>
      </c>
      <c r="F383" s="127" t="s">
        <v>306</v>
      </c>
      <c r="G383" s="136">
        <v>1406.0877399999999</v>
      </c>
      <c r="H383" s="113" t="str">
        <f t="shared" si="16"/>
        <v>OTHER</v>
      </c>
      <c r="I383" s="113" t="str">
        <f>INDEX('REGASSET Lookup'!$I:$I,MATCH('REGASSET Jun22data'!$A383,'REGASSET Lookup'!$A:$A,0))</f>
        <v>CUST</v>
      </c>
      <c r="J383" s="113" t="str">
        <f t="shared" si="17"/>
        <v>NO</v>
      </c>
      <c r="K383"/>
    </row>
    <row r="384" spans="1:11">
      <c r="A384" s="114" t="str">
        <f t="shared" si="15"/>
        <v>1823920DSR COSTS AMORTIZED103666AGRICULTURAL FINANSWER EXPRESS - UTAH -OTHER</v>
      </c>
      <c r="B384" s="126" t="s">
        <v>2231</v>
      </c>
      <c r="C384" s="128" t="s">
        <v>695</v>
      </c>
      <c r="D384" s="126" t="s">
        <v>2536</v>
      </c>
      <c r="E384" s="128" t="s">
        <v>961</v>
      </c>
      <c r="F384" s="127" t="s">
        <v>306</v>
      </c>
      <c r="G384" s="136">
        <v>70.297430000000006</v>
      </c>
      <c r="H384" s="113" t="str">
        <f t="shared" si="16"/>
        <v>OTHER</v>
      </c>
      <c r="I384" s="113" t="str">
        <f>INDEX('REGASSET Lookup'!$I:$I,MATCH('REGASSET Jun22data'!$A384,'REGASSET Lookup'!$A:$A,0))</f>
        <v>CUST</v>
      </c>
      <c r="J384" s="113" t="str">
        <f t="shared" si="17"/>
        <v>NO</v>
      </c>
      <c r="K384"/>
    </row>
    <row r="385" spans="1:11">
      <c r="A385" s="114" t="str">
        <f t="shared" si="15"/>
        <v>1823920DSR COSTS AMORTIZED103671HOME ENERGY REPORTING - UT 2013OTHER</v>
      </c>
      <c r="B385" s="126" t="s">
        <v>2231</v>
      </c>
      <c r="C385" s="128" t="s">
        <v>695</v>
      </c>
      <c r="D385" s="126" t="s">
        <v>2537</v>
      </c>
      <c r="E385" s="128" t="s">
        <v>1000</v>
      </c>
      <c r="F385" s="127" t="s">
        <v>306</v>
      </c>
      <c r="G385" s="136">
        <v>764.78471999999999</v>
      </c>
      <c r="H385" s="113" t="str">
        <f t="shared" si="16"/>
        <v>OTHER</v>
      </c>
      <c r="I385" s="113" t="str">
        <f>INDEX('REGASSET Lookup'!$I:$I,MATCH('REGASSET Jun22data'!$A385,'REGASSET Lookup'!$A:$A,0))</f>
        <v>CUST</v>
      </c>
      <c r="J385" s="113" t="str">
        <f t="shared" si="17"/>
        <v>NO</v>
      </c>
      <c r="K385"/>
    </row>
    <row r="386" spans="1:11">
      <c r="A386" s="114" t="str">
        <f t="shared" si="15"/>
        <v>1823920DSR COSTS AMORTIZED103673RETROFIT COMMISSIONING PROGRAM  - UTAH -OTHER</v>
      </c>
      <c r="B386" s="126" t="s">
        <v>2231</v>
      </c>
      <c r="C386" s="128" t="s">
        <v>695</v>
      </c>
      <c r="D386" s="126" t="s">
        <v>2538</v>
      </c>
      <c r="E386" s="128" t="s">
        <v>782</v>
      </c>
      <c r="F386" s="127" t="s">
        <v>306</v>
      </c>
      <c r="G386" s="136">
        <v>134.89554000000001</v>
      </c>
      <c r="H386" s="113" t="str">
        <f t="shared" si="16"/>
        <v>OTHER</v>
      </c>
      <c r="I386" s="113" t="str">
        <f>INDEX('REGASSET Lookup'!$I:$I,MATCH('REGASSET Jun22data'!$A386,'REGASSET Lookup'!$A:$A,0))</f>
        <v>CUST</v>
      </c>
      <c r="J386" s="113" t="str">
        <f t="shared" si="17"/>
        <v>NO</v>
      </c>
      <c r="K386"/>
    </row>
    <row r="387" spans="1:11">
      <c r="A387" s="114" t="str">
        <f t="shared" ref="A387:A450" si="18">CONCATENATE($B387,$C387,$D387,$E387,$H387)</f>
        <v>1823920DSR COSTS AMORTIZED103675ENERGY FINANSWER-WY-2013 CAT3OTHER</v>
      </c>
      <c r="B387" s="126" t="s">
        <v>2231</v>
      </c>
      <c r="C387" s="128" t="s">
        <v>695</v>
      </c>
      <c r="D387" s="126" t="s">
        <v>2539</v>
      </c>
      <c r="E387" s="128" t="s">
        <v>1001</v>
      </c>
      <c r="F387" s="127" t="s">
        <v>306</v>
      </c>
      <c r="G387" s="136">
        <v>26.64667</v>
      </c>
      <c r="H387" s="113" t="str">
        <f t="shared" ref="H387:H450" si="19">IF(OR(F387="IDU",F387="OR",F387="UT",F387="WYU",F387="WYP",F387="CA",F387="WA"),"SITUS",IF(OR(F387="CAEE",F387="JBE"),"SE",IF(OR(F387="CAGE",F387="CAGW",F387="JBG"),"SG",F387)))</f>
        <v>OTHER</v>
      </c>
      <c r="I387" s="113" t="str">
        <f>INDEX('REGASSET Lookup'!$I:$I,MATCH('REGASSET Jun22data'!$A387,'REGASSET Lookup'!$A:$A,0))</f>
        <v>CUST</v>
      </c>
      <c r="J387" s="113" t="str">
        <f t="shared" ref="J387:J450" si="20">IF(G387=0,"NO",IF(ISNA($I387),"YES",IF(_xlfn.ISFORMULA($I387),"NO","YES")))</f>
        <v>NO</v>
      </c>
      <c r="K387"/>
    </row>
    <row r="388" spans="1:11">
      <c r="A388" s="114" t="str">
        <f t="shared" si="18"/>
        <v>1823920DSR COSTS AMORTIZED103676INDUSTRIAL FINANSWER-WY-2013 CAT3OTHER</v>
      </c>
      <c r="B388" s="126" t="s">
        <v>2231</v>
      </c>
      <c r="C388" s="128" t="s">
        <v>695</v>
      </c>
      <c r="D388" s="126" t="s">
        <v>2540</v>
      </c>
      <c r="E388" s="128" t="s">
        <v>1002</v>
      </c>
      <c r="F388" s="127" t="s">
        <v>306</v>
      </c>
      <c r="G388" s="136">
        <v>984.65309000000002</v>
      </c>
      <c r="H388" s="113" t="str">
        <f t="shared" si="19"/>
        <v>OTHER</v>
      </c>
      <c r="I388" s="113" t="str">
        <f>INDEX('REGASSET Lookup'!$I:$I,MATCH('REGASSET Jun22data'!$A388,'REGASSET Lookup'!$A:$A,0))</f>
        <v>CUST</v>
      </c>
      <c r="J388" s="113" t="str">
        <f t="shared" si="20"/>
        <v>NO</v>
      </c>
      <c r="K388"/>
    </row>
    <row r="389" spans="1:11">
      <c r="A389" s="114" t="str">
        <f t="shared" si="18"/>
        <v>1823920DSR COSTS AMORTIZED103677REFRIGERATOR RECYCLING-WY -2013 CAT1OTHER</v>
      </c>
      <c r="B389" s="126" t="s">
        <v>2231</v>
      </c>
      <c r="C389" s="128" t="s">
        <v>695</v>
      </c>
      <c r="D389" s="126" t="s">
        <v>2541</v>
      </c>
      <c r="E389" s="128" t="s">
        <v>1003</v>
      </c>
      <c r="F389" s="127" t="s">
        <v>306</v>
      </c>
      <c r="G389" s="136">
        <v>130.01524000000001</v>
      </c>
      <c r="H389" s="113" t="str">
        <f t="shared" si="19"/>
        <v>OTHER</v>
      </c>
      <c r="I389" s="113" t="str">
        <f>INDEX('REGASSET Lookup'!$I:$I,MATCH('REGASSET Jun22data'!$A389,'REGASSET Lookup'!$A:$A,0))</f>
        <v>CUST</v>
      </c>
      <c r="J389" s="113" t="str">
        <f t="shared" si="20"/>
        <v>NO</v>
      </c>
      <c r="K389"/>
    </row>
    <row r="390" spans="1:11">
      <c r="A390" s="114" t="str">
        <f t="shared" si="18"/>
        <v>1823920DSR COSTS AMORTIZED103678HOME ENERGY EFF INCENT PROG Y-2013 CAT1OTHER</v>
      </c>
      <c r="B390" s="126" t="s">
        <v>2231</v>
      </c>
      <c r="C390" s="128" t="s">
        <v>695</v>
      </c>
      <c r="D390" s="126" t="s">
        <v>2542</v>
      </c>
      <c r="E390" s="128" t="s">
        <v>1004</v>
      </c>
      <c r="F390" s="127" t="s">
        <v>306</v>
      </c>
      <c r="G390" s="136">
        <v>883.94907000000001</v>
      </c>
      <c r="H390" s="113" t="str">
        <f t="shared" si="19"/>
        <v>OTHER</v>
      </c>
      <c r="I390" s="113" t="str">
        <f>INDEX('REGASSET Lookup'!$I:$I,MATCH('REGASSET Jun22data'!$A390,'REGASSET Lookup'!$A:$A,0))</f>
        <v>CUST</v>
      </c>
      <c r="J390" s="113" t="str">
        <f t="shared" si="20"/>
        <v>NO</v>
      </c>
      <c r="K390"/>
    </row>
    <row r="391" spans="1:11">
      <c r="A391" s="114" t="str">
        <f t="shared" si="18"/>
        <v>1823920DSR COSTS AMORTIZED103679LOW-INCOME WEATHERZTN - WY 2013 CAT1OTHER</v>
      </c>
      <c r="B391" s="126" t="s">
        <v>2231</v>
      </c>
      <c r="C391" s="128" t="s">
        <v>695</v>
      </c>
      <c r="D391" s="126" t="s">
        <v>2543</v>
      </c>
      <c r="E391" s="128" t="s">
        <v>1005</v>
      </c>
      <c r="F391" s="127" t="s">
        <v>306</v>
      </c>
      <c r="G391" s="136">
        <v>40.516199999999998</v>
      </c>
      <c r="H391" s="113" t="str">
        <f t="shared" si="19"/>
        <v>OTHER</v>
      </c>
      <c r="I391" s="113" t="str">
        <f>INDEX('REGASSET Lookup'!$I:$I,MATCH('REGASSET Jun22data'!$A391,'REGASSET Lookup'!$A:$A,0))</f>
        <v>CUST</v>
      </c>
      <c r="J391" s="113" t="str">
        <f t="shared" si="20"/>
        <v>NO</v>
      </c>
      <c r="K391"/>
    </row>
    <row r="392" spans="1:11">
      <c r="A392" s="114" t="str">
        <f t="shared" si="18"/>
        <v>1823920DSR COSTS AMORTIZED103680COMMERCIAL FINANSWER EXP WY-2013 CAT3OTHER</v>
      </c>
      <c r="B392" s="126" t="s">
        <v>2231</v>
      </c>
      <c r="C392" s="128" t="s">
        <v>695</v>
      </c>
      <c r="D392" s="126" t="s">
        <v>2544</v>
      </c>
      <c r="E392" s="128" t="s">
        <v>1006</v>
      </c>
      <c r="F392" s="127" t="s">
        <v>306</v>
      </c>
      <c r="G392" s="136">
        <v>424.25855000000001</v>
      </c>
      <c r="H392" s="113" t="str">
        <f t="shared" si="19"/>
        <v>OTHER</v>
      </c>
      <c r="I392" s="113" t="str">
        <f>INDEX('REGASSET Lookup'!$I:$I,MATCH('REGASSET Jun22data'!$A392,'REGASSET Lookup'!$A:$A,0))</f>
        <v>CUST</v>
      </c>
      <c r="J392" s="113" t="str">
        <f t="shared" si="20"/>
        <v>NO</v>
      </c>
      <c r="K392"/>
    </row>
    <row r="393" spans="1:11">
      <c r="A393" s="114" t="str">
        <f t="shared" si="18"/>
        <v>1823920DSR COSTS AMORTIZED103681INDUSTRIAL FINANSWER EXP WY-2013 CAT3OTHER</v>
      </c>
      <c r="B393" s="126" t="s">
        <v>2231</v>
      </c>
      <c r="C393" s="128" t="s">
        <v>695</v>
      </c>
      <c r="D393" s="126" t="s">
        <v>2545</v>
      </c>
      <c r="E393" s="128" t="s">
        <v>1007</v>
      </c>
      <c r="F393" s="127" t="s">
        <v>306</v>
      </c>
      <c r="G393" s="136">
        <v>168.59556000000001</v>
      </c>
      <c r="H393" s="113" t="str">
        <f t="shared" si="19"/>
        <v>OTHER</v>
      </c>
      <c r="I393" s="113" t="str">
        <f>INDEX('REGASSET Lookup'!$I:$I,MATCH('REGASSET Jun22data'!$A393,'REGASSET Lookup'!$A:$A,0))</f>
        <v>CUST</v>
      </c>
      <c r="J393" s="113" t="str">
        <f t="shared" si="20"/>
        <v>NO</v>
      </c>
      <c r="K393"/>
    </row>
    <row r="394" spans="1:11">
      <c r="A394" s="114" t="str">
        <f t="shared" si="18"/>
        <v>1823920DSR COSTS AMORTIZED103682SELF DIRECT - COMMERCIAL -WY-2013 CAT3OTHER</v>
      </c>
      <c r="B394" s="126" t="s">
        <v>2231</v>
      </c>
      <c r="C394" s="128" t="s">
        <v>695</v>
      </c>
      <c r="D394" s="126" t="s">
        <v>2546</v>
      </c>
      <c r="E394" s="128" t="s">
        <v>1008</v>
      </c>
      <c r="F394" s="127" t="s">
        <v>306</v>
      </c>
      <c r="G394" s="136">
        <v>1.7641</v>
      </c>
      <c r="H394" s="113" t="str">
        <f t="shared" si="19"/>
        <v>OTHER</v>
      </c>
      <c r="I394" s="113" t="str">
        <f>INDEX('REGASSET Lookup'!$I:$I,MATCH('REGASSET Jun22data'!$A394,'REGASSET Lookup'!$A:$A,0))</f>
        <v>CUST</v>
      </c>
      <c r="J394" s="113" t="str">
        <f t="shared" si="20"/>
        <v>NO</v>
      </c>
      <c r="K394"/>
    </row>
    <row r="395" spans="1:11">
      <c r="A395" s="114" t="str">
        <f t="shared" si="18"/>
        <v>1823920DSR COSTS AMORTIZED103683SELF DIRECT -INDUSTRIAL -WY-2013 CAT3OTHER</v>
      </c>
      <c r="B395" s="126" t="s">
        <v>2231</v>
      </c>
      <c r="C395" s="128" t="s">
        <v>695</v>
      </c>
      <c r="D395" s="126" t="s">
        <v>2547</v>
      </c>
      <c r="E395" s="128" t="s">
        <v>1009</v>
      </c>
      <c r="F395" s="127" t="s">
        <v>306</v>
      </c>
      <c r="G395" s="136">
        <v>8.8960299999999997</v>
      </c>
      <c r="H395" s="113" t="str">
        <f t="shared" si="19"/>
        <v>OTHER</v>
      </c>
      <c r="I395" s="113" t="str">
        <f>INDEX('REGASSET Lookup'!$I:$I,MATCH('REGASSET Jun22data'!$A395,'REGASSET Lookup'!$A:$A,0))</f>
        <v>CUST</v>
      </c>
      <c r="J395" s="113" t="str">
        <f t="shared" si="20"/>
        <v>NO</v>
      </c>
      <c r="K395"/>
    </row>
    <row r="396" spans="1:11">
      <c r="A396" s="114" t="str">
        <f t="shared" si="18"/>
        <v>1823920DSR COSTS AMORTIZED103684COMMERCIAL FINANSWER EXP- WY-2013 CAT2OTHER</v>
      </c>
      <c r="B396" s="126" t="s">
        <v>2231</v>
      </c>
      <c r="C396" s="128" t="s">
        <v>695</v>
      </c>
      <c r="D396" s="126" t="s">
        <v>2548</v>
      </c>
      <c r="E396" s="128" t="s">
        <v>1010</v>
      </c>
      <c r="F396" s="127" t="s">
        <v>306</v>
      </c>
      <c r="G396" s="136">
        <v>1234.0093400000001</v>
      </c>
      <c r="H396" s="113" t="str">
        <f t="shared" si="19"/>
        <v>OTHER</v>
      </c>
      <c r="I396" s="113" t="str">
        <f>INDEX('REGASSET Lookup'!$I:$I,MATCH('REGASSET Jun22data'!$A396,'REGASSET Lookup'!$A:$A,0))</f>
        <v>CUST</v>
      </c>
      <c r="J396" s="113" t="str">
        <f t="shared" si="20"/>
        <v>NO</v>
      </c>
      <c r="K396"/>
    </row>
    <row r="397" spans="1:11">
      <c r="A397" s="114" t="str">
        <f t="shared" si="18"/>
        <v>1823920DSR COSTS AMORTIZED103685INDUSTRIAL FINAN EXPRESS WY-2013 CAT2OTHER</v>
      </c>
      <c r="B397" s="126" t="s">
        <v>2231</v>
      </c>
      <c r="C397" s="128" t="s">
        <v>695</v>
      </c>
      <c r="D397" s="126" t="s">
        <v>2549</v>
      </c>
      <c r="E397" s="128" t="s">
        <v>1011</v>
      </c>
      <c r="F397" s="127" t="s">
        <v>306</v>
      </c>
      <c r="G397" s="136">
        <v>84.720119999999994</v>
      </c>
      <c r="H397" s="113" t="str">
        <f t="shared" si="19"/>
        <v>OTHER</v>
      </c>
      <c r="I397" s="113" t="str">
        <f>INDEX('REGASSET Lookup'!$I:$I,MATCH('REGASSET Jun22data'!$A397,'REGASSET Lookup'!$A:$A,0))</f>
        <v>CUST</v>
      </c>
      <c r="J397" s="113" t="str">
        <f t="shared" si="20"/>
        <v>NO</v>
      </c>
      <c r="K397"/>
    </row>
    <row r="398" spans="1:11">
      <c r="A398" s="114" t="str">
        <f t="shared" si="18"/>
        <v>1823920DSR COSTS AMORTIZED103686ENERGY FINANSWER -WY 2013 CAT2OTHER</v>
      </c>
      <c r="B398" s="126" t="s">
        <v>2231</v>
      </c>
      <c r="C398" s="128" t="s">
        <v>695</v>
      </c>
      <c r="D398" s="126" t="s">
        <v>2550</v>
      </c>
      <c r="E398" s="128" t="s">
        <v>1012</v>
      </c>
      <c r="F398" s="127" t="s">
        <v>306</v>
      </c>
      <c r="G398" s="136">
        <v>25.876909999999999</v>
      </c>
      <c r="H398" s="113" t="str">
        <f t="shared" si="19"/>
        <v>OTHER</v>
      </c>
      <c r="I398" s="113" t="str">
        <f>INDEX('REGASSET Lookup'!$I:$I,MATCH('REGASSET Jun22data'!$A398,'REGASSET Lookup'!$A:$A,0))</f>
        <v>CUST</v>
      </c>
      <c r="J398" s="113" t="str">
        <f t="shared" si="20"/>
        <v>NO</v>
      </c>
      <c r="K398"/>
    </row>
    <row r="399" spans="1:11">
      <c r="A399" s="114" t="str">
        <f t="shared" si="18"/>
        <v>1823920DSR COSTS AMORTIZED103687INDUSTRIAL FINANSWER -WY 2013 CAT2OTHER</v>
      </c>
      <c r="B399" s="126" t="s">
        <v>2231</v>
      </c>
      <c r="C399" s="128" t="s">
        <v>695</v>
      </c>
      <c r="D399" s="126" t="s">
        <v>2551</v>
      </c>
      <c r="E399" s="128" t="s">
        <v>1013</v>
      </c>
      <c r="F399" s="127" t="s">
        <v>306</v>
      </c>
      <c r="G399" s="136">
        <v>57.72954</v>
      </c>
      <c r="H399" s="113" t="str">
        <f t="shared" si="19"/>
        <v>OTHER</v>
      </c>
      <c r="I399" s="113" t="str">
        <f>INDEX('REGASSET Lookup'!$I:$I,MATCH('REGASSET Jun22data'!$A399,'REGASSET Lookup'!$A:$A,0))</f>
        <v>CUST</v>
      </c>
      <c r="J399" s="113" t="str">
        <f t="shared" si="20"/>
        <v>NO</v>
      </c>
      <c r="K399"/>
    </row>
    <row r="400" spans="1:11">
      <c r="A400" s="114" t="str">
        <f t="shared" si="18"/>
        <v>1823920DSR COSTS AMORTIZED103688SELF DIRECT - COMMERCIAL WY-2013 CAT2OTHER</v>
      </c>
      <c r="B400" s="126" t="s">
        <v>2231</v>
      </c>
      <c r="C400" s="128" t="s">
        <v>695</v>
      </c>
      <c r="D400" s="126" t="s">
        <v>2552</v>
      </c>
      <c r="E400" s="128" t="s">
        <v>1014</v>
      </c>
      <c r="F400" s="127" t="s">
        <v>306</v>
      </c>
      <c r="G400" s="136">
        <v>2.2983799999999999</v>
      </c>
      <c r="H400" s="113" t="str">
        <f t="shared" si="19"/>
        <v>OTHER</v>
      </c>
      <c r="I400" s="113" t="str">
        <f>INDEX('REGASSET Lookup'!$I:$I,MATCH('REGASSET Jun22data'!$A400,'REGASSET Lookup'!$A:$A,0))</f>
        <v>CUST</v>
      </c>
      <c r="J400" s="113" t="str">
        <f t="shared" si="20"/>
        <v>NO</v>
      </c>
      <c r="K400"/>
    </row>
    <row r="401" spans="1:11">
      <c r="A401" s="114" t="str">
        <f t="shared" si="18"/>
        <v>1823920DSR COSTS AMORTIZED103689SELF DIRECT- INDUSTRIAL WY-2013 CAT2OTHER</v>
      </c>
      <c r="B401" s="126" t="s">
        <v>2231</v>
      </c>
      <c r="C401" s="128" t="s">
        <v>695</v>
      </c>
      <c r="D401" s="126" t="s">
        <v>2553</v>
      </c>
      <c r="E401" s="128" t="s">
        <v>1015</v>
      </c>
      <c r="F401" s="127" t="s">
        <v>306</v>
      </c>
      <c r="G401" s="136">
        <v>8.1518499999999996</v>
      </c>
      <c r="H401" s="113" t="str">
        <f t="shared" si="19"/>
        <v>OTHER</v>
      </c>
      <c r="I401" s="113" t="str">
        <f>INDEX('REGASSET Lookup'!$I:$I,MATCH('REGASSET Jun22data'!$A401,'REGASSET Lookup'!$A:$A,0))</f>
        <v>CUST</v>
      </c>
      <c r="J401" s="113" t="str">
        <f t="shared" si="20"/>
        <v>NO</v>
      </c>
      <c r="K401"/>
    </row>
    <row r="402" spans="1:11">
      <c r="A402" s="114" t="str">
        <f t="shared" si="18"/>
        <v>1823920DSR COSTS AMORTIZED103690PORTFOLIO WY-2013 CAT1OTHER</v>
      </c>
      <c r="B402" s="126" t="s">
        <v>2231</v>
      </c>
      <c r="C402" s="128" t="s">
        <v>695</v>
      </c>
      <c r="D402" s="126" t="s">
        <v>2554</v>
      </c>
      <c r="E402" s="128" t="s">
        <v>1016</v>
      </c>
      <c r="F402" s="127" t="s">
        <v>306</v>
      </c>
      <c r="G402" s="136">
        <v>129.77682999999999</v>
      </c>
      <c r="H402" s="113" t="str">
        <f t="shared" si="19"/>
        <v>OTHER</v>
      </c>
      <c r="I402" s="113" t="str">
        <f>INDEX('REGASSET Lookup'!$I:$I,MATCH('REGASSET Jun22data'!$A402,'REGASSET Lookup'!$A:$A,0))</f>
        <v>CUST</v>
      </c>
      <c r="J402" s="113" t="str">
        <f t="shared" si="20"/>
        <v>NO</v>
      </c>
      <c r="K402"/>
    </row>
    <row r="403" spans="1:11">
      <c r="A403" s="114" t="str">
        <f t="shared" si="18"/>
        <v>1823920DSR COSTS AMORTIZED103691OUTREACH AND COMMUNICATION WATTSMT  WY-2OTHER</v>
      </c>
      <c r="B403" s="126" t="s">
        <v>2231</v>
      </c>
      <c r="C403" s="128" t="s">
        <v>695</v>
      </c>
      <c r="D403" s="126" t="s">
        <v>2555</v>
      </c>
      <c r="E403" s="128" t="s">
        <v>979</v>
      </c>
      <c r="F403" s="127" t="s">
        <v>306</v>
      </c>
      <c r="G403" s="136">
        <v>177.71106</v>
      </c>
      <c r="H403" s="113" t="str">
        <f t="shared" si="19"/>
        <v>OTHER</v>
      </c>
      <c r="I403" s="113" t="str">
        <f>INDEX('REGASSET Lookup'!$I:$I,MATCH('REGASSET Jun22data'!$A403,'REGASSET Lookup'!$A:$A,0))</f>
        <v>CUST</v>
      </c>
      <c r="J403" s="113" t="str">
        <f t="shared" si="20"/>
        <v>NO</v>
      </c>
      <c r="K403"/>
    </row>
    <row r="404" spans="1:11">
      <c r="A404" s="114" t="str">
        <f t="shared" si="18"/>
        <v>1823920DSR COSTS AMORTIZED103692AGRICULTURAL FINANSWER EXP WY-2013 CAT2OTHER</v>
      </c>
      <c r="B404" s="126" t="s">
        <v>2231</v>
      </c>
      <c r="C404" s="128" t="s">
        <v>695</v>
      </c>
      <c r="D404" s="126" t="s">
        <v>2556</v>
      </c>
      <c r="E404" s="128" t="s">
        <v>1017</v>
      </c>
      <c r="F404" s="127" t="s">
        <v>306</v>
      </c>
      <c r="G404" s="136">
        <v>9.77454</v>
      </c>
      <c r="H404" s="113" t="str">
        <f t="shared" si="19"/>
        <v>OTHER</v>
      </c>
      <c r="I404" s="113" t="str">
        <f>INDEX('REGASSET Lookup'!$I:$I,MATCH('REGASSET Jun22data'!$A404,'REGASSET Lookup'!$A:$A,0))</f>
        <v>CUST</v>
      </c>
      <c r="J404" s="113" t="str">
        <f t="shared" si="20"/>
        <v>NO</v>
      </c>
      <c r="K404"/>
    </row>
    <row r="405" spans="1:11">
      <c r="A405" s="114" t="str">
        <f t="shared" si="18"/>
        <v>1823920DSR COSTS AMORTIZED103693AGRICULURAL FINANSWER EXP WY-2013 CAT3OTHER</v>
      </c>
      <c r="B405" s="126" t="s">
        <v>2231</v>
      </c>
      <c r="C405" s="128" t="s">
        <v>695</v>
      </c>
      <c r="D405" s="126" t="s">
        <v>2557</v>
      </c>
      <c r="E405" s="128" t="s">
        <v>1018</v>
      </c>
      <c r="F405" s="127" t="s">
        <v>306</v>
      </c>
      <c r="G405" s="136">
        <v>9.6750000000000003E-2</v>
      </c>
      <c r="H405" s="113" t="str">
        <f t="shared" si="19"/>
        <v>OTHER</v>
      </c>
      <c r="I405" s="113" t="str">
        <f>INDEX('REGASSET Lookup'!$I:$I,MATCH('REGASSET Jun22data'!$A405,'REGASSET Lookup'!$A:$A,0))</f>
        <v>CUST</v>
      </c>
      <c r="J405" s="113" t="str">
        <f t="shared" si="20"/>
        <v>NO</v>
      </c>
      <c r="K405"/>
    </row>
    <row r="406" spans="1:11">
      <c r="A406" s="114" t="str">
        <f t="shared" si="18"/>
        <v>1823920DSR COSTS AMORTIZED103694PORTFOLIO WY-2013 CAT2OTHER</v>
      </c>
      <c r="B406" s="126" t="s">
        <v>2231</v>
      </c>
      <c r="C406" s="128" t="s">
        <v>695</v>
      </c>
      <c r="D406" s="126" t="s">
        <v>2558</v>
      </c>
      <c r="E406" s="128" t="s">
        <v>1019</v>
      </c>
      <c r="F406" s="127" t="s">
        <v>306</v>
      </c>
      <c r="G406" s="136">
        <v>37.646549999999998</v>
      </c>
      <c r="H406" s="113" t="str">
        <f t="shared" si="19"/>
        <v>OTHER</v>
      </c>
      <c r="I406" s="113" t="str">
        <f>INDEX('REGASSET Lookup'!$I:$I,MATCH('REGASSET Jun22data'!$A406,'REGASSET Lookup'!$A:$A,0))</f>
        <v>CUST</v>
      </c>
      <c r="J406" s="113" t="str">
        <f t="shared" si="20"/>
        <v>NO</v>
      </c>
      <c r="K406"/>
    </row>
    <row r="407" spans="1:11">
      <c r="A407" s="114" t="str">
        <f t="shared" si="18"/>
        <v>1823920DSR COSTS AMORTIZED103695PORTFOLIO WY-2013 CAT3OTHER</v>
      </c>
      <c r="B407" s="126" t="s">
        <v>2231</v>
      </c>
      <c r="C407" s="128" t="s">
        <v>695</v>
      </c>
      <c r="D407" s="126" t="s">
        <v>2559</v>
      </c>
      <c r="E407" s="128" t="s">
        <v>1020</v>
      </c>
      <c r="F407" s="127" t="s">
        <v>306</v>
      </c>
      <c r="G407" s="136">
        <v>25.731780000000001</v>
      </c>
      <c r="H407" s="113" t="str">
        <f t="shared" si="19"/>
        <v>OTHER</v>
      </c>
      <c r="I407" s="113" t="str">
        <f>INDEX('REGASSET Lookup'!$I:$I,MATCH('REGASSET Jun22data'!$A407,'REGASSET Lookup'!$A:$A,0))</f>
        <v>CUST</v>
      </c>
      <c r="J407" s="113" t="str">
        <f t="shared" si="20"/>
        <v>NO</v>
      </c>
      <c r="K407"/>
    </row>
    <row r="408" spans="1:11">
      <c r="A408" s="114" t="str">
        <f t="shared" si="18"/>
        <v>1823920DSR COSTS AMORTIZED103700PORTFOLIO - UTAH 2013OTHER</v>
      </c>
      <c r="B408" s="126" t="s">
        <v>2231</v>
      </c>
      <c r="C408" s="128" t="s">
        <v>695</v>
      </c>
      <c r="D408" s="126" t="s">
        <v>2560</v>
      </c>
      <c r="E408" s="128" t="s">
        <v>1021</v>
      </c>
      <c r="F408" s="127" t="s">
        <v>306</v>
      </c>
      <c r="G408" s="136">
        <v>434.59116999999998</v>
      </c>
      <c r="H408" s="113" t="str">
        <f t="shared" si="19"/>
        <v>OTHER</v>
      </c>
      <c r="I408" s="113" t="str">
        <f>INDEX('REGASSET Lookup'!$I:$I,MATCH('REGASSET Jun22data'!$A408,'REGASSET Lookup'!$A:$A,0))</f>
        <v>CUST</v>
      </c>
      <c r="J408" s="113" t="str">
        <f t="shared" si="20"/>
        <v>NO</v>
      </c>
      <c r="K408"/>
    </row>
    <row r="409" spans="1:11">
      <c r="A409" s="114" t="str">
        <f t="shared" si="18"/>
        <v>1823920DSR COSTS AMORTIZED103701U.of Utah Student Energy Sponsorship- UTOTHER</v>
      </c>
      <c r="B409" s="126" t="s">
        <v>2231</v>
      </c>
      <c r="C409" s="128" t="s">
        <v>695</v>
      </c>
      <c r="D409" s="126" t="s">
        <v>2561</v>
      </c>
      <c r="E409" s="128" t="s">
        <v>985</v>
      </c>
      <c r="F409" s="127" t="s">
        <v>306</v>
      </c>
      <c r="G409" s="136">
        <v>2.3017500000000002</v>
      </c>
      <c r="H409" s="113" t="str">
        <f t="shared" si="19"/>
        <v>OTHER</v>
      </c>
      <c r="I409" s="113" t="str">
        <f>INDEX('REGASSET Lookup'!$I:$I,MATCH('REGASSET Jun22data'!$A409,'REGASSET Lookup'!$A:$A,0))</f>
        <v>CUST</v>
      </c>
      <c r="J409" s="113" t="str">
        <f t="shared" si="20"/>
        <v>NO</v>
      </c>
      <c r="K409"/>
    </row>
    <row r="410" spans="1:11">
      <c r="A410" s="114" t="str">
        <f t="shared" si="18"/>
        <v>1823920DSR COSTS AMORTIZED103732COMMERCIAL (WSB) WATTSMART BUSINESS - UTOTHER</v>
      </c>
      <c r="B410" s="126" t="s">
        <v>2231</v>
      </c>
      <c r="C410" s="128" t="s">
        <v>695</v>
      </c>
      <c r="D410" s="126" t="s">
        <v>2562</v>
      </c>
      <c r="E410" s="128" t="s">
        <v>1022</v>
      </c>
      <c r="F410" s="127" t="s">
        <v>306</v>
      </c>
      <c r="G410" s="136">
        <v>0.12625</v>
      </c>
      <c r="H410" s="113" t="str">
        <f t="shared" si="19"/>
        <v>OTHER</v>
      </c>
      <c r="I410" s="113" t="str">
        <f>INDEX('REGASSET Lookup'!$I:$I,MATCH('REGASSET Jun22data'!$A410,'REGASSET Lookup'!$A:$A,0))</f>
        <v>CUST</v>
      </c>
      <c r="J410" s="113" t="str">
        <f t="shared" si="20"/>
        <v>NO</v>
      </c>
      <c r="K410"/>
    </row>
    <row r="411" spans="1:11">
      <c r="A411" s="114" t="str">
        <f t="shared" si="18"/>
        <v>1823920DSR COSTS AMORTIZED103734INDUSTRIAL (WSB) WATTSMART BUSINESS - UTOTHER</v>
      </c>
      <c r="B411" s="126" t="s">
        <v>2231</v>
      </c>
      <c r="C411" s="128" t="s">
        <v>695</v>
      </c>
      <c r="D411" s="126" t="s">
        <v>2563</v>
      </c>
      <c r="E411" s="128" t="s">
        <v>1023</v>
      </c>
      <c r="F411" s="127" t="s">
        <v>306</v>
      </c>
      <c r="G411" s="136">
        <v>0.12625</v>
      </c>
      <c r="H411" s="113" t="str">
        <f t="shared" si="19"/>
        <v>OTHER</v>
      </c>
      <c r="I411" s="113" t="str">
        <f>INDEX('REGASSET Lookup'!$I:$I,MATCH('REGASSET Jun22data'!$A411,'REGASSET Lookup'!$A:$A,0))</f>
        <v>CUST</v>
      </c>
      <c r="J411" s="113" t="str">
        <f t="shared" si="20"/>
        <v>NO</v>
      </c>
      <c r="K411"/>
    </row>
    <row r="412" spans="1:11">
      <c r="A412" s="114" t="str">
        <f t="shared" si="18"/>
        <v>1823920DSR COSTS AMORTIZED103735WSB - WATTSMART BUSINESS - UT- 2013OTHER</v>
      </c>
      <c r="B412" s="126" t="s">
        <v>2231</v>
      </c>
      <c r="C412" s="128" t="s">
        <v>695</v>
      </c>
      <c r="D412" s="126" t="s">
        <v>2564</v>
      </c>
      <c r="E412" s="128" t="s">
        <v>1024</v>
      </c>
      <c r="F412" s="127" t="s">
        <v>306</v>
      </c>
      <c r="G412" s="136">
        <v>12.1065</v>
      </c>
      <c r="H412" s="113" t="str">
        <f t="shared" si="19"/>
        <v>OTHER</v>
      </c>
      <c r="I412" s="113" t="str">
        <f>INDEX('REGASSET Lookup'!$I:$I,MATCH('REGASSET Jun22data'!$A412,'REGASSET Lookup'!$A:$A,0))</f>
        <v>CUST</v>
      </c>
      <c r="J412" s="113" t="str">
        <f t="shared" si="20"/>
        <v>NO</v>
      </c>
      <c r="K412"/>
    </row>
    <row r="413" spans="1:11">
      <c r="A413" s="114" t="str">
        <f t="shared" si="18"/>
        <v>1823920DSR COSTS AMORTIZED103740COMMERCIAL (WSB) WATTSMART BUSINESS - WAOTHER</v>
      </c>
      <c r="B413" s="126" t="s">
        <v>2231</v>
      </c>
      <c r="C413" s="128" t="s">
        <v>695</v>
      </c>
      <c r="D413" s="126" t="s">
        <v>2565</v>
      </c>
      <c r="E413" s="128" t="s">
        <v>1025</v>
      </c>
      <c r="F413" s="127" t="s">
        <v>306</v>
      </c>
      <c r="G413" s="136">
        <v>5435.4768000000004</v>
      </c>
      <c r="H413" s="113" t="str">
        <f t="shared" si="19"/>
        <v>OTHER</v>
      </c>
      <c r="I413" s="113" t="str">
        <f>INDEX('REGASSET Lookup'!$I:$I,MATCH('REGASSET Jun22data'!$A413,'REGASSET Lookup'!$A:$A,0))</f>
        <v>CUST</v>
      </c>
      <c r="J413" s="113" t="str">
        <f t="shared" si="20"/>
        <v>NO</v>
      </c>
      <c r="K413"/>
    </row>
    <row r="414" spans="1:11">
      <c r="A414" s="114" t="str">
        <f t="shared" si="18"/>
        <v>1823920DSR COSTS AMORTIZED103741INDUSTRIAL WATTSMART BUSINESS - WA-2013OTHER</v>
      </c>
      <c r="B414" s="126" t="s">
        <v>2231</v>
      </c>
      <c r="C414" s="128" t="s">
        <v>695</v>
      </c>
      <c r="D414" s="126" t="s">
        <v>2566</v>
      </c>
      <c r="E414" s="128" t="s">
        <v>1026</v>
      </c>
      <c r="F414" s="127" t="s">
        <v>306</v>
      </c>
      <c r="G414" s="136">
        <v>6233.1292299999996</v>
      </c>
      <c r="H414" s="113" t="str">
        <f t="shared" si="19"/>
        <v>OTHER</v>
      </c>
      <c r="I414" s="113" t="str">
        <f>INDEX('REGASSET Lookup'!$I:$I,MATCH('REGASSET Jun22data'!$A414,'REGASSET Lookup'!$A:$A,0))</f>
        <v>CUST</v>
      </c>
      <c r="J414" s="113" t="str">
        <f t="shared" si="20"/>
        <v>NO</v>
      </c>
      <c r="K414"/>
    </row>
    <row r="415" spans="1:11">
      <c r="A415" s="114" t="str">
        <f t="shared" si="18"/>
        <v>1823920DSR COSTS AMORTIZED103742WSB - WATTSMART BUSINESS - WA- 2013OTHER</v>
      </c>
      <c r="B415" s="126" t="s">
        <v>2231</v>
      </c>
      <c r="C415" s="128" t="s">
        <v>695</v>
      </c>
      <c r="D415" s="126" t="s">
        <v>2567</v>
      </c>
      <c r="E415" s="128" t="s">
        <v>1027</v>
      </c>
      <c r="F415" s="127" t="s">
        <v>306</v>
      </c>
      <c r="G415" s="136">
        <v>4049.3921599999999</v>
      </c>
      <c r="H415" s="113" t="str">
        <f t="shared" si="19"/>
        <v>OTHER</v>
      </c>
      <c r="I415" s="113" t="str">
        <f>INDEX('REGASSET Lookup'!$I:$I,MATCH('REGASSET Jun22data'!$A415,'REGASSET Lookup'!$A:$A,0))</f>
        <v>CUST</v>
      </c>
      <c r="J415" s="113" t="str">
        <f t="shared" si="20"/>
        <v>NO</v>
      </c>
      <c r="K415"/>
    </row>
    <row r="416" spans="1:11">
      <c r="A416" s="114" t="str">
        <f t="shared" si="18"/>
        <v>1823920DSR COSTS AMORTIZED103743AGRICULTURAL (WSB) WATTSMART BUSINESS -OTHER</v>
      </c>
      <c r="B416" s="126" t="s">
        <v>2231</v>
      </c>
      <c r="C416" s="128" t="s">
        <v>695</v>
      </c>
      <c r="D416" s="126" t="s">
        <v>2568</v>
      </c>
      <c r="E416" s="128" t="s">
        <v>1028</v>
      </c>
      <c r="F416" s="127" t="s">
        <v>306</v>
      </c>
      <c r="G416" s="136">
        <v>306.17714999999998</v>
      </c>
      <c r="H416" s="113" t="str">
        <f t="shared" si="19"/>
        <v>OTHER</v>
      </c>
      <c r="I416" s="113" t="str">
        <f>INDEX('REGASSET Lookup'!$I:$I,MATCH('REGASSET Jun22data'!$A416,'REGASSET Lookup'!$A:$A,0))</f>
        <v>CUST</v>
      </c>
      <c r="J416" s="113" t="str">
        <f t="shared" si="20"/>
        <v>NO</v>
      </c>
      <c r="K416"/>
    </row>
    <row r="417" spans="1:11">
      <c r="A417" s="114" t="str">
        <f t="shared" si="18"/>
        <v>1823920DSR COSTS AMORTIZED103745CALIFORNIA DSM EXPENSE - 2014OTHER</v>
      </c>
      <c r="B417" s="126" t="s">
        <v>2231</v>
      </c>
      <c r="C417" s="128" t="s">
        <v>695</v>
      </c>
      <c r="D417" s="126" t="s">
        <v>3379</v>
      </c>
      <c r="E417" s="128" t="s">
        <v>1029</v>
      </c>
      <c r="F417" s="127" t="s">
        <v>306</v>
      </c>
      <c r="G417" s="136">
        <v>1.0000000000000001E-5</v>
      </c>
      <c r="H417" s="113" t="str">
        <f t="shared" si="19"/>
        <v>OTHER</v>
      </c>
      <c r="I417" s="113" t="str">
        <f>INDEX('REGASSET Lookup'!$I:$I,MATCH('REGASSET Jun22data'!$A417,'REGASSET Lookup'!$A:$A,0))</f>
        <v>CUST</v>
      </c>
      <c r="J417" s="113" t="str">
        <f t="shared" si="20"/>
        <v>NO</v>
      </c>
      <c r="K417"/>
    </row>
    <row r="418" spans="1:11">
      <c r="A418" s="114" t="str">
        <f t="shared" si="18"/>
        <v>1823920DSR COSTS AMORTIZED103754PORTFOLIO - IDAHO 2014OTHER</v>
      </c>
      <c r="B418" s="126" t="s">
        <v>2231</v>
      </c>
      <c r="C418" s="128" t="s">
        <v>695</v>
      </c>
      <c r="D418" s="126" t="s">
        <v>2569</v>
      </c>
      <c r="E418" s="128" t="s">
        <v>1030</v>
      </c>
      <c r="F418" s="127" t="s">
        <v>306</v>
      </c>
      <c r="G418" s="136">
        <v>29.606560000000002</v>
      </c>
      <c r="H418" s="113" t="str">
        <f t="shared" si="19"/>
        <v>OTHER</v>
      </c>
      <c r="I418" s="113" t="str">
        <f>INDEX('REGASSET Lookup'!$I:$I,MATCH('REGASSET Jun22data'!$A418,'REGASSET Lookup'!$A:$A,0))</f>
        <v>CUST</v>
      </c>
      <c r="J418" s="113" t="str">
        <f t="shared" si="20"/>
        <v>NO</v>
      </c>
      <c r="K418"/>
    </row>
    <row r="419" spans="1:11">
      <c r="A419" s="114" t="str">
        <f t="shared" si="18"/>
        <v>1823920DSR COSTS AMORTIZED103756A/C LOAD CONTROL - RESIDENTIAL/UTAH - 20OTHER</v>
      </c>
      <c r="B419" s="126" t="s">
        <v>2231</v>
      </c>
      <c r="C419" s="128" t="s">
        <v>695</v>
      </c>
      <c r="D419" s="126" t="s">
        <v>2570</v>
      </c>
      <c r="E419" s="128" t="s">
        <v>772</v>
      </c>
      <c r="F419" s="127" t="s">
        <v>306</v>
      </c>
      <c r="G419" s="136">
        <v>24564.386439999998</v>
      </c>
      <c r="H419" s="113" t="str">
        <f t="shared" si="19"/>
        <v>OTHER</v>
      </c>
      <c r="I419" s="113" t="str">
        <f>INDEX('REGASSET Lookup'!$I:$I,MATCH('REGASSET Jun22data'!$A419,'REGASSET Lookup'!$A:$A,0))</f>
        <v>CUST</v>
      </c>
      <c r="J419" s="113" t="str">
        <f t="shared" si="20"/>
        <v>NO</v>
      </c>
      <c r="K419"/>
    </row>
    <row r="420" spans="1:11">
      <c r="A420" s="114" t="str">
        <f t="shared" si="18"/>
        <v>1823920DSR COSTS AMORTIZED103757AGRICULURAL FINANSWER EXPRESS - UTAH - 2OTHER</v>
      </c>
      <c r="B420" s="126" t="s">
        <v>2231</v>
      </c>
      <c r="C420" s="128" t="s">
        <v>695</v>
      </c>
      <c r="D420" s="126" t="s">
        <v>2571</v>
      </c>
      <c r="E420" s="128" t="s">
        <v>942</v>
      </c>
      <c r="F420" s="127" t="s">
        <v>306</v>
      </c>
      <c r="G420" s="136">
        <v>1.05437</v>
      </c>
      <c r="H420" s="113" t="str">
        <f t="shared" si="19"/>
        <v>OTHER</v>
      </c>
      <c r="I420" s="113" t="str">
        <f>INDEX('REGASSET Lookup'!$I:$I,MATCH('REGASSET Jun22data'!$A420,'REGASSET Lookup'!$A:$A,0))</f>
        <v>CUST</v>
      </c>
      <c r="J420" s="113" t="str">
        <f t="shared" si="20"/>
        <v>NO</v>
      </c>
      <c r="K420"/>
    </row>
    <row r="421" spans="1:11">
      <c r="A421" s="114" t="str">
        <f t="shared" si="18"/>
        <v>1823920DSR COSTS AMORTIZED103758AIR CONDITIONING - UTAH - 2014OTHER</v>
      </c>
      <c r="B421" s="126" t="s">
        <v>2231</v>
      </c>
      <c r="C421" s="128" t="s">
        <v>695</v>
      </c>
      <c r="D421" s="126" t="s">
        <v>2572</v>
      </c>
      <c r="E421" s="128" t="s">
        <v>1031</v>
      </c>
      <c r="F421" s="127" t="s">
        <v>306</v>
      </c>
      <c r="G421" s="136">
        <v>0.59555000000000002</v>
      </c>
      <c r="H421" s="113" t="str">
        <f t="shared" si="19"/>
        <v>OTHER</v>
      </c>
      <c r="I421" s="113" t="str">
        <f>INDEX('REGASSET Lookup'!$I:$I,MATCH('REGASSET Jun22data'!$A421,'REGASSET Lookup'!$A:$A,0))</f>
        <v>CUST</v>
      </c>
      <c r="J421" s="113" t="str">
        <f t="shared" si="20"/>
        <v>NO</v>
      </c>
      <c r="K421"/>
    </row>
    <row r="422" spans="1:11">
      <c r="A422" s="114" t="str">
        <f t="shared" si="18"/>
        <v>1823920DSR COSTS AMORTIZED103759COMMERCIAL FINANSWER EXPRESS - UTAH - 20OTHER</v>
      </c>
      <c r="B422" s="126" t="s">
        <v>2231</v>
      </c>
      <c r="C422" s="128" t="s">
        <v>695</v>
      </c>
      <c r="D422" s="126" t="s">
        <v>2573</v>
      </c>
      <c r="E422" s="128" t="s">
        <v>760</v>
      </c>
      <c r="F422" s="127" t="s">
        <v>306</v>
      </c>
      <c r="G422" s="136">
        <v>401.09062</v>
      </c>
      <c r="H422" s="113" t="str">
        <f t="shared" si="19"/>
        <v>OTHER</v>
      </c>
      <c r="I422" s="113" t="str">
        <f>INDEX('REGASSET Lookup'!$I:$I,MATCH('REGASSET Jun22data'!$A422,'REGASSET Lookup'!$A:$A,0))</f>
        <v>CUST</v>
      </c>
      <c r="J422" s="113" t="str">
        <f t="shared" si="20"/>
        <v>NO</v>
      </c>
      <c r="K422"/>
    </row>
    <row r="423" spans="1:11">
      <c r="A423" s="114" t="str">
        <f t="shared" si="18"/>
        <v>1823920DSR COSTS AMORTIZED103760ENERGY FINANSWER - UTAH - 2014OTHER</v>
      </c>
      <c r="B423" s="126" t="s">
        <v>2231</v>
      </c>
      <c r="C423" s="128" t="s">
        <v>695</v>
      </c>
      <c r="D423" s="126" t="s">
        <v>2574</v>
      </c>
      <c r="E423" s="128" t="s">
        <v>1032</v>
      </c>
      <c r="F423" s="127" t="s">
        <v>306</v>
      </c>
      <c r="G423" s="136">
        <v>37.16628</v>
      </c>
      <c r="H423" s="113" t="str">
        <f t="shared" si="19"/>
        <v>OTHER</v>
      </c>
      <c r="I423" s="113" t="str">
        <f>INDEX('REGASSET Lookup'!$I:$I,MATCH('REGASSET Jun22data'!$A423,'REGASSET Lookup'!$A:$A,0))</f>
        <v>CUST</v>
      </c>
      <c r="J423" s="113" t="str">
        <f t="shared" si="20"/>
        <v>NO</v>
      </c>
      <c r="K423"/>
    </row>
    <row r="424" spans="1:11">
      <c r="A424" s="114" t="str">
        <f t="shared" si="18"/>
        <v>1823920DSR COSTS AMORTIZED103761HOME ENERGY EFF INCENTIVE PROG - UT 2014OTHER</v>
      </c>
      <c r="B424" s="126" t="s">
        <v>2231</v>
      </c>
      <c r="C424" s="128" t="s">
        <v>695</v>
      </c>
      <c r="D424" s="126" t="s">
        <v>2575</v>
      </c>
      <c r="E424" s="128" t="s">
        <v>1033</v>
      </c>
      <c r="F424" s="127" t="s">
        <v>306</v>
      </c>
      <c r="G424" s="136">
        <v>24908.45808</v>
      </c>
      <c r="H424" s="113" t="str">
        <f t="shared" si="19"/>
        <v>OTHER</v>
      </c>
      <c r="I424" s="113" t="str">
        <f>INDEX('REGASSET Lookup'!$I:$I,MATCH('REGASSET Jun22data'!$A424,'REGASSET Lookup'!$A:$A,0))</f>
        <v>CUST</v>
      </c>
      <c r="J424" s="113" t="str">
        <f t="shared" si="20"/>
        <v>NO</v>
      </c>
      <c r="K424"/>
    </row>
    <row r="425" spans="1:11">
      <c r="A425" s="114" t="str">
        <f t="shared" si="18"/>
        <v>1823920DSR COSTS AMORTIZED103762HOME ENERGY REPORTING - UT 2014OTHER</v>
      </c>
      <c r="B425" s="126" t="s">
        <v>2231</v>
      </c>
      <c r="C425" s="128" t="s">
        <v>695</v>
      </c>
      <c r="D425" s="126" t="s">
        <v>2576</v>
      </c>
      <c r="E425" s="128" t="s">
        <v>1034</v>
      </c>
      <c r="F425" s="127" t="s">
        <v>306</v>
      </c>
      <c r="G425" s="136">
        <v>1630.2454700000001</v>
      </c>
      <c r="H425" s="113" t="str">
        <f t="shared" si="19"/>
        <v>OTHER</v>
      </c>
      <c r="I425" s="113" t="str">
        <f>INDEX('REGASSET Lookup'!$I:$I,MATCH('REGASSET Jun22data'!$A425,'REGASSET Lookup'!$A:$A,0))</f>
        <v>CUST</v>
      </c>
      <c r="J425" s="113" t="str">
        <f t="shared" si="20"/>
        <v>NO</v>
      </c>
      <c r="K425"/>
    </row>
    <row r="426" spans="1:11">
      <c r="A426" s="114" t="str">
        <f t="shared" si="18"/>
        <v>1823920DSR COSTS AMORTIZED103763INDUSTRIAL FINANSWER - UTAH - 2014OTHER</v>
      </c>
      <c r="B426" s="126" t="s">
        <v>2231</v>
      </c>
      <c r="C426" s="128" t="s">
        <v>695</v>
      </c>
      <c r="D426" s="126" t="s">
        <v>2577</v>
      </c>
      <c r="E426" s="128" t="s">
        <v>1035</v>
      </c>
      <c r="F426" s="127" t="s">
        <v>306</v>
      </c>
      <c r="G426" s="136">
        <v>59.767749999999999</v>
      </c>
      <c r="H426" s="113" t="str">
        <f t="shared" si="19"/>
        <v>OTHER</v>
      </c>
      <c r="I426" s="113" t="str">
        <f>INDEX('REGASSET Lookup'!$I:$I,MATCH('REGASSET Jun22data'!$A426,'REGASSET Lookup'!$A:$A,0))</f>
        <v>CUST</v>
      </c>
      <c r="J426" s="113" t="str">
        <f t="shared" si="20"/>
        <v>NO</v>
      </c>
      <c r="K426"/>
    </row>
    <row r="427" spans="1:11">
      <c r="A427" s="114" t="str">
        <f t="shared" si="18"/>
        <v>1823920DSR COSTS AMORTIZED103764INDUSTRIAL FINANSWER EXPRESS - UTAH - 20OTHER</v>
      </c>
      <c r="B427" s="126" t="s">
        <v>2231</v>
      </c>
      <c r="C427" s="128" t="s">
        <v>695</v>
      </c>
      <c r="D427" s="126" t="s">
        <v>2578</v>
      </c>
      <c r="E427" s="128" t="s">
        <v>761</v>
      </c>
      <c r="F427" s="127" t="s">
        <v>306</v>
      </c>
      <c r="G427" s="136">
        <v>144.06113999999999</v>
      </c>
      <c r="H427" s="113" t="str">
        <f t="shared" si="19"/>
        <v>OTHER</v>
      </c>
      <c r="I427" s="113" t="str">
        <f>INDEX('REGASSET Lookup'!$I:$I,MATCH('REGASSET Jun22data'!$A427,'REGASSET Lookup'!$A:$A,0))</f>
        <v>CUST</v>
      </c>
      <c r="J427" s="113" t="str">
        <f t="shared" si="20"/>
        <v>NO</v>
      </c>
      <c r="K427"/>
    </row>
    <row r="428" spans="1:11">
      <c r="A428" s="114" t="str">
        <f t="shared" si="18"/>
        <v>1823920DSR COSTS AMORTIZED103765IRRIGATION LOAD CONTROL  - UTAH - 2014OTHER</v>
      </c>
      <c r="B428" s="126" t="s">
        <v>2231</v>
      </c>
      <c r="C428" s="128" t="s">
        <v>695</v>
      </c>
      <c r="D428" s="126" t="s">
        <v>2579</v>
      </c>
      <c r="E428" s="128" t="s">
        <v>1036</v>
      </c>
      <c r="F428" s="127" t="s">
        <v>306</v>
      </c>
      <c r="G428" s="136">
        <v>596.81268</v>
      </c>
      <c r="H428" s="113" t="str">
        <f t="shared" si="19"/>
        <v>OTHER</v>
      </c>
      <c r="I428" s="113" t="str">
        <f>INDEX('REGASSET Lookup'!$I:$I,MATCH('REGASSET Jun22data'!$A428,'REGASSET Lookup'!$A:$A,0))</f>
        <v>CUST</v>
      </c>
      <c r="J428" s="113" t="str">
        <f t="shared" si="20"/>
        <v>NO</v>
      </c>
      <c r="K428"/>
    </row>
    <row r="429" spans="1:11">
      <c r="A429" s="114" t="str">
        <f t="shared" si="18"/>
        <v>1823920DSR COSTS AMORTIZED103766LOW INCOME - UTAH - 2014OTHER</v>
      </c>
      <c r="B429" s="126" t="s">
        <v>2231</v>
      </c>
      <c r="C429" s="128" t="s">
        <v>695</v>
      </c>
      <c r="D429" s="126" t="s">
        <v>2580</v>
      </c>
      <c r="E429" s="128" t="s">
        <v>1037</v>
      </c>
      <c r="F429" s="127" t="s">
        <v>306</v>
      </c>
      <c r="G429" s="136">
        <v>170.1138</v>
      </c>
      <c r="H429" s="113" t="str">
        <f t="shared" si="19"/>
        <v>OTHER</v>
      </c>
      <c r="I429" s="113" t="str">
        <f>INDEX('REGASSET Lookup'!$I:$I,MATCH('REGASSET Jun22data'!$A429,'REGASSET Lookup'!$A:$A,0))</f>
        <v>CUST</v>
      </c>
      <c r="J429" s="113" t="str">
        <f t="shared" si="20"/>
        <v>NO</v>
      </c>
      <c r="K429"/>
    </row>
    <row r="430" spans="1:11">
      <c r="A430" s="114" t="str">
        <f t="shared" si="18"/>
        <v>1823920DSR COSTS AMORTIZED103767OUTREACH and COMMUNICATIONS - UT 2014OTHER</v>
      </c>
      <c r="B430" s="126" t="s">
        <v>2231</v>
      </c>
      <c r="C430" s="128" t="s">
        <v>695</v>
      </c>
      <c r="D430" s="126" t="s">
        <v>2581</v>
      </c>
      <c r="E430" s="128" t="s">
        <v>1038</v>
      </c>
      <c r="F430" s="127" t="s">
        <v>306</v>
      </c>
      <c r="G430" s="136">
        <v>1585.1090300000001</v>
      </c>
      <c r="H430" s="113" t="str">
        <f t="shared" si="19"/>
        <v>OTHER</v>
      </c>
      <c r="I430" s="113" t="str">
        <f>INDEX('REGASSET Lookup'!$I:$I,MATCH('REGASSET Jun22data'!$A430,'REGASSET Lookup'!$A:$A,0))</f>
        <v>CUST</v>
      </c>
      <c r="J430" s="113" t="str">
        <f t="shared" si="20"/>
        <v>NO</v>
      </c>
      <c r="K430"/>
    </row>
    <row r="431" spans="1:11">
      <c r="A431" s="114" t="str">
        <f t="shared" si="18"/>
        <v>1823920DSR COSTS AMORTIZED103768PORTFOLIO - UTAH 2014OTHER</v>
      </c>
      <c r="B431" s="126" t="s">
        <v>2231</v>
      </c>
      <c r="C431" s="128" t="s">
        <v>695</v>
      </c>
      <c r="D431" s="126" t="s">
        <v>2582</v>
      </c>
      <c r="E431" s="128" t="s">
        <v>1039</v>
      </c>
      <c r="F431" s="127" t="s">
        <v>306</v>
      </c>
      <c r="G431" s="136">
        <v>241.77144999999999</v>
      </c>
      <c r="H431" s="113" t="str">
        <f t="shared" si="19"/>
        <v>OTHER</v>
      </c>
      <c r="I431" s="113" t="str">
        <f>INDEX('REGASSET Lookup'!$I:$I,MATCH('REGASSET Jun22data'!$A431,'REGASSET Lookup'!$A:$A,0))</f>
        <v>CUST</v>
      </c>
      <c r="J431" s="113" t="str">
        <f t="shared" si="20"/>
        <v>NO</v>
      </c>
      <c r="K431"/>
    </row>
    <row r="432" spans="1:11">
      <c r="A432" s="114" t="str">
        <f t="shared" si="18"/>
        <v>1823920DSR COSTS AMORTIZED103769REFRIGERATOR RECYCLING PGM- UTAH - 2014OTHER</v>
      </c>
      <c r="B432" s="126" t="s">
        <v>2231</v>
      </c>
      <c r="C432" s="128" t="s">
        <v>695</v>
      </c>
      <c r="D432" s="126" t="s">
        <v>2583</v>
      </c>
      <c r="E432" s="128" t="s">
        <v>1040</v>
      </c>
      <c r="F432" s="127" t="s">
        <v>306</v>
      </c>
      <c r="G432" s="136">
        <v>1761.77487</v>
      </c>
      <c r="H432" s="113" t="str">
        <f t="shared" si="19"/>
        <v>OTHER</v>
      </c>
      <c r="I432" s="113" t="str">
        <f>INDEX('REGASSET Lookup'!$I:$I,MATCH('REGASSET Jun22data'!$A432,'REGASSET Lookup'!$A:$A,0))</f>
        <v>CUST</v>
      </c>
      <c r="J432" s="113" t="str">
        <f t="shared" si="20"/>
        <v>NO</v>
      </c>
      <c r="K432"/>
    </row>
    <row r="433" spans="1:11">
      <c r="A433" s="114" t="str">
        <f t="shared" si="18"/>
        <v>1823920DSR COSTS AMORTIZED103770RESIDENTIAL NEW CONSTRUCTION - UTAH - 20OTHER</v>
      </c>
      <c r="B433" s="126" t="s">
        <v>2231</v>
      </c>
      <c r="C433" s="128" t="s">
        <v>695</v>
      </c>
      <c r="D433" s="126" t="s">
        <v>2584</v>
      </c>
      <c r="E433" s="128" t="s">
        <v>757</v>
      </c>
      <c r="F433" s="127" t="s">
        <v>306</v>
      </c>
      <c r="G433" s="136">
        <v>1202.90924</v>
      </c>
      <c r="H433" s="113" t="str">
        <f t="shared" si="19"/>
        <v>OTHER</v>
      </c>
      <c r="I433" s="113" t="str">
        <f>INDEX('REGASSET Lookup'!$I:$I,MATCH('REGASSET Jun22data'!$A433,'REGASSET Lookup'!$A:$A,0))</f>
        <v>CUST</v>
      </c>
      <c r="J433" s="113" t="str">
        <f t="shared" si="20"/>
        <v>NO</v>
      </c>
      <c r="K433"/>
    </row>
    <row r="434" spans="1:11">
      <c r="A434" s="114" t="str">
        <f t="shared" si="18"/>
        <v>1823920DSR COSTS AMORTIZED103771RETROFIT COMMISSIONING PROGRAM  - UTAH -OTHER</v>
      </c>
      <c r="B434" s="126" t="s">
        <v>2231</v>
      </c>
      <c r="C434" s="128" t="s">
        <v>695</v>
      </c>
      <c r="D434" s="126" t="s">
        <v>2585</v>
      </c>
      <c r="E434" s="128" t="s">
        <v>782</v>
      </c>
      <c r="F434" s="127" t="s">
        <v>306</v>
      </c>
      <c r="G434" s="136">
        <v>1.0694999999999999</v>
      </c>
      <c r="H434" s="113" t="str">
        <f t="shared" si="19"/>
        <v>OTHER</v>
      </c>
      <c r="I434" s="113" t="str">
        <f>INDEX('REGASSET Lookup'!$I:$I,MATCH('REGASSET Jun22data'!$A434,'REGASSET Lookup'!$A:$A,0))</f>
        <v>CUST</v>
      </c>
      <c r="J434" s="113" t="str">
        <f t="shared" si="20"/>
        <v>NO</v>
      </c>
      <c r="K434"/>
    </row>
    <row r="435" spans="1:11">
      <c r="A435" s="114" t="str">
        <f t="shared" si="18"/>
        <v>1823920DSR COSTS AMORTIZED103772COMMERCIAL SELF-DIRECT - UTAH - 2014OTHER</v>
      </c>
      <c r="B435" s="126" t="s">
        <v>2231</v>
      </c>
      <c r="C435" s="128" t="s">
        <v>695</v>
      </c>
      <c r="D435" s="126" t="s">
        <v>2586</v>
      </c>
      <c r="E435" s="128" t="s">
        <v>1041</v>
      </c>
      <c r="F435" s="127" t="s">
        <v>306</v>
      </c>
      <c r="G435" s="136">
        <v>29.320430000000002</v>
      </c>
      <c r="H435" s="113" t="str">
        <f t="shared" si="19"/>
        <v>OTHER</v>
      </c>
      <c r="I435" s="113" t="str">
        <f>INDEX('REGASSET Lookup'!$I:$I,MATCH('REGASSET Jun22data'!$A435,'REGASSET Lookup'!$A:$A,0))</f>
        <v>CUST</v>
      </c>
      <c r="J435" s="113" t="str">
        <f t="shared" si="20"/>
        <v>NO</v>
      </c>
      <c r="K435"/>
    </row>
    <row r="436" spans="1:11">
      <c r="A436" s="114" t="str">
        <f t="shared" si="18"/>
        <v>1823920DSR COSTS AMORTIZED103773INDUSTRIAL SELF-DIRECT - UTAH - 2014OTHER</v>
      </c>
      <c r="B436" s="126" t="s">
        <v>2231</v>
      </c>
      <c r="C436" s="128" t="s">
        <v>695</v>
      </c>
      <c r="D436" s="126" t="s">
        <v>2587</v>
      </c>
      <c r="E436" s="128" t="s">
        <v>1042</v>
      </c>
      <c r="F436" s="127" t="s">
        <v>306</v>
      </c>
      <c r="G436" s="136">
        <v>52.930729999999997</v>
      </c>
      <c r="H436" s="113" t="str">
        <f t="shared" si="19"/>
        <v>OTHER</v>
      </c>
      <c r="I436" s="113" t="str">
        <f>INDEX('REGASSET Lookup'!$I:$I,MATCH('REGASSET Jun22data'!$A436,'REGASSET Lookup'!$A:$A,0))</f>
        <v>CUST</v>
      </c>
      <c r="J436" s="113" t="str">
        <f t="shared" si="20"/>
        <v>NO</v>
      </c>
      <c r="K436"/>
    </row>
    <row r="437" spans="1:11">
      <c r="A437" s="114" t="str">
        <f t="shared" si="18"/>
        <v>1823920DSR COSTS AMORTIZED103774COMMERCIAL (WSB) WATTSMART BUS - UT- 201OTHER</v>
      </c>
      <c r="B437" s="126" t="s">
        <v>2231</v>
      </c>
      <c r="C437" s="128" t="s">
        <v>695</v>
      </c>
      <c r="D437" s="126" t="s">
        <v>2588</v>
      </c>
      <c r="E437" s="128" t="s">
        <v>1043</v>
      </c>
      <c r="F437" s="127" t="s">
        <v>306</v>
      </c>
      <c r="G437" s="136">
        <v>12238.989089999999</v>
      </c>
      <c r="H437" s="113" t="str">
        <f t="shared" si="19"/>
        <v>OTHER</v>
      </c>
      <c r="I437" s="113" t="str">
        <f>INDEX('REGASSET Lookup'!$I:$I,MATCH('REGASSET Jun22data'!$A437,'REGASSET Lookup'!$A:$A,0))</f>
        <v>CUST</v>
      </c>
      <c r="J437" s="113" t="str">
        <f t="shared" si="20"/>
        <v>NO</v>
      </c>
      <c r="K437"/>
    </row>
    <row r="438" spans="1:11">
      <c r="A438" s="114" t="str">
        <f t="shared" si="18"/>
        <v>1823920DSR COSTS AMORTIZED103775INDUSTRIAL (WSB) WATTSMART BUS- UT- 2014OTHER</v>
      </c>
      <c r="B438" s="126" t="s">
        <v>2231</v>
      </c>
      <c r="C438" s="128" t="s">
        <v>695</v>
      </c>
      <c r="D438" s="126" t="s">
        <v>2589</v>
      </c>
      <c r="E438" s="128" t="s">
        <v>1044</v>
      </c>
      <c r="F438" s="127" t="s">
        <v>306</v>
      </c>
      <c r="G438" s="136">
        <v>6640.0237100000004</v>
      </c>
      <c r="H438" s="113" t="str">
        <f t="shared" si="19"/>
        <v>OTHER</v>
      </c>
      <c r="I438" s="113" t="str">
        <f>INDEX('REGASSET Lookup'!$I:$I,MATCH('REGASSET Jun22data'!$A438,'REGASSET Lookup'!$A:$A,0))</f>
        <v>CUST</v>
      </c>
      <c r="J438" s="113" t="str">
        <f t="shared" si="20"/>
        <v>NO</v>
      </c>
      <c r="K438"/>
    </row>
    <row r="439" spans="1:11">
      <c r="A439" s="114" t="str">
        <f t="shared" si="18"/>
        <v>1823920DSR COSTS AMORTIZED103776WSB - WATTSMART BUS- UT- 2014OTHER</v>
      </c>
      <c r="B439" s="126" t="s">
        <v>2231</v>
      </c>
      <c r="C439" s="128" t="s">
        <v>695</v>
      </c>
      <c r="D439" s="126" t="s">
        <v>2590</v>
      </c>
      <c r="E439" s="128" t="s">
        <v>1045</v>
      </c>
      <c r="F439" s="127" t="s">
        <v>306</v>
      </c>
      <c r="G439" s="136">
        <v>3635.5106099999998</v>
      </c>
      <c r="H439" s="113" t="str">
        <f t="shared" si="19"/>
        <v>OTHER</v>
      </c>
      <c r="I439" s="113" t="str">
        <f>INDEX('REGASSET Lookup'!$I:$I,MATCH('REGASSET Jun22data'!$A439,'REGASSET Lookup'!$A:$A,0))</f>
        <v>CUST</v>
      </c>
      <c r="J439" s="113" t="str">
        <f t="shared" si="20"/>
        <v>NO</v>
      </c>
      <c r="K439"/>
    </row>
    <row r="440" spans="1:11">
      <c r="A440" s="114" t="str">
        <f t="shared" si="18"/>
        <v>1823920DSR COSTS AMORTIZED103777AGRICULTURAL (WSB) WATTSMART BUS- UT- 20OTHER</v>
      </c>
      <c r="B440" s="126" t="s">
        <v>2231</v>
      </c>
      <c r="C440" s="128" t="s">
        <v>695</v>
      </c>
      <c r="D440" s="126" t="s">
        <v>2591</v>
      </c>
      <c r="E440" s="128" t="s">
        <v>1046</v>
      </c>
      <c r="F440" s="127" t="s">
        <v>306</v>
      </c>
      <c r="G440" s="136">
        <v>161.43752000000001</v>
      </c>
      <c r="H440" s="113" t="str">
        <f t="shared" si="19"/>
        <v>OTHER</v>
      </c>
      <c r="I440" s="113" t="str">
        <f>INDEX('REGASSET Lookup'!$I:$I,MATCH('REGASSET Jun22data'!$A440,'REGASSET Lookup'!$A:$A,0))</f>
        <v>CUST</v>
      </c>
      <c r="J440" s="113" t="str">
        <f t="shared" si="20"/>
        <v>NO</v>
      </c>
      <c r="K440"/>
    </row>
    <row r="441" spans="1:11">
      <c r="A441" s="114" t="str">
        <f t="shared" si="18"/>
        <v>1823920DSR COSTS AMORTIZED103778U.of Utah Student Energy Sponsorship- UTOTHER</v>
      </c>
      <c r="B441" s="126" t="s">
        <v>2231</v>
      </c>
      <c r="C441" s="128" t="s">
        <v>695</v>
      </c>
      <c r="D441" s="126" t="s">
        <v>2592</v>
      </c>
      <c r="E441" s="128" t="s">
        <v>985</v>
      </c>
      <c r="F441" s="127" t="s">
        <v>306</v>
      </c>
      <c r="G441" s="136">
        <v>5.2847600000000003</v>
      </c>
      <c r="H441" s="113" t="str">
        <f t="shared" si="19"/>
        <v>OTHER</v>
      </c>
      <c r="I441" s="113" t="str">
        <f>INDEX('REGASSET Lookup'!$I:$I,MATCH('REGASSET Jun22data'!$A441,'REGASSET Lookup'!$A:$A,0))</f>
        <v>CUST</v>
      </c>
      <c r="J441" s="113" t="str">
        <f t="shared" si="20"/>
        <v>NO</v>
      </c>
      <c r="K441"/>
    </row>
    <row r="442" spans="1:11">
      <c r="A442" s="114" t="str">
        <f t="shared" si="18"/>
        <v>1823920DSR COSTS AMORTIZED103779AGRICULURAL FINANSWER EXP WY-2014 CAT2OTHER</v>
      </c>
      <c r="B442" s="126" t="s">
        <v>2231</v>
      </c>
      <c r="C442" s="128" t="s">
        <v>695</v>
      </c>
      <c r="D442" s="126" t="s">
        <v>2593</v>
      </c>
      <c r="E442" s="128" t="s">
        <v>1047</v>
      </c>
      <c r="F442" s="127" t="s">
        <v>306</v>
      </c>
      <c r="G442" s="136">
        <v>4.2154299999999996</v>
      </c>
      <c r="H442" s="113" t="str">
        <f t="shared" si="19"/>
        <v>OTHER</v>
      </c>
      <c r="I442" s="113" t="str">
        <f>INDEX('REGASSET Lookup'!$I:$I,MATCH('REGASSET Jun22data'!$A442,'REGASSET Lookup'!$A:$A,0))</f>
        <v>CUST</v>
      </c>
      <c r="J442" s="113" t="str">
        <f t="shared" si="20"/>
        <v>NO</v>
      </c>
      <c r="K442"/>
    </row>
    <row r="443" spans="1:11">
      <c r="A443" s="114" t="str">
        <f t="shared" si="18"/>
        <v>1823920DSR COSTS AMORTIZED103780AGRICULURAL FINANSWER EXP WY-2014 CAT3OTHER</v>
      </c>
      <c r="B443" s="126" t="s">
        <v>2231</v>
      </c>
      <c r="C443" s="128" t="s">
        <v>695</v>
      </c>
      <c r="D443" s="126" t="s">
        <v>2594</v>
      </c>
      <c r="E443" s="128" t="s">
        <v>1048</v>
      </c>
      <c r="F443" s="127" t="s">
        <v>306</v>
      </c>
      <c r="G443" s="136">
        <v>0.13313</v>
      </c>
      <c r="H443" s="113" t="str">
        <f t="shared" si="19"/>
        <v>OTHER</v>
      </c>
      <c r="I443" s="113" t="str">
        <f>INDEX('REGASSET Lookup'!$I:$I,MATCH('REGASSET Jun22data'!$A443,'REGASSET Lookup'!$A:$A,0))</f>
        <v>CUST</v>
      </c>
      <c r="J443" s="113" t="str">
        <f t="shared" si="20"/>
        <v>NO</v>
      </c>
      <c r="K443"/>
    </row>
    <row r="444" spans="1:11">
      <c r="A444" s="114" t="str">
        <f t="shared" si="18"/>
        <v>1823920DSR COSTS AMORTIZED103781COMMERCIAL FINANSWER EXP- WY-2014 CAT2OTHER</v>
      </c>
      <c r="B444" s="126" t="s">
        <v>2231</v>
      </c>
      <c r="C444" s="128" t="s">
        <v>695</v>
      </c>
      <c r="D444" s="126" t="s">
        <v>2595</v>
      </c>
      <c r="E444" s="128" t="s">
        <v>1049</v>
      </c>
      <c r="F444" s="127" t="s">
        <v>306</v>
      </c>
      <c r="G444" s="136">
        <v>1177.82871</v>
      </c>
      <c r="H444" s="113" t="str">
        <f t="shared" si="19"/>
        <v>OTHER</v>
      </c>
      <c r="I444" s="113" t="str">
        <f>INDEX('REGASSET Lookup'!$I:$I,MATCH('REGASSET Jun22data'!$A444,'REGASSET Lookup'!$A:$A,0))</f>
        <v>CUST</v>
      </c>
      <c r="J444" s="113" t="str">
        <f t="shared" si="20"/>
        <v>NO</v>
      </c>
      <c r="K444"/>
    </row>
    <row r="445" spans="1:11">
      <c r="A445" s="114" t="str">
        <f t="shared" si="18"/>
        <v>1823920DSR COSTS AMORTIZED103782COMMERCIAL FINANSWER EXP WY-2014 CAT3OTHER</v>
      </c>
      <c r="B445" s="126" t="s">
        <v>2231</v>
      </c>
      <c r="C445" s="128" t="s">
        <v>695</v>
      </c>
      <c r="D445" s="126" t="s">
        <v>2596</v>
      </c>
      <c r="E445" s="128" t="s">
        <v>1050</v>
      </c>
      <c r="F445" s="127" t="s">
        <v>306</v>
      </c>
      <c r="G445" s="136">
        <v>255.17862</v>
      </c>
      <c r="H445" s="113" t="str">
        <f t="shared" si="19"/>
        <v>OTHER</v>
      </c>
      <c r="I445" s="113" t="str">
        <f>INDEX('REGASSET Lookup'!$I:$I,MATCH('REGASSET Jun22data'!$A445,'REGASSET Lookup'!$A:$A,0))</f>
        <v>CUST</v>
      </c>
      <c r="J445" s="113" t="str">
        <f t="shared" si="20"/>
        <v>NO</v>
      </c>
      <c r="K445"/>
    </row>
    <row r="446" spans="1:11">
      <c r="A446" s="114" t="str">
        <f t="shared" si="18"/>
        <v>1823920DSR COSTS AMORTIZED103783ENERGY FINANSWER -WY 2014 CAT2OTHER</v>
      </c>
      <c r="B446" s="126" t="s">
        <v>2231</v>
      </c>
      <c r="C446" s="128" t="s">
        <v>695</v>
      </c>
      <c r="D446" s="126" t="s">
        <v>2597</v>
      </c>
      <c r="E446" s="128" t="s">
        <v>1051</v>
      </c>
      <c r="F446" s="127" t="s">
        <v>306</v>
      </c>
      <c r="G446" s="136">
        <v>31.76061</v>
      </c>
      <c r="H446" s="113" t="str">
        <f t="shared" si="19"/>
        <v>OTHER</v>
      </c>
      <c r="I446" s="113" t="str">
        <f>INDEX('REGASSET Lookup'!$I:$I,MATCH('REGASSET Jun22data'!$A446,'REGASSET Lookup'!$A:$A,0))</f>
        <v>CUST</v>
      </c>
      <c r="J446" s="113" t="str">
        <f t="shared" si="20"/>
        <v>NO</v>
      </c>
      <c r="K446"/>
    </row>
    <row r="447" spans="1:11">
      <c r="A447" s="114" t="str">
        <f t="shared" si="18"/>
        <v>1823920DSR COSTS AMORTIZED103784ENERGY FINANSWER-WY-2014 CAT3OTHER</v>
      </c>
      <c r="B447" s="126" t="s">
        <v>2231</v>
      </c>
      <c r="C447" s="128" t="s">
        <v>695</v>
      </c>
      <c r="D447" s="126" t="s">
        <v>2598</v>
      </c>
      <c r="E447" s="128" t="s">
        <v>1052</v>
      </c>
      <c r="F447" s="127" t="s">
        <v>306</v>
      </c>
      <c r="G447" s="136">
        <v>71.310919999999996</v>
      </c>
      <c r="H447" s="113" t="str">
        <f t="shared" si="19"/>
        <v>OTHER</v>
      </c>
      <c r="I447" s="113" t="str">
        <f>INDEX('REGASSET Lookup'!$I:$I,MATCH('REGASSET Jun22data'!$A447,'REGASSET Lookup'!$A:$A,0))</f>
        <v>CUST</v>
      </c>
      <c r="J447" s="113" t="str">
        <f t="shared" si="20"/>
        <v>NO</v>
      </c>
      <c r="K447"/>
    </row>
    <row r="448" spans="1:11">
      <c r="A448" s="114" t="str">
        <f t="shared" si="18"/>
        <v>1823920DSR COSTS AMORTIZED103785HOME ENERGY EFF INCENT PROG Y-2014 CAT1OTHER</v>
      </c>
      <c r="B448" s="126" t="s">
        <v>2231</v>
      </c>
      <c r="C448" s="128" t="s">
        <v>695</v>
      </c>
      <c r="D448" s="126" t="s">
        <v>2599</v>
      </c>
      <c r="E448" s="128" t="s">
        <v>1053</v>
      </c>
      <c r="F448" s="127" t="s">
        <v>306</v>
      </c>
      <c r="G448" s="136">
        <v>1183.1683</v>
      </c>
      <c r="H448" s="113" t="str">
        <f t="shared" si="19"/>
        <v>OTHER</v>
      </c>
      <c r="I448" s="113" t="str">
        <f>INDEX('REGASSET Lookup'!$I:$I,MATCH('REGASSET Jun22data'!$A448,'REGASSET Lookup'!$A:$A,0))</f>
        <v>CUST</v>
      </c>
      <c r="J448" s="113" t="str">
        <f t="shared" si="20"/>
        <v>NO</v>
      </c>
      <c r="K448"/>
    </row>
    <row r="449" spans="1:11">
      <c r="A449" s="114" t="str">
        <f t="shared" si="18"/>
        <v>1823920DSR COSTS AMORTIZED103786INDUSTRIAL FINANSWER -WY 2014 CAT2OTHER</v>
      </c>
      <c r="B449" s="126" t="s">
        <v>2231</v>
      </c>
      <c r="C449" s="128" t="s">
        <v>695</v>
      </c>
      <c r="D449" s="126" t="s">
        <v>2600</v>
      </c>
      <c r="E449" s="128" t="s">
        <v>1054</v>
      </c>
      <c r="F449" s="127" t="s">
        <v>306</v>
      </c>
      <c r="G449" s="136">
        <v>95.02319</v>
      </c>
      <c r="H449" s="113" t="str">
        <f t="shared" si="19"/>
        <v>OTHER</v>
      </c>
      <c r="I449" s="113" t="str">
        <f>INDEX('REGASSET Lookup'!$I:$I,MATCH('REGASSET Jun22data'!$A449,'REGASSET Lookup'!$A:$A,0))</f>
        <v>CUST</v>
      </c>
      <c r="J449" s="113" t="str">
        <f t="shared" si="20"/>
        <v>NO</v>
      </c>
      <c r="K449"/>
    </row>
    <row r="450" spans="1:11">
      <c r="A450" s="114" t="str">
        <f t="shared" si="18"/>
        <v>1823920DSR COSTS AMORTIZED103787INDUSTRIAL FINANSWER-WY-2014 CAT3OTHER</v>
      </c>
      <c r="B450" s="126" t="s">
        <v>2231</v>
      </c>
      <c r="C450" s="128" t="s">
        <v>695</v>
      </c>
      <c r="D450" s="126" t="s">
        <v>2601</v>
      </c>
      <c r="E450" s="128" t="s">
        <v>1055</v>
      </c>
      <c r="F450" s="127" t="s">
        <v>306</v>
      </c>
      <c r="G450" s="136">
        <v>356.13992000000002</v>
      </c>
      <c r="H450" s="113" t="str">
        <f t="shared" si="19"/>
        <v>OTHER</v>
      </c>
      <c r="I450" s="113" t="str">
        <f>INDEX('REGASSET Lookup'!$I:$I,MATCH('REGASSET Jun22data'!$A450,'REGASSET Lookup'!$A:$A,0))</f>
        <v>CUST</v>
      </c>
      <c r="J450" s="113" t="str">
        <f t="shared" si="20"/>
        <v>NO</v>
      </c>
      <c r="K450"/>
    </row>
    <row r="451" spans="1:11">
      <c r="A451" s="114" t="str">
        <f t="shared" ref="A451:A514" si="21">CONCATENATE($B451,$C451,$D451,$E451,$H451)</f>
        <v>1823920DSR COSTS AMORTIZED103788INDUSTRIAL FINAN EXPRESS WY-2014 CAT2OTHER</v>
      </c>
      <c r="B451" s="126" t="s">
        <v>2231</v>
      </c>
      <c r="C451" s="128" t="s">
        <v>695</v>
      </c>
      <c r="D451" s="126" t="s">
        <v>2602</v>
      </c>
      <c r="E451" s="128" t="s">
        <v>1056</v>
      </c>
      <c r="F451" s="127" t="s">
        <v>306</v>
      </c>
      <c r="G451" s="136">
        <v>136.21788000000001</v>
      </c>
      <c r="H451" s="113" t="str">
        <f t="shared" ref="H451:H514" si="22">IF(OR(F451="IDU",F451="OR",F451="UT",F451="WYU",F451="WYP",F451="CA",F451="WA"),"SITUS",IF(OR(F451="CAEE",F451="JBE"),"SE",IF(OR(F451="CAGE",F451="CAGW",F451="JBG"),"SG",F451)))</f>
        <v>OTHER</v>
      </c>
      <c r="I451" s="113" t="str">
        <f>INDEX('REGASSET Lookup'!$I:$I,MATCH('REGASSET Jun22data'!$A451,'REGASSET Lookup'!$A:$A,0))</f>
        <v>CUST</v>
      </c>
      <c r="J451" s="113" t="str">
        <f t="shared" ref="J451:J514" si="23">IF(G451=0,"NO",IF(ISNA($I451),"YES",IF(_xlfn.ISFORMULA($I451),"NO","YES")))</f>
        <v>NO</v>
      </c>
      <c r="K451"/>
    </row>
    <row r="452" spans="1:11">
      <c r="A452" s="114" t="str">
        <f t="shared" si="21"/>
        <v>1823920DSR COSTS AMORTIZED103789INDUSTRIAL FINANSWER EXP WY-2014 CAT3OTHER</v>
      </c>
      <c r="B452" s="126" t="s">
        <v>2231</v>
      </c>
      <c r="C452" s="128" t="s">
        <v>695</v>
      </c>
      <c r="D452" s="126" t="s">
        <v>2603</v>
      </c>
      <c r="E452" s="128" t="s">
        <v>1057</v>
      </c>
      <c r="F452" s="127" t="s">
        <v>306</v>
      </c>
      <c r="G452" s="136">
        <v>202.89221000000001</v>
      </c>
      <c r="H452" s="113" t="str">
        <f t="shared" si="22"/>
        <v>OTHER</v>
      </c>
      <c r="I452" s="113" t="str">
        <f>INDEX('REGASSET Lookup'!$I:$I,MATCH('REGASSET Jun22data'!$A452,'REGASSET Lookup'!$A:$A,0))</f>
        <v>CUST</v>
      </c>
      <c r="J452" s="113" t="str">
        <f t="shared" si="23"/>
        <v>NO</v>
      </c>
      <c r="K452"/>
    </row>
    <row r="453" spans="1:11">
      <c r="A453" s="114" t="str">
        <f t="shared" si="21"/>
        <v>1823920DSR COSTS AMORTIZED103790LOW-INCOME WEATHERZTN - WY 2014 CAT1OTHER</v>
      </c>
      <c r="B453" s="126" t="s">
        <v>2231</v>
      </c>
      <c r="C453" s="128" t="s">
        <v>695</v>
      </c>
      <c r="D453" s="126" t="s">
        <v>2604</v>
      </c>
      <c r="E453" s="128" t="s">
        <v>1058</v>
      </c>
      <c r="F453" s="127" t="s">
        <v>306</v>
      </c>
      <c r="G453" s="136">
        <v>30.193359999999998</v>
      </c>
      <c r="H453" s="113" t="str">
        <f t="shared" si="22"/>
        <v>OTHER</v>
      </c>
      <c r="I453" s="113" t="str">
        <f>INDEX('REGASSET Lookup'!$I:$I,MATCH('REGASSET Jun22data'!$A453,'REGASSET Lookup'!$A:$A,0))</f>
        <v>CUST</v>
      </c>
      <c r="J453" s="113" t="str">
        <f t="shared" si="23"/>
        <v>NO</v>
      </c>
      <c r="K453"/>
    </row>
    <row r="454" spans="1:11">
      <c r="A454" s="114" t="str">
        <f t="shared" si="21"/>
        <v>1823920DSR COSTS AMORTIZED103791OUTREACH AND COMMUNICATION WATTSMT  WY-2OTHER</v>
      </c>
      <c r="B454" s="126" t="s">
        <v>2231</v>
      </c>
      <c r="C454" s="128" t="s">
        <v>695</v>
      </c>
      <c r="D454" s="126" t="s">
        <v>2605</v>
      </c>
      <c r="E454" s="128" t="s">
        <v>979</v>
      </c>
      <c r="F454" s="127" t="s">
        <v>306</v>
      </c>
      <c r="G454" s="136">
        <v>156.99248</v>
      </c>
      <c r="H454" s="113" t="str">
        <f t="shared" si="22"/>
        <v>OTHER</v>
      </c>
      <c r="I454" s="113" t="str">
        <f>INDEX('REGASSET Lookup'!$I:$I,MATCH('REGASSET Jun22data'!$A454,'REGASSET Lookup'!$A:$A,0))</f>
        <v>CUST</v>
      </c>
      <c r="J454" s="113" t="str">
        <f t="shared" si="23"/>
        <v>NO</v>
      </c>
      <c r="K454"/>
    </row>
    <row r="455" spans="1:11">
      <c r="A455" s="114" t="str">
        <f t="shared" si="21"/>
        <v>1823920DSR COSTS AMORTIZED103792PORTFOLIO WY-2014 CAT1OTHER</v>
      </c>
      <c r="B455" s="126" t="s">
        <v>2231</v>
      </c>
      <c r="C455" s="128" t="s">
        <v>695</v>
      </c>
      <c r="D455" s="126" t="s">
        <v>2606</v>
      </c>
      <c r="E455" s="128" t="s">
        <v>1059</v>
      </c>
      <c r="F455" s="127" t="s">
        <v>306</v>
      </c>
      <c r="G455" s="136">
        <v>62.941569999999999</v>
      </c>
      <c r="H455" s="113" t="str">
        <f t="shared" si="22"/>
        <v>OTHER</v>
      </c>
      <c r="I455" s="113" t="str">
        <f>INDEX('REGASSET Lookup'!$I:$I,MATCH('REGASSET Jun22data'!$A455,'REGASSET Lookup'!$A:$A,0))</f>
        <v>CUST</v>
      </c>
      <c r="J455" s="113" t="str">
        <f t="shared" si="23"/>
        <v>NO</v>
      </c>
      <c r="K455"/>
    </row>
    <row r="456" spans="1:11">
      <c r="A456" s="114" t="str">
        <f t="shared" si="21"/>
        <v>1823920DSR COSTS AMORTIZED103793PORTFOLIO WY-2014 CAT2OTHER</v>
      </c>
      <c r="B456" s="126" t="s">
        <v>2231</v>
      </c>
      <c r="C456" s="128" t="s">
        <v>695</v>
      </c>
      <c r="D456" s="126" t="s">
        <v>2607</v>
      </c>
      <c r="E456" s="128" t="s">
        <v>1060</v>
      </c>
      <c r="F456" s="127" t="s">
        <v>306</v>
      </c>
      <c r="G456" s="136">
        <v>147.18541999999999</v>
      </c>
      <c r="H456" s="113" t="str">
        <f t="shared" si="22"/>
        <v>OTHER</v>
      </c>
      <c r="I456" s="113" t="str">
        <f>INDEX('REGASSET Lookup'!$I:$I,MATCH('REGASSET Jun22data'!$A456,'REGASSET Lookup'!$A:$A,0))</f>
        <v>CUST</v>
      </c>
      <c r="J456" s="113" t="str">
        <f t="shared" si="23"/>
        <v>NO</v>
      </c>
      <c r="K456"/>
    </row>
    <row r="457" spans="1:11">
      <c r="A457" s="114" t="str">
        <f t="shared" si="21"/>
        <v>1823920DSR COSTS AMORTIZED103794PORTFOLIO WY-2014 CAT3OTHER</v>
      </c>
      <c r="B457" s="126" t="s">
        <v>2231</v>
      </c>
      <c r="C457" s="128" t="s">
        <v>695</v>
      </c>
      <c r="D457" s="126" t="s">
        <v>2608</v>
      </c>
      <c r="E457" s="128" t="s">
        <v>1061</v>
      </c>
      <c r="F457" s="127" t="s">
        <v>306</v>
      </c>
      <c r="G457" s="136">
        <v>257.58067999999997</v>
      </c>
      <c r="H457" s="113" t="str">
        <f t="shared" si="22"/>
        <v>OTHER</v>
      </c>
      <c r="I457" s="113" t="str">
        <f>INDEX('REGASSET Lookup'!$I:$I,MATCH('REGASSET Jun22data'!$A457,'REGASSET Lookup'!$A:$A,0))</f>
        <v>CUST</v>
      </c>
      <c r="J457" s="113" t="str">
        <f t="shared" si="23"/>
        <v>NO</v>
      </c>
      <c r="K457"/>
    </row>
    <row r="458" spans="1:11">
      <c r="A458" s="114" t="str">
        <f t="shared" si="21"/>
        <v>1823920DSR COSTS AMORTIZED103795REFRIGERATOR RECYCLING-WY -2014 CAT1OTHER</v>
      </c>
      <c r="B458" s="126" t="s">
        <v>2231</v>
      </c>
      <c r="C458" s="128" t="s">
        <v>695</v>
      </c>
      <c r="D458" s="126" t="s">
        <v>2609</v>
      </c>
      <c r="E458" s="128" t="s">
        <v>1062</v>
      </c>
      <c r="F458" s="127" t="s">
        <v>306</v>
      </c>
      <c r="G458" s="136">
        <v>159.32512</v>
      </c>
      <c r="H458" s="113" t="str">
        <f t="shared" si="22"/>
        <v>OTHER</v>
      </c>
      <c r="I458" s="113" t="str">
        <f>INDEX('REGASSET Lookup'!$I:$I,MATCH('REGASSET Jun22data'!$A458,'REGASSET Lookup'!$A:$A,0))</f>
        <v>CUST</v>
      </c>
      <c r="J458" s="113" t="str">
        <f t="shared" si="23"/>
        <v>NO</v>
      </c>
      <c r="K458"/>
    </row>
    <row r="459" spans="1:11">
      <c r="A459" s="114" t="str">
        <f t="shared" si="21"/>
        <v>1823920DSR COSTS AMORTIZED103796SELF DIRECT - COMMERCIAL WY-2014 CAT2OTHER</v>
      </c>
      <c r="B459" s="126" t="s">
        <v>2231</v>
      </c>
      <c r="C459" s="128" t="s">
        <v>695</v>
      </c>
      <c r="D459" s="126" t="s">
        <v>2610</v>
      </c>
      <c r="E459" s="128" t="s">
        <v>1063</v>
      </c>
      <c r="F459" s="127" t="s">
        <v>306</v>
      </c>
      <c r="G459" s="136">
        <v>1.8237300000000001</v>
      </c>
      <c r="H459" s="113" t="str">
        <f t="shared" si="22"/>
        <v>OTHER</v>
      </c>
      <c r="I459" s="113" t="str">
        <f>INDEX('REGASSET Lookup'!$I:$I,MATCH('REGASSET Jun22data'!$A459,'REGASSET Lookup'!$A:$A,0))</f>
        <v>CUST</v>
      </c>
      <c r="J459" s="113" t="str">
        <f t="shared" si="23"/>
        <v>NO</v>
      </c>
      <c r="K459"/>
    </row>
    <row r="460" spans="1:11">
      <c r="A460" s="114" t="str">
        <f t="shared" si="21"/>
        <v>1823920DSR COSTS AMORTIZED103797SELF DIRECT - COMMERCIAL -WY-2014 CAT3OTHER</v>
      </c>
      <c r="B460" s="126" t="s">
        <v>2231</v>
      </c>
      <c r="C460" s="128" t="s">
        <v>695</v>
      </c>
      <c r="D460" s="126" t="s">
        <v>2611</v>
      </c>
      <c r="E460" s="128" t="s">
        <v>1064</v>
      </c>
      <c r="F460" s="127" t="s">
        <v>306</v>
      </c>
      <c r="G460" s="136">
        <v>1.9025300000000001</v>
      </c>
      <c r="H460" s="113" t="str">
        <f t="shared" si="22"/>
        <v>OTHER</v>
      </c>
      <c r="I460" s="113" t="str">
        <f>INDEX('REGASSET Lookup'!$I:$I,MATCH('REGASSET Jun22data'!$A460,'REGASSET Lookup'!$A:$A,0))</f>
        <v>CUST</v>
      </c>
      <c r="J460" s="113" t="str">
        <f t="shared" si="23"/>
        <v>NO</v>
      </c>
      <c r="K460"/>
    </row>
    <row r="461" spans="1:11">
      <c r="A461" s="114" t="str">
        <f t="shared" si="21"/>
        <v>1823920DSR COSTS AMORTIZED103798SELF DIRECT- INDUSTRIAL WY-2014 CAT2OTHER</v>
      </c>
      <c r="B461" s="126" t="s">
        <v>2231</v>
      </c>
      <c r="C461" s="128" t="s">
        <v>695</v>
      </c>
      <c r="D461" s="126" t="s">
        <v>2612</v>
      </c>
      <c r="E461" s="128" t="s">
        <v>1065</v>
      </c>
      <c r="F461" s="127" t="s">
        <v>306</v>
      </c>
      <c r="G461" s="136">
        <v>2.3199800000000002</v>
      </c>
      <c r="H461" s="113" t="str">
        <f t="shared" si="22"/>
        <v>OTHER</v>
      </c>
      <c r="I461" s="113" t="str">
        <f>INDEX('REGASSET Lookup'!$I:$I,MATCH('REGASSET Jun22data'!$A461,'REGASSET Lookup'!$A:$A,0))</f>
        <v>CUST</v>
      </c>
      <c r="J461" s="113" t="str">
        <f t="shared" si="23"/>
        <v>NO</v>
      </c>
      <c r="K461"/>
    </row>
    <row r="462" spans="1:11">
      <c r="A462" s="114" t="str">
        <f t="shared" si="21"/>
        <v>1823920DSR COSTS AMORTIZED103799SELF DIRECT -INDUSTRIAL -WY-2014 CAT3OTHER</v>
      </c>
      <c r="B462" s="126" t="s">
        <v>2231</v>
      </c>
      <c r="C462" s="128" t="s">
        <v>695</v>
      </c>
      <c r="D462" s="126" t="s">
        <v>2613</v>
      </c>
      <c r="E462" s="128" t="s">
        <v>1066</v>
      </c>
      <c r="F462" s="127" t="s">
        <v>306</v>
      </c>
      <c r="G462" s="136">
        <v>197.86494999999999</v>
      </c>
      <c r="H462" s="113" t="str">
        <f t="shared" si="22"/>
        <v>OTHER</v>
      </c>
      <c r="I462" s="113" t="str">
        <f>INDEX('REGASSET Lookup'!$I:$I,MATCH('REGASSET Jun22data'!$A462,'REGASSET Lookup'!$A:$A,0))</f>
        <v>CUST</v>
      </c>
      <c r="J462" s="113" t="str">
        <f t="shared" si="23"/>
        <v>NO</v>
      </c>
      <c r="K462"/>
    </row>
    <row r="463" spans="1:11">
      <c r="A463" s="114" t="str">
        <f t="shared" si="21"/>
        <v>1823920DSR COSTS AMORTIZED103805WSB - WATTSMART BUSINESS - CA- 2014OTHER</v>
      </c>
      <c r="B463" s="126" t="s">
        <v>2231</v>
      </c>
      <c r="C463" s="128" t="s">
        <v>695</v>
      </c>
      <c r="D463" s="126" t="s">
        <v>3380</v>
      </c>
      <c r="E463" s="128" t="s">
        <v>1067</v>
      </c>
      <c r="F463" s="127" t="s">
        <v>306</v>
      </c>
      <c r="G463" s="136">
        <v>1.0000000000000001E-5</v>
      </c>
      <c r="H463" s="113" t="str">
        <f t="shared" si="22"/>
        <v>OTHER</v>
      </c>
      <c r="I463" s="113" t="str">
        <f>INDEX('REGASSET Lookup'!$I:$I,MATCH('REGASSET Jun22data'!$A463,'REGASSET Lookup'!$A:$A,0))</f>
        <v>CUST</v>
      </c>
      <c r="J463" s="113" t="str">
        <f t="shared" si="23"/>
        <v>NO</v>
      </c>
      <c r="K463"/>
    </row>
    <row r="464" spans="1:11">
      <c r="A464" s="114" t="str">
        <f t="shared" si="21"/>
        <v>1823920DSR COSTS AMORTIZED103808WSB - WATTSMART BUSINESS - ID- 2014OTHER</v>
      </c>
      <c r="B464" s="126" t="s">
        <v>2231</v>
      </c>
      <c r="C464" s="128" t="s">
        <v>695</v>
      </c>
      <c r="D464" s="126" t="s">
        <v>2614</v>
      </c>
      <c r="E464" s="128" t="s">
        <v>1068</v>
      </c>
      <c r="F464" s="127" t="s">
        <v>306</v>
      </c>
      <c r="G464" s="136">
        <v>32.300719999999998</v>
      </c>
      <c r="H464" s="113" t="str">
        <f t="shared" si="22"/>
        <v>OTHER</v>
      </c>
      <c r="I464" s="113" t="str">
        <f>INDEX('REGASSET Lookup'!$I:$I,MATCH('REGASSET Jun22data'!$A464,'REGASSET Lookup'!$A:$A,0))</f>
        <v>CUST</v>
      </c>
      <c r="J464" s="113" t="str">
        <f t="shared" si="23"/>
        <v>NO</v>
      </c>
      <c r="K464"/>
    </row>
    <row r="465" spans="1:11">
      <c r="A465" s="114" t="str">
        <f t="shared" si="21"/>
        <v>1823920DSR COSTS AMORTIZED103809WSB Small Business Comm - ID-2014OTHER</v>
      </c>
      <c r="B465" s="126" t="s">
        <v>2231</v>
      </c>
      <c r="C465" s="128" t="s">
        <v>695</v>
      </c>
      <c r="D465" s="126" t="s">
        <v>2615</v>
      </c>
      <c r="E465" s="128" t="s">
        <v>1069</v>
      </c>
      <c r="F465" s="127" t="s">
        <v>306</v>
      </c>
      <c r="G465" s="136">
        <v>10.866529999999999</v>
      </c>
      <c r="H465" s="113" t="str">
        <f t="shared" si="22"/>
        <v>OTHER</v>
      </c>
      <c r="I465" s="113" t="str">
        <f>INDEX('REGASSET Lookup'!$I:$I,MATCH('REGASSET Jun22data'!$A465,'REGASSET Lookup'!$A:$A,0))</f>
        <v>CUST</v>
      </c>
      <c r="J465" s="113" t="str">
        <f t="shared" si="23"/>
        <v>NO</v>
      </c>
      <c r="K465"/>
    </row>
    <row r="466" spans="1:11">
      <c r="A466" s="114" t="str">
        <f t="shared" si="21"/>
        <v>1823920DSR COSTS AMORTIZED103810WSB Small Business Ind - ID 2014OTHER</v>
      </c>
      <c r="B466" s="126" t="s">
        <v>2231</v>
      </c>
      <c r="C466" s="128" t="s">
        <v>695</v>
      </c>
      <c r="D466" s="126" t="s">
        <v>2616</v>
      </c>
      <c r="E466" s="128" t="s">
        <v>1070</v>
      </c>
      <c r="F466" s="127" t="s">
        <v>306</v>
      </c>
      <c r="G466" s="136">
        <v>8.3825099999999999</v>
      </c>
      <c r="H466" s="113" t="str">
        <f t="shared" si="22"/>
        <v>OTHER</v>
      </c>
      <c r="I466" s="113" t="str">
        <f>INDEX('REGASSET Lookup'!$I:$I,MATCH('REGASSET Jun22data'!$A466,'REGASSET Lookup'!$A:$A,0))</f>
        <v>CUST</v>
      </c>
      <c r="J466" s="113" t="str">
        <f t="shared" si="23"/>
        <v>NO</v>
      </c>
      <c r="K466"/>
    </row>
    <row r="467" spans="1:11">
      <c r="A467" s="114" t="str">
        <f t="shared" si="21"/>
        <v>1823920DSR COSTS AMORTIZED103811WSB - Wattsmart Business - WY Cat 2- 201OTHER</v>
      </c>
      <c r="B467" s="126" t="s">
        <v>2231</v>
      </c>
      <c r="C467" s="128" t="s">
        <v>695</v>
      </c>
      <c r="D467" s="126" t="s">
        <v>2617</v>
      </c>
      <c r="E467" s="128" t="s">
        <v>1071</v>
      </c>
      <c r="F467" s="127" t="s">
        <v>306</v>
      </c>
      <c r="G467" s="136">
        <v>26.243549999999999</v>
      </c>
      <c r="H467" s="113" t="str">
        <f t="shared" si="22"/>
        <v>OTHER</v>
      </c>
      <c r="I467" s="113" t="str">
        <f>INDEX('REGASSET Lookup'!$I:$I,MATCH('REGASSET Jun22data'!$A467,'REGASSET Lookup'!$A:$A,0))</f>
        <v>CUST</v>
      </c>
      <c r="J467" s="113" t="str">
        <f t="shared" si="23"/>
        <v>NO</v>
      </c>
      <c r="K467"/>
    </row>
    <row r="468" spans="1:11">
      <c r="A468" s="114" t="str">
        <f t="shared" si="21"/>
        <v>1823920DSR COSTS AMORTIZED103812WSB - Small Business Comm - WY Cat2 -201OTHER</v>
      </c>
      <c r="B468" s="126" t="s">
        <v>2231</v>
      </c>
      <c r="C468" s="128" t="s">
        <v>695</v>
      </c>
      <c r="D468" s="126" t="s">
        <v>2618</v>
      </c>
      <c r="E468" s="128" t="s">
        <v>1072</v>
      </c>
      <c r="F468" s="127" t="s">
        <v>306</v>
      </c>
      <c r="G468" s="136">
        <v>7.26058</v>
      </c>
      <c r="H468" s="113" t="str">
        <f t="shared" si="22"/>
        <v>OTHER</v>
      </c>
      <c r="I468" s="113" t="str">
        <f>INDEX('REGASSET Lookup'!$I:$I,MATCH('REGASSET Jun22data'!$A468,'REGASSET Lookup'!$A:$A,0))</f>
        <v>CUST</v>
      </c>
      <c r="J468" s="113" t="str">
        <f t="shared" si="23"/>
        <v>NO</v>
      </c>
      <c r="K468"/>
    </row>
    <row r="469" spans="1:11">
      <c r="A469" s="114" t="str">
        <f t="shared" si="21"/>
        <v>1823920DSR COSTS AMORTIZED103813WBS Small Business Ind - WY Cat2-2014OTHER</v>
      </c>
      <c r="B469" s="126" t="s">
        <v>2231</v>
      </c>
      <c r="C469" s="128" t="s">
        <v>695</v>
      </c>
      <c r="D469" s="126" t="s">
        <v>2619</v>
      </c>
      <c r="E469" s="128" t="s">
        <v>1073</v>
      </c>
      <c r="F469" s="127" t="s">
        <v>306</v>
      </c>
      <c r="G469" s="136">
        <v>4.5135899999999998</v>
      </c>
      <c r="H469" s="113" t="str">
        <f t="shared" si="22"/>
        <v>OTHER</v>
      </c>
      <c r="I469" s="113" t="str">
        <f>INDEX('REGASSET Lookup'!$I:$I,MATCH('REGASSET Jun22data'!$A469,'REGASSET Lookup'!$A:$A,0))</f>
        <v>CUST</v>
      </c>
      <c r="J469" s="113" t="str">
        <f t="shared" si="23"/>
        <v>NO</v>
      </c>
      <c r="K469"/>
    </row>
    <row r="470" spans="1:11">
      <c r="A470" s="114" t="str">
        <f t="shared" si="21"/>
        <v>1823920DSR COSTS AMORTIZED103814WSB Small Business Comm- UT-2014OTHER</v>
      </c>
      <c r="B470" s="126" t="s">
        <v>2231</v>
      </c>
      <c r="C470" s="128" t="s">
        <v>695</v>
      </c>
      <c r="D470" s="126" t="s">
        <v>2620</v>
      </c>
      <c r="E470" s="128" t="s">
        <v>1074</v>
      </c>
      <c r="F470" s="127" t="s">
        <v>306</v>
      </c>
      <c r="G470" s="136">
        <v>1634.9569899999999</v>
      </c>
      <c r="H470" s="113" t="str">
        <f t="shared" si="22"/>
        <v>OTHER</v>
      </c>
      <c r="I470" s="113" t="str">
        <f>INDEX('REGASSET Lookup'!$I:$I,MATCH('REGASSET Jun22data'!$A470,'REGASSET Lookup'!$A:$A,0))</f>
        <v>CUST</v>
      </c>
      <c r="J470" s="113" t="str">
        <f t="shared" si="23"/>
        <v>NO</v>
      </c>
      <c r="K470"/>
    </row>
    <row r="471" spans="1:11">
      <c r="A471" s="114" t="str">
        <f t="shared" si="21"/>
        <v>1823920DSR COSTS AMORTIZED103815WBS Small Business Ind- UT-2014OTHER</v>
      </c>
      <c r="B471" s="126" t="s">
        <v>2231</v>
      </c>
      <c r="C471" s="128" t="s">
        <v>695</v>
      </c>
      <c r="D471" s="126" t="s">
        <v>2621</v>
      </c>
      <c r="E471" s="128" t="s">
        <v>1075</v>
      </c>
      <c r="F471" s="127" t="s">
        <v>306</v>
      </c>
      <c r="G471" s="136">
        <v>22.793559999999999</v>
      </c>
      <c r="H471" s="113" t="str">
        <f t="shared" si="22"/>
        <v>OTHER</v>
      </c>
      <c r="I471" s="113" t="str">
        <f>INDEX('REGASSET Lookup'!$I:$I,MATCH('REGASSET Jun22data'!$A471,'REGASSET Lookup'!$A:$A,0))</f>
        <v>CUST</v>
      </c>
      <c r="J471" s="113" t="str">
        <f t="shared" si="23"/>
        <v>NO</v>
      </c>
      <c r="K471"/>
    </row>
    <row r="472" spans="1:11">
      <c r="A472" s="114" t="str">
        <f t="shared" si="21"/>
        <v>1823920DSR COSTS AMORTIZED103816WSB Small Business Comm- WA-2014OTHER</v>
      </c>
      <c r="B472" s="126" t="s">
        <v>2231</v>
      </c>
      <c r="C472" s="128" t="s">
        <v>695</v>
      </c>
      <c r="D472" s="126" t="s">
        <v>2622</v>
      </c>
      <c r="E472" s="128" t="s">
        <v>1076</v>
      </c>
      <c r="F472" s="127" t="s">
        <v>306</v>
      </c>
      <c r="G472" s="136">
        <v>556.86608000000001</v>
      </c>
      <c r="H472" s="113" t="str">
        <f t="shared" si="22"/>
        <v>OTHER</v>
      </c>
      <c r="I472" s="113" t="str">
        <f>INDEX('REGASSET Lookup'!$I:$I,MATCH('REGASSET Jun22data'!$A472,'REGASSET Lookup'!$A:$A,0))</f>
        <v>CUST</v>
      </c>
      <c r="J472" s="113" t="str">
        <f t="shared" si="23"/>
        <v>NO</v>
      </c>
      <c r="K472"/>
    </row>
    <row r="473" spans="1:11">
      <c r="A473" s="114" t="str">
        <f t="shared" si="21"/>
        <v>1823920DSR COSTS AMORTIZED103817WBS Small Business Ind- WA-2014OTHER</v>
      </c>
      <c r="B473" s="126" t="s">
        <v>2231</v>
      </c>
      <c r="C473" s="128" t="s">
        <v>695</v>
      </c>
      <c r="D473" s="126" t="s">
        <v>2623</v>
      </c>
      <c r="E473" s="128" t="s">
        <v>1077</v>
      </c>
      <c r="F473" s="127" t="s">
        <v>306</v>
      </c>
      <c r="G473" s="136">
        <v>46.381120000000003</v>
      </c>
      <c r="H473" s="113" t="str">
        <f t="shared" si="22"/>
        <v>OTHER</v>
      </c>
      <c r="I473" s="113" t="str">
        <f>INDEX('REGASSET Lookup'!$I:$I,MATCH('REGASSET Jun22data'!$A473,'REGASSET Lookup'!$A:$A,0))</f>
        <v>CUST</v>
      </c>
      <c r="J473" s="113" t="str">
        <f t="shared" si="23"/>
        <v>NO</v>
      </c>
      <c r="K473"/>
    </row>
    <row r="474" spans="1:11">
      <c r="A474" s="114" t="str">
        <f t="shared" si="21"/>
        <v>1823920DSR COSTS AMORTIZED103834HOME ENERGY REPORTING - ID 2014OTHER</v>
      </c>
      <c r="B474" s="126" t="s">
        <v>2231</v>
      </c>
      <c r="C474" s="128" t="s">
        <v>695</v>
      </c>
      <c r="D474" s="126" t="s">
        <v>2624</v>
      </c>
      <c r="E474" s="128" t="s">
        <v>1078</v>
      </c>
      <c r="F474" s="127" t="s">
        <v>306</v>
      </c>
      <c r="G474" s="136">
        <v>20.472989999999999</v>
      </c>
      <c r="H474" s="113" t="str">
        <f t="shared" si="22"/>
        <v>OTHER</v>
      </c>
      <c r="I474" s="113" t="str">
        <f>INDEX('REGASSET Lookup'!$I:$I,MATCH('REGASSET Jun22data'!$A474,'REGASSET Lookup'!$A:$A,0))</f>
        <v>CUST</v>
      </c>
      <c r="J474" s="113" t="str">
        <f t="shared" si="23"/>
        <v>NO</v>
      </c>
      <c r="K474"/>
    </row>
    <row r="475" spans="1:11">
      <c r="A475" s="114" t="str">
        <f t="shared" si="21"/>
        <v>1823920DSR COSTS AMORTIZED103835HOME ENERGY REPORTING - WY 2014OTHER</v>
      </c>
      <c r="B475" s="126" t="s">
        <v>2231</v>
      </c>
      <c r="C475" s="128" t="s">
        <v>695</v>
      </c>
      <c r="D475" s="126" t="s">
        <v>2625</v>
      </c>
      <c r="E475" s="128" t="s">
        <v>1079</v>
      </c>
      <c r="F475" s="127" t="s">
        <v>306</v>
      </c>
      <c r="G475" s="136">
        <v>22.901019999999999</v>
      </c>
      <c r="H475" s="113" t="str">
        <f t="shared" si="22"/>
        <v>OTHER</v>
      </c>
      <c r="I475" s="113" t="str">
        <f>INDEX('REGASSET Lookup'!$I:$I,MATCH('REGASSET Jun22data'!$A475,'REGASSET Lookup'!$A:$A,0))</f>
        <v>CUST</v>
      </c>
      <c r="J475" s="113" t="str">
        <f t="shared" si="23"/>
        <v>NO</v>
      </c>
      <c r="K475"/>
    </row>
    <row r="476" spans="1:11">
      <c r="A476" s="114" t="str">
        <f t="shared" si="21"/>
        <v>1823920DSR COSTS AMORTIZED103845REFRIGERATOR RECYCLING COMM - WASHINGTONOTHER</v>
      </c>
      <c r="B476" s="126" t="s">
        <v>2231</v>
      </c>
      <c r="C476" s="128" t="s">
        <v>695</v>
      </c>
      <c r="D476" s="126" t="s">
        <v>2626</v>
      </c>
      <c r="E476" s="128" t="s">
        <v>1080</v>
      </c>
      <c r="F476" s="127" t="s">
        <v>306</v>
      </c>
      <c r="G476" s="136">
        <v>1.2270000000000001</v>
      </c>
      <c r="H476" s="113" t="str">
        <f t="shared" si="22"/>
        <v>OTHER</v>
      </c>
      <c r="I476" s="113" t="str">
        <f>INDEX('REGASSET Lookup'!$I:$I,MATCH('REGASSET Jun22data'!$A476,'REGASSET Lookup'!$A:$A,0))</f>
        <v>CUST</v>
      </c>
      <c r="J476" s="113" t="str">
        <f t="shared" si="23"/>
        <v>NO</v>
      </c>
      <c r="K476"/>
    </row>
    <row r="477" spans="1:11">
      <c r="A477" s="114" t="str">
        <f t="shared" si="21"/>
        <v>1823920DSR COSTS AMORTIZED103856WSB Wattsmart Business Agric - ID-2014OTHER</v>
      </c>
      <c r="B477" s="126" t="s">
        <v>2231</v>
      </c>
      <c r="C477" s="128" t="s">
        <v>695</v>
      </c>
      <c r="D477" s="126" t="s">
        <v>2627</v>
      </c>
      <c r="E477" s="128" t="s">
        <v>1081</v>
      </c>
      <c r="F477" s="127" t="s">
        <v>306</v>
      </c>
      <c r="G477" s="136">
        <v>9.0999999999999998E-2</v>
      </c>
      <c r="H477" s="113" t="str">
        <f t="shared" si="22"/>
        <v>OTHER</v>
      </c>
      <c r="I477" s="113" t="str">
        <f>INDEX('REGASSET Lookup'!$I:$I,MATCH('REGASSET Jun22data'!$A477,'REGASSET Lookup'!$A:$A,0))</f>
        <v>CUST</v>
      </c>
      <c r="J477" s="113" t="str">
        <f t="shared" si="23"/>
        <v>NO</v>
      </c>
      <c r="K477"/>
    </row>
    <row r="478" spans="1:11">
      <c r="A478" s="114" t="str">
        <f t="shared" si="21"/>
        <v>1823920DSR COSTS AMORTIZED103858WSB Wattsmart Business Comm- WY Cat3 -20OTHER</v>
      </c>
      <c r="B478" s="126" t="s">
        <v>2231</v>
      </c>
      <c r="C478" s="128" t="s">
        <v>695</v>
      </c>
      <c r="D478" s="126" t="s">
        <v>2628</v>
      </c>
      <c r="E478" s="128" t="s">
        <v>1082</v>
      </c>
      <c r="F478" s="127" t="s">
        <v>306</v>
      </c>
      <c r="G478" s="136">
        <v>8.0637299999999996</v>
      </c>
      <c r="H478" s="113" t="str">
        <f t="shared" si="22"/>
        <v>OTHER</v>
      </c>
      <c r="I478" s="113" t="str">
        <f>INDEX('REGASSET Lookup'!$I:$I,MATCH('REGASSET Jun22data'!$A478,'REGASSET Lookup'!$A:$A,0))</f>
        <v>CUST</v>
      </c>
      <c r="J478" s="113" t="str">
        <f t="shared" si="23"/>
        <v>NO</v>
      </c>
      <c r="K478"/>
    </row>
    <row r="479" spans="1:11">
      <c r="A479" s="114" t="str">
        <f t="shared" si="21"/>
        <v>1823920DSR COSTS AMORTIZED103859WBS Wattsmart Business Ind- WY Cat2-2014OTHER</v>
      </c>
      <c r="B479" s="126" t="s">
        <v>2231</v>
      </c>
      <c r="C479" s="128" t="s">
        <v>695</v>
      </c>
      <c r="D479" s="126" t="s">
        <v>2629</v>
      </c>
      <c r="E479" s="128" t="s">
        <v>1083</v>
      </c>
      <c r="F479" s="127" t="s">
        <v>306</v>
      </c>
      <c r="G479" s="136">
        <v>26.358560000000001</v>
      </c>
      <c r="H479" s="113" t="str">
        <f t="shared" si="22"/>
        <v>OTHER</v>
      </c>
      <c r="I479" s="113" t="str">
        <f>INDEX('REGASSET Lookup'!$I:$I,MATCH('REGASSET Jun22data'!$A479,'REGASSET Lookup'!$A:$A,0))</f>
        <v>CUST</v>
      </c>
      <c r="J479" s="113" t="str">
        <f t="shared" si="23"/>
        <v>NO</v>
      </c>
      <c r="K479"/>
    </row>
    <row r="480" spans="1:11">
      <c r="A480" s="114" t="str">
        <f t="shared" si="21"/>
        <v>1823920DSR COSTS AMORTIZED103860WSB- Wattsmart Business- WY Cat 3- 2014OTHER</v>
      </c>
      <c r="B480" s="126" t="s">
        <v>2231</v>
      </c>
      <c r="C480" s="128" t="s">
        <v>695</v>
      </c>
      <c r="D480" s="126" t="s">
        <v>2630</v>
      </c>
      <c r="E480" s="128" t="s">
        <v>1084</v>
      </c>
      <c r="F480" s="127" t="s">
        <v>306</v>
      </c>
      <c r="G480" s="136">
        <v>4.5800999999999998</v>
      </c>
      <c r="H480" s="113" t="str">
        <f t="shared" si="22"/>
        <v>OTHER</v>
      </c>
      <c r="I480" s="113" t="str">
        <f>INDEX('REGASSET Lookup'!$I:$I,MATCH('REGASSET Jun22data'!$A480,'REGASSET Lookup'!$A:$A,0))</f>
        <v>CUST</v>
      </c>
      <c r="J480" s="113" t="str">
        <f t="shared" si="23"/>
        <v>NO</v>
      </c>
      <c r="K480"/>
    </row>
    <row r="481" spans="1:11">
      <c r="A481" s="114" t="str">
        <f t="shared" si="21"/>
        <v>1823920DSR COSTS AMORTIZED103862OUTREACH AND COMMUNICATION  ID-2014OTHER</v>
      </c>
      <c r="B481" s="126" t="s">
        <v>2231</v>
      </c>
      <c r="C481" s="128" t="s">
        <v>695</v>
      </c>
      <c r="D481" s="126" t="s">
        <v>2631</v>
      </c>
      <c r="E481" s="128" t="s">
        <v>1085</v>
      </c>
      <c r="F481" s="127" t="s">
        <v>306</v>
      </c>
      <c r="G481" s="136">
        <v>4.9894100000000003</v>
      </c>
      <c r="H481" s="113" t="str">
        <f t="shared" si="22"/>
        <v>OTHER</v>
      </c>
      <c r="I481" s="113" t="str">
        <f>INDEX('REGASSET Lookup'!$I:$I,MATCH('REGASSET Jun22data'!$A481,'REGASSET Lookup'!$A:$A,0))</f>
        <v>CUST</v>
      </c>
      <c r="J481" s="113" t="str">
        <f t="shared" si="23"/>
        <v>NO</v>
      </c>
      <c r="K481"/>
    </row>
    <row r="482" spans="1:11">
      <c r="A482" s="114" t="str">
        <f t="shared" si="21"/>
        <v>1823920DSR COSTS AMORTIZED103865CALIFORNIA DSM EXPENSE - 2015OTHER</v>
      </c>
      <c r="B482" s="126" t="s">
        <v>2231</v>
      </c>
      <c r="C482" s="128" t="s">
        <v>695</v>
      </c>
      <c r="D482" s="126" t="s">
        <v>3381</v>
      </c>
      <c r="E482" s="128" t="s">
        <v>1086</v>
      </c>
      <c r="F482" s="127" t="s">
        <v>306</v>
      </c>
      <c r="G482" s="136">
        <v>1.0000000000000001E-5</v>
      </c>
      <c r="H482" s="113" t="str">
        <f t="shared" si="22"/>
        <v>OTHER</v>
      </c>
      <c r="I482" s="113" t="str">
        <f>INDEX('REGASSET Lookup'!$I:$I,MATCH('REGASSET Jun22data'!$A482,'REGASSET Lookup'!$A:$A,0))</f>
        <v>CUST</v>
      </c>
      <c r="J482" s="113" t="str">
        <f t="shared" si="23"/>
        <v>NO</v>
      </c>
      <c r="K482"/>
    </row>
    <row r="483" spans="1:11">
      <c r="A483" s="114" t="str">
        <f t="shared" si="21"/>
        <v>1823920DSR COSTS AMORTIZED103874PORTFOLIO - IDAHO 2015OTHER</v>
      </c>
      <c r="B483" s="126" t="s">
        <v>2231</v>
      </c>
      <c r="C483" s="128" t="s">
        <v>695</v>
      </c>
      <c r="D483" s="126" t="s">
        <v>2632</v>
      </c>
      <c r="E483" s="128" t="s">
        <v>1087</v>
      </c>
      <c r="F483" s="127" t="s">
        <v>306</v>
      </c>
      <c r="G483" s="136">
        <v>23.155809999999999</v>
      </c>
      <c r="H483" s="113" t="str">
        <f t="shared" si="22"/>
        <v>OTHER</v>
      </c>
      <c r="I483" s="113" t="str">
        <f>INDEX('REGASSET Lookup'!$I:$I,MATCH('REGASSET Jun22data'!$A483,'REGASSET Lookup'!$A:$A,0))</f>
        <v>CUST</v>
      </c>
      <c r="J483" s="113" t="str">
        <f t="shared" si="23"/>
        <v>NO</v>
      </c>
      <c r="K483"/>
    </row>
    <row r="484" spans="1:11">
      <c r="A484" s="114" t="str">
        <f t="shared" si="21"/>
        <v>1823920DSR COSTS AMORTIZED103876WSB - WATTSMART BUSINESS - ID- 2015OTHER</v>
      </c>
      <c r="B484" s="126" t="s">
        <v>2231</v>
      </c>
      <c r="C484" s="128" t="s">
        <v>695</v>
      </c>
      <c r="D484" s="126" t="s">
        <v>2633</v>
      </c>
      <c r="E484" s="128" t="s">
        <v>1088</v>
      </c>
      <c r="F484" s="127" t="s">
        <v>306</v>
      </c>
      <c r="G484" s="136">
        <v>410.11273</v>
      </c>
      <c r="H484" s="113" t="str">
        <f t="shared" si="22"/>
        <v>OTHER</v>
      </c>
      <c r="I484" s="113" t="str">
        <f>INDEX('REGASSET Lookup'!$I:$I,MATCH('REGASSET Jun22data'!$A484,'REGASSET Lookup'!$A:$A,0))</f>
        <v>CUST</v>
      </c>
      <c r="J484" s="113" t="str">
        <f t="shared" si="23"/>
        <v>NO</v>
      </c>
      <c r="K484"/>
    </row>
    <row r="485" spans="1:11">
      <c r="A485" s="114" t="str">
        <f t="shared" si="21"/>
        <v>1823920DSR COSTS AMORTIZED103877WSB Small Business Comm - ID-2015OTHER</v>
      </c>
      <c r="B485" s="126" t="s">
        <v>2231</v>
      </c>
      <c r="C485" s="128" t="s">
        <v>695</v>
      </c>
      <c r="D485" s="126" t="s">
        <v>2634</v>
      </c>
      <c r="E485" s="128" t="s">
        <v>1089</v>
      </c>
      <c r="F485" s="127" t="s">
        <v>306</v>
      </c>
      <c r="G485" s="136">
        <v>1344.78052</v>
      </c>
      <c r="H485" s="113" t="str">
        <f t="shared" si="22"/>
        <v>OTHER</v>
      </c>
      <c r="I485" s="113" t="str">
        <f>INDEX('REGASSET Lookup'!$I:$I,MATCH('REGASSET Jun22data'!$A485,'REGASSET Lookup'!$A:$A,0))</f>
        <v>CUST</v>
      </c>
      <c r="J485" s="113" t="str">
        <f t="shared" si="23"/>
        <v>NO</v>
      </c>
      <c r="K485"/>
    </row>
    <row r="486" spans="1:11">
      <c r="A486" s="114" t="str">
        <f t="shared" si="21"/>
        <v>1823920DSR COSTS AMORTIZED103878WSB Small Business Ind - ID 2015OTHER</v>
      </c>
      <c r="B486" s="126" t="s">
        <v>2231</v>
      </c>
      <c r="C486" s="128" t="s">
        <v>695</v>
      </c>
      <c r="D486" s="126" t="s">
        <v>2635</v>
      </c>
      <c r="E486" s="128" t="s">
        <v>1090</v>
      </c>
      <c r="F486" s="127" t="s">
        <v>306</v>
      </c>
      <c r="G486" s="136">
        <v>263.88233000000002</v>
      </c>
      <c r="H486" s="113" t="str">
        <f t="shared" si="22"/>
        <v>OTHER</v>
      </c>
      <c r="I486" s="113" t="str">
        <f>INDEX('REGASSET Lookup'!$I:$I,MATCH('REGASSET Jun22data'!$A486,'REGASSET Lookup'!$A:$A,0))</f>
        <v>CUST</v>
      </c>
      <c r="J486" s="113" t="str">
        <f t="shared" si="23"/>
        <v>NO</v>
      </c>
      <c r="K486"/>
    </row>
    <row r="487" spans="1:11">
      <c r="A487" s="114" t="str">
        <f t="shared" si="21"/>
        <v>1823920DSR COSTS AMORTIZED103879HOME ENERGY REPORTING - ID 2015OTHER</v>
      </c>
      <c r="B487" s="126" t="s">
        <v>2231</v>
      </c>
      <c r="C487" s="128" t="s">
        <v>695</v>
      </c>
      <c r="D487" s="126" t="s">
        <v>2636</v>
      </c>
      <c r="E487" s="128" t="s">
        <v>1091</v>
      </c>
      <c r="F487" s="127" t="s">
        <v>306</v>
      </c>
      <c r="G487" s="136">
        <v>135.76651000000001</v>
      </c>
      <c r="H487" s="113" t="str">
        <f t="shared" si="22"/>
        <v>OTHER</v>
      </c>
      <c r="I487" s="113" t="str">
        <f>INDEX('REGASSET Lookup'!$I:$I,MATCH('REGASSET Jun22data'!$A487,'REGASSET Lookup'!$A:$A,0))</f>
        <v>CUST</v>
      </c>
      <c r="J487" s="113" t="str">
        <f t="shared" si="23"/>
        <v>NO</v>
      </c>
      <c r="K487"/>
    </row>
    <row r="488" spans="1:11">
      <c r="A488" s="114" t="str">
        <f t="shared" si="21"/>
        <v>1823920DSR COSTS AMORTIZED103880WSB Wattsmart Business Agric - ID-2015OTHER</v>
      </c>
      <c r="B488" s="126" t="s">
        <v>2231</v>
      </c>
      <c r="C488" s="128" t="s">
        <v>695</v>
      </c>
      <c r="D488" s="126" t="s">
        <v>2637</v>
      </c>
      <c r="E488" s="128" t="s">
        <v>1092</v>
      </c>
      <c r="F488" s="127" t="s">
        <v>306</v>
      </c>
      <c r="G488" s="136">
        <v>227.20256000000001</v>
      </c>
      <c r="H488" s="113" t="str">
        <f t="shared" si="22"/>
        <v>OTHER</v>
      </c>
      <c r="I488" s="113" t="str">
        <f>INDEX('REGASSET Lookup'!$I:$I,MATCH('REGASSET Jun22data'!$A488,'REGASSET Lookup'!$A:$A,0))</f>
        <v>CUST</v>
      </c>
      <c r="J488" s="113" t="str">
        <f t="shared" si="23"/>
        <v>NO</v>
      </c>
      <c r="K488"/>
    </row>
    <row r="489" spans="1:11">
      <c r="A489" s="114" t="str">
        <f t="shared" si="21"/>
        <v>1823920DSR COSTS AMORTIZED103881OUTREACH AND COMMUNICATION  ID-2015OTHER</v>
      </c>
      <c r="B489" s="126" t="s">
        <v>2231</v>
      </c>
      <c r="C489" s="128" t="s">
        <v>695</v>
      </c>
      <c r="D489" s="126" t="s">
        <v>2638</v>
      </c>
      <c r="E489" s="128" t="s">
        <v>1093</v>
      </c>
      <c r="F489" s="127" t="s">
        <v>306</v>
      </c>
      <c r="G489" s="136">
        <v>152.61505</v>
      </c>
      <c r="H489" s="113" t="str">
        <f t="shared" si="22"/>
        <v>OTHER</v>
      </c>
      <c r="I489" s="113" t="str">
        <f>INDEX('REGASSET Lookup'!$I:$I,MATCH('REGASSET Jun22data'!$A489,'REGASSET Lookup'!$A:$A,0))</f>
        <v>CUST</v>
      </c>
      <c r="J489" s="113" t="str">
        <f t="shared" si="23"/>
        <v>NO</v>
      </c>
      <c r="K489"/>
    </row>
    <row r="490" spans="1:11">
      <c r="A490" s="114" t="str">
        <f t="shared" si="21"/>
        <v>1823920DSR COSTS AMORTIZED103882A/C LOAD CONTROL - RESIDENTIAL/UTAH - 20OTHER</v>
      </c>
      <c r="B490" s="126" t="s">
        <v>2231</v>
      </c>
      <c r="C490" s="128" t="s">
        <v>695</v>
      </c>
      <c r="D490" s="126" t="s">
        <v>2639</v>
      </c>
      <c r="E490" s="128" t="s">
        <v>772</v>
      </c>
      <c r="F490" s="127" t="s">
        <v>306</v>
      </c>
      <c r="G490" s="136">
        <v>4173.9674100000002</v>
      </c>
      <c r="H490" s="113" t="str">
        <f t="shared" si="22"/>
        <v>OTHER</v>
      </c>
      <c r="I490" s="113" t="str">
        <f>INDEX('REGASSET Lookup'!$I:$I,MATCH('REGASSET Jun22data'!$A490,'REGASSET Lookup'!$A:$A,0))</f>
        <v>CUST</v>
      </c>
      <c r="J490" s="113" t="str">
        <f t="shared" si="23"/>
        <v>NO</v>
      </c>
      <c r="K490"/>
    </row>
    <row r="491" spans="1:11">
      <c r="A491" s="114" t="str">
        <f t="shared" si="21"/>
        <v>1823920DSR COSTS AMORTIZED103887HOME ENERGY EFF INCENTIVE PROG - UT 2015OTHER</v>
      </c>
      <c r="B491" s="126" t="s">
        <v>2231</v>
      </c>
      <c r="C491" s="128" t="s">
        <v>695</v>
      </c>
      <c r="D491" s="126" t="s">
        <v>2640</v>
      </c>
      <c r="E491" s="128" t="s">
        <v>1094</v>
      </c>
      <c r="F491" s="127" t="s">
        <v>306</v>
      </c>
      <c r="G491" s="136">
        <v>18922.35413</v>
      </c>
      <c r="H491" s="113" t="str">
        <f t="shared" si="22"/>
        <v>OTHER</v>
      </c>
      <c r="I491" s="113" t="str">
        <f>INDEX('REGASSET Lookup'!$I:$I,MATCH('REGASSET Jun22data'!$A491,'REGASSET Lookup'!$A:$A,0))</f>
        <v>CUST</v>
      </c>
      <c r="J491" s="113" t="str">
        <f t="shared" si="23"/>
        <v>NO</v>
      </c>
      <c r="K491"/>
    </row>
    <row r="492" spans="1:11">
      <c r="A492" s="114" t="str">
        <f t="shared" si="21"/>
        <v>1823920DSR COSTS AMORTIZED103888HOME ENERGY REPORTING - UT 2015OTHER</v>
      </c>
      <c r="B492" s="126" t="s">
        <v>2231</v>
      </c>
      <c r="C492" s="128" t="s">
        <v>695</v>
      </c>
      <c r="D492" s="126" t="s">
        <v>2641</v>
      </c>
      <c r="E492" s="128" t="s">
        <v>1095</v>
      </c>
      <c r="F492" s="127" t="s">
        <v>306</v>
      </c>
      <c r="G492" s="136">
        <v>2877.7691799999998</v>
      </c>
      <c r="H492" s="113" t="str">
        <f t="shared" si="22"/>
        <v>OTHER</v>
      </c>
      <c r="I492" s="113" t="str">
        <f>INDEX('REGASSET Lookup'!$I:$I,MATCH('REGASSET Jun22data'!$A492,'REGASSET Lookup'!$A:$A,0))</f>
        <v>CUST</v>
      </c>
      <c r="J492" s="113" t="str">
        <f t="shared" si="23"/>
        <v>NO</v>
      </c>
      <c r="K492"/>
    </row>
    <row r="493" spans="1:11">
      <c r="A493" s="114" t="str">
        <f t="shared" si="21"/>
        <v>1823920DSR COSTS AMORTIZED103891IRRIGATION LOAD CONTROL  - UTAH - 2015OTHER</v>
      </c>
      <c r="B493" s="126" t="s">
        <v>2231</v>
      </c>
      <c r="C493" s="128" t="s">
        <v>695</v>
      </c>
      <c r="D493" s="126" t="s">
        <v>2642</v>
      </c>
      <c r="E493" s="128" t="s">
        <v>1096</v>
      </c>
      <c r="F493" s="127" t="s">
        <v>306</v>
      </c>
      <c r="G493" s="136">
        <v>476.39917000000003</v>
      </c>
      <c r="H493" s="113" t="str">
        <f t="shared" si="22"/>
        <v>OTHER</v>
      </c>
      <c r="I493" s="113" t="str">
        <f>INDEX('REGASSET Lookup'!$I:$I,MATCH('REGASSET Jun22data'!$A493,'REGASSET Lookup'!$A:$A,0))</f>
        <v>CUST</v>
      </c>
      <c r="J493" s="113" t="str">
        <f t="shared" si="23"/>
        <v>NO</v>
      </c>
      <c r="K493"/>
    </row>
    <row r="494" spans="1:11">
      <c r="A494" s="114" t="str">
        <f t="shared" si="21"/>
        <v>1823920DSR COSTS AMORTIZED103892LOW INCOME - UTAH - 2015OTHER</v>
      </c>
      <c r="B494" s="126" t="s">
        <v>2231</v>
      </c>
      <c r="C494" s="128" t="s">
        <v>695</v>
      </c>
      <c r="D494" s="126" t="s">
        <v>2643</v>
      </c>
      <c r="E494" s="128" t="s">
        <v>1097</v>
      </c>
      <c r="F494" s="127" t="s">
        <v>306</v>
      </c>
      <c r="G494" s="136">
        <v>63.903219999999997</v>
      </c>
      <c r="H494" s="113" t="str">
        <f t="shared" si="22"/>
        <v>OTHER</v>
      </c>
      <c r="I494" s="113" t="str">
        <f>INDEX('REGASSET Lookup'!$I:$I,MATCH('REGASSET Jun22data'!$A494,'REGASSET Lookup'!$A:$A,0))</f>
        <v>CUST</v>
      </c>
      <c r="J494" s="113" t="str">
        <f t="shared" si="23"/>
        <v>NO</v>
      </c>
      <c r="K494"/>
    </row>
    <row r="495" spans="1:11">
      <c r="A495" s="114" t="str">
        <f t="shared" si="21"/>
        <v>1823920DSR COSTS AMORTIZED103893OUTREACH and COMMUNICATIONS - UT 2015OTHER</v>
      </c>
      <c r="B495" s="126" t="s">
        <v>2231</v>
      </c>
      <c r="C495" s="128" t="s">
        <v>695</v>
      </c>
      <c r="D495" s="126" t="s">
        <v>2644</v>
      </c>
      <c r="E495" s="128" t="s">
        <v>1098</v>
      </c>
      <c r="F495" s="127" t="s">
        <v>306</v>
      </c>
      <c r="G495" s="136">
        <v>1610.8740600000001</v>
      </c>
      <c r="H495" s="113" t="str">
        <f t="shared" si="22"/>
        <v>OTHER</v>
      </c>
      <c r="I495" s="113" t="str">
        <f>INDEX('REGASSET Lookup'!$I:$I,MATCH('REGASSET Jun22data'!$A495,'REGASSET Lookup'!$A:$A,0))</f>
        <v>CUST</v>
      </c>
      <c r="J495" s="113" t="str">
        <f t="shared" si="23"/>
        <v>NO</v>
      </c>
      <c r="K495"/>
    </row>
    <row r="496" spans="1:11">
      <c r="A496" s="114" t="str">
        <f t="shared" si="21"/>
        <v>1823920DSR COSTS AMORTIZED103894PORTFOLIO - UTAH 2015OTHER</v>
      </c>
      <c r="B496" s="126" t="s">
        <v>2231</v>
      </c>
      <c r="C496" s="128" t="s">
        <v>695</v>
      </c>
      <c r="D496" s="126" t="s">
        <v>2645</v>
      </c>
      <c r="E496" s="128" t="s">
        <v>1099</v>
      </c>
      <c r="F496" s="127" t="s">
        <v>306</v>
      </c>
      <c r="G496" s="136">
        <v>370.42480999999998</v>
      </c>
      <c r="H496" s="113" t="str">
        <f t="shared" si="22"/>
        <v>OTHER</v>
      </c>
      <c r="I496" s="113" t="str">
        <f>INDEX('REGASSET Lookup'!$I:$I,MATCH('REGASSET Jun22data'!$A496,'REGASSET Lookup'!$A:$A,0))</f>
        <v>CUST</v>
      </c>
      <c r="J496" s="113" t="str">
        <f t="shared" si="23"/>
        <v>NO</v>
      </c>
      <c r="K496"/>
    </row>
    <row r="497" spans="1:11">
      <c r="A497" s="114" t="str">
        <f t="shared" si="21"/>
        <v>1823920DSR COSTS AMORTIZED103895REFRIGERATOR RECYCLING PGM- UTAH - 2015OTHER</v>
      </c>
      <c r="B497" s="126" t="s">
        <v>2231</v>
      </c>
      <c r="C497" s="128" t="s">
        <v>695</v>
      </c>
      <c r="D497" s="126" t="s">
        <v>2646</v>
      </c>
      <c r="E497" s="128" t="s">
        <v>1100</v>
      </c>
      <c r="F497" s="127" t="s">
        <v>306</v>
      </c>
      <c r="G497" s="136">
        <v>1124.93406</v>
      </c>
      <c r="H497" s="113" t="str">
        <f t="shared" si="22"/>
        <v>OTHER</v>
      </c>
      <c r="I497" s="113" t="str">
        <f>INDEX('REGASSET Lookup'!$I:$I,MATCH('REGASSET Jun22data'!$A497,'REGASSET Lookup'!$A:$A,0))</f>
        <v>CUST</v>
      </c>
      <c r="J497" s="113" t="str">
        <f t="shared" si="23"/>
        <v>NO</v>
      </c>
      <c r="K497"/>
    </row>
    <row r="498" spans="1:11">
      <c r="A498" s="114" t="str">
        <f t="shared" si="21"/>
        <v>1823920DSR COSTS AMORTIZED103896RESIDENTIAL NEW CONSTRUCTION - UTAH - 20OTHER</v>
      </c>
      <c r="B498" s="126" t="s">
        <v>2231</v>
      </c>
      <c r="C498" s="128" t="s">
        <v>695</v>
      </c>
      <c r="D498" s="126" t="s">
        <v>2647</v>
      </c>
      <c r="E498" s="128" t="s">
        <v>757</v>
      </c>
      <c r="F498" s="127" t="s">
        <v>306</v>
      </c>
      <c r="G498" s="136">
        <v>1890.20046</v>
      </c>
      <c r="H498" s="113" t="str">
        <f t="shared" si="22"/>
        <v>OTHER</v>
      </c>
      <c r="I498" s="113" t="str">
        <f>INDEX('REGASSET Lookup'!$I:$I,MATCH('REGASSET Jun22data'!$A498,'REGASSET Lookup'!$A:$A,0))</f>
        <v>CUST</v>
      </c>
      <c r="J498" s="113" t="str">
        <f t="shared" si="23"/>
        <v>NO</v>
      </c>
      <c r="K498"/>
    </row>
    <row r="499" spans="1:11">
      <c r="A499" s="114" t="str">
        <f t="shared" si="21"/>
        <v>1823920DSR COSTS AMORTIZED103900COMMERCIAL (WSB) WATTSMART BUS - UT- 201OTHER</v>
      </c>
      <c r="B499" s="126" t="s">
        <v>2231</v>
      </c>
      <c r="C499" s="128" t="s">
        <v>695</v>
      </c>
      <c r="D499" s="126" t="s">
        <v>2648</v>
      </c>
      <c r="E499" s="128" t="s">
        <v>1043</v>
      </c>
      <c r="F499" s="127" t="s">
        <v>306</v>
      </c>
      <c r="G499" s="136">
        <v>15213.332770000001</v>
      </c>
      <c r="H499" s="113" t="str">
        <f t="shared" si="22"/>
        <v>OTHER</v>
      </c>
      <c r="I499" s="113" t="str">
        <f>INDEX('REGASSET Lookup'!$I:$I,MATCH('REGASSET Jun22data'!$A499,'REGASSET Lookup'!$A:$A,0))</f>
        <v>CUST</v>
      </c>
      <c r="J499" s="113" t="str">
        <f t="shared" si="23"/>
        <v>NO</v>
      </c>
      <c r="K499"/>
    </row>
    <row r="500" spans="1:11">
      <c r="A500" s="114" t="str">
        <f t="shared" si="21"/>
        <v>1823920DSR COSTS AMORTIZED103901INDUSTRIAL (WSB) WATTSMART BUS- UT- 2015OTHER</v>
      </c>
      <c r="B500" s="126" t="s">
        <v>2231</v>
      </c>
      <c r="C500" s="128" t="s">
        <v>695</v>
      </c>
      <c r="D500" s="126" t="s">
        <v>2649</v>
      </c>
      <c r="E500" s="128" t="s">
        <v>1101</v>
      </c>
      <c r="F500" s="127" t="s">
        <v>306</v>
      </c>
      <c r="G500" s="136">
        <v>6315.7614299999996</v>
      </c>
      <c r="H500" s="113" t="str">
        <f t="shared" si="22"/>
        <v>OTHER</v>
      </c>
      <c r="I500" s="113" t="str">
        <f>INDEX('REGASSET Lookup'!$I:$I,MATCH('REGASSET Jun22data'!$A500,'REGASSET Lookup'!$A:$A,0))</f>
        <v>CUST</v>
      </c>
      <c r="J500" s="113" t="str">
        <f t="shared" si="23"/>
        <v>NO</v>
      </c>
      <c r="K500"/>
    </row>
    <row r="501" spans="1:11">
      <c r="A501" s="114" t="str">
        <f t="shared" si="21"/>
        <v>1823920DSR COSTS AMORTIZED103902WSB - WATTSMART BUS- UT- 2015OTHER</v>
      </c>
      <c r="B501" s="126" t="s">
        <v>2231</v>
      </c>
      <c r="C501" s="128" t="s">
        <v>695</v>
      </c>
      <c r="D501" s="126" t="s">
        <v>2650</v>
      </c>
      <c r="E501" s="128" t="s">
        <v>1102</v>
      </c>
      <c r="F501" s="127" t="s">
        <v>306</v>
      </c>
      <c r="G501" s="136">
        <v>4776.8338199999998</v>
      </c>
      <c r="H501" s="113" t="str">
        <f t="shared" si="22"/>
        <v>OTHER</v>
      </c>
      <c r="I501" s="113" t="str">
        <f>INDEX('REGASSET Lookup'!$I:$I,MATCH('REGASSET Jun22data'!$A501,'REGASSET Lookup'!$A:$A,0))</f>
        <v>CUST</v>
      </c>
      <c r="J501" s="113" t="str">
        <f t="shared" si="23"/>
        <v>NO</v>
      </c>
      <c r="K501"/>
    </row>
    <row r="502" spans="1:11">
      <c r="A502" s="114" t="str">
        <f t="shared" si="21"/>
        <v>1823920DSR COSTS AMORTIZED103903AGRICULTURAL (WSB) WATTSMART BUS- UT- 20OTHER</v>
      </c>
      <c r="B502" s="126" t="s">
        <v>2231</v>
      </c>
      <c r="C502" s="128" t="s">
        <v>695</v>
      </c>
      <c r="D502" s="126" t="s">
        <v>2651</v>
      </c>
      <c r="E502" s="128" t="s">
        <v>1046</v>
      </c>
      <c r="F502" s="127" t="s">
        <v>306</v>
      </c>
      <c r="G502" s="136">
        <v>257.37293</v>
      </c>
      <c r="H502" s="113" t="str">
        <f t="shared" si="22"/>
        <v>OTHER</v>
      </c>
      <c r="I502" s="113" t="str">
        <f>INDEX('REGASSET Lookup'!$I:$I,MATCH('REGASSET Jun22data'!$A502,'REGASSET Lookup'!$A:$A,0))</f>
        <v>CUST</v>
      </c>
      <c r="J502" s="113" t="str">
        <f t="shared" si="23"/>
        <v>NO</v>
      </c>
      <c r="K502"/>
    </row>
    <row r="503" spans="1:11">
      <c r="A503" s="114" t="str">
        <f t="shared" si="21"/>
        <v>1823920DSR COSTS AMORTIZED103904U.of Utah Student Energy Sponsorship- UTOTHER</v>
      </c>
      <c r="B503" s="126" t="s">
        <v>2231</v>
      </c>
      <c r="C503" s="128" t="s">
        <v>695</v>
      </c>
      <c r="D503" s="126" t="s">
        <v>2652</v>
      </c>
      <c r="E503" s="128" t="s">
        <v>985</v>
      </c>
      <c r="F503" s="127" t="s">
        <v>306</v>
      </c>
      <c r="G503" s="136">
        <v>6.16533</v>
      </c>
      <c r="H503" s="113" t="str">
        <f t="shared" si="22"/>
        <v>OTHER</v>
      </c>
      <c r="I503" s="113" t="str">
        <f>INDEX('REGASSET Lookup'!$I:$I,MATCH('REGASSET Jun22data'!$A503,'REGASSET Lookup'!$A:$A,0))</f>
        <v>CUST</v>
      </c>
      <c r="J503" s="113" t="str">
        <f t="shared" si="23"/>
        <v>NO</v>
      </c>
      <c r="K503"/>
    </row>
    <row r="504" spans="1:11">
      <c r="A504" s="114" t="str">
        <f t="shared" si="21"/>
        <v>1823920DSR COSTS AMORTIZED103905WSB Small Business Comm- UT-2015OTHER</v>
      </c>
      <c r="B504" s="126" t="s">
        <v>2231</v>
      </c>
      <c r="C504" s="128" t="s">
        <v>695</v>
      </c>
      <c r="D504" s="126" t="s">
        <v>2653</v>
      </c>
      <c r="E504" s="128" t="s">
        <v>1103</v>
      </c>
      <c r="F504" s="127" t="s">
        <v>306</v>
      </c>
      <c r="G504" s="136">
        <v>3896.1082500000002</v>
      </c>
      <c r="H504" s="113" t="str">
        <f t="shared" si="22"/>
        <v>OTHER</v>
      </c>
      <c r="I504" s="113" t="str">
        <f>INDEX('REGASSET Lookup'!$I:$I,MATCH('REGASSET Jun22data'!$A504,'REGASSET Lookup'!$A:$A,0))</f>
        <v>CUST</v>
      </c>
      <c r="J504" s="113" t="str">
        <f t="shared" si="23"/>
        <v>NO</v>
      </c>
      <c r="K504"/>
    </row>
    <row r="505" spans="1:11">
      <c r="A505" s="114" t="str">
        <f t="shared" si="21"/>
        <v>1823920DSR COSTS AMORTIZED103906WBS Small Business Ind- UT-2015OTHER</v>
      </c>
      <c r="B505" s="126" t="s">
        <v>2231</v>
      </c>
      <c r="C505" s="128" t="s">
        <v>695</v>
      </c>
      <c r="D505" s="126" t="s">
        <v>2654</v>
      </c>
      <c r="E505" s="128" t="s">
        <v>1104</v>
      </c>
      <c r="F505" s="127" t="s">
        <v>306</v>
      </c>
      <c r="G505" s="136">
        <v>261.57416000000001</v>
      </c>
      <c r="H505" s="113" t="str">
        <f t="shared" si="22"/>
        <v>OTHER</v>
      </c>
      <c r="I505" s="113" t="str">
        <f>INDEX('REGASSET Lookup'!$I:$I,MATCH('REGASSET Jun22data'!$A505,'REGASSET Lookup'!$A:$A,0))</f>
        <v>CUST</v>
      </c>
      <c r="J505" s="113" t="str">
        <f t="shared" si="23"/>
        <v>NO</v>
      </c>
      <c r="K505"/>
    </row>
    <row r="506" spans="1:11">
      <c r="A506" s="114" t="str">
        <f t="shared" si="21"/>
        <v>1823920DSR COSTS AMORTIZED103907AGRICULURAL FINANSWER EXP WY-2015 CAT2OTHER</v>
      </c>
      <c r="B506" s="126" t="s">
        <v>2231</v>
      </c>
      <c r="C506" s="128" t="s">
        <v>695</v>
      </c>
      <c r="D506" s="126" t="s">
        <v>2655</v>
      </c>
      <c r="E506" s="128" t="s">
        <v>1105</v>
      </c>
      <c r="F506" s="127" t="s">
        <v>306</v>
      </c>
      <c r="G506" s="136">
        <v>0.11609</v>
      </c>
      <c r="H506" s="113" t="str">
        <f t="shared" si="22"/>
        <v>OTHER</v>
      </c>
      <c r="I506" s="113" t="str">
        <f>INDEX('REGASSET Lookup'!$I:$I,MATCH('REGASSET Jun22data'!$A506,'REGASSET Lookup'!$A:$A,0))</f>
        <v>CUST</v>
      </c>
      <c r="J506" s="113" t="str">
        <f t="shared" si="23"/>
        <v>NO</v>
      </c>
      <c r="K506"/>
    </row>
    <row r="507" spans="1:11">
      <c r="A507" s="114" t="str">
        <f t="shared" si="21"/>
        <v>1823920DSR COSTS AMORTIZED103909COMMERCIAL FINANSWER EXP- WY-2015 CAT2OTHER</v>
      </c>
      <c r="B507" s="126" t="s">
        <v>2231</v>
      </c>
      <c r="C507" s="128" t="s">
        <v>695</v>
      </c>
      <c r="D507" s="126" t="s">
        <v>2656</v>
      </c>
      <c r="E507" s="128" t="s">
        <v>1106</v>
      </c>
      <c r="F507" s="127" t="s">
        <v>306</v>
      </c>
      <c r="G507" s="136">
        <v>97.360370000000003</v>
      </c>
      <c r="H507" s="113" t="str">
        <f t="shared" si="22"/>
        <v>OTHER</v>
      </c>
      <c r="I507" s="113" t="str">
        <f>INDEX('REGASSET Lookup'!$I:$I,MATCH('REGASSET Jun22data'!$A507,'REGASSET Lookup'!$A:$A,0))</f>
        <v>CUST</v>
      </c>
      <c r="J507" s="113" t="str">
        <f t="shared" si="23"/>
        <v>NO</v>
      </c>
      <c r="K507"/>
    </row>
    <row r="508" spans="1:11">
      <c r="A508" s="114" t="str">
        <f t="shared" si="21"/>
        <v>1823920DSR COSTS AMORTIZED103910COMMERCIAL FINANSWER EXP WY-2015 CAT3OTHER</v>
      </c>
      <c r="B508" s="126" t="s">
        <v>2231</v>
      </c>
      <c r="C508" s="128" t="s">
        <v>695</v>
      </c>
      <c r="D508" s="126" t="s">
        <v>2657</v>
      </c>
      <c r="E508" s="128" t="s">
        <v>1107</v>
      </c>
      <c r="F508" s="127" t="s">
        <v>306</v>
      </c>
      <c r="G508" s="136">
        <v>53.90484</v>
      </c>
      <c r="H508" s="113" t="str">
        <f t="shared" si="22"/>
        <v>OTHER</v>
      </c>
      <c r="I508" s="113" t="str">
        <f>INDEX('REGASSET Lookup'!$I:$I,MATCH('REGASSET Jun22data'!$A508,'REGASSET Lookup'!$A:$A,0))</f>
        <v>CUST</v>
      </c>
      <c r="J508" s="113" t="str">
        <f t="shared" si="23"/>
        <v>NO</v>
      </c>
      <c r="K508"/>
    </row>
    <row r="509" spans="1:11">
      <c r="A509" s="114" t="str">
        <f t="shared" si="21"/>
        <v>1823920DSR COSTS AMORTIZED103911ENERGY FINANSWER -WY 2015 CAT2OTHER</v>
      </c>
      <c r="B509" s="126" t="s">
        <v>2231</v>
      </c>
      <c r="C509" s="128" t="s">
        <v>695</v>
      </c>
      <c r="D509" s="126" t="s">
        <v>2658</v>
      </c>
      <c r="E509" s="128" t="s">
        <v>1108</v>
      </c>
      <c r="F509" s="127" t="s">
        <v>306</v>
      </c>
      <c r="G509" s="136">
        <v>4.5240000000000002E-2</v>
      </c>
      <c r="H509" s="113" t="str">
        <f t="shared" si="22"/>
        <v>OTHER</v>
      </c>
      <c r="I509" s="113" t="str">
        <f>INDEX('REGASSET Lookup'!$I:$I,MATCH('REGASSET Jun22data'!$A509,'REGASSET Lookup'!$A:$A,0))</f>
        <v>CUST</v>
      </c>
      <c r="J509" s="113" t="str">
        <f t="shared" si="23"/>
        <v>NO</v>
      </c>
      <c r="K509"/>
    </row>
    <row r="510" spans="1:11">
      <c r="A510" s="114" t="str">
        <f t="shared" si="21"/>
        <v>1823920DSR COSTS AMORTIZED103912ENERGY FINANSWER-WY-2015 CAT3OTHER</v>
      </c>
      <c r="B510" s="126" t="s">
        <v>2231</v>
      </c>
      <c r="C510" s="128" t="s">
        <v>695</v>
      </c>
      <c r="D510" s="126" t="s">
        <v>2659</v>
      </c>
      <c r="E510" s="128" t="s">
        <v>1109</v>
      </c>
      <c r="F510" s="127" t="s">
        <v>306</v>
      </c>
      <c r="G510" s="136">
        <v>42.907899999999998</v>
      </c>
      <c r="H510" s="113" t="str">
        <f t="shared" si="22"/>
        <v>OTHER</v>
      </c>
      <c r="I510" s="113" t="str">
        <f>INDEX('REGASSET Lookup'!$I:$I,MATCH('REGASSET Jun22data'!$A510,'REGASSET Lookup'!$A:$A,0))</f>
        <v>CUST</v>
      </c>
      <c r="J510" s="113" t="str">
        <f t="shared" si="23"/>
        <v>NO</v>
      </c>
      <c r="K510"/>
    </row>
    <row r="511" spans="1:11">
      <c r="A511" s="114" t="str">
        <f t="shared" si="21"/>
        <v>1823920DSR COSTS AMORTIZED103913HOME ENERGY EFF INCENT PROG Y-2015 CAT1OTHER</v>
      </c>
      <c r="B511" s="126" t="s">
        <v>2231</v>
      </c>
      <c r="C511" s="128" t="s">
        <v>695</v>
      </c>
      <c r="D511" s="126" t="s">
        <v>2660</v>
      </c>
      <c r="E511" s="128" t="s">
        <v>1110</v>
      </c>
      <c r="F511" s="127" t="s">
        <v>306</v>
      </c>
      <c r="G511" s="136">
        <v>1207.25532</v>
      </c>
      <c r="H511" s="113" t="str">
        <f t="shared" si="22"/>
        <v>OTHER</v>
      </c>
      <c r="I511" s="113" t="str">
        <f>INDEX('REGASSET Lookup'!$I:$I,MATCH('REGASSET Jun22data'!$A511,'REGASSET Lookup'!$A:$A,0))</f>
        <v>CUST</v>
      </c>
      <c r="J511" s="113" t="str">
        <f t="shared" si="23"/>
        <v>NO</v>
      </c>
      <c r="K511"/>
    </row>
    <row r="512" spans="1:11">
      <c r="A512" s="114" t="str">
        <f t="shared" si="21"/>
        <v>1823920DSR COSTS AMORTIZED103914INDUSTRIAL FINANSWER -WY 2015 CAT2OTHER</v>
      </c>
      <c r="B512" s="126" t="s">
        <v>2231</v>
      </c>
      <c r="C512" s="128" t="s">
        <v>695</v>
      </c>
      <c r="D512" s="126" t="s">
        <v>2661</v>
      </c>
      <c r="E512" s="128" t="s">
        <v>1111</v>
      </c>
      <c r="F512" s="127" t="s">
        <v>306</v>
      </c>
      <c r="G512" s="136">
        <v>1.9707300000000001</v>
      </c>
      <c r="H512" s="113" t="str">
        <f t="shared" si="22"/>
        <v>OTHER</v>
      </c>
      <c r="I512" s="113" t="str">
        <f>INDEX('REGASSET Lookup'!$I:$I,MATCH('REGASSET Jun22data'!$A512,'REGASSET Lookup'!$A:$A,0))</f>
        <v>CUST</v>
      </c>
      <c r="J512" s="113" t="str">
        <f t="shared" si="23"/>
        <v>NO</v>
      </c>
      <c r="K512"/>
    </row>
    <row r="513" spans="1:11">
      <c r="A513" s="114" t="str">
        <f t="shared" si="21"/>
        <v>1823920DSR COSTS AMORTIZED103915INDUSTRIAL FINANSWER-WY-2015 CAT3OTHER</v>
      </c>
      <c r="B513" s="126" t="s">
        <v>2231</v>
      </c>
      <c r="C513" s="128" t="s">
        <v>695</v>
      </c>
      <c r="D513" s="126" t="s">
        <v>2662</v>
      </c>
      <c r="E513" s="128" t="s">
        <v>1112</v>
      </c>
      <c r="F513" s="127" t="s">
        <v>306</v>
      </c>
      <c r="G513" s="136">
        <v>84.763649999999998</v>
      </c>
      <c r="H513" s="113" t="str">
        <f t="shared" si="22"/>
        <v>OTHER</v>
      </c>
      <c r="I513" s="113" t="str">
        <f>INDEX('REGASSET Lookup'!$I:$I,MATCH('REGASSET Jun22data'!$A513,'REGASSET Lookup'!$A:$A,0))</f>
        <v>CUST</v>
      </c>
      <c r="J513" s="113" t="str">
        <f t="shared" si="23"/>
        <v>NO</v>
      </c>
      <c r="K513"/>
    </row>
    <row r="514" spans="1:11">
      <c r="A514" s="114" t="str">
        <f t="shared" si="21"/>
        <v>1823920DSR COSTS AMORTIZED103916INDUSTRIAL FINAN EXPRESS WY-2015 CAT2OTHER</v>
      </c>
      <c r="B514" s="126" t="s">
        <v>2231</v>
      </c>
      <c r="C514" s="128" t="s">
        <v>695</v>
      </c>
      <c r="D514" s="126" t="s">
        <v>2663</v>
      </c>
      <c r="E514" s="128" t="s">
        <v>1113</v>
      </c>
      <c r="F514" s="127" t="s">
        <v>306</v>
      </c>
      <c r="G514" s="136">
        <v>9.3697800000000004</v>
      </c>
      <c r="H514" s="113" t="str">
        <f t="shared" si="22"/>
        <v>OTHER</v>
      </c>
      <c r="I514" s="113" t="str">
        <f>INDEX('REGASSET Lookup'!$I:$I,MATCH('REGASSET Jun22data'!$A514,'REGASSET Lookup'!$A:$A,0))</f>
        <v>CUST</v>
      </c>
      <c r="J514" s="113" t="str">
        <f t="shared" si="23"/>
        <v>NO</v>
      </c>
      <c r="K514"/>
    </row>
    <row r="515" spans="1:11">
      <c r="A515" s="114" t="str">
        <f t="shared" ref="A515:A578" si="24">CONCATENATE($B515,$C515,$D515,$E515,$H515)</f>
        <v>1823920DSR COSTS AMORTIZED103917INDUSTRIAL FINANSWER EXP WY-2015 CAT3OTHER</v>
      </c>
      <c r="B515" s="126" t="s">
        <v>2231</v>
      </c>
      <c r="C515" s="128" t="s">
        <v>695</v>
      </c>
      <c r="D515" s="126" t="s">
        <v>2664</v>
      </c>
      <c r="E515" s="128" t="s">
        <v>1114</v>
      </c>
      <c r="F515" s="127" t="s">
        <v>306</v>
      </c>
      <c r="G515" s="136">
        <v>3.1943199999999998</v>
      </c>
      <c r="H515" s="113" t="str">
        <f t="shared" ref="H515:H578" si="25">IF(OR(F515="IDU",F515="OR",F515="UT",F515="WYU",F515="WYP",F515="CA",F515="WA"),"SITUS",IF(OR(F515="CAEE",F515="JBE"),"SE",IF(OR(F515="CAGE",F515="CAGW",F515="JBG"),"SG",F515)))</f>
        <v>OTHER</v>
      </c>
      <c r="I515" s="113" t="str">
        <f>INDEX('REGASSET Lookup'!$I:$I,MATCH('REGASSET Jun22data'!$A515,'REGASSET Lookup'!$A:$A,0))</f>
        <v>CUST</v>
      </c>
      <c r="J515" s="113" t="str">
        <f t="shared" ref="J515:J578" si="26">IF(G515=0,"NO",IF(ISNA($I515),"YES",IF(_xlfn.ISFORMULA($I515),"NO","YES")))</f>
        <v>NO</v>
      </c>
      <c r="K515"/>
    </row>
    <row r="516" spans="1:11">
      <c r="A516" s="114" t="str">
        <f t="shared" si="24"/>
        <v>1823920DSR COSTS AMORTIZED103918LOW-INCOME WEATHERZTN - WY 2015 CAT1OTHER</v>
      </c>
      <c r="B516" s="126" t="s">
        <v>2231</v>
      </c>
      <c r="C516" s="128" t="s">
        <v>695</v>
      </c>
      <c r="D516" s="126" t="s">
        <v>2665</v>
      </c>
      <c r="E516" s="128" t="s">
        <v>1115</v>
      </c>
      <c r="F516" s="127" t="s">
        <v>306</v>
      </c>
      <c r="G516" s="136">
        <v>29.610939999999999</v>
      </c>
      <c r="H516" s="113" t="str">
        <f t="shared" si="25"/>
        <v>OTHER</v>
      </c>
      <c r="I516" s="113" t="str">
        <f>INDEX('REGASSET Lookup'!$I:$I,MATCH('REGASSET Jun22data'!$A516,'REGASSET Lookup'!$A:$A,0))</f>
        <v>CUST</v>
      </c>
      <c r="J516" s="113" t="str">
        <f t="shared" si="26"/>
        <v>NO</v>
      </c>
      <c r="K516"/>
    </row>
    <row r="517" spans="1:11">
      <c r="A517" s="114" t="str">
        <f t="shared" si="24"/>
        <v>1823920DSR COSTS AMORTIZED103919OUTREACH AND COMMUNICATION WATTSMT  WY-2OTHER</v>
      </c>
      <c r="B517" s="126" t="s">
        <v>2231</v>
      </c>
      <c r="C517" s="128" t="s">
        <v>695</v>
      </c>
      <c r="D517" s="126" t="s">
        <v>2666</v>
      </c>
      <c r="E517" s="128" t="s">
        <v>979</v>
      </c>
      <c r="F517" s="127" t="s">
        <v>306</v>
      </c>
      <c r="G517" s="136">
        <v>120.62633</v>
      </c>
      <c r="H517" s="113" t="str">
        <f t="shared" si="25"/>
        <v>OTHER</v>
      </c>
      <c r="I517" s="113" t="str">
        <f>INDEX('REGASSET Lookup'!$I:$I,MATCH('REGASSET Jun22data'!$A517,'REGASSET Lookup'!$A:$A,0))</f>
        <v>CUST</v>
      </c>
      <c r="J517" s="113" t="str">
        <f t="shared" si="26"/>
        <v>NO</v>
      </c>
      <c r="K517"/>
    </row>
    <row r="518" spans="1:11">
      <c r="A518" s="114" t="str">
        <f t="shared" si="24"/>
        <v>1823920DSR COSTS AMORTIZED103920PORTFOLIO WY-2015 CAT1OTHER</v>
      </c>
      <c r="B518" s="126" t="s">
        <v>2231</v>
      </c>
      <c r="C518" s="128" t="s">
        <v>695</v>
      </c>
      <c r="D518" s="126" t="s">
        <v>2667</v>
      </c>
      <c r="E518" s="128" t="s">
        <v>1116</v>
      </c>
      <c r="F518" s="127" t="s">
        <v>306</v>
      </c>
      <c r="G518" s="136">
        <v>70.861239999999995</v>
      </c>
      <c r="H518" s="113" t="str">
        <f t="shared" si="25"/>
        <v>OTHER</v>
      </c>
      <c r="I518" s="113" t="str">
        <f>INDEX('REGASSET Lookup'!$I:$I,MATCH('REGASSET Jun22data'!$A518,'REGASSET Lookup'!$A:$A,0))</f>
        <v>CUST</v>
      </c>
      <c r="J518" s="113" t="str">
        <f t="shared" si="26"/>
        <v>NO</v>
      </c>
      <c r="K518"/>
    </row>
    <row r="519" spans="1:11">
      <c r="A519" s="114" t="str">
        <f t="shared" si="24"/>
        <v>1823920DSR COSTS AMORTIZED103921PORTFOLIO WY-2015 CAT2OTHER</v>
      </c>
      <c r="B519" s="126" t="s">
        <v>2231</v>
      </c>
      <c r="C519" s="128" t="s">
        <v>695</v>
      </c>
      <c r="D519" s="126" t="s">
        <v>2668</v>
      </c>
      <c r="E519" s="128" t="s">
        <v>1117</v>
      </c>
      <c r="F519" s="127" t="s">
        <v>306</v>
      </c>
      <c r="G519" s="136">
        <v>29.47242</v>
      </c>
      <c r="H519" s="113" t="str">
        <f t="shared" si="25"/>
        <v>OTHER</v>
      </c>
      <c r="I519" s="113" t="str">
        <f>INDEX('REGASSET Lookup'!$I:$I,MATCH('REGASSET Jun22data'!$A519,'REGASSET Lookup'!$A:$A,0))</f>
        <v>CUST</v>
      </c>
      <c r="J519" s="113" t="str">
        <f t="shared" si="26"/>
        <v>NO</v>
      </c>
      <c r="K519"/>
    </row>
    <row r="520" spans="1:11">
      <c r="A520" s="114" t="str">
        <f t="shared" si="24"/>
        <v>1823920DSR COSTS AMORTIZED103922PORTFOLIO WY-2015 CAT3OTHER</v>
      </c>
      <c r="B520" s="126" t="s">
        <v>2231</v>
      </c>
      <c r="C520" s="128" t="s">
        <v>695</v>
      </c>
      <c r="D520" s="126" t="s">
        <v>2669</v>
      </c>
      <c r="E520" s="128" t="s">
        <v>1118</v>
      </c>
      <c r="F520" s="127" t="s">
        <v>306</v>
      </c>
      <c r="G520" s="136">
        <v>47.482419999999998</v>
      </c>
      <c r="H520" s="113" t="str">
        <f t="shared" si="25"/>
        <v>OTHER</v>
      </c>
      <c r="I520" s="113" t="str">
        <f>INDEX('REGASSET Lookup'!$I:$I,MATCH('REGASSET Jun22data'!$A520,'REGASSET Lookup'!$A:$A,0))</f>
        <v>CUST</v>
      </c>
      <c r="J520" s="113" t="str">
        <f t="shared" si="26"/>
        <v>NO</v>
      </c>
      <c r="K520"/>
    </row>
    <row r="521" spans="1:11">
      <c r="A521" s="114" t="str">
        <f t="shared" si="24"/>
        <v>1823920DSR COSTS AMORTIZED103923REFRIGERATOR RECYCLING-WY -2015 CAT1OTHER</v>
      </c>
      <c r="B521" s="126" t="s">
        <v>2231</v>
      </c>
      <c r="C521" s="128" t="s">
        <v>695</v>
      </c>
      <c r="D521" s="126" t="s">
        <v>2670</v>
      </c>
      <c r="E521" s="128" t="s">
        <v>1119</v>
      </c>
      <c r="F521" s="127" t="s">
        <v>306</v>
      </c>
      <c r="G521" s="136">
        <v>99.175210000000007</v>
      </c>
      <c r="H521" s="113" t="str">
        <f t="shared" si="25"/>
        <v>OTHER</v>
      </c>
      <c r="I521" s="113" t="str">
        <f>INDEX('REGASSET Lookup'!$I:$I,MATCH('REGASSET Jun22data'!$A521,'REGASSET Lookup'!$A:$A,0))</f>
        <v>CUST</v>
      </c>
      <c r="J521" s="113" t="str">
        <f t="shared" si="26"/>
        <v>NO</v>
      </c>
      <c r="K521"/>
    </row>
    <row r="522" spans="1:11">
      <c r="A522" s="114" t="str">
        <f t="shared" si="24"/>
        <v>1823920DSR COSTS AMORTIZED103925SELF DIRECT - COMMERCIAL -WY-2015 CAT3OTHER</v>
      </c>
      <c r="B522" s="126" t="s">
        <v>2231</v>
      </c>
      <c r="C522" s="128" t="s">
        <v>695</v>
      </c>
      <c r="D522" s="126" t="s">
        <v>2671</v>
      </c>
      <c r="E522" s="128" t="s">
        <v>1120</v>
      </c>
      <c r="F522" s="127" t="s">
        <v>306</v>
      </c>
      <c r="G522" s="136">
        <v>8.7150000000000005E-2</v>
      </c>
      <c r="H522" s="113" t="str">
        <f t="shared" si="25"/>
        <v>OTHER</v>
      </c>
      <c r="I522" s="113" t="str">
        <f>INDEX('REGASSET Lookup'!$I:$I,MATCH('REGASSET Jun22data'!$A522,'REGASSET Lookup'!$A:$A,0))</f>
        <v>CUST</v>
      </c>
      <c r="J522" s="113" t="str">
        <f t="shared" si="26"/>
        <v>NO</v>
      </c>
      <c r="K522"/>
    </row>
    <row r="523" spans="1:11">
      <c r="A523" s="114" t="str">
        <f t="shared" si="24"/>
        <v>1823920DSR COSTS AMORTIZED103927SELF DIRECT -INDUSTRIAL -WY-2015 CAT3OTHER</v>
      </c>
      <c r="B523" s="126" t="s">
        <v>2231</v>
      </c>
      <c r="C523" s="128" t="s">
        <v>695</v>
      </c>
      <c r="D523" s="126" t="s">
        <v>2672</v>
      </c>
      <c r="E523" s="128" t="s">
        <v>1121</v>
      </c>
      <c r="F523" s="127" t="s">
        <v>306</v>
      </c>
      <c r="G523" s="136">
        <v>0.58338999999999996</v>
      </c>
      <c r="H523" s="113" t="str">
        <f t="shared" si="25"/>
        <v>OTHER</v>
      </c>
      <c r="I523" s="113" t="str">
        <f>INDEX('REGASSET Lookup'!$I:$I,MATCH('REGASSET Jun22data'!$A523,'REGASSET Lookup'!$A:$A,0))</f>
        <v>CUST</v>
      </c>
      <c r="J523" s="113" t="str">
        <f t="shared" si="26"/>
        <v>NO</v>
      </c>
      <c r="K523"/>
    </row>
    <row r="524" spans="1:11">
      <c r="A524" s="114" t="str">
        <f t="shared" si="24"/>
        <v>1823920DSR COSTS AMORTIZED103928WSB - Wattsmart Business - WY Cat 2- 201OTHER</v>
      </c>
      <c r="B524" s="126" t="s">
        <v>2231</v>
      </c>
      <c r="C524" s="128" t="s">
        <v>695</v>
      </c>
      <c r="D524" s="126" t="s">
        <v>2673</v>
      </c>
      <c r="E524" s="128" t="s">
        <v>1071</v>
      </c>
      <c r="F524" s="127" t="s">
        <v>306</v>
      </c>
      <c r="G524" s="136">
        <v>639.16872999999998</v>
      </c>
      <c r="H524" s="113" t="str">
        <f t="shared" si="25"/>
        <v>OTHER</v>
      </c>
      <c r="I524" s="113" t="str">
        <f>INDEX('REGASSET Lookup'!$I:$I,MATCH('REGASSET Jun22data'!$A524,'REGASSET Lookup'!$A:$A,0))</f>
        <v>CUST</v>
      </c>
      <c r="J524" s="113" t="str">
        <f t="shared" si="26"/>
        <v>NO</v>
      </c>
      <c r="K524"/>
    </row>
    <row r="525" spans="1:11">
      <c r="A525" s="114" t="str">
        <f t="shared" si="24"/>
        <v>1823920DSR COSTS AMORTIZED103929WSB - Small Business Comm - WY Cat2 -201OTHER</v>
      </c>
      <c r="B525" s="126" t="s">
        <v>2231</v>
      </c>
      <c r="C525" s="128" t="s">
        <v>695</v>
      </c>
      <c r="D525" s="126" t="s">
        <v>2674</v>
      </c>
      <c r="E525" s="128" t="s">
        <v>1072</v>
      </c>
      <c r="F525" s="127" t="s">
        <v>306</v>
      </c>
      <c r="G525" s="136">
        <v>1070.6802600000001</v>
      </c>
      <c r="H525" s="113" t="str">
        <f t="shared" si="25"/>
        <v>OTHER</v>
      </c>
      <c r="I525" s="113" t="str">
        <f>INDEX('REGASSET Lookup'!$I:$I,MATCH('REGASSET Jun22data'!$A525,'REGASSET Lookup'!$A:$A,0))</f>
        <v>CUST</v>
      </c>
      <c r="J525" s="113" t="str">
        <f t="shared" si="26"/>
        <v>NO</v>
      </c>
      <c r="K525"/>
    </row>
    <row r="526" spans="1:11">
      <c r="A526" s="114" t="str">
        <f t="shared" si="24"/>
        <v>1823920DSR COSTS AMORTIZED103930WBS- Wattsmart Business Ind -WY Cat2-201OTHER</v>
      </c>
      <c r="B526" s="126" t="s">
        <v>2231</v>
      </c>
      <c r="C526" s="128" t="s">
        <v>695</v>
      </c>
      <c r="D526" s="126" t="s">
        <v>2675</v>
      </c>
      <c r="E526" s="128" t="s">
        <v>1122</v>
      </c>
      <c r="F526" s="127" t="s">
        <v>306</v>
      </c>
      <c r="G526" s="136">
        <v>286.47379999999998</v>
      </c>
      <c r="H526" s="113" t="str">
        <f t="shared" si="25"/>
        <v>OTHER</v>
      </c>
      <c r="I526" s="113" t="str">
        <f>INDEX('REGASSET Lookup'!$I:$I,MATCH('REGASSET Jun22data'!$A526,'REGASSET Lookup'!$A:$A,0))</f>
        <v>CUST</v>
      </c>
      <c r="J526" s="113" t="str">
        <f t="shared" si="26"/>
        <v>NO</v>
      </c>
      <c r="K526"/>
    </row>
    <row r="527" spans="1:11">
      <c r="A527" s="114" t="str">
        <f t="shared" si="24"/>
        <v>1823920DSR COSTS AMORTIZED103931HOME ENERGY REPORTING - WY 2015OTHER</v>
      </c>
      <c r="B527" s="126" t="s">
        <v>2231</v>
      </c>
      <c r="C527" s="128" t="s">
        <v>695</v>
      </c>
      <c r="D527" s="126" t="s">
        <v>2676</v>
      </c>
      <c r="E527" s="128" t="s">
        <v>1123</v>
      </c>
      <c r="F527" s="127" t="s">
        <v>306</v>
      </c>
      <c r="G527" s="136">
        <v>138.83637999999999</v>
      </c>
      <c r="H527" s="113" t="str">
        <f t="shared" si="25"/>
        <v>OTHER</v>
      </c>
      <c r="I527" s="113" t="str">
        <f>INDEX('REGASSET Lookup'!$I:$I,MATCH('REGASSET Jun22data'!$A527,'REGASSET Lookup'!$A:$A,0))</f>
        <v>CUST</v>
      </c>
      <c r="J527" s="113" t="str">
        <f t="shared" si="26"/>
        <v>NO</v>
      </c>
      <c r="K527"/>
    </row>
    <row r="528" spans="1:11">
      <c r="A528" s="114" t="str">
        <f t="shared" si="24"/>
        <v>1823920DSR COSTS AMORTIZED103932WSB- Wattsmart Business- WY Cat 3- 2015OTHER</v>
      </c>
      <c r="B528" s="126" t="s">
        <v>2231</v>
      </c>
      <c r="C528" s="128" t="s">
        <v>695</v>
      </c>
      <c r="D528" s="126" t="s">
        <v>2677</v>
      </c>
      <c r="E528" s="128" t="s">
        <v>1124</v>
      </c>
      <c r="F528" s="127" t="s">
        <v>306</v>
      </c>
      <c r="G528" s="136">
        <v>178.05016000000001</v>
      </c>
      <c r="H528" s="113" t="str">
        <f t="shared" si="25"/>
        <v>OTHER</v>
      </c>
      <c r="I528" s="113" t="str">
        <f>INDEX('REGASSET Lookup'!$I:$I,MATCH('REGASSET Jun22data'!$A528,'REGASSET Lookup'!$A:$A,0))</f>
        <v>CUST</v>
      </c>
      <c r="J528" s="113" t="str">
        <f t="shared" si="26"/>
        <v>NO</v>
      </c>
      <c r="K528"/>
    </row>
    <row r="529" spans="1:11">
      <c r="A529" s="114" t="str">
        <f t="shared" si="24"/>
        <v>1823920DSR COSTS AMORTIZED103933REFRIG RECYCLE COMM -WY 2015 CAT2OTHER</v>
      </c>
      <c r="B529" s="126" t="s">
        <v>2231</v>
      </c>
      <c r="C529" s="128" t="s">
        <v>695</v>
      </c>
      <c r="D529" s="126" t="s">
        <v>2678</v>
      </c>
      <c r="E529" s="128" t="s">
        <v>1125</v>
      </c>
      <c r="F529" s="127" t="s">
        <v>306</v>
      </c>
      <c r="G529" s="136">
        <v>0.9415</v>
      </c>
      <c r="H529" s="113" t="str">
        <f t="shared" si="25"/>
        <v>OTHER</v>
      </c>
      <c r="I529" s="113" t="str">
        <f>INDEX('REGASSET Lookup'!$I:$I,MATCH('REGASSET Jun22data'!$A529,'REGASSET Lookup'!$A:$A,0))</f>
        <v>CUST</v>
      </c>
      <c r="J529" s="113" t="str">
        <f t="shared" si="26"/>
        <v>NO</v>
      </c>
      <c r="K529"/>
    </row>
    <row r="530" spans="1:11">
      <c r="A530" s="114" t="str">
        <f t="shared" si="24"/>
        <v>1823920DSR COSTS AMORTIZED103934REFRIG RECYCLE COMM -WY 2015 CAT3OTHER</v>
      </c>
      <c r="B530" s="126" t="s">
        <v>2231</v>
      </c>
      <c r="C530" s="128" t="s">
        <v>695</v>
      </c>
      <c r="D530" s="126" t="s">
        <v>2679</v>
      </c>
      <c r="E530" s="128" t="s">
        <v>1126</v>
      </c>
      <c r="F530" s="127" t="s">
        <v>306</v>
      </c>
      <c r="G530" s="136">
        <v>0.70669999999999999</v>
      </c>
      <c r="H530" s="113" t="str">
        <f t="shared" si="25"/>
        <v>OTHER</v>
      </c>
      <c r="I530" s="113" t="str">
        <f>INDEX('REGASSET Lookup'!$I:$I,MATCH('REGASSET Jun22data'!$A530,'REGASSET Lookup'!$A:$A,0))</f>
        <v>CUST</v>
      </c>
      <c r="J530" s="113" t="str">
        <f t="shared" si="26"/>
        <v>NO</v>
      </c>
      <c r="K530"/>
    </row>
    <row r="531" spans="1:11">
      <c r="A531" s="114" t="str">
        <f t="shared" si="24"/>
        <v>1823920DSR COSTS AMORTIZED103935WSB Wattsmart Business Comm- WY Cat3 -20OTHER</v>
      </c>
      <c r="B531" s="126" t="s">
        <v>2231</v>
      </c>
      <c r="C531" s="128" t="s">
        <v>695</v>
      </c>
      <c r="D531" s="126" t="s">
        <v>2680</v>
      </c>
      <c r="E531" s="128" t="s">
        <v>1082</v>
      </c>
      <c r="F531" s="127" t="s">
        <v>306</v>
      </c>
      <c r="G531" s="136">
        <v>381.15552000000002</v>
      </c>
      <c r="H531" s="113" t="str">
        <f t="shared" si="25"/>
        <v>OTHER</v>
      </c>
      <c r="I531" s="113" t="str">
        <f>INDEX('REGASSET Lookup'!$I:$I,MATCH('REGASSET Jun22data'!$A531,'REGASSET Lookup'!$A:$A,0))</f>
        <v>CUST</v>
      </c>
      <c r="J531" s="113" t="str">
        <f t="shared" si="26"/>
        <v>NO</v>
      </c>
      <c r="K531"/>
    </row>
    <row r="532" spans="1:11">
      <c r="A532" s="114" t="str">
        <f t="shared" si="24"/>
        <v>1823920DSR COSTS AMORTIZED103936WBS- Wattsmart Bus Ind- WY Cat3-2015OTHER</v>
      </c>
      <c r="B532" s="126" t="s">
        <v>2231</v>
      </c>
      <c r="C532" s="128" t="s">
        <v>695</v>
      </c>
      <c r="D532" s="126" t="s">
        <v>2681</v>
      </c>
      <c r="E532" s="128" t="s">
        <v>1127</v>
      </c>
      <c r="F532" s="127" t="s">
        <v>306</v>
      </c>
      <c r="G532" s="136">
        <v>1486.6839600000001</v>
      </c>
      <c r="H532" s="113" t="str">
        <f t="shared" si="25"/>
        <v>OTHER</v>
      </c>
      <c r="I532" s="113" t="str">
        <f>INDEX('REGASSET Lookup'!$I:$I,MATCH('REGASSET Jun22data'!$A532,'REGASSET Lookup'!$A:$A,0))</f>
        <v>CUST</v>
      </c>
      <c r="J532" s="113" t="str">
        <f t="shared" si="26"/>
        <v>NO</v>
      </c>
      <c r="K532"/>
    </row>
    <row r="533" spans="1:11">
      <c r="A533" s="114" t="str">
        <f t="shared" si="24"/>
        <v>1823920DSR COSTS AMORTIZED103937WSB- Wattsmart Business Agric- WY Cat2 -OTHER</v>
      </c>
      <c r="B533" s="126" t="s">
        <v>2231</v>
      </c>
      <c r="C533" s="128" t="s">
        <v>695</v>
      </c>
      <c r="D533" s="126" t="s">
        <v>2682</v>
      </c>
      <c r="E533" s="128" t="s">
        <v>1128</v>
      </c>
      <c r="F533" s="127" t="s">
        <v>306</v>
      </c>
      <c r="G533" s="136">
        <v>17.503979999999999</v>
      </c>
      <c r="H533" s="113" t="str">
        <f t="shared" si="25"/>
        <v>OTHER</v>
      </c>
      <c r="I533" s="113" t="str">
        <f>INDEX('REGASSET Lookup'!$I:$I,MATCH('REGASSET Jun22data'!$A533,'REGASSET Lookup'!$A:$A,0))</f>
        <v>CUST</v>
      </c>
      <c r="J533" s="113" t="str">
        <f t="shared" si="26"/>
        <v>NO</v>
      </c>
      <c r="K533"/>
    </row>
    <row r="534" spans="1:11">
      <c r="A534" s="114" t="str">
        <f t="shared" si="24"/>
        <v>1823920DSR COSTS AMORTIZED103938WSB- Wattsmart Business Agric- WY Cat3 -OTHER</v>
      </c>
      <c r="B534" s="126" t="s">
        <v>2231</v>
      </c>
      <c r="C534" s="128" t="s">
        <v>695</v>
      </c>
      <c r="D534" s="126" t="s">
        <v>2683</v>
      </c>
      <c r="E534" s="128" t="s">
        <v>1129</v>
      </c>
      <c r="F534" s="127" t="s">
        <v>306</v>
      </c>
      <c r="G534" s="136">
        <v>7.1059999999999998E-2</v>
      </c>
      <c r="H534" s="113" t="str">
        <f t="shared" si="25"/>
        <v>OTHER</v>
      </c>
      <c r="I534" s="113" t="str">
        <f>INDEX('REGASSET Lookup'!$I:$I,MATCH('REGASSET Jun22data'!$A534,'REGASSET Lookup'!$A:$A,0))</f>
        <v>CUST</v>
      </c>
      <c r="J534" s="113" t="str">
        <f t="shared" si="26"/>
        <v>NO</v>
      </c>
      <c r="K534"/>
    </row>
    <row r="535" spans="1:11">
      <c r="A535" s="114" t="str">
        <f t="shared" si="24"/>
        <v>1823920DSR COSTS AMORTIZED103959COMMERCIAL ENERGY REPORTS-SMB -UT 2015OTHER</v>
      </c>
      <c r="B535" s="126" t="s">
        <v>2231</v>
      </c>
      <c r="C535" s="128" t="s">
        <v>695</v>
      </c>
      <c r="D535" s="126" t="s">
        <v>2684</v>
      </c>
      <c r="E535" s="128" t="s">
        <v>1130</v>
      </c>
      <c r="F535" s="127" t="s">
        <v>306</v>
      </c>
      <c r="G535" s="136">
        <v>3.12845</v>
      </c>
      <c r="H535" s="113" t="str">
        <f t="shared" si="25"/>
        <v>OTHER</v>
      </c>
      <c r="I535" s="113" t="str">
        <f>INDEX('REGASSET Lookup'!$I:$I,MATCH('REGASSET Jun22data'!$A535,'REGASSET Lookup'!$A:$A,0))</f>
        <v>CUST</v>
      </c>
      <c r="J535" s="113" t="str">
        <f t="shared" si="26"/>
        <v>NO</v>
      </c>
      <c r="K535"/>
    </row>
    <row r="536" spans="1:11">
      <c r="A536" s="114" t="str">
        <f t="shared" si="24"/>
        <v>1823920DSR COSTS AMORTIZED103962Portfolio - EM&amp;V C&amp;I - ID- 2015OTHER</v>
      </c>
      <c r="B536" s="126" t="s">
        <v>2231</v>
      </c>
      <c r="C536" s="128" t="s">
        <v>695</v>
      </c>
      <c r="D536" s="126" t="s">
        <v>2685</v>
      </c>
      <c r="E536" s="128" t="s">
        <v>1131</v>
      </c>
      <c r="F536" s="127" t="s">
        <v>306</v>
      </c>
      <c r="G536" s="136">
        <v>2.4565199999999998</v>
      </c>
      <c r="H536" s="113" t="str">
        <f t="shared" si="25"/>
        <v>OTHER</v>
      </c>
      <c r="I536" s="113" t="str">
        <f>INDEX('REGASSET Lookup'!$I:$I,MATCH('REGASSET Jun22data'!$A536,'REGASSET Lookup'!$A:$A,0))</f>
        <v>CUST</v>
      </c>
      <c r="J536" s="113" t="str">
        <f t="shared" si="26"/>
        <v>NO</v>
      </c>
      <c r="K536"/>
    </row>
    <row r="537" spans="1:11">
      <c r="A537" s="114" t="str">
        <f t="shared" si="24"/>
        <v>1823920DSR COSTS AMORTIZED103963Portfolio - EM&amp;V RES - ID- 2015OTHER</v>
      </c>
      <c r="B537" s="126" t="s">
        <v>2231</v>
      </c>
      <c r="C537" s="128" t="s">
        <v>695</v>
      </c>
      <c r="D537" s="126" t="s">
        <v>2686</v>
      </c>
      <c r="E537" s="128" t="s">
        <v>1132</v>
      </c>
      <c r="F537" s="127" t="s">
        <v>306</v>
      </c>
      <c r="G537" s="136">
        <v>41.308979999999998</v>
      </c>
      <c r="H537" s="113" t="str">
        <f t="shared" si="25"/>
        <v>OTHER</v>
      </c>
      <c r="I537" s="113" t="str">
        <f>INDEX('REGASSET Lookup'!$I:$I,MATCH('REGASSET Jun22data'!$A537,'REGASSET Lookup'!$A:$A,0))</f>
        <v>CUST</v>
      </c>
      <c r="J537" s="113" t="str">
        <f t="shared" si="26"/>
        <v>NO</v>
      </c>
      <c r="K537"/>
    </row>
    <row r="538" spans="1:11">
      <c r="A538" s="114" t="str">
        <f t="shared" si="24"/>
        <v>1823920DSR COSTS AMORTIZED104013CALIFORNIA DSM EXPENSE - 2016OTHER</v>
      </c>
      <c r="B538" s="126" t="s">
        <v>2231</v>
      </c>
      <c r="C538" s="128" t="s">
        <v>695</v>
      </c>
      <c r="D538" s="126" t="s">
        <v>3382</v>
      </c>
      <c r="E538" s="128" t="s">
        <v>1133</v>
      </c>
      <c r="F538" s="127" t="s">
        <v>306</v>
      </c>
      <c r="G538" s="136">
        <v>1.0000000000000001E-5</v>
      </c>
      <c r="H538" s="113" t="str">
        <f t="shared" si="25"/>
        <v>OTHER</v>
      </c>
      <c r="I538" s="113" t="str">
        <f>INDEX('REGASSET Lookup'!$I:$I,MATCH('REGASSET Jun22data'!$A538,'REGASSET Lookup'!$A:$A,0))</f>
        <v>CUST</v>
      </c>
      <c r="J538" s="113" t="str">
        <f t="shared" si="26"/>
        <v>NO</v>
      </c>
      <c r="K538"/>
    </row>
    <row r="539" spans="1:11">
      <c r="A539" s="114" t="str">
        <f t="shared" si="24"/>
        <v>1823920DSR COSTS AMORTIZED104015HOME ENERGY REPORTING - ID 2016OTHER</v>
      </c>
      <c r="B539" s="126" t="s">
        <v>2231</v>
      </c>
      <c r="C539" s="128" t="s">
        <v>695</v>
      </c>
      <c r="D539" s="126" t="s">
        <v>2687</v>
      </c>
      <c r="E539" s="128" t="s">
        <v>1134</v>
      </c>
      <c r="F539" s="127" t="s">
        <v>306</v>
      </c>
      <c r="G539" s="136">
        <v>94.087389999999999</v>
      </c>
      <c r="H539" s="113" t="str">
        <f t="shared" si="25"/>
        <v>OTHER</v>
      </c>
      <c r="I539" s="113" t="str">
        <f>INDEX('REGASSET Lookup'!$I:$I,MATCH('REGASSET Jun22data'!$A539,'REGASSET Lookup'!$A:$A,0))</f>
        <v>CUST</v>
      </c>
      <c r="J539" s="113" t="str">
        <f t="shared" si="26"/>
        <v>NO</v>
      </c>
      <c r="K539"/>
    </row>
    <row r="540" spans="1:11">
      <c r="A540" s="114" t="str">
        <f t="shared" si="24"/>
        <v>1823920DSR COSTS AMORTIZED104018OUTREACH AND COMMUNICATION  ID-2016OTHER</v>
      </c>
      <c r="B540" s="126" t="s">
        <v>2231</v>
      </c>
      <c r="C540" s="128" t="s">
        <v>695</v>
      </c>
      <c r="D540" s="126" t="s">
        <v>2688</v>
      </c>
      <c r="E540" s="128" t="s">
        <v>1135</v>
      </c>
      <c r="F540" s="127" t="s">
        <v>306</v>
      </c>
      <c r="G540" s="136">
        <v>98.463830000000002</v>
      </c>
      <c r="H540" s="113" t="str">
        <f t="shared" si="25"/>
        <v>OTHER</v>
      </c>
      <c r="I540" s="113" t="str">
        <f>INDEX('REGASSET Lookup'!$I:$I,MATCH('REGASSET Jun22data'!$A540,'REGASSET Lookup'!$A:$A,0))</f>
        <v>CUST</v>
      </c>
      <c r="J540" s="113" t="str">
        <f t="shared" si="26"/>
        <v>NO</v>
      </c>
      <c r="K540"/>
    </row>
    <row r="541" spans="1:11">
      <c r="A541" s="114" t="str">
        <f t="shared" si="24"/>
        <v>1823920DSR COSTS AMORTIZED104019PORTFOLIO - IDAHO 2016OTHER</v>
      </c>
      <c r="B541" s="126" t="s">
        <v>2231</v>
      </c>
      <c r="C541" s="128" t="s">
        <v>695</v>
      </c>
      <c r="D541" s="126" t="s">
        <v>2689</v>
      </c>
      <c r="E541" s="128" t="s">
        <v>1136</v>
      </c>
      <c r="F541" s="127" t="s">
        <v>306</v>
      </c>
      <c r="G541" s="136">
        <v>5.7778499999999999</v>
      </c>
      <c r="H541" s="113" t="str">
        <f t="shared" si="25"/>
        <v>OTHER</v>
      </c>
      <c r="I541" s="113" t="str">
        <f>INDEX('REGASSET Lookup'!$I:$I,MATCH('REGASSET Jun22data'!$A541,'REGASSET Lookup'!$A:$A,0))</f>
        <v>CUST</v>
      </c>
      <c r="J541" s="113" t="str">
        <f t="shared" si="26"/>
        <v>NO</v>
      </c>
      <c r="K541"/>
    </row>
    <row r="542" spans="1:11">
      <c r="A542" s="114" t="str">
        <f t="shared" si="24"/>
        <v>1823920DSR COSTS AMORTIZED104020Portfolio - EM&amp;V C&amp;I - ID- 2016OTHER</v>
      </c>
      <c r="B542" s="126" t="s">
        <v>2231</v>
      </c>
      <c r="C542" s="128" t="s">
        <v>695</v>
      </c>
      <c r="D542" s="126" t="s">
        <v>2690</v>
      </c>
      <c r="E542" s="128" t="s">
        <v>1137</v>
      </c>
      <c r="F542" s="127" t="s">
        <v>306</v>
      </c>
      <c r="G542" s="136">
        <v>165.88249999999999</v>
      </c>
      <c r="H542" s="113" t="str">
        <f t="shared" si="25"/>
        <v>OTHER</v>
      </c>
      <c r="I542" s="113" t="str">
        <f>INDEX('REGASSET Lookup'!$I:$I,MATCH('REGASSET Jun22data'!$A542,'REGASSET Lookup'!$A:$A,0))</f>
        <v>CUST</v>
      </c>
      <c r="J542" s="113" t="str">
        <f t="shared" si="26"/>
        <v>NO</v>
      </c>
      <c r="K542"/>
    </row>
    <row r="543" spans="1:11">
      <c r="A543" s="114" t="str">
        <f t="shared" si="24"/>
        <v>1823920DSR COSTS AMORTIZED104021Portfolio - EM&amp;V RES - ID- 2016OTHER</v>
      </c>
      <c r="B543" s="126" t="s">
        <v>2231</v>
      </c>
      <c r="C543" s="128" t="s">
        <v>695</v>
      </c>
      <c r="D543" s="126" t="s">
        <v>2691</v>
      </c>
      <c r="E543" s="128" t="s">
        <v>1138</v>
      </c>
      <c r="F543" s="127" t="s">
        <v>306</v>
      </c>
      <c r="G543" s="136">
        <v>164.61161000000001</v>
      </c>
      <c r="H543" s="113" t="str">
        <f t="shared" si="25"/>
        <v>OTHER</v>
      </c>
      <c r="I543" s="113" t="str">
        <f>INDEX('REGASSET Lookup'!$I:$I,MATCH('REGASSET Jun22data'!$A543,'REGASSET Lookup'!$A:$A,0))</f>
        <v>CUST</v>
      </c>
      <c r="J543" s="113" t="str">
        <f t="shared" si="26"/>
        <v>NO</v>
      </c>
      <c r="K543"/>
    </row>
    <row r="544" spans="1:11">
      <c r="A544" s="114" t="str">
        <f t="shared" si="24"/>
        <v>1823920DSR COSTS AMORTIZED104023WSB Small Business Comm - ID-2016OTHER</v>
      </c>
      <c r="B544" s="126" t="s">
        <v>2231</v>
      </c>
      <c r="C544" s="128" t="s">
        <v>695</v>
      </c>
      <c r="D544" s="126" t="s">
        <v>2692</v>
      </c>
      <c r="E544" s="128" t="s">
        <v>1139</v>
      </c>
      <c r="F544" s="127" t="s">
        <v>306</v>
      </c>
      <c r="G544" s="136">
        <v>1392.49982</v>
      </c>
      <c r="H544" s="113" t="str">
        <f t="shared" si="25"/>
        <v>OTHER</v>
      </c>
      <c r="I544" s="113" t="str">
        <f>INDEX('REGASSET Lookup'!$I:$I,MATCH('REGASSET Jun22data'!$A544,'REGASSET Lookup'!$A:$A,0))</f>
        <v>CUST</v>
      </c>
      <c r="J544" s="113" t="str">
        <f t="shared" si="26"/>
        <v>NO</v>
      </c>
      <c r="K544"/>
    </row>
    <row r="545" spans="1:11">
      <c r="A545" s="114" t="str">
        <f t="shared" si="24"/>
        <v>1823920DSR COSTS AMORTIZED104024WSB Small Business Ind - ID 2016OTHER</v>
      </c>
      <c r="B545" s="126" t="s">
        <v>2231</v>
      </c>
      <c r="C545" s="128" t="s">
        <v>695</v>
      </c>
      <c r="D545" s="126" t="s">
        <v>2693</v>
      </c>
      <c r="E545" s="128" t="s">
        <v>1140</v>
      </c>
      <c r="F545" s="127" t="s">
        <v>306</v>
      </c>
      <c r="G545" s="136">
        <v>220.06164000000001</v>
      </c>
      <c r="H545" s="113" t="str">
        <f t="shared" si="25"/>
        <v>OTHER</v>
      </c>
      <c r="I545" s="113" t="str">
        <f>INDEX('REGASSET Lookup'!$I:$I,MATCH('REGASSET Jun22data'!$A545,'REGASSET Lookup'!$A:$A,0))</f>
        <v>CUST</v>
      </c>
      <c r="J545" s="113" t="str">
        <f t="shared" si="26"/>
        <v>NO</v>
      </c>
      <c r="K545"/>
    </row>
    <row r="546" spans="1:11">
      <c r="A546" s="114" t="str">
        <f t="shared" si="24"/>
        <v>1823920DSR COSTS AMORTIZED104025WSB - WATTSMART BUSINESS - ID- 2016OTHER</v>
      </c>
      <c r="B546" s="126" t="s">
        <v>2231</v>
      </c>
      <c r="C546" s="128" t="s">
        <v>695</v>
      </c>
      <c r="D546" s="126" t="s">
        <v>2694</v>
      </c>
      <c r="E546" s="128" t="s">
        <v>1141</v>
      </c>
      <c r="F546" s="127" t="s">
        <v>306</v>
      </c>
      <c r="G546" s="136">
        <v>606.84477000000004</v>
      </c>
      <c r="H546" s="113" t="str">
        <f t="shared" si="25"/>
        <v>OTHER</v>
      </c>
      <c r="I546" s="113" t="str">
        <f>INDEX('REGASSET Lookup'!$I:$I,MATCH('REGASSET Jun22data'!$A546,'REGASSET Lookup'!$A:$A,0))</f>
        <v>CUST</v>
      </c>
      <c r="J546" s="113" t="str">
        <f t="shared" si="26"/>
        <v>NO</v>
      </c>
      <c r="K546"/>
    </row>
    <row r="547" spans="1:11">
      <c r="A547" s="114" t="str">
        <f t="shared" si="24"/>
        <v>1823920DSR COSTS AMORTIZED104026WSB Wattsmart Business Agric - ID-2016OTHER</v>
      </c>
      <c r="B547" s="126" t="s">
        <v>2231</v>
      </c>
      <c r="C547" s="128" t="s">
        <v>695</v>
      </c>
      <c r="D547" s="126" t="s">
        <v>2695</v>
      </c>
      <c r="E547" s="128" t="s">
        <v>1142</v>
      </c>
      <c r="F547" s="127" t="s">
        <v>306</v>
      </c>
      <c r="G547" s="136">
        <v>311.15789000000001</v>
      </c>
      <c r="H547" s="113" t="str">
        <f t="shared" si="25"/>
        <v>OTHER</v>
      </c>
      <c r="I547" s="113" t="str">
        <f>INDEX('REGASSET Lookup'!$I:$I,MATCH('REGASSET Jun22data'!$A547,'REGASSET Lookup'!$A:$A,0))</f>
        <v>CUST</v>
      </c>
      <c r="J547" s="113" t="str">
        <f t="shared" si="26"/>
        <v>NO</v>
      </c>
      <c r="K547"/>
    </row>
    <row r="548" spans="1:11">
      <c r="A548" s="114" t="str">
        <f t="shared" si="24"/>
        <v>1823920DSR COSTS AMORTIZED104027A/C LOAD CONTROL - RESIDENTIAL/UTAH - 20OTHER</v>
      </c>
      <c r="B548" s="126" t="s">
        <v>2231</v>
      </c>
      <c r="C548" s="128" t="s">
        <v>695</v>
      </c>
      <c r="D548" s="126" t="s">
        <v>2696</v>
      </c>
      <c r="E548" s="128" t="s">
        <v>772</v>
      </c>
      <c r="F548" s="127" t="s">
        <v>306</v>
      </c>
      <c r="G548" s="136">
        <v>4956.9313000000002</v>
      </c>
      <c r="H548" s="113" t="str">
        <f t="shared" si="25"/>
        <v>OTHER</v>
      </c>
      <c r="I548" s="113" t="str">
        <f>INDEX('REGASSET Lookup'!$I:$I,MATCH('REGASSET Jun22data'!$A548,'REGASSET Lookup'!$A:$A,0))</f>
        <v>CUST</v>
      </c>
      <c r="J548" s="113" t="str">
        <f t="shared" si="26"/>
        <v>NO</v>
      </c>
      <c r="K548"/>
    </row>
    <row r="549" spans="1:11">
      <c r="A549" s="114" t="str">
        <f t="shared" si="24"/>
        <v>1823920DSR COSTS AMORTIZED104029HOME ENERGY EFF INCENTIVE PROG - UT 2016OTHER</v>
      </c>
      <c r="B549" s="126" t="s">
        <v>2231</v>
      </c>
      <c r="C549" s="128" t="s">
        <v>695</v>
      </c>
      <c r="D549" s="126" t="s">
        <v>2697</v>
      </c>
      <c r="E549" s="128" t="s">
        <v>1143</v>
      </c>
      <c r="F549" s="127" t="s">
        <v>306</v>
      </c>
      <c r="G549" s="136">
        <v>12571.77735</v>
      </c>
      <c r="H549" s="113" t="str">
        <f t="shared" si="25"/>
        <v>OTHER</v>
      </c>
      <c r="I549" s="113" t="str">
        <f>INDEX('REGASSET Lookup'!$I:$I,MATCH('REGASSET Jun22data'!$A549,'REGASSET Lookup'!$A:$A,0))</f>
        <v>CUST</v>
      </c>
      <c r="J549" s="113" t="str">
        <f t="shared" si="26"/>
        <v>NO</v>
      </c>
      <c r="K549"/>
    </row>
    <row r="550" spans="1:11">
      <c r="A550" s="114" t="str">
        <f t="shared" si="24"/>
        <v>1823920DSR COSTS AMORTIZED104030HOME ENERGY REPORTING - UT 2016OTHER</v>
      </c>
      <c r="B550" s="126" t="s">
        <v>2231</v>
      </c>
      <c r="C550" s="128" t="s">
        <v>695</v>
      </c>
      <c r="D550" s="126" t="s">
        <v>2698</v>
      </c>
      <c r="E550" s="128" t="s">
        <v>1144</v>
      </c>
      <c r="F550" s="127" t="s">
        <v>306</v>
      </c>
      <c r="G550" s="136">
        <v>2335.3649799999998</v>
      </c>
      <c r="H550" s="113" t="str">
        <f t="shared" si="25"/>
        <v>OTHER</v>
      </c>
      <c r="I550" s="113" t="str">
        <f>INDEX('REGASSET Lookup'!$I:$I,MATCH('REGASSET Jun22data'!$A550,'REGASSET Lookup'!$A:$A,0))</f>
        <v>CUST</v>
      </c>
      <c r="J550" s="113" t="str">
        <f t="shared" si="26"/>
        <v>NO</v>
      </c>
      <c r="K550"/>
    </row>
    <row r="551" spans="1:11">
      <c r="A551" s="114" t="str">
        <f t="shared" si="24"/>
        <v>1823920DSR COSTS AMORTIZED104031IRRIGATION LOAD CONTROL  - UTAH - 2016OTHER</v>
      </c>
      <c r="B551" s="126" t="s">
        <v>2231</v>
      </c>
      <c r="C551" s="128" t="s">
        <v>695</v>
      </c>
      <c r="D551" s="126" t="s">
        <v>2699</v>
      </c>
      <c r="E551" s="128" t="s">
        <v>1145</v>
      </c>
      <c r="F551" s="127" t="s">
        <v>306</v>
      </c>
      <c r="G551" s="136">
        <v>429.74952000000002</v>
      </c>
      <c r="H551" s="113" t="str">
        <f t="shared" si="25"/>
        <v>OTHER</v>
      </c>
      <c r="I551" s="113" t="str">
        <f>INDEX('REGASSET Lookup'!$I:$I,MATCH('REGASSET Jun22data'!$A551,'REGASSET Lookup'!$A:$A,0))</f>
        <v>CUST</v>
      </c>
      <c r="J551" s="113" t="str">
        <f t="shared" si="26"/>
        <v>NO</v>
      </c>
      <c r="K551"/>
    </row>
    <row r="552" spans="1:11">
      <c r="A552" s="114" t="str">
        <f t="shared" si="24"/>
        <v>1823920DSR COSTS AMORTIZED104032LOW INCOME - UTAH - 2016OTHER</v>
      </c>
      <c r="B552" s="126" t="s">
        <v>2231</v>
      </c>
      <c r="C552" s="128" t="s">
        <v>695</v>
      </c>
      <c r="D552" s="126" t="s">
        <v>2700</v>
      </c>
      <c r="E552" s="128" t="s">
        <v>1146</v>
      </c>
      <c r="F552" s="127" t="s">
        <v>306</v>
      </c>
      <c r="G552" s="136">
        <v>58.891030000000001</v>
      </c>
      <c r="H552" s="113" t="str">
        <f t="shared" si="25"/>
        <v>OTHER</v>
      </c>
      <c r="I552" s="113" t="str">
        <f>INDEX('REGASSET Lookup'!$I:$I,MATCH('REGASSET Jun22data'!$A552,'REGASSET Lookup'!$A:$A,0))</f>
        <v>CUST</v>
      </c>
      <c r="J552" s="113" t="str">
        <f t="shared" si="26"/>
        <v>NO</v>
      </c>
      <c r="K552"/>
    </row>
    <row r="553" spans="1:11">
      <c r="A553" s="114" t="str">
        <f t="shared" si="24"/>
        <v>1823920DSR COSTS AMORTIZED104033OUTREACH and COMMUNICATIONS - UT 2016OTHER</v>
      </c>
      <c r="B553" s="126" t="s">
        <v>2231</v>
      </c>
      <c r="C553" s="128" t="s">
        <v>695</v>
      </c>
      <c r="D553" s="126" t="s">
        <v>2701</v>
      </c>
      <c r="E553" s="128" t="s">
        <v>1147</v>
      </c>
      <c r="F553" s="127" t="s">
        <v>306</v>
      </c>
      <c r="G553" s="136">
        <v>1312.53</v>
      </c>
      <c r="H553" s="113" t="str">
        <f t="shared" si="25"/>
        <v>OTHER</v>
      </c>
      <c r="I553" s="113" t="str">
        <f>INDEX('REGASSET Lookup'!$I:$I,MATCH('REGASSET Jun22data'!$A553,'REGASSET Lookup'!$A:$A,0))</f>
        <v>CUST</v>
      </c>
      <c r="J553" s="113" t="str">
        <f t="shared" si="26"/>
        <v>NO</v>
      </c>
      <c r="K553"/>
    </row>
    <row r="554" spans="1:11">
      <c r="A554" s="114" t="str">
        <f t="shared" si="24"/>
        <v>1823920DSR COSTS AMORTIZED104034PORTFOLIO - UTAH 2016OTHER</v>
      </c>
      <c r="B554" s="126" t="s">
        <v>2231</v>
      </c>
      <c r="C554" s="128" t="s">
        <v>695</v>
      </c>
      <c r="D554" s="126" t="s">
        <v>2702</v>
      </c>
      <c r="E554" s="128" t="s">
        <v>1148</v>
      </c>
      <c r="F554" s="127" t="s">
        <v>306</v>
      </c>
      <c r="G554" s="136">
        <v>164.42179999999999</v>
      </c>
      <c r="H554" s="113" t="str">
        <f t="shared" si="25"/>
        <v>OTHER</v>
      </c>
      <c r="I554" s="113" t="str">
        <f>INDEX('REGASSET Lookup'!$I:$I,MATCH('REGASSET Jun22data'!$A554,'REGASSET Lookup'!$A:$A,0))</f>
        <v>CUST</v>
      </c>
      <c r="J554" s="113" t="str">
        <f t="shared" si="26"/>
        <v>NO</v>
      </c>
      <c r="K554"/>
    </row>
    <row r="555" spans="1:11">
      <c r="A555" s="114" t="str">
        <f t="shared" si="24"/>
        <v>1823920DSR COSTS AMORTIZED104035REFRIGERATOR RECYCLING PGM- UTAH - 2016OTHER</v>
      </c>
      <c r="B555" s="126" t="s">
        <v>2231</v>
      </c>
      <c r="C555" s="128" t="s">
        <v>695</v>
      </c>
      <c r="D555" s="126" t="s">
        <v>2703</v>
      </c>
      <c r="E555" s="128" t="s">
        <v>1149</v>
      </c>
      <c r="F555" s="127" t="s">
        <v>306</v>
      </c>
      <c r="G555" s="136">
        <v>182.22494</v>
      </c>
      <c r="H555" s="113" t="str">
        <f t="shared" si="25"/>
        <v>OTHER</v>
      </c>
      <c r="I555" s="113" t="str">
        <f>INDEX('REGASSET Lookup'!$I:$I,MATCH('REGASSET Jun22data'!$A555,'REGASSET Lookup'!$A:$A,0))</f>
        <v>CUST</v>
      </c>
      <c r="J555" s="113" t="str">
        <f t="shared" si="26"/>
        <v>NO</v>
      </c>
      <c r="K555"/>
    </row>
    <row r="556" spans="1:11">
      <c r="A556" s="114" t="str">
        <f t="shared" si="24"/>
        <v>1823920DSR COSTS AMORTIZED104036RESIDENTIAL NEW CONSTRUCTION - UTAH - 20OTHER</v>
      </c>
      <c r="B556" s="126" t="s">
        <v>2231</v>
      </c>
      <c r="C556" s="128" t="s">
        <v>695</v>
      </c>
      <c r="D556" s="126" t="s">
        <v>2704</v>
      </c>
      <c r="E556" s="128" t="s">
        <v>757</v>
      </c>
      <c r="F556" s="127" t="s">
        <v>306</v>
      </c>
      <c r="G556" s="136">
        <v>1565.4318000000001</v>
      </c>
      <c r="H556" s="113" t="str">
        <f t="shared" si="25"/>
        <v>OTHER</v>
      </c>
      <c r="I556" s="113" t="str">
        <f>INDEX('REGASSET Lookup'!$I:$I,MATCH('REGASSET Jun22data'!$A556,'REGASSET Lookup'!$A:$A,0))</f>
        <v>CUST</v>
      </c>
      <c r="J556" s="113" t="str">
        <f t="shared" si="26"/>
        <v>NO</v>
      </c>
      <c r="K556"/>
    </row>
    <row r="557" spans="1:11">
      <c r="A557" s="114" t="str">
        <f t="shared" si="24"/>
        <v>1823920DSR COSTS AMORTIZED104037COMMERCIAL (WSB) WATTSMART BUS - UT- 201OTHER</v>
      </c>
      <c r="B557" s="126" t="s">
        <v>2231</v>
      </c>
      <c r="C557" s="128" t="s">
        <v>695</v>
      </c>
      <c r="D557" s="126" t="s">
        <v>2705</v>
      </c>
      <c r="E557" s="128" t="s">
        <v>1043</v>
      </c>
      <c r="F557" s="127" t="s">
        <v>306</v>
      </c>
      <c r="G557" s="136">
        <v>20226.021410000001</v>
      </c>
      <c r="H557" s="113" t="str">
        <f t="shared" si="25"/>
        <v>OTHER</v>
      </c>
      <c r="I557" s="113" t="str">
        <f>INDEX('REGASSET Lookup'!$I:$I,MATCH('REGASSET Jun22data'!$A557,'REGASSET Lookup'!$A:$A,0))</f>
        <v>CUST</v>
      </c>
      <c r="J557" s="113" t="str">
        <f t="shared" si="26"/>
        <v>NO</v>
      </c>
      <c r="K557"/>
    </row>
    <row r="558" spans="1:11">
      <c r="A558" s="114" t="str">
        <f t="shared" si="24"/>
        <v>1823920DSR COSTS AMORTIZED104038INDUSTRIAL (WSB) WATTSMART BUS- UT- 2016OTHER</v>
      </c>
      <c r="B558" s="126" t="s">
        <v>2231</v>
      </c>
      <c r="C558" s="128" t="s">
        <v>695</v>
      </c>
      <c r="D558" s="126" t="s">
        <v>2706</v>
      </c>
      <c r="E558" s="128" t="s">
        <v>1150</v>
      </c>
      <c r="F558" s="127" t="s">
        <v>306</v>
      </c>
      <c r="G558" s="136">
        <v>10333.15</v>
      </c>
      <c r="H558" s="113" t="str">
        <f t="shared" si="25"/>
        <v>OTHER</v>
      </c>
      <c r="I558" s="113" t="str">
        <f>INDEX('REGASSET Lookup'!$I:$I,MATCH('REGASSET Jun22data'!$A558,'REGASSET Lookup'!$A:$A,0))</f>
        <v>CUST</v>
      </c>
      <c r="J558" s="113" t="str">
        <f t="shared" si="26"/>
        <v>NO</v>
      </c>
      <c r="K558"/>
    </row>
    <row r="559" spans="1:11">
      <c r="A559" s="114" t="str">
        <f t="shared" si="24"/>
        <v>1823920DSR COSTS AMORTIZED104039WSB Small Business Comm- UT-2016OTHER</v>
      </c>
      <c r="B559" s="126" t="s">
        <v>2231</v>
      </c>
      <c r="C559" s="128" t="s">
        <v>695</v>
      </c>
      <c r="D559" s="126" t="s">
        <v>2707</v>
      </c>
      <c r="E559" s="128" t="s">
        <v>1151</v>
      </c>
      <c r="F559" s="127" t="s">
        <v>306</v>
      </c>
      <c r="G559" s="136">
        <v>113.69498</v>
      </c>
      <c r="H559" s="113" t="str">
        <f t="shared" si="25"/>
        <v>OTHER</v>
      </c>
      <c r="I559" s="113" t="str">
        <f>INDEX('REGASSET Lookup'!$I:$I,MATCH('REGASSET Jun22data'!$A559,'REGASSET Lookup'!$A:$A,0))</f>
        <v>CUST</v>
      </c>
      <c r="J559" s="113" t="str">
        <f t="shared" si="26"/>
        <v>NO</v>
      </c>
      <c r="K559"/>
    </row>
    <row r="560" spans="1:11">
      <c r="A560" s="114" t="str">
        <f t="shared" si="24"/>
        <v>1823920DSR COSTS AMORTIZED104041WSB - WATTSMART BUS- UT- 2016OTHER</v>
      </c>
      <c r="B560" s="126" t="s">
        <v>2231</v>
      </c>
      <c r="C560" s="128" t="s">
        <v>695</v>
      </c>
      <c r="D560" s="126" t="s">
        <v>2708</v>
      </c>
      <c r="E560" s="128" t="s">
        <v>1152</v>
      </c>
      <c r="F560" s="127" t="s">
        <v>306</v>
      </c>
      <c r="G560" s="136">
        <v>5307.5627299999996</v>
      </c>
      <c r="H560" s="113" t="str">
        <f t="shared" si="25"/>
        <v>OTHER</v>
      </c>
      <c r="I560" s="113" t="str">
        <f>INDEX('REGASSET Lookup'!$I:$I,MATCH('REGASSET Jun22data'!$A560,'REGASSET Lookup'!$A:$A,0))</f>
        <v>CUST</v>
      </c>
      <c r="J560" s="113" t="str">
        <f t="shared" si="26"/>
        <v>NO</v>
      </c>
      <c r="K560"/>
    </row>
    <row r="561" spans="1:11">
      <c r="A561" s="114" t="str">
        <f t="shared" si="24"/>
        <v>1823920DSR COSTS AMORTIZED104042AGRICULTURAL (WSB) WATTSMART BUS- UT- 20OTHER</v>
      </c>
      <c r="B561" s="126" t="s">
        <v>2231</v>
      </c>
      <c r="C561" s="128" t="s">
        <v>695</v>
      </c>
      <c r="D561" s="126" t="s">
        <v>2709</v>
      </c>
      <c r="E561" s="128" t="s">
        <v>1046</v>
      </c>
      <c r="F561" s="127" t="s">
        <v>306</v>
      </c>
      <c r="G561" s="136">
        <v>1098.96389</v>
      </c>
      <c r="H561" s="113" t="str">
        <f t="shared" si="25"/>
        <v>OTHER</v>
      </c>
      <c r="I561" s="113" t="str">
        <f>INDEX('REGASSET Lookup'!$I:$I,MATCH('REGASSET Jun22data'!$A561,'REGASSET Lookup'!$A:$A,0))</f>
        <v>CUST</v>
      </c>
      <c r="J561" s="113" t="str">
        <f t="shared" si="26"/>
        <v>NO</v>
      </c>
      <c r="K561"/>
    </row>
    <row r="562" spans="1:11">
      <c r="A562" s="114" t="str">
        <f t="shared" si="24"/>
        <v>1823920DSR COSTS AMORTIZED104043U.of Utah Student Energy Sponsorship- UTOTHER</v>
      </c>
      <c r="B562" s="126" t="s">
        <v>2231</v>
      </c>
      <c r="C562" s="128" t="s">
        <v>695</v>
      </c>
      <c r="D562" s="126" t="s">
        <v>2710</v>
      </c>
      <c r="E562" s="128" t="s">
        <v>985</v>
      </c>
      <c r="F562" s="127" t="s">
        <v>306</v>
      </c>
      <c r="G562" s="136">
        <v>5.3305199999999999</v>
      </c>
      <c r="H562" s="113" t="str">
        <f t="shared" si="25"/>
        <v>OTHER</v>
      </c>
      <c r="I562" s="113" t="str">
        <f>INDEX('REGASSET Lookup'!$I:$I,MATCH('REGASSET Jun22data'!$A562,'REGASSET Lookup'!$A:$A,0))</f>
        <v>CUST</v>
      </c>
      <c r="J562" s="113" t="str">
        <f t="shared" si="26"/>
        <v>NO</v>
      </c>
      <c r="K562"/>
    </row>
    <row r="563" spans="1:11">
      <c r="A563" s="114" t="str">
        <f t="shared" si="24"/>
        <v>1823920DSR COSTS AMORTIZED104044HOME ENERGY REPORTING - WY 2016OTHER</v>
      </c>
      <c r="B563" s="126" t="s">
        <v>2231</v>
      </c>
      <c r="C563" s="128" t="s">
        <v>695</v>
      </c>
      <c r="D563" s="126" t="s">
        <v>2711</v>
      </c>
      <c r="E563" s="128" t="s">
        <v>1153</v>
      </c>
      <c r="F563" s="127" t="s">
        <v>306</v>
      </c>
      <c r="G563" s="136">
        <v>93.839259999999996</v>
      </c>
      <c r="H563" s="113" t="str">
        <f t="shared" si="25"/>
        <v>OTHER</v>
      </c>
      <c r="I563" s="113" t="str">
        <f>INDEX('REGASSET Lookup'!$I:$I,MATCH('REGASSET Jun22data'!$A563,'REGASSET Lookup'!$A:$A,0))</f>
        <v>CUST</v>
      </c>
      <c r="J563" s="113" t="str">
        <f t="shared" si="26"/>
        <v>NO</v>
      </c>
      <c r="K563"/>
    </row>
    <row r="564" spans="1:11">
      <c r="A564" s="114" t="str">
        <f t="shared" si="24"/>
        <v>1823920DSR COSTS AMORTIZED104045HOME ENERGY EFF INCENT PROG Y-2016 CAT1OTHER</v>
      </c>
      <c r="B564" s="126" t="s">
        <v>2231</v>
      </c>
      <c r="C564" s="128" t="s">
        <v>695</v>
      </c>
      <c r="D564" s="126" t="s">
        <v>2712</v>
      </c>
      <c r="E564" s="128" t="s">
        <v>1154</v>
      </c>
      <c r="F564" s="127" t="s">
        <v>306</v>
      </c>
      <c r="G564" s="136">
        <v>659.04978000000006</v>
      </c>
      <c r="H564" s="113" t="str">
        <f t="shared" si="25"/>
        <v>OTHER</v>
      </c>
      <c r="I564" s="113" t="str">
        <f>INDEX('REGASSET Lookup'!$I:$I,MATCH('REGASSET Jun22data'!$A564,'REGASSET Lookup'!$A:$A,0))</f>
        <v>CUST</v>
      </c>
      <c r="J564" s="113" t="str">
        <f t="shared" si="26"/>
        <v>NO</v>
      </c>
      <c r="K564"/>
    </row>
    <row r="565" spans="1:11">
      <c r="A565" s="114" t="str">
        <f t="shared" si="24"/>
        <v>1823920DSR COSTS AMORTIZED104046LOW-INCOME WEATHERZTN - WY 2016 CAT1OTHER</v>
      </c>
      <c r="B565" s="126" t="s">
        <v>2231</v>
      </c>
      <c r="C565" s="128" t="s">
        <v>695</v>
      </c>
      <c r="D565" s="126" t="s">
        <v>2713</v>
      </c>
      <c r="E565" s="128" t="s">
        <v>1155</v>
      </c>
      <c r="F565" s="127" t="s">
        <v>306</v>
      </c>
      <c r="G565" s="136">
        <v>14.43304</v>
      </c>
      <c r="H565" s="113" t="str">
        <f t="shared" si="25"/>
        <v>OTHER</v>
      </c>
      <c r="I565" s="113" t="str">
        <f>INDEX('REGASSET Lookup'!$I:$I,MATCH('REGASSET Jun22data'!$A565,'REGASSET Lookup'!$A:$A,0))</f>
        <v>CUST</v>
      </c>
      <c r="J565" s="113" t="str">
        <f t="shared" si="26"/>
        <v>NO</v>
      </c>
      <c r="K565"/>
    </row>
    <row r="566" spans="1:11">
      <c r="A566" s="114" t="str">
        <f t="shared" si="24"/>
        <v>1823920DSR COSTS AMORTIZED104047OUTREACH AND COMMUNICATION WATTSMT  WY-2OTHER</v>
      </c>
      <c r="B566" s="126" t="s">
        <v>2231</v>
      </c>
      <c r="C566" s="128" t="s">
        <v>695</v>
      </c>
      <c r="D566" s="126" t="s">
        <v>2714</v>
      </c>
      <c r="E566" s="128" t="s">
        <v>979</v>
      </c>
      <c r="F566" s="127" t="s">
        <v>306</v>
      </c>
      <c r="G566" s="136">
        <v>79.419359999999998</v>
      </c>
      <c r="H566" s="113" t="str">
        <f t="shared" si="25"/>
        <v>OTHER</v>
      </c>
      <c r="I566" s="113" t="str">
        <f>INDEX('REGASSET Lookup'!$I:$I,MATCH('REGASSET Jun22data'!$A566,'REGASSET Lookup'!$A:$A,0))</f>
        <v>CUST</v>
      </c>
      <c r="J566" s="113" t="str">
        <f t="shared" si="26"/>
        <v>NO</v>
      </c>
      <c r="K566"/>
    </row>
    <row r="567" spans="1:11">
      <c r="A567" s="114" t="str">
        <f t="shared" si="24"/>
        <v>1823920DSR COSTS AMORTIZED104048PORTFOLIO WY-2016 CAT1OTHER</v>
      </c>
      <c r="B567" s="126" t="s">
        <v>2231</v>
      </c>
      <c r="C567" s="128" t="s">
        <v>695</v>
      </c>
      <c r="D567" s="126" t="s">
        <v>2715</v>
      </c>
      <c r="E567" s="128" t="s">
        <v>1156</v>
      </c>
      <c r="F567" s="127" t="s">
        <v>306</v>
      </c>
      <c r="G567" s="136">
        <v>131.45639</v>
      </c>
      <c r="H567" s="113" t="str">
        <f t="shared" si="25"/>
        <v>OTHER</v>
      </c>
      <c r="I567" s="113" t="str">
        <f>INDEX('REGASSET Lookup'!$I:$I,MATCH('REGASSET Jun22data'!$A567,'REGASSET Lookup'!$A:$A,0))</f>
        <v>CUST</v>
      </c>
      <c r="J567" s="113" t="str">
        <f t="shared" si="26"/>
        <v>NO</v>
      </c>
      <c r="K567"/>
    </row>
    <row r="568" spans="1:11">
      <c r="A568" s="114" t="str">
        <f t="shared" si="24"/>
        <v>1823920DSR COSTS AMORTIZED104049PORTFOLIO WY-2016 CAT2OTHER</v>
      </c>
      <c r="B568" s="126" t="s">
        <v>2231</v>
      </c>
      <c r="C568" s="128" t="s">
        <v>695</v>
      </c>
      <c r="D568" s="126" t="s">
        <v>2716</v>
      </c>
      <c r="E568" s="128" t="s">
        <v>1157</v>
      </c>
      <c r="F568" s="127" t="s">
        <v>306</v>
      </c>
      <c r="G568" s="136">
        <v>37.161940000000001</v>
      </c>
      <c r="H568" s="113" t="str">
        <f t="shared" si="25"/>
        <v>OTHER</v>
      </c>
      <c r="I568" s="113" t="str">
        <f>INDEX('REGASSET Lookup'!$I:$I,MATCH('REGASSET Jun22data'!$A568,'REGASSET Lookup'!$A:$A,0))</f>
        <v>CUST</v>
      </c>
      <c r="J568" s="113" t="str">
        <f t="shared" si="26"/>
        <v>NO</v>
      </c>
      <c r="K568"/>
    </row>
    <row r="569" spans="1:11">
      <c r="A569" s="114" t="str">
        <f t="shared" si="24"/>
        <v>1823920DSR COSTS AMORTIZED104050PORTFOLIO WY-2016 CAT3OTHER</v>
      </c>
      <c r="B569" s="126" t="s">
        <v>2231</v>
      </c>
      <c r="C569" s="128" t="s">
        <v>695</v>
      </c>
      <c r="D569" s="126" t="s">
        <v>2717</v>
      </c>
      <c r="E569" s="128" t="s">
        <v>1158</v>
      </c>
      <c r="F569" s="127" t="s">
        <v>306</v>
      </c>
      <c r="G569" s="136">
        <v>44.546979999999998</v>
      </c>
      <c r="H569" s="113" t="str">
        <f t="shared" si="25"/>
        <v>OTHER</v>
      </c>
      <c r="I569" s="113" t="str">
        <f>INDEX('REGASSET Lookup'!$I:$I,MATCH('REGASSET Jun22data'!$A569,'REGASSET Lookup'!$A:$A,0))</f>
        <v>CUST</v>
      </c>
      <c r="J569" s="113" t="str">
        <f t="shared" si="26"/>
        <v>NO</v>
      </c>
      <c r="K569"/>
    </row>
    <row r="570" spans="1:11">
      <c r="A570" s="114" t="str">
        <f t="shared" si="24"/>
        <v>1823920DSR COSTS AMORTIZED104051REFRIGERATOR RECYCLING-WY -2016 CAT1OTHER</v>
      </c>
      <c r="B570" s="126" t="s">
        <v>2231</v>
      </c>
      <c r="C570" s="128" t="s">
        <v>695</v>
      </c>
      <c r="D570" s="126" t="s">
        <v>2718</v>
      </c>
      <c r="E570" s="128" t="s">
        <v>1159</v>
      </c>
      <c r="F570" s="127" t="s">
        <v>306</v>
      </c>
      <c r="G570" s="136">
        <v>15.974970000000001</v>
      </c>
      <c r="H570" s="113" t="str">
        <f t="shared" si="25"/>
        <v>OTHER</v>
      </c>
      <c r="I570" s="113" t="str">
        <f>INDEX('REGASSET Lookup'!$I:$I,MATCH('REGASSET Jun22data'!$A570,'REGASSET Lookup'!$A:$A,0))</f>
        <v>CUST</v>
      </c>
      <c r="J570" s="113" t="str">
        <f t="shared" si="26"/>
        <v>NO</v>
      </c>
      <c r="K570"/>
    </row>
    <row r="571" spans="1:11">
      <c r="A571" s="114" t="str">
        <f t="shared" si="24"/>
        <v>1823920DSR COSTS AMORTIZED104052REFRIG RECYCLE COMM -WY 2016 CAT2OTHER</v>
      </c>
      <c r="B571" s="126" t="s">
        <v>2231</v>
      </c>
      <c r="C571" s="128" t="s">
        <v>695</v>
      </c>
      <c r="D571" s="126" t="s">
        <v>2719</v>
      </c>
      <c r="E571" s="128" t="s">
        <v>1160</v>
      </c>
      <c r="F571" s="127" t="s">
        <v>306</v>
      </c>
      <c r="G571" s="136">
        <v>1.1307199999999999</v>
      </c>
      <c r="H571" s="113" t="str">
        <f t="shared" si="25"/>
        <v>OTHER</v>
      </c>
      <c r="I571" s="113" t="str">
        <f>INDEX('REGASSET Lookup'!$I:$I,MATCH('REGASSET Jun22data'!$A571,'REGASSET Lookup'!$A:$A,0))</f>
        <v>CUST</v>
      </c>
      <c r="J571" s="113" t="str">
        <f t="shared" si="26"/>
        <v>NO</v>
      </c>
      <c r="K571"/>
    </row>
    <row r="572" spans="1:11">
      <c r="A572" s="114" t="str">
        <f t="shared" si="24"/>
        <v>1823920DSR COSTS AMORTIZED104053REFRIG RECYCLE COMM -WY 2016 CAT3OTHER</v>
      </c>
      <c r="B572" s="126" t="s">
        <v>2231</v>
      </c>
      <c r="C572" s="128" t="s">
        <v>695</v>
      </c>
      <c r="D572" s="126" t="s">
        <v>2720</v>
      </c>
      <c r="E572" s="128" t="s">
        <v>1161</v>
      </c>
      <c r="F572" s="127" t="s">
        <v>306</v>
      </c>
      <c r="G572" s="136">
        <v>-0.70669999999999999</v>
      </c>
      <c r="H572" s="113" t="str">
        <f t="shared" si="25"/>
        <v>OTHER</v>
      </c>
      <c r="I572" s="113" t="str">
        <f>INDEX('REGASSET Lookup'!$I:$I,MATCH('REGASSET Jun22data'!$A572,'REGASSET Lookup'!$A:$A,0))</f>
        <v>CUST</v>
      </c>
      <c r="J572" s="113" t="str">
        <f t="shared" si="26"/>
        <v>NO</v>
      </c>
      <c r="K572"/>
    </row>
    <row r="573" spans="1:11">
      <c r="A573" s="114" t="str">
        <f t="shared" si="24"/>
        <v>1823920DSR COSTS AMORTIZED104054WSB- Wattsmart Bus Comm- WY Cat2 -2016OTHER</v>
      </c>
      <c r="B573" s="126" t="s">
        <v>2231</v>
      </c>
      <c r="C573" s="128" t="s">
        <v>695</v>
      </c>
      <c r="D573" s="126" t="s">
        <v>2721</v>
      </c>
      <c r="E573" s="128" t="s">
        <v>1162</v>
      </c>
      <c r="F573" s="127" t="s">
        <v>306</v>
      </c>
      <c r="G573" s="136">
        <v>1448.56258</v>
      </c>
      <c r="H573" s="113" t="str">
        <f t="shared" si="25"/>
        <v>OTHER</v>
      </c>
      <c r="I573" s="113" t="str">
        <f>INDEX('REGASSET Lookup'!$I:$I,MATCH('REGASSET Jun22data'!$A573,'REGASSET Lookup'!$A:$A,0))</f>
        <v>CUST</v>
      </c>
      <c r="J573" s="113" t="str">
        <f t="shared" si="26"/>
        <v>NO</v>
      </c>
      <c r="K573"/>
    </row>
    <row r="574" spans="1:11">
      <c r="A574" s="114" t="str">
        <f t="shared" si="24"/>
        <v>1823920DSR COSTS AMORTIZED104055WBS- Wattsmart Business Ind -WY Cat2-201OTHER</v>
      </c>
      <c r="B574" s="126" t="s">
        <v>2231</v>
      </c>
      <c r="C574" s="128" t="s">
        <v>695</v>
      </c>
      <c r="D574" s="126" t="s">
        <v>2722</v>
      </c>
      <c r="E574" s="128" t="s">
        <v>1122</v>
      </c>
      <c r="F574" s="127" t="s">
        <v>306</v>
      </c>
      <c r="G574" s="136">
        <v>192.61528000000001</v>
      </c>
      <c r="H574" s="113" t="str">
        <f t="shared" si="25"/>
        <v>OTHER</v>
      </c>
      <c r="I574" s="113" t="str">
        <f>INDEX('REGASSET Lookup'!$I:$I,MATCH('REGASSET Jun22data'!$A574,'REGASSET Lookup'!$A:$A,0))</f>
        <v>CUST</v>
      </c>
      <c r="J574" s="113" t="str">
        <f t="shared" si="26"/>
        <v>NO</v>
      </c>
      <c r="K574"/>
    </row>
    <row r="575" spans="1:11">
      <c r="A575" s="114" t="str">
        <f t="shared" si="24"/>
        <v>1823920DSR COSTS AMORTIZED104056WSB - Wattsmart Business - WY Cat 2- 201OTHER</v>
      </c>
      <c r="B575" s="126" t="s">
        <v>2231</v>
      </c>
      <c r="C575" s="128" t="s">
        <v>695</v>
      </c>
      <c r="D575" s="126" t="s">
        <v>2723</v>
      </c>
      <c r="E575" s="128" t="s">
        <v>1071</v>
      </c>
      <c r="F575" s="127" t="s">
        <v>306</v>
      </c>
      <c r="G575" s="136">
        <v>911.89212999999995</v>
      </c>
      <c r="H575" s="113" t="str">
        <f t="shared" si="25"/>
        <v>OTHER</v>
      </c>
      <c r="I575" s="113" t="str">
        <f>INDEX('REGASSET Lookup'!$I:$I,MATCH('REGASSET Jun22data'!$A575,'REGASSET Lookup'!$A:$A,0))</f>
        <v>CUST</v>
      </c>
      <c r="J575" s="113" t="str">
        <f t="shared" si="26"/>
        <v>NO</v>
      </c>
      <c r="K575"/>
    </row>
    <row r="576" spans="1:11">
      <c r="A576" s="114" t="str">
        <f t="shared" si="24"/>
        <v>1823920DSR COSTS AMORTIZED104057WSB Wattsmart Business Comm- WY Cat3 -20OTHER</v>
      </c>
      <c r="B576" s="126" t="s">
        <v>2231</v>
      </c>
      <c r="C576" s="128" t="s">
        <v>695</v>
      </c>
      <c r="D576" s="126" t="s">
        <v>2724</v>
      </c>
      <c r="E576" s="128" t="s">
        <v>1082</v>
      </c>
      <c r="F576" s="127" t="s">
        <v>306</v>
      </c>
      <c r="G576" s="136">
        <v>467.38661000000002</v>
      </c>
      <c r="H576" s="113" t="str">
        <f t="shared" si="25"/>
        <v>OTHER</v>
      </c>
      <c r="I576" s="113" t="str">
        <f>INDEX('REGASSET Lookup'!$I:$I,MATCH('REGASSET Jun22data'!$A576,'REGASSET Lookup'!$A:$A,0))</f>
        <v>CUST</v>
      </c>
      <c r="J576" s="113" t="str">
        <f t="shared" si="26"/>
        <v>NO</v>
      </c>
      <c r="K576"/>
    </row>
    <row r="577" spans="1:11">
      <c r="A577" s="114" t="str">
        <f t="shared" si="24"/>
        <v>1823920DSR COSTS AMORTIZED104058WBS- Wattsmart Bus Ind- WY Cat3-2016OTHER</v>
      </c>
      <c r="B577" s="126" t="s">
        <v>2231</v>
      </c>
      <c r="C577" s="128" t="s">
        <v>695</v>
      </c>
      <c r="D577" s="126" t="s">
        <v>2725</v>
      </c>
      <c r="E577" s="128" t="s">
        <v>1163</v>
      </c>
      <c r="F577" s="127" t="s">
        <v>306</v>
      </c>
      <c r="G577" s="136">
        <v>1238.6295700000001</v>
      </c>
      <c r="H577" s="113" t="str">
        <f t="shared" si="25"/>
        <v>OTHER</v>
      </c>
      <c r="I577" s="113" t="str">
        <f>INDEX('REGASSET Lookup'!$I:$I,MATCH('REGASSET Jun22data'!$A577,'REGASSET Lookup'!$A:$A,0))</f>
        <v>CUST</v>
      </c>
      <c r="J577" s="113" t="str">
        <f t="shared" si="26"/>
        <v>NO</v>
      </c>
      <c r="K577"/>
    </row>
    <row r="578" spans="1:11">
      <c r="A578" s="114" t="str">
        <f t="shared" si="24"/>
        <v>1823920DSR COSTS AMORTIZED104059WSB- Wattsmart Business Agric- WY Cat2 -OTHER</v>
      </c>
      <c r="B578" s="126" t="s">
        <v>2231</v>
      </c>
      <c r="C578" s="128" t="s">
        <v>695</v>
      </c>
      <c r="D578" s="126" t="s">
        <v>2726</v>
      </c>
      <c r="E578" s="128" t="s">
        <v>1128</v>
      </c>
      <c r="F578" s="127" t="s">
        <v>306</v>
      </c>
      <c r="G578" s="136">
        <v>4.3329500000000003</v>
      </c>
      <c r="H578" s="113" t="str">
        <f t="shared" si="25"/>
        <v>OTHER</v>
      </c>
      <c r="I578" s="113" t="str">
        <f>INDEX('REGASSET Lookup'!$I:$I,MATCH('REGASSET Jun22data'!$A578,'REGASSET Lookup'!$A:$A,0))</f>
        <v>CUST</v>
      </c>
      <c r="J578" s="113" t="str">
        <f t="shared" si="26"/>
        <v>NO</v>
      </c>
      <c r="K578"/>
    </row>
    <row r="579" spans="1:11">
      <c r="A579" s="114" t="str">
        <f t="shared" ref="A579:A642" si="27">CONCATENATE($B579,$C579,$D579,$E579,$H579)</f>
        <v>1823920DSR COSTS AMORTIZED104060WSB- Wattsmart Business Agric- WY Cat3 -OTHER</v>
      </c>
      <c r="B579" s="126" t="s">
        <v>2231</v>
      </c>
      <c r="C579" s="128" t="s">
        <v>695</v>
      </c>
      <c r="D579" s="126" t="s">
        <v>2727</v>
      </c>
      <c r="E579" s="128" t="s">
        <v>1129</v>
      </c>
      <c r="F579" s="127" t="s">
        <v>306</v>
      </c>
      <c r="G579" s="136">
        <v>2.21347</v>
      </c>
      <c r="H579" s="113" t="str">
        <f t="shared" ref="H579:H642" si="28">IF(OR(F579="IDU",F579="OR",F579="UT",F579="WYU",F579="WYP",F579="CA",F579="WA"),"SITUS",IF(OR(F579="CAEE",F579="JBE"),"SE",IF(OR(F579="CAGE",F579="CAGW",F579="JBG"),"SG",F579)))</f>
        <v>OTHER</v>
      </c>
      <c r="I579" s="113" t="str">
        <f>INDEX('REGASSET Lookup'!$I:$I,MATCH('REGASSET Jun22data'!$A579,'REGASSET Lookup'!$A:$A,0))</f>
        <v>CUST</v>
      </c>
      <c r="J579" s="113" t="str">
        <f t="shared" ref="J579:J642" si="29">IF(G579=0,"NO",IF(ISNA($I579),"YES",IF(_xlfn.ISFORMULA($I579),"NO","YES")))</f>
        <v>NO</v>
      </c>
      <c r="K579"/>
    </row>
    <row r="580" spans="1:11">
      <c r="A580" s="114" t="str">
        <f t="shared" si="27"/>
        <v>1823920DSR COSTS AMORTIZED104061WSB- Wattsmart Business- WY Cat 3- 2016OTHER</v>
      </c>
      <c r="B580" s="126" t="s">
        <v>2231</v>
      </c>
      <c r="C580" s="128" t="s">
        <v>695</v>
      </c>
      <c r="D580" s="126" t="s">
        <v>2728</v>
      </c>
      <c r="E580" s="128" t="s">
        <v>1164</v>
      </c>
      <c r="F580" s="127" t="s">
        <v>306</v>
      </c>
      <c r="G580" s="136">
        <v>602.48880999999994</v>
      </c>
      <c r="H580" s="113" t="str">
        <f t="shared" si="28"/>
        <v>OTHER</v>
      </c>
      <c r="I580" s="113" t="str">
        <f>INDEX('REGASSET Lookup'!$I:$I,MATCH('REGASSET Jun22data'!$A580,'REGASSET Lookup'!$A:$A,0))</f>
        <v>CUST</v>
      </c>
      <c r="J580" s="113" t="str">
        <f t="shared" si="29"/>
        <v>NO</v>
      </c>
      <c r="K580"/>
    </row>
    <row r="581" spans="1:11">
      <c r="A581" s="114" t="str">
        <f t="shared" si="27"/>
        <v>1823920DSR COSTS AMORTIZED104080OUTREACH &amp; COMM WATTSMT WY-2016 CAT2OTHER</v>
      </c>
      <c r="B581" s="126" t="s">
        <v>2231</v>
      </c>
      <c r="C581" s="128" t="s">
        <v>695</v>
      </c>
      <c r="D581" s="126" t="s">
        <v>2729</v>
      </c>
      <c r="E581" s="128" t="s">
        <v>1165</v>
      </c>
      <c r="F581" s="127" t="s">
        <v>306</v>
      </c>
      <c r="G581" s="136">
        <v>44.464550000000003</v>
      </c>
      <c r="H581" s="113" t="str">
        <f t="shared" si="28"/>
        <v>OTHER</v>
      </c>
      <c r="I581" s="113" t="str">
        <f>INDEX('REGASSET Lookup'!$I:$I,MATCH('REGASSET Jun22data'!$A581,'REGASSET Lookup'!$A:$A,0))</f>
        <v>CUST</v>
      </c>
      <c r="J581" s="113" t="str">
        <f t="shared" si="29"/>
        <v>NO</v>
      </c>
      <c r="K581"/>
    </row>
    <row r="582" spans="1:11">
      <c r="A582" s="114" t="str">
        <f t="shared" si="27"/>
        <v>1823920DSR COSTS AMORTIZED104081OUTREACH &amp; COMM WATTSMT WY-2016 CAT3OTHER</v>
      </c>
      <c r="B582" s="126" t="s">
        <v>2231</v>
      </c>
      <c r="C582" s="128" t="s">
        <v>695</v>
      </c>
      <c r="D582" s="126" t="s">
        <v>2730</v>
      </c>
      <c r="E582" s="128" t="s">
        <v>1166</v>
      </c>
      <c r="F582" s="127" t="s">
        <v>306</v>
      </c>
      <c r="G582" s="136">
        <v>42.077210000000001</v>
      </c>
      <c r="H582" s="113" t="str">
        <f t="shared" si="28"/>
        <v>OTHER</v>
      </c>
      <c r="I582" s="113" t="str">
        <f>INDEX('REGASSET Lookup'!$I:$I,MATCH('REGASSET Jun22data'!$A582,'REGASSET Lookup'!$A:$A,0))</f>
        <v>CUST</v>
      </c>
      <c r="J582" s="113" t="str">
        <f t="shared" si="29"/>
        <v>NO</v>
      </c>
      <c r="K582"/>
    </row>
    <row r="583" spans="1:11">
      <c r="A583" s="114" t="str">
        <f t="shared" si="27"/>
        <v>1823920DSR COSTS AMORTIZED104109WA DSM - 186055 Clear Acct BalanceOTHER</v>
      </c>
      <c r="B583" s="126" t="s">
        <v>2231</v>
      </c>
      <c r="C583" s="128" t="s">
        <v>695</v>
      </c>
      <c r="D583" s="126" t="s">
        <v>2731</v>
      </c>
      <c r="E583" s="128" t="s">
        <v>1167</v>
      </c>
      <c r="F583" s="127" t="s">
        <v>306</v>
      </c>
      <c r="G583" s="136">
        <v>-840.74851000000001</v>
      </c>
      <c r="H583" s="113" t="str">
        <f t="shared" si="28"/>
        <v>OTHER</v>
      </c>
      <c r="I583" s="113" t="str">
        <f>INDEX('REGASSET Lookup'!$I:$I,MATCH('REGASSET Jun22data'!$A583,'REGASSET Lookup'!$A:$A,0))</f>
        <v>CUST</v>
      </c>
      <c r="J583" s="113" t="str">
        <f t="shared" si="29"/>
        <v>NO</v>
      </c>
      <c r="K583"/>
    </row>
    <row r="584" spans="1:11">
      <c r="A584" s="114" t="str">
        <f t="shared" si="27"/>
        <v>1823920DSR COSTS AMORTIZED104110ID DSM - 186025 Clear Acct BalanceOTHER</v>
      </c>
      <c r="B584" s="126" t="s">
        <v>2231</v>
      </c>
      <c r="C584" s="128" t="s">
        <v>695</v>
      </c>
      <c r="D584" s="126" t="s">
        <v>2732</v>
      </c>
      <c r="E584" s="128" t="s">
        <v>1168</v>
      </c>
      <c r="F584" s="127" t="s">
        <v>306</v>
      </c>
      <c r="G584" s="136">
        <v>397.83625999999998</v>
      </c>
      <c r="H584" s="113" t="str">
        <f t="shared" si="28"/>
        <v>OTHER</v>
      </c>
      <c r="I584" s="113" t="str">
        <f>INDEX('REGASSET Lookup'!$I:$I,MATCH('REGASSET Jun22data'!$A584,'REGASSET Lookup'!$A:$A,0))</f>
        <v>CUST</v>
      </c>
      <c r="J584" s="113" t="str">
        <f t="shared" si="29"/>
        <v>NO</v>
      </c>
      <c r="K584"/>
    </row>
    <row r="585" spans="1:11">
      <c r="A585" s="114" t="str">
        <f t="shared" si="27"/>
        <v>1823920DSR COSTS AMORTIZED104111WY DSM - 186065 Clear Acct BalanceOTHER</v>
      </c>
      <c r="B585" s="126" t="s">
        <v>2231</v>
      </c>
      <c r="C585" s="128" t="s">
        <v>695</v>
      </c>
      <c r="D585" s="126" t="s">
        <v>2733</v>
      </c>
      <c r="E585" s="128" t="s">
        <v>1169</v>
      </c>
      <c r="F585" s="127" t="s">
        <v>306</v>
      </c>
      <c r="G585" s="136">
        <v>-1404.86526</v>
      </c>
      <c r="H585" s="113" t="str">
        <f t="shared" si="28"/>
        <v>OTHER</v>
      </c>
      <c r="I585" s="113" t="str">
        <f>INDEX('REGASSET Lookup'!$I:$I,MATCH('REGASSET Jun22data'!$A585,'REGASSET Lookup'!$A:$A,0))</f>
        <v>CUST</v>
      </c>
      <c r="J585" s="113" t="str">
        <f t="shared" si="29"/>
        <v>NO</v>
      </c>
      <c r="K585"/>
    </row>
    <row r="586" spans="1:11">
      <c r="A586" s="114" t="str">
        <f t="shared" si="27"/>
        <v>1823930DSR COSTS NOT AMORT102573ENERGY FINANSWER ID/UT 2006OTHER</v>
      </c>
      <c r="B586" s="126" t="s">
        <v>2734</v>
      </c>
      <c r="C586" s="128" t="s">
        <v>1170</v>
      </c>
      <c r="D586" s="126" t="s">
        <v>2735</v>
      </c>
      <c r="E586" s="128" t="s">
        <v>1181</v>
      </c>
      <c r="F586" s="127" t="s">
        <v>306</v>
      </c>
      <c r="G586" s="136">
        <v>0.154</v>
      </c>
      <c r="H586" s="113" t="str">
        <f t="shared" si="28"/>
        <v>OTHER</v>
      </c>
      <c r="I586" s="113" t="str">
        <f>INDEX('REGASSET Lookup'!$I:$I,MATCH('REGASSET Jun22data'!$A586,'REGASSET Lookup'!$A:$A,0))</f>
        <v>DMSC</v>
      </c>
      <c r="J586" s="113" t="str">
        <f t="shared" si="29"/>
        <v>NO</v>
      </c>
      <c r="K586"/>
    </row>
    <row r="587" spans="1:11">
      <c r="A587" s="114" t="str">
        <f t="shared" si="27"/>
        <v>1823930DSR COSTS NOT AMORT102574INDUSTRIAL FINANSWER-ID-UT 2006OTHER</v>
      </c>
      <c r="B587" s="126" t="s">
        <v>2734</v>
      </c>
      <c r="C587" s="128" t="s">
        <v>1170</v>
      </c>
      <c r="D587" s="126" t="s">
        <v>2736</v>
      </c>
      <c r="E587" s="128" t="s">
        <v>1182</v>
      </c>
      <c r="F587" s="127" t="s">
        <v>306</v>
      </c>
      <c r="G587" s="136">
        <v>2.52</v>
      </c>
      <c r="H587" s="113" t="str">
        <f t="shared" si="28"/>
        <v>OTHER</v>
      </c>
      <c r="I587" s="113" t="str">
        <f>INDEX('REGASSET Lookup'!$I:$I,MATCH('REGASSET Jun22data'!$A587,'REGASSET Lookup'!$A:$A,0))</f>
        <v>DMSC</v>
      </c>
      <c r="J587" s="113" t="str">
        <f t="shared" si="29"/>
        <v>NO</v>
      </c>
      <c r="K587"/>
    </row>
    <row r="588" spans="1:11">
      <c r="A588" s="114" t="str">
        <f t="shared" si="27"/>
        <v>1823930DSR COSTS NOT AMORT102575LOW INCOME WZ -ID-UT 2006OTHER</v>
      </c>
      <c r="B588" s="126" t="s">
        <v>2734</v>
      </c>
      <c r="C588" s="128" t="s">
        <v>1170</v>
      </c>
      <c r="D588" s="126" t="s">
        <v>2737</v>
      </c>
      <c r="E588" s="128" t="s">
        <v>1183</v>
      </c>
      <c r="F588" s="127" t="s">
        <v>306</v>
      </c>
      <c r="G588" s="136">
        <v>144.26159999999999</v>
      </c>
      <c r="H588" s="113" t="str">
        <f t="shared" si="28"/>
        <v>OTHER</v>
      </c>
      <c r="I588" s="113" t="str">
        <f>INDEX('REGASSET Lookup'!$I:$I,MATCH('REGASSET Jun22data'!$A588,'REGASSET Lookup'!$A:$A,0))</f>
        <v>DMSC</v>
      </c>
      <c r="J588" s="113" t="str">
        <f t="shared" si="29"/>
        <v>NO</v>
      </c>
      <c r="K588"/>
    </row>
    <row r="589" spans="1:11">
      <c r="A589" s="114" t="str">
        <f t="shared" si="27"/>
        <v>1823930DSR COSTS NOT AMORT102576NEEA-IDAHO-UTAH 2006OTHER</v>
      </c>
      <c r="B589" s="126" t="s">
        <v>2734</v>
      </c>
      <c r="C589" s="128" t="s">
        <v>1170</v>
      </c>
      <c r="D589" s="126" t="s">
        <v>2738</v>
      </c>
      <c r="E589" s="128" t="s">
        <v>1184</v>
      </c>
      <c r="F589" s="127" t="s">
        <v>306</v>
      </c>
      <c r="G589" s="136">
        <v>359.13749000000001</v>
      </c>
      <c r="H589" s="113" t="str">
        <f t="shared" si="28"/>
        <v>OTHER</v>
      </c>
      <c r="I589" s="113" t="str">
        <f>INDEX('REGASSET Lookup'!$I:$I,MATCH('REGASSET Jun22data'!$A589,'REGASSET Lookup'!$A:$A,0))</f>
        <v>DMSC</v>
      </c>
      <c r="J589" s="113" t="str">
        <f t="shared" si="29"/>
        <v>NO</v>
      </c>
      <c r="K589"/>
    </row>
    <row r="590" spans="1:11">
      <c r="A590" s="114" t="str">
        <f t="shared" si="27"/>
        <v>1823930DSR COSTS NOT AMORT102577IRRIGATION INTERRUPTIBLE ID-UT 2006OTHER</v>
      </c>
      <c r="B590" s="126" t="s">
        <v>2734</v>
      </c>
      <c r="C590" s="128" t="s">
        <v>1170</v>
      </c>
      <c r="D590" s="126" t="s">
        <v>2739</v>
      </c>
      <c r="E590" s="128" t="s">
        <v>1185</v>
      </c>
      <c r="F590" s="127" t="s">
        <v>306</v>
      </c>
      <c r="G590" s="136">
        <v>361.23489999999998</v>
      </c>
      <c r="H590" s="113" t="str">
        <f t="shared" si="28"/>
        <v>OTHER</v>
      </c>
      <c r="I590" s="113" t="str">
        <f>INDEX('REGASSET Lookup'!$I:$I,MATCH('REGASSET Jun22data'!$A590,'REGASSET Lookup'!$A:$A,0))</f>
        <v>DMSC</v>
      </c>
      <c r="J590" s="113" t="str">
        <f t="shared" si="29"/>
        <v>NO</v>
      </c>
      <c r="K590"/>
    </row>
    <row r="591" spans="1:11">
      <c r="A591" s="114" t="str">
        <f t="shared" si="27"/>
        <v>1823930DSR COSTS NOT AMORT102578WEATHERIZATION LOANS-RESDL/ID-UT 2006OTHER</v>
      </c>
      <c r="B591" s="126" t="s">
        <v>2734</v>
      </c>
      <c r="C591" s="128" t="s">
        <v>1170</v>
      </c>
      <c r="D591" s="126" t="s">
        <v>2740</v>
      </c>
      <c r="E591" s="128" t="s">
        <v>1186</v>
      </c>
      <c r="F591" s="127" t="s">
        <v>306</v>
      </c>
      <c r="G591" s="136">
        <v>1.60364</v>
      </c>
      <c r="H591" s="113" t="str">
        <f t="shared" si="28"/>
        <v>OTHER</v>
      </c>
      <c r="I591" s="113" t="str">
        <f>INDEX('REGASSET Lookup'!$I:$I,MATCH('REGASSET Jun22data'!$A591,'REGASSET Lookup'!$A:$A,0))</f>
        <v>DMSC</v>
      </c>
      <c r="J591" s="113" t="str">
        <f t="shared" si="29"/>
        <v>NO</v>
      </c>
      <c r="K591"/>
    </row>
    <row r="592" spans="1:11">
      <c r="A592" s="114" t="str">
        <f t="shared" si="27"/>
        <v>1823930DSR COSTS NOT AMORT102579REFRIGERATOR RECYCLING PGM-ID-UT 2006OTHER</v>
      </c>
      <c r="B592" s="126" t="s">
        <v>2734</v>
      </c>
      <c r="C592" s="128" t="s">
        <v>1170</v>
      </c>
      <c r="D592" s="126" t="s">
        <v>2741</v>
      </c>
      <c r="E592" s="128" t="s">
        <v>1187</v>
      </c>
      <c r="F592" s="127" t="s">
        <v>306</v>
      </c>
      <c r="G592" s="136">
        <v>143.04400000000001</v>
      </c>
      <c r="H592" s="113" t="str">
        <f t="shared" si="28"/>
        <v>OTHER</v>
      </c>
      <c r="I592" s="113" t="str">
        <f>INDEX('REGASSET Lookup'!$I:$I,MATCH('REGASSET Jun22data'!$A592,'REGASSET Lookup'!$A:$A,0))</f>
        <v>DMSC</v>
      </c>
      <c r="J592" s="113" t="str">
        <f t="shared" si="29"/>
        <v>NO</v>
      </c>
      <c r="K592"/>
    </row>
    <row r="593" spans="1:11">
      <c r="A593" s="114" t="str">
        <f t="shared" si="27"/>
        <v>1823930DSR COSTS NOT AMORT102580COMMERCIAL FINANSWER EXPR-ID-UT 2006OTHER</v>
      </c>
      <c r="B593" s="126" t="s">
        <v>2734</v>
      </c>
      <c r="C593" s="128" t="s">
        <v>1170</v>
      </c>
      <c r="D593" s="126" t="s">
        <v>2742</v>
      </c>
      <c r="E593" s="128" t="s">
        <v>1188</v>
      </c>
      <c r="F593" s="127" t="s">
        <v>306</v>
      </c>
      <c r="G593" s="136">
        <v>117.17189</v>
      </c>
      <c r="H593" s="113" t="str">
        <f t="shared" si="28"/>
        <v>OTHER</v>
      </c>
      <c r="I593" s="113" t="str">
        <f>INDEX('REGASSET Lookup'!$I:$I,MATCH('REGASSET Jun22data'!$A593,'REGASSET Lookup'!$A:$A,0))</f>
        <v>DMSC</v>
      </c>
      <c r="J593" s="113" t="str">
        <f t="shared" si="29"/>
        <v>NO</v>
      </c>
      <c r="K593"/>
    </row>
    <row r="594" spans="1:11">
      <c r="A594" s="114" t="str">
        <f t="shared" si="27"/>
        <v>1823930DSR COSTS NOT AMORT102581INDUSTRIAL FINANSWER EXPR-ID-UT 2006OTHER</v>
      </c>
      <c r="B594" s="126" t="s">
        <v>2734</v>
      </c>
      <c r="C594" s="128" t="s">
        <v>1170</v>
      </c>
      <c r="D594" s="126" t="s">
        <v>2743</v>
      </c>
      <c r="E594" s="128" t="s">
        <v>1189</v>
      </c>
      <c r="F594" s="127" t="s">
        <v>306</v>
      </c>
      <c r="G594" s="136">
        <v>46.617190000000001</v>
      </c>
      <c r="H594" s="113" t="str">
        <f t="shared" si="28"/>
        <v>OTHER</v>
      </c>
      <c r="I594" s="113" t="str">
        <f>INDEX('REGASSET Lookup'!$I:$I,MATCH('REGASSET Jun22data'!$A594,'REGASSET Lookup'!$A:$A,0))</f>
        <v>DMSC</v>
      </c>
      <c r="J594" s="113" t="str">
        <f t="shared" si="29"/>
        <v>NO</v>
      </c>
      <c r="K594"/>
    </row>
    <row r="595" spans="1:11">
      <c r="A595" s="114" t="str">
        <f t="shared" si="27"/>
        <v>1823930DSR COSTS NOT AMORT102582IRRIGATION EFFICIENCY PRGRM-ID-UT 2006OTHER</v>
      </c>
      <c r="B595" s="126" t="s">
        <v>2734</v>
      </c>
      <c r="C595" s="128" t="s">
        <v>1170</v>
      </c>
      <c r="D595" s="126" t="s">
        <v>2744</v>
      </c>
      <c r="E595" s="128" t="s">
        <v>1190</v>
      </c>
      <c r="F595" s="127" t="s">
        <v>306</v>
      </c>
      <c r="G595" s="136">
        <v>245.85731999999999</v>
      </c>
      <c r="H595" s="113" t="str">
        <f t="shared" si="28"/>
        <v>OTHER</v>
      </c>
      <c r="I595" s="113" t="str">
        <f>INDEX('REGASSET Lookup'!$I:$I,MATCH('REGASSET Jun22data'!$A595,'REGASSET Lookup'!$A:$A,0))</f>
        <v>DMSC</v>
      </c>
      <c r="J595" s="113" t="str">
        <f t="shared" si="29"/>
        <v>NO</v>
      </c>
      <c r="K595"/>
    </row>
    <row r="596" spans="1:11">
      <c r="A596" s="114" t="str">
        <f t="shared" si="27"/>
        <v>1823930DSR COSTS NOT AMORT102758HOME ENERGY EFFICIENCY INCENTIVE PROGM-IOTHER</v>
      </c>
      <c r="B596" s="126" t="s">
        <v>2734</v>
      </c>
      <c r="C596" s="128" t="s">
        <v>1170</v>
      </c>
      <c r="D596" s="126" t="s">
        <v>2745</v>
      </c>
      <c r="E596" s="128" t="s">
        <v>1191</v>
      </c>
      <c r="F596" s="127" t="s">
        <v>306</v>
      </c>
      <c r="G596" s="136">
        <v>102.69298999999999</v>
      </c>
      <c r="H596" s="113" t="str">
        <f t="shared" si="28"/>
        <v>OTHER</v>
      </c>
      <c r="I596" s="113" t="str">
        <f>INDEX('REGASSET Lookup'!$I:$I,MATCH('REGASSET Jun22data'!$A596,'REGASSET Lookup'!$A:$A,0))</f>
        <v>DMSC</v>
      </c>
      <c r="J596" s="113" t="str">
        <f t="shared" si="29"/>
        <v>NO</v>
      </c>
      <c r="K596"/>
    </row>
    <row r="597" spans="1:11">
      <c r="A597" s="114" t="str">
        <f t="shared" si="27"/>
        <v>1823930DSR COSTS NOT AMORT102808WEATHERIZATION LOANS RESIDTL/ ID-UT 2007OTHER</v>
      </c>
      <c r="B597" s="126" t="s">
        <v>2734</v>
      </c>
      <c r="C597" s="128" t="s">
        <v>1170</v>
      </c>
      <c r="D597" s="126" t="s">
        <v>3383</v>
      </c>
      <c r="E597" s="128" t="s">
        <v>1192</v>
      </c>
      <c r="F597" s="127" t="s">
        <v>306</v>
      </c>
      <c r="G597" s="136">
        <v>3.0000000000000001E-3</v>
      </c>
      <c r="H597" s="113" t="str">
        <f t="shared" si="28"/>
        <v>OTHER</v>
      </c>
      <c r="I597" s="113" t="str">
        <f>INDEX('REGASSET Lookup'!$I:$I,MATCH('REGASSET Jun22data'!$A597,'REGASSET Lookup'!$A:$A,0))</f>
        <v>CUST</v>
      </c>
      <c r="J597" s="113" t="str">
        <f t="shared" si="29"/>
        <v>NO</v>
      </c>
      <c r="K597"/>
    </row>
    <row r="598" spans="1:11">
      <c r="A598" s="114" t="str">
        <f t="shared" si="27"/>
        <v>1823930DSR COSTS NOT AMORT102809ENERGY FINANSWER IDU 2007OTHER</v>
      </c>
      <c r="B598" s="126" t="s">
        <v>2734</v>
      </c>
      <c r="C598" s="128" t="s">
        <v>1170</v>
      </c>
      <c r="D598" s="126" t="s">
        <v>2746</v>
      </c>
      <c r="E598" s="128" t="s">
        <v>1193</v>
      </c>
      <c r="F598" s="127" t="s">
        <v>306</v>
      </c>
      <c r="G598" s="136">
        <v>3.8346100000000001</v>
      </c>
      <c r="H598" s="113" t="str">
        <f t="shared" si="28"/>
        <v>OTHER</v>
      </c>
      <c r="I598" s="113" t="str">
        <f>INDEX('REGASSET Lookup'!$I:$I,MATCH('REGASSET Jun22data'!$A598,'REGASSET Lookup'!$A:$A,0))</f>
        <v>CUST</v>
      </c>
      <c r="J598" s="113" t="str">
        <f t="shared" si="29"/>
        <v>NO</v>
      </c>
      <c r="K598"/>
    </row>
    <row r="599" spans="1:11">
      <c r="A599" s="114" t="str">
        <f t="shared" si="27"/>
        <v>1823930DSR COSTS NOT AMORT102810Industrial Finanswer ID - 2007OTHER</v>
      </c>
      <c r="B599" s="126" t="s">
        <v>2734</v>
      </c>
      <c r="C599" s="128" t="s">
        <v>1170</v>
      </c>
      <c r="D599" s="126" t="s">
        <v>2747</v>
      </c>
      <c r="E599" s="128" t="s">
        <v>1194</v>
      </c>
      <c r="F599" s="127" t="s">
        <v>306</v>
      </c>
      <c r="G599" s="136">
        <v>1.0999999999999999E-2</v>
      </c>
      <c r="H599" s="113" t="str">
        <f t="shared" si="28"/>
        <v>OTHER</v>
      </c>
      <c r="I599" s="113" t="str">
        <f>INDEX('REGASSET Lookup'!$I:$I,MATCH('REGASSET Jun22data'!$A599,'REGASSET Lookup'!$A:$A,0))</f>
        <v>CUST</v>
      </c>
      <c r="J599" s="113" t="str">
        <f t="shared" si="29"/>
        <v>NO</v>
      </c>
      <c r="K599"/>
    </row>
    <row r="600" spans="1:11">
      <c r="A600" s="114" t="str">
        <f t="shared" si="27"/>
        <v>1823930DSR COSTS NOT AMORT102811IRRIGATION INTERRUPTIBLE ID-UT 2007OTHER</v>
      </c>
      <c r="B600" s="126" t="s">
        <v>2734</v>
      </c>
      <c r="C600" s="128" t="s">
        <v>1170</v>
      </c>
      <c r="D600" s="126" t="s">
        <v>2748</v>
      </c>
      <c r="E600" s="128" t="s">
        <v>1195</v>
      </c>
      <c r="F600" s="127" t="s">
        <v>306</v>
      </c>
      <c r="G600" s="136">
        <v>846.00710000000004</v>
      </c>
      <c r="H600" s="113" t="str">
        <f t="shared" si="28"/>
        <v>OTHER</v>
      </c>
      <c r="I600" s="113" t="str">
        <f>INDEX('REGASSET Lookup'!$I:$I,MATCH('REGASSET Jun22data'!$A600,'REGASSET Lookup'!$A:$A,0))</f>
        <v>CUST</v>
      </c>
      <c r="J600" s="113" t="str">
        <f t="shared" si="29"/>
        <v>NO</v>
      </c>
      <c r="K600"/>
    </row>
    <row r="601" spans="1:11">
      <c r="A601" s="114" t="str">
        <f t="shared" si="27"/>
        <v>1823930DSR COSTS NOT AMORT102812LOW INCOME WZ  - ID-UT 2007OTHER</v>
      </c>
      <c r="B601" s="126" t="s">
        <v>2734</v>
      </c>
      <c r="C601" s="128" t="s">
        <v>1170</v>
      </c>
      <c r="D601" s="126" t="s">
        <v>2749</v>
      </c>
      <c r="E601" s="128" t="s">
        <v>1196</v>
      </c>
      <c r="F601" s="127" t="s">
        <v>306</v>
      </c>
      <c r="G601" s="136">
        <v>101.28661</v>
      </c>
      <c r="H601" s="113" t="str">
        <f t="shared" si="28"/>
        <v>OTHER</v>
      </c>
      <c r="I601" s="113" t="str">
        <f>INDEX('REGASSET Lookup'!$I:$I,MATCH('REGASSET Jun22data'!$A601,'REGASSET Lookup'!$A:$A,0))</f>
        <v>CUST</v>
      </c>
      <c r="J601" s="113" t="str">
        <f t="shared" si="29"/>
        <v>NO</v>
      </c>
      <c r="K601"/>
    </row>
    <row r="602" spans="1:11">
      <c r="A602" s="114" t="str">
        <f t="shared" si="27"/>
        <v>1823930DSR COSTS NOT AMORT102813NEEA - IDAHO - UTAH 2007OTHER</v>
      </c>
      <c r="B602" s="126" t="s">
        <v>2734</v>
      </c>
      <c r="C602" s="128" t="s">
        <v>1170</v>
      </c>
      <c r="D602" s="126" t="s">
        <v>2750</v>
      </c>
      <c r="E602" s="128" t="s">
        <v>1197</v>
      </c>
      <c r="F602" s="127" t="s">
        <v>306</v>
      </c>
      <c r="G602" s="136">
        <v>360.53384999999997</v>
      </c>
      <c r="H602" s="113" t="str">
        <f t="shared" si="28"/>
        <v>OTHER</v>
      </c>
      <c r="I602" s="113" t="str">
        <f>INDEX('REGASSET Lookup'!$I:$I,MATCH('REGASSET Jun22data'!$A602,'REGASSET Lookup'!$A:$A,0))</f>
        <v>CUST</v>
      </c>
      <c r="J602" s="113" t="str">
        <f t="shared" si="29"/>
        <v>NO</v>
      </c>
      <c r="K602"/>
    </row>
    <row r="603" spans="1:11">
      <c r="A603" s="114" t="str">
        <f t="shared" si="27"/>
        <v>1823930DSR COSTS NOT AMORT102814REFRIGERATOR RECYCLING PGM - ID-UT 2007OTHER</v>
      </c>
      <c r="B603" s="126" t="s">
        <v>2734</v>
      </c>
      <c r="C603" s="128" t="s">
        <v>1170</v>
      </c>
      <c r="D603" s="126" t="s">
        <v>2751</v>
      </c>
      <c r="E603" s="128" t="s">
        <v>1198</v>
      </c>
      <c r="F603" s="127" t="s">
        <v>306</v>
      </c>
      <c r="G603" s="136">
        <v>123.29439000000001</v>
      </c>
      <c r="H603" s="113" t="str">
        <f t="shared" si="28"/>
        <v>OTHER</v>
      </c>
      <c r="I603" s="113" t="str">
        <f>INDEX('REGASSET Lookup'!$I:$I,MATCH('REGASSET Jun22data'!$A603,'REGASSET Lookup'!$A:$A,0))</f>
        <v>CUST</v>
      </c>
      <c r="J603" s="113" t="str">
        <f t="shared" si="29"/>
        <v>NO</v>
      </c>
      <c r="K603"/>
    </row>
    <row r="604" spans="1:11">
      <c r="A604" s="114" t="str">
        <f t="shared" si="27"/>
        <v>1823930DSR COSTS NOT AMORT102815COMMERCIAL FINANSWER EXPR - ID-UT 2007OTHER</v>
      </c>
      <c r="B604" s="126" t="s">
        <v>2734</v>
      </c>
      <c r="C604" s="128" t="s">
        <v>1170</v>
      </c>
      <c r="D604" s="126" t="s">
        <v>2752</v>
      </c>
      <c r="E604" s="128" t="s">
        <v>1199</v>
      </c>
      <c r="F604" s="127" t="s">
        <v>306</v>
      </c>
      <c r="G604" s="136">
        <v>61.336190000000002</v>
      </c>
      <c r="H604" s="113" t="str">
        <f t="shared" si="28"/>
        <v>OTHER</v>
      </c>
      <c r="I604" s="113" t="str">
        <f>INDEX('REGASSET Lookup'!$I:$I,MATCH('REGASSET Jun22data'!$A604,'REGASSET Lookup'!$A:$A,0))</f>
        <v>CUST</v>
      </c>
      <c r="J604" s="113" t="str">
        <f t="shared" si="29"/>
        <v>NO</v>
      </c>
      <c r="K604"/>
    </row>
    <row r="605" spans="1:11">
      <c r="A605" s="114" t="str">
        <f t="shared" si="27"/>
        <v>1823930DSR COSTS NOT AMORT102816INDUSTRIAL FINANSWER EXPR - ID-UT 2007OTHER</v>
      </c>
      <c r="B605" s="126" t="s">
        <v>2734</v>
      </c>
      <c r="C605" s="128" t="s">
        <v>1170</v>
      </c>
      <c r="D605" s="126" t="s">
        <v>2753</v>
      </c>
      <c r="E605" s="128" t="s">
        <v>1200</v>
      </c>
      <c r="F605" s="127" t="s">
        <v>306</v>
      </c>
      <c r="G605" s="136">
        <v>120.21977</v>
      </c>
      <c r="H605" s="113" t="str">
        <f t="shared" si="28"/>
        <v>OTHER</v>
      </c>
      <c r="I605" s="113" t="str">
        <f>INDEX('REGASSET Lookup'!$I:$I,MATCH('REGASSET Jun22data'!$A605,'REGASSET Lookup'!$A:$A,0))</f>
        <v>CUST</v>
      </c>
      <c r="J605" s="113" t="str">
        <f t="shared" si="29"/>
        <v>NO</v>
      </c>
      <c r="K605"/>
    </row>
    <row r="606" spans="1:11">
      <c r="A606" s="114" t="str">
        <f t="shared" si="27"/>
        <v>1823930DSR COSTS NOT AMORT102817IRRIGATION EFFICIENCY PRGRM - ID-UT 2007OTHER</v>
      </c>
      <c r="B606" s="126" t="s">
        <v>2734</v>
      </c>
      <c r="C606" s="128" t="s">
        <v>1170</v>
      </c>
      <c r="D606" s="126" t="s">
        <v>2754</v>
      </c>
      <c r="E606" s="128" t="s">
        <v>1201</v>
      </c>
      <c r="F606" s="127" t="s">
        <v>306</v>
      </c>
      <c r="G606" s="136">
        <v>274.98216000000002</v>
      </c>
      <c r="H606" s="113" t="str">
        <f t="shared" si="28"/>
        <v>OTHER</v>
      </c>
      <c r="I606" s="113" t="str">
        <f>INDEX('REGASSET Lookup'!$I:$I,MATCH('REGASSET Jun22data'!$A606,'REGASSET Lookup'!$A:$A,0))</f>
        <v>CUST</v>
      </c>
      <c r="J606" s="113" t="str">
        <f t="shared" si="29"/>
        <v>NO</v>
      </c>
      <c r="K606"/>
    </row>
    <row r="607" spans="1:11">
      <c r="A607" s="114" t="str">
        <f t="shared" si="27"/>
        <v>1823930DSR COSTS NOT AMORT102818HOME ENERGY EFFICIENCY INCENTIVE PROG  -OTHER</v>
      </c>
      <c r="B607" s="126" t="s">
        <v>2734</v>
      </c>
      <c r="C607" s="128" t="s">
        <v>1170</v>
      </c>
      <c r="D607" s="126" t="s">
        <v>2755</v>
      </c>
      <c r="E607" s="128" t="s">
        <v>1202</v>
      </c>
      <c r="F607" s="127" t="s">
        <v>306</v>
      </c>
      <c r="G607" s="136">
        <v>229.13469000000001</v>
      </c>
      <c r="H607" s="113" t="str">
        <f t="shared" si="28"/>
        <v>OTHER</v>
      </c>
      <c r="I607" s="113" t="str">
        <f>INDEX('REGASSET Lookup'!$I:$I,MATCH('REGASSET Jun22data'!$A607,'REGASSET Lookup'!$A:$A,0))</f>
        <v>CUST</v>
      </c>
      <c r="J607" s="113" t="str">
        <f t="shared" si="29"/>
        <v>NO</v>
      </c>
      <c r="K607"/>
    </row>
    <row r="608" spans="1:11">
      <c r="A608" s="114" t="str">
        <f t="shared" si="27"/>
        <v>1823930DSR COSTS NOT AMORT102896ENERGY FINANSWER - ID/UT 2008OTHER</v>
      </c>
      <c r="B608" s="126" t="s">
        <v>2734</v>
      </c>
      <c r="C608" s="128" t="s">
        <v>1170</v>
      </c>
      <c r="D608" s="126" t="s">
        <v>2756</v>
      </c>
      <c r="E608" s="128" t="s">
        <v>1203</v>
      </c>
      <c r="F608" s="127" t="s">
        <v>306</v>
      </c>
      <c r="G608" s="136">
        <v>19.45187</v>
      </c>
      <c r="H608" s="113" t="str">
        <f t="shared" si="28"/>
        <v>OTHER</v>
      </c>
      <c r="I608" s="113" t="str">
        <f>INDEX('REGASSET Lookup'!$I:$I,MATCH('REGASSET Jun22data'!$A608,'REGASSET Lookup'!$A:$A,0))</f>
        <v>CUST</v>
      </c>
      <c r="J608" s="113" t="str">
        <f t="shared" si="29"/>
        <v>NO</v>
      </c>
      <c r="K608"/>
    </row>
    <row r="609" spans="1:11">
      <c r="A609" s="114" t="str">
        <f t="shared" si="27"/>
        <v>1823930DSR COSTS NOT AMORT102897INDUSTRIAL FINANSWER - ID-UT 2008OTHER</v>
      </c>
      <c r="B609" s="126" t="s">
        <v>2734</v>
      </c>
      <c r="C609" s="128" t="s">
        <v>1170</v>
      </c>
      <c r="D609" s="126" t="s">
        <v>2757</v>
      </c>
      <c r="E609" s="128" t="s">
        <v>1204</v>
      </c>
      <c r="F609" s="127" t="s">
        <v>306</v>
      </c>
      <c r="G609" s="136">
        <v>101.73987</v>
      </c>
      <c r="H609" s="113" t="str">
        <f t="shared" si="28"/>
        <v>OTHER</v>
      </c>
      <c r="I609" s="113" t="str">
        <f>INDEX('REGASSET Lookup'!$I:$I,MATCH('REGASSET Jun22data'!$A609,'REGASSET Lookup'!$A:$A,0))</f>
        <v>CUST</v>
      </c>
      <c r="J609" s="113" t="str">
        <f t="shared" si="29"/>
        <v>NO</v>
      </c>
      <c r="K609"/>
    </row>
    <row r="610" spans="1:11">
      <c r="A610" s="114" t="str">
        <f t="shared" si="27"/>
        <v>1823930DSR COSTS NOT AMORT102898IRRIGATION INTERRUPTIBLE - IDAHO - 2008OTHER</v>
      </c>
      <c r="B610" s="126" t="s">
        <v>2734</v>
      </c>
      <c r="C610" s="128" t="s">
        <v>1170</v>
      </c>
      <c r="D610" s="126" t="s">
        <v>2758</v>
      </c>
      <c r="E610" s="128" t="s">
        <v>1205</v>
      </c>
      <c r="F610" s="127" t="s">
        <v>306</v>
      </c>
      <c r="G610" s="136">
        <v>3126.6369</v>
      </c>
      <c r="H610" s="113" t="str">
        <f t="shared" si="28"/>
        <v>OTHER</v>
      </c>
      <c r="I610" s="113" t="str">
        <f>INDEX('REGASSET Lookup'!$I:$I,MATCH('REGASSET Jun22data'!$A610,'REGASSET Lookup'!$A:$A,0))</f>
        <v>CUST</v>
      </c>
      <c r="J610" s="113" t="str">
        <f t="shared" si="29"/>
        <v>NO</v>
      </c>
      <c r="K610"/>
    </row>
    <row r="611" spans="1:11">
      <c r="A611" s="114" t="str">
        <f t="shared" si="27"/>
        <v>1823930DSR COSTS NOT AMORT102899LOW INCOME WEATHERIZATION - IDAHO 2008OTHER</v>
      </c>
      <c r="B611" s="126" t="s">
        <v>2734</v>
      </c>
      <c r="C611" s="128" t="s">
        <v>1170</v>
      </c>
      <c r="D611" s="126" t="s">
        <v>2759</v>
      </c>
      <c r="E611" s="128" t="s">
        <v>1206</v>
      </c>
      <c r="F611" s="127" t="s">
        <v>306</v>
      </c>
      <c r="G611" s="136">
        <v>164.57782</v>
      </c>
      <c r="H611" s="113" t="str">
        <f t="shared" si="28"/>
        <v>OTHER</v>
      </c>
      <c r="I611" s="113" t="str">
        <f>INDEX('REGASSET Lookup'!$I:$I,MATCH('REGASSET Jun22data'!$A611,'REGASSET Lookup'!$A:$A,0))</f>
        <v>CUST</v>
      </c>
      <c r="J611" s="113" t="str">
        <f t="shared" si="29"/>
        <v>NO</v>
      </c>
      <c r="K611"/>
    </row>
    <row r="612" spans="1:11">
      <c r="A612" s="114" t="str">
        <f t="shared" si="27"/>
        <v>1823930DSR COSTS NOT AMORT102900NEEA - IDAHO - 2008OTHER</v>
      </c>
      <c r="B612" s="126" t="s">
        <v>2734</v>
      </c>
      <c r="C612" s="128" t="s">
        <v>1170</v>
      </c>
      <c r="D612" s="126" t="s">
        <v>2760</v>
      </c>
      <c r="E612" s="128" t="s">
        <v>1207</v>
      </c>
      <c r="F612" s="127" t="s">
        <v>306</v>
      </c>
      <c r="G612" s="136">
        <v>317.33852000000002</v>
      </c>
      <c r="H612" s="113" t="str">
        <f t="shared" si="28"/>
        <v>OTHER</v>
      </c>
      <c r="I612" s="113" t="str">
        <f>INDEX('REGASSET Lookup'!$I:$I,MATCH('REGASSET Jun22data'!$A612,'REGASSET Lookup'!$A:$A,0))</f>
        <v>CUST</v>
      </c>
      <c r="J612" s="113" t="str">
        <f t="shared" si="29"/>
        <v>NO</v>
      </c>
      <c r="K612"/>
    </row>
    <row r="613" spans="1:11">
      <c r="A613" s="114" t="str">
        <f t="shared" si="27"/>
        <v>1823930DSR COSTS NOT AMORT102901REFRIGERATOR RECYCLING PRGM - IDAHO 2008OTHER</v>
      </c>
      <c r="B613" s="126" t="s">
        <v>2734</v>
      </c>
      <c r="C613" s="128" t="s">
        <v>1170</v>
      </c>
      <c r="D613" s="126" t="s">
        <v>2761</v>
      </c>
      <c r="E613" s="128" t="s">
        <v>1208</v>
      </c>
      <c r="F613" s="127" t="s">
        <v>306</v>
      </c>
      <c r="G613" s="136">
        <v>113.29595</v>
      </c>
      <c r="H613" s="113" t="str">
        <f t="shared" si="28"/>
        <v>OTHER</v>
      </c>
      <c r="I613" s="113" t="str">
        <f>INDEX('REGASSET Lookup'!$I:$I,MATCH('REGASSET Jun22data'!$A613,'REGASSET Lookup'!$A:$A,0))</f>
        <v>CUST</v>
      </c>
      <c r="J613" s="113" t="str">
        <f t="shared" si="29"/>
        <v>NO</v>
      </c>
      <c r="K613"/>
    </row>
    <row r="614" spans="1:11">
      <c r="A614" s="114" t="str">
        <f t="shared" si="27"/>
        <v>1823930DSR COSTS NOT AMORT102902COMMERCIAL FINANSWER EXPRESS - IDAHO 200OTHER</v>
      </c>
      <c r="B614" s="126" t="s">
        <v>2734</v>
      </c>
      <c r="C614" s="128" t="s">
        <v>1170</v>
      </c>
      <c r="D614" s="126" t="s">
        <v>2762</v>
      </c>
      <c r="E614" s="128" t="s">
        <v>1209</v>
      </c>
      <c r="F614" s="127" t="s">
        <v>306</v>
      </c>
      <c r="G614" s="136">
        <v>108.38252</v>
      </c>
      <c r="H614" s="113" t="str">
        <f t="shared" si="28"/>
        <v>OTHER</v>
      </c>
      <c r="I614" s="113" t="str">
        <f>INDEX('REGASSET Lookup'!$I:$I,MATCH('REGASSET Jun22data'!$A614,'REGASSET Lookup'!$A:$A,0))</f>
        <v>CUST</v>
      </c>
      <c r="J614" s="113" t="str">
        <f t="shared" si="29"/>
        <v>NO</v>
      </c>
      <c r="K614"/>
    </row>
    <row r="615" spans="1:11">
      <c r="A615" s="114" t="str">
        <f t="shared" si="27"/>
        <v>1823930DSR COSTS NOT AMORT102903INDUSTRIAL FINANSWER - IDAHO - 2008OTHER</v>
      </c>
      <c r="B615" s="126" t="s">
        <v>2734</v>
      </c>
      <c r="C615" s="128" t="s">
        <v>1170</v>
      </c>
      <c r="D615" s="126" t="s">
        <v>2763</v>
      </c>
      <c r="E615" s="128" t="s">
        <v>1210</v>
      </c>
      <c r="F615" s="127" t="s">
        <v>306</v>
      </c>
      <c r="G615" s="136">
        <v>58.373260000000002</v>
      </c>
      <c r="H615" s="113" t="str">
        <f t="shared" si="28"/>
        <v>OTHER</v>
      </c>
      <c r="I615" s="113" t="str">
        <f>INDEX('REGASSET Lookup'!$I:$I,MATCH('REGASSET Jun22data'!$A615,'REGASSET Lookup'!$A:$A,0))</f>
        <v>CUST</v>
      </c>
      <c r="J615" s="113" t="str">
        <f t="shared" si="29"/>
        <v>NO</v>
      </c>
      <c r="K615"/>
    </row>
    <row r="616" spans="1:11">
      <c r="A616" s="114" t="str">
        <f t="shared" si="27"/>
        <v>1823930DSR COSTS NOT AMORT102904IRRIGATION EFFICIENCY PRGM - IDAHO - 200OTHER</v>
      </c>
      <c r="B616" s="126" t="s">
        <v>2734</v>
      </c>
      <c r="C616" s="128" t="s">
        <v>1170</v>
      </c>
      <c r="D616" s="126" t="s">
        <v>2764</v>
      </c>
      <c r="E616" s="128" t="s">
        <v>1211</v>
      </c>
      <c r="F616" s="127" t="s">
        <v>306</v>
      </c>
      <c r="G616" s="136">
        <v>268.05756000000002</v>
      </c>
      <c r="H616" s="113" t="str">
        <f t="shared" si="28"/>
        <v>OTHER</v>
      </c>
      <c r="I616" s="113" t="str">
        <f>INDEX('REGASSET Lookup'!$I:$I,MATCH('REGASSET Jun22data'!$A616,'REGASSET Lookup'!$A:$A,0))</f>
        <v>CUST</v>
      </c>
      <c r="J616" s="113" t="str">
        <f t="shared" si="29"/>
        <v>NO</v>
      </c>
      <c r="K616"/>
    </row>
    <row r="617" spans="1:11">
      <c r="A617" s="114" t="str">
        <f t="shared" si="27"/>
        <v>1823930DSR COSTS NOT AMORT102905HOME ENERGY EFF INCENTIVE PROGRAM - IDAHOTHER</v>
      </c>
      <c r="B617" s="126" t="s">
        <v>2734</v>
      </c>
      <c r="C617" s="128" t="s">
        <v>1170</v>
      </c>
      <c r="D617" s="126" t="s">
        <v>2765</v>
      </c>
      <c r="E617" s="128" t="s">
        <v>1212</v>
      </c>
      <c r="F617" s="127" t="s">
        <v>306</v>
      </c>
      <c r="G617" s="136">
        <v>490.10075000000001</v>
      </c>
      <c r="H617" s="113" t="str">
        <f t="shared" si="28"/>
        <v>OTHER</v>
      </c>
      <c r="I617" s="113" t="str">
        <f>INDEX('REGASSET Lookup'!$I:$I,MATCH('REGASSET Jun22data'!$A617,'REGASSET Lookup'!$A:$A,0))</f>
        <v>CUST</v>
      </c>
      <c r="J617" s="113" t="str">
        <f t="shared" si="29"/>
        <v>NO</v>
      </c>
      <c r="K617"/>
    </row>
    <row r="618" spans="1:11">
      <c r="A618" s="114" t="str">
        <f t="shared" si="27"/>
        <v>1823930DSR COSTS NOT AMORT102957CATEGORY 1 - WYOMING - 2008OTHER</v>
      </c>
      <c r="B618" s="126" t="s">
        <v>2734</v>
      </c>
      <c r="C618" s="128" t="s">
        <v>1170</v>
      </c>
      <c r="D618" s="126" t="s">
        <v>2766</v>
      </c>
      <c r="E618" s="128" t="s">
        <v>1213</v>
      </c>
      <c r="F618" s="127" t="s">
        <v>306</v>
      </c>
      <c r="G618" s="136">
        <v>17.336749999999999</v>
      </c>
      <c r="H618" s="113" t="str">
        <f t="shared" si="28"/>
        <v>OTHER</v>
      </c>
      <c r="I618" s="113" t="str">
        <f>INDEX('REGASSET Lookup'!$I:$I,MATCH('REGASSET Jun22data'!$A618,'REGASSET Lookup'!$A:$A,0))</f>
        <v>CUST</v>
      </c>
      <c r="J618" s="113" t="str">
        <f t="shared" si="29"/>
        <v>NO</v>
      </c>
      <c r="K618"/>
    </row>
    <row r="619" spans="1:11">
      <c r="A619" s="114" t="str">
        <f t="shared" si="27"/>
        <v>1823930DSR COSTS NOT AMORT102958CATEGORY 2 - WYOMING - 2008OTHER</v>
      </c>
      <c r="B619" s="126" t="s">
        <v>2734</v>
      </c>
      <c r="C619" s="128" t="s">
        <v>1170</v>
      </c>
      <c r="D619" s="126" t="s">
        <v>2767</v>
      </c>
      <c r="E619" s="128" t="s">
        <v>1214</v>
      </c>
      <c r="F619" s="127" t="s">
        <v>306</v>
      </c>
      <c r="G619" s="136">
        <v>9.3955800000000007</v>
      </c>
      <c r="H619" s="113" t="str">
        <f t="shared" si="28"/>
        <v>OTHER</v>
      </c>
      <c r="I619" s="113" t="str">
        <f>INDEX('REGASSET Lookup'!$I:$I,MATCH('REGASSET Jun22data'!$A619,'REGASSET Lookup'!$A:$A,0))</f>
        <v>CUST</v>
      </c>
      <c r="J619" s="113" t="str">
        <f t="shared" si="29"/>
        <v>NO</v>
      </c>
      <c r="K619"/>
    </row>
    <row r="620" spans="1:11">
      <c r="A620" s="114" t="str">
        <f t="shared" si="27"/>
        <v>1823930DSR COSTS NOT AMORT102959CATEGORY 3 - WYOMING - 2008OTHER</v>
      </c>
      <c r="B620" s="126" t="s">
        <v>2734</v>
      </c>
      <c r="C620" s="128" t="s">
        <v>1170</v>
      </c>
      <c r="D620" s="126" t="s">
        <v>2768</v>
      </c>
      <c r="E620" s="128" t="s">
        <v>1215</v>
      </c>
      <c r="F620" s="127" t="s">
        <v>306</v>
      </c>
      <c r="G620" s="136">
        <v>32.767299999999999</v>
      </c>
      <c r="H620" s="113" t="str">
        <f t="shared" si="28"/>
        <v>OTHER</v>
      </c>
      <c r="I620" s="113" t="str">
        <f>INDEX('REGASSET Lookup'!$I:$I,MATCH('REGASSET Jun22data'!$A620,'REGASSET Lookup'!$A:$A,0))</f>
        <v>CUST</v>
      </c>
      <c r="J620" s="113" t="str">
        <f t="shared" si="29"/>
        <v>NO</v>
      </c>
      <c r="K620"/>
    </row>
    <row r="621" spans="1:11">
      <c r="A621" s="114" t="str">
        <f t="shared" si="27"/>
        <v>1823930DSR COSTS NOT AMORT102966ENERGY FINANSWER - ID/UT 2009OTHER</v>
      </c>
      <c r="B621" s="126" t="s">
        <v>2734</v>
      </c>
      <c r="C621" s="128" t="s">
        <v>1170</v>
      </c>
      <c r="D621" s="126" t="s">
        <v>2769</v>
      </c>
      <c r="E621" s="128" t="s">
        <v>1216</v>
      </c>
      <c r="F621" s="127" t="s">
        <v>306</v>
      </c>
      <c r="G621" s="136">
        <v>49.790480000000002</v>
      </c>
      <c r="H621" s="113" t="str">
        <f t="shared" si="28"/>
        <v>OTHER</v>
      </c>
      <c r="I621" s="113" t="str">
        <f>INDEX('REGASSET Lookup'!$I:$I,MATCH('REGASSET Jun22data'!$A621,'REGASSET Lookup'!$A:$A,0))</f>
        <v>CUST</v>
      </c>
      <c r="J621" s="113" t="str">
        <f t="shared" si="29"/>
        <v>NO</v>
      </c>
      <c r="K621"/>
    </row>
    <row r="622" spans="1:11">
      <c r="A622" s="114" t="str">
        <f t="shared" si="27"/>
        <v>1823930DSR COSTS NOT AMORT102967INDUSTRIAL FINANSWER - ID-UT 2009OTHER</v>
      </c>
      <c r="B622" s="126" t="s">
        <v>2734</v>
      </c>
      <c r="C622" s="128" t="s">
        <v>1170</v>
      </c>
      <c r="D622" s="126" t="s">
        <v>2770</v>
      </c>
      <c r="E622" s="128" t="s">
        <v>1217</v>
      </c>
      <c r="F622" s="127" t="s">
        <v>306</v>
      </c>
      <c r="G622" s="136">
        <v>308.63628</v>
      </c>
      <c r="H622" s="113" t="str">
        <f t="shared" si="28"/>
        <v>OTHER</v>
      </c>
      <c r="I622" s="113" t="str">
        <f>INDEX('REGASSET Lookup'!$I:$I,MATCH('REGASSET Jun22data'!$A622,'REGASSET Lookup'!$A:$A,0))</f>
        <v>CUST</v>
      </c>
      <c r="J622" s="113" t="str">
        <f t="shared" si="29"/>
        <v>NO</v>
      </c>
      <c r="K622"/>
    </row>
    <row r="623" spans="1:11">
      <c r="A623" s="114" t="str">
        <f t="shared" si="27"/>
        <v>1823930DSR COSTS NOT AMORT102968IRRIGATION INTERRUPTIBLE ID-UT 2009OTHER</v>
      </c>
      <c r="B623" s="126" t="s">
        <v>2734</v>
      </c>
      <c r="C623" s="128" t="s">
        <v>1170</v>
      </c>
      <c r="D623" s="126" t="s">
        <v>2771</v>
      </c>
      <c r="E623" s="128" t="s">
        <v>1218</v>
      </c>
      <c r="F623" s="127" t="s">
        <v>306</v>
      </c>
      <c r="G623" s="136">
        <v>3816.4172600000002</v>
      </c>
      <c r="H623" s="113" t="str">
        <f t="shared" si="28"/>
        <v>OTHER</v>
      </c>
      <c r="I623" s="113" t="str">
        <f>INDEX('REGASSET Lookup'!$I:$I,MATCH('REGASSET Jun22data'!$A623,'REGASSET Lookup'!$A:$A,0))</f>
        <v>CUST</v>
      </c>
      <c r="J623" s="113" t="str">
        <f t="shared" si="29"/>
        <v>NO</v>
      </c>
      <c r="K623"/>
    </row>
    <row r="624" spans="1:11">
      <c r="A624" s="114" t="str">
        <f t="shared" si="27"/>
        <v>1823930DSR COSTS NOT AMORT102969LOW INCOME WZ  - ID-UT 2009OTHER</v>
      </c>
      <c r="B624" s="126" t="s">
        <v>2734</v>
      </c>
      <c r="C624" s="128" t="s">
        <v>1170</v>
      </c>
      <c r="D624" s="126" t="s">
        <v>2772</v>
      </c>
      <c r="E624" s="128" t="s">
        <v>1219</v>
      </c>
      <c r="F624" s="127" t="s">
        <v>306</v>
      </c>
      <c r="G624" s="136">
        <v>197.81917000000001</v>
      </c>
      <c r="H624" s="113" t="str">
        <f t="shared" si="28"/>
        <v>OTHER</v>
      </c>
      <c r="I624" s="113" t="str">
        <f>INDEX('REGASSET Lookup'!$I:$I,MATCH('REGASSET Jun22data'!$A624,'REGASSET Lookup'!$A:$A,0))</f>
        <v>CUST</v>
      </c>
      <c r="J624" s="113" t="str">
        <f t="shared" si="29"/>
        <v>NO</v>
      </c>
      <c r="K624"/>
    </row>
    <row r="625" spans="1:11">
      <c r="A625" s="114" t="str">
        <f t="shared" si="27"/>
        <v>1823930DSR COSTS NOT AMORT102970NEEA - IDAHO - UTAH 2009OTHER</v>
      </c>
      <c r="B625" s="126" t="s">
        <v>2734</v>
      </c>
      <c r="C625" s="128" t="s">
        <v>1170</v>
      </c>
      <c r="D625" s="126" t="s">
        <v>2773</v>
      </c>
      <c r="E625" s="128" t="s">
        <v>1220</v>
      </c>
      <c r="F625" s="127" t="s">
        <v>306</v>
      </c>
      <c r="G625" s="136">
        <v>287.19031000000001</v>
      </c>
      <c r="H625" s="113" t="str">
        <f t="shared" si="28"/>
        <v>OTHER</v>
      </c>
      <c r="I625" s="113" t="str">
        <f>INDEX('REGASSET Lookup'!$I:$I,MATCH('REGASSET Jun22data'!$A625,'REGASSET Lookup'!$A:$A,0))</f>
        <v>CUST</v>
      </c>
      <c r="J625" s="113" t="str">
        <f t="shared" si="29"/>
        <v>NO</v>
      </c>
      <c r="K625"/>
    </row>
    <row r="626" spans="1:11">
      <c r="A626" s="114" t="str">
        <f t="shared" si="27"/>
        <v>1823930DSR COSTS NOT AMORT102971REFRIGERATOR RECYCLING PGM - ID-UT 2009OTHER</v>
      </c>
      <c r="B626" s="126" t="s">
        <v>2734</v>
      </c>
      <c r="C626" s="128" t="s">
        <v>1170</v>
      </c>
      <c r="D626" s="126" t="s">
        <v>2774</v>
      </c>
      <c r="E626" s="128" t="s">
        <v>1221</v>
      </c>
      <c r="F626" s="127" t="s">
        <v>306</v>
      </c>
      <c r="G626" s="136">
        <v>108.1255</v>
      </c>
      <c r="H626" s="113" t="str">
        <f t="shared" si="28"/>
        <v>OTHER</v>
      </c>
      <c r="I626" s="113" t="str">
        <f>INDEX('REGASSET Lookup'!$I:$I,MATCH('REGASSET Jun22data'!$A626,'REGASSET Lookup'!$A:$A,0))</f>
        <v>CUST</v>
      </c>
      <c r="J626" s="113" t="str">
        <f t="shared" si="29"/>
        <v>NO</v>
      </c>
      <c r="K626"/>
    </row>
    <row r="627" spans="1:11">
      <c r="A627" s="114" t="str">
        <f t="shared" si="27"/>
        <v>1823930DSR COSTS NOT AMORT102972COMMERCIAL FINANSWER EXPR - ID-UT 2009OTHER</v>
      </c>
      <c r="B627" s="126" t="s">
        <v>2734</v>
      </c>
      <c r="C627" s="128" t="s">
        <v>1170</v>
      </c>
      <c r="D627" s="126" t="s">
        <v>2775</v>
      </c>
      <c r="E627" s="128" t="s">
        <v>1222</v>
      </c>
      <c r="F627" s="127" t="s">
        <v>306</v>
      </c>
      <c r="G627" s="136">
        <v>189.9254</v>
      </c>
      <c r="H627" s="113" t="str">
        <f t="shared" si="28"/>
        <v>OTHER</v>
      </c>
      <c r="I627" s="113" t="str">
        <f>INDEX('REGASSET Lookup'!$I:$I,MATCH('REGASSET Jun22data'!$A627,'REGASSET Lookup'!$A:$A,0))</f>
        <v>CUST</v>
      </c>
      <c r="J627" s="113" t="str">
        <f t="shared" si="29"/>
        <v>NO</v>
      </c>
      <c r="K627"/>
    </row>
    <row r="628" spans="1:11">
      <c r="A628" s="114" t="str">
        <f t="shared" si="27"/>
        <v>1823930DSR COSTS NOT AMORT102973INDUSTRIAL FINANSWER EXPR - ID-UT 2009OTHER</v>
      </c>
      <c r="B628" s="126" t="s">
        <v>2734</v>
      </c>
      <c r="C628" s="128" t="s">
        <v>1170</v>
      </c>
      <c r="D628" s="126" t="s">
        <v>2776</v>
      </c>
      <c r="E628" s="128" t="s">
        <v>1223</v>
      </c>
      <c r="F628" s="127" t="s">
        <v>306</v>
      </c>
      <c r="G628" s="136">
        <v>73.97869</v>
      </c>
      <c r="H628" s="113" t="str">
        <f t="shared" si="28"/>
        <v>OTHER</v>
      </c>
      <c r="I628" s="113" t="str">
        <f>INDEX('REGASSET Lookup'!$I:$I,MATCH('REGASSET Jun22data'!$A628,'REGASSET Lookup'!$A:$A,0))</f>
        <v>CUST</v>
      </c>
      <c r="J628" s="113" t="str">
        <f t="shared" si="29"/>
        <v>NO</v>
      </c>
      <c r="K628"/>
    </row>
    <row r="629" spans="1:11">
      <c r="A629" s="114" t="str">
        <f t="shared" si="27"/>
        <v>1823930DSR COSTS NOT AMORT102974IRRIGATION EFFICIENCY PRGRM - ID-UT 2009OTHER</v>
      </c>
      <c r="B629" s="126" t="s">
        <v>2734</v>
      </c>
      <c r="C629" s="128" t="s">
        <v>1170</v>
      </c>
      <c r="D629" s="126" t="s">
        <v>2777</v>
      </c>
      <c r="E629" s="128" t="s">
        <v>1224</v>
      </c>
      <c r="F629" s="127" t="s">
        <v>306</v>
      </c>
      <c r="G629" s="136">
        <v>807.23829999999998</v>
      </c>
      <c r="H629" s="113" t="str">
        <f t="shared" si="28"/>
        <v>OTHER</v>
      </c>
      <c r="I629" s="113" t="str">
        <f>INDEX('REGASSET Lookup'!$I:$I,MATCH('REGASSET Jun22data'!$A629,'REGASSET Lookup'!$A:$A,0))</f>
        <v>CUST</v>
      </c>
      <c r="J629" s="113" t="str">
        <f t="shared" si="29"/>
        <v>NO</v>
      </c>
      <c r="K629"/>
    </row>
    <row r="630" spans="1:11">
      <c r="A630" s="114" t="str">
        <f t="shared" si="27"/>
        <v>1823930DSR COSTS NOT AMORT102975HOME ENERGY EFFICIENCY INCENTIVE PROG  -OTHER</v>
      </c>
      <c r="B630" s="126" t="s">
        <v>2734</v>
      </c>
      <c r="C630" s="128" t="s">
        <v>1170</v>
      </c>
      <c r="D630" s="126" t="s">
        <v>2778</v>
      </c>
      <c r="E630" s="128" t="s">
        <v>1202</v>
      </c>
      <c r="F630" s="127" t="s">
        <v>306</v>
      </c>
      <c r="G630" s="136">
        <v>593.56381999999996</v>
      </c>
      <c r="H630" s="113" t="str">
        <f t="shared" si="28"/>
        <v>OTHER</v>
      </c>
      <c r="I630" s="113" t="str">
        <f>INDEX('REGASSET Lookup'!$I:$I,MATCH('REGASSET Jun22data'!$A630,'REGASSET Lookup'!$A:$A,0))</f>
        <v>CUST</v>
      </c>
      <c r="J630" s="113" t="str">
        <f t="shared" si="29"/>
        <v>NO</v>
      </c>
      <c r="K630"/>
    </row>
    <row r="631" spans="1:11">
      <c r="A631" s="114" t="str">
        <f t="shared" si="27"/>
        <v>1823930DSR COSTS NOT AMORT103061ENERGY FINANSWER - ID/UT 2010OTHER</v>
      </c>
      <c r="B631" s="126" t="s">
        <v>2734</v>
      </c>
      <c r="C631" s="128" t="s">
        <v>1170</v>
      </c>
      <c r="D631" s="126" t="s">
        <v>2779</v>
      </c>
      <c r="E631" s="128" t="s">
        <v>1225</v>
      </c>
      <c r="F631" s="127" t="s">
        <v>306</v>
      </c>
      <c r="G631" s="136">
        <v>47.20308</v>
      </c>
      <c r="H631" s="113" t="str">
        <f t="shared" si="28"/>
        <v>OTHER</v>
      </c>
      <c r="I631" s="113" t="str">
        <f>INDEX('REGASSET Lookup'!$I:$I,MATCH('REGASSET Jun22data'!$A631,'REGASSET Lookup'!$A:$A,0))</f>
        <v>CUST</v>
      </c>
      <c r="J631" s="113" t="str">
        <f t="shared" si="29"/>
        <v>NO</v>
      </c>
      <c r="K631"/>
    </row>
    <row r="632" spans="1:11">
      <c r="A632" s="114" t="str">
        <f t="shared" si="27"/>
        <v>1823930DSR COSTS NOT AMORT103062INDUSTRIAL FINANSWER - ID-UT 2010OTHER</v>
      </c>
      <c r="B632" s="126" t="s">
        <v>2734</v>
      </c>
      <c r="C632" s="128" t="s">
        <v>1170</v>
      </c>
      <c r="D632" s="126" t="s">
        <v>2780</v>
      </c>
      <c r="E632" s="128" t="s">
        <v>1226</v>
      </c>
      <c r="F632" s="127" t="s">
        <v>306</v>
      </c>
      <c r="G632" s="136">
        <v>321.98257999999998</v>
      </c>
      <c r="H632" s="113" t="str">
        <f t="shared" si="28"/>
        <v>OTHER</v>
      </c>
      <c r="I632" s="113" t="str">
        <f>INDEX('REGASSET Lookup'!$I:$I,MATCH('REGASSET Jun22data'!$A632,'REGASSET Lookup'!$A:$A,0))</f>
        <v>CUST</v>
      </c>
      <c r="J632" s="113" t="str">
        <f t="shared" si="29"/>
        <v>NO</v>
      </c>
      <c r="K632"/>
    </row>
    <row r="633" spans="1:11">
      <c r="A633" s="114" t="str">
        <f t="shared" si="27"/>
        <v>1823930DSR COSTS NOT AMORT103063IRRIGATION INTERRUPTIBLE ID-UT 2010OTHER</v>
      </c>
      <c r="B633" s="126" t="s">
        <v>2734</v>
      </c>
      <c r="C633" s="128" t="s">
        <v>1170</v>
      </c>
      <c r="D633" s="126" t="s">
        <v>2781</v>
      </c>
      <c r="E633" s="128" t="s">
        <v>1227</v>
      </c>
      <c r="F633" s="127" t="s">
        <v>306</v>
      </c>
      <c r="G633" s="136">
        <v>4283.3929399999997</v>
      </c>
      <c r="H633" s="113" t="str">
        <f t="shared" si="28"/>
        <v>OTHER</v>
      </c>
      <c r="I633" s="113" t="str">
        <f>INDEX('REGASSET Lookup'!$I:$I,MATCH('REGASSET Jun22data'!$A633,'REGASSET Lookup'!$A:$A,0))</f>
        <v>CUST</v>
      </c>
      <c r="J633" s="113" t="str">
        <f t="shared" si="29"/>
        <v>NO</v>
      </c>
      <c r="K633"/>
    </row>
    <row r="634" spans="1:11">
      <c r="A634" s="114" t="str">
        <f t="shared" si="27"/>
        <v>1823930DSR COSTS NOT AMORT103064LOW INCOME WZ  - ID-UT 2010OTHER</v>
      </c>
      <c r="B634" s="126" t="s">
        <v>2734</v>
      </c>
      <c r="C634" s="128" t="s">
        <v>1170</v>
      </c>
      <c r="D634" s="126" t="s">
        <v>2782</v>
      </c>
      <c r="E634" s="128" t="s">
        <v>1228</v>
      </c>
      <c r="F634" s="127" t="s">
        <v>306</v>
      </c>
      <c r="G634" s="136">
        <v>133.67257000000001</v>
      </c>
      <c r="H634" s="113" t="str">
        <f t="shared" si="28"/>
        <v>OTHER</v>
      </c>
      <c r="I634" s="113" t="str">
        <f>INDEX('REGASSET Lookup'!$I:$I,MATCH('REGASSET Jun22data'!$A634,'REGASSET Lookup'!$A:$A,0))</f>
        <v>CUST</v>
      </c>
      <c r="J634" s="113" t="str">
        <f t="shared" si="29"/>
        <v>NO</v>
      </c>
      <c r="K634"/>
    </row>
    <row r="635" spans="1:11">
      <c r="A635" s="114" t="str">
        <f t="shared" si="27"/>
        <v>1823930DSR COSTS NOT AMORT103065NEEA - IDAHO - UTAH 2010OTHER</v>
      </c>
      <c r="B635" s="126" t="s">
        <v>2734</v>
      </c>
      <c r="C635" s="128" t="s">
        <v>1170</v>
      </c>
      <c r="D635" s="126" t="s">
        <v>2783</v>
      </c>
      <c r="E635" s="128" t="s">
        <v>1229</v>
      </c>
      <c r="F635" s="127" t="s">
        <v>306</v>
      </c>
      <c r="G635" s="136">
        <v>0.46115</v>
      </c>
      <c r="H635" s="113" t="str">
        <f t="shared" si="28"/>
        <v>OTHER</v>
      </c>
      <c r="I635" s="113" t="str">
        <f>INDEX('REGASSET Lookup'!$I:$I,MATCH('REGASSET Jun22data'!$A635,'REGASSET Lookup'!$A:$A,0))</f>
        <v>CUST</v>
      </c>
      <c r="J635" s="113" t="str">
        <f t="shared" si="29"/>
        <v>NO</v>
      </c>
      <c r="K635"/>
    </row>
    <row r="636" spans="1:11">
      <c r="A636" s="114" t="str">
        <f t="shared" si="27"/>
        <v>1823930DSR COSTS NOT AMORT103066REFRIGERATOR RECYCLING PGM - ID-UT 2010OTHER</v>
      </c>
      <c r="B636" s="126" t="s">
        <v>2734</v>
      </c>
      <c r="C636" s="128" t="s">
        <v>1170</v>
      </c>
      <c r="D636" s="126" t="s">
        <v>2784</v>
      </c>
      <c r="E636" s="128" t="s">
        <v>1230</v>
      </c>
      <c r="F636" s="127" t="s">
        <v>306</v>
      </c>
      <c r="G636" s="136">
        <v>165.80113</v>
      </c>
      <c r="H636" s="113" t="str">
        <f t="shared" si="28"/>
        <v>OTHER</v>
      </c>
      <c r="I636" s="113" t="str">
        <f>INDEX('REGASSET Lookup'!$I:$I,MATCH('REGASSET Jun22data'!$A636,'REGASSET Lookup'!$A:$A,0))</f>
        <v>CUST</v>
      </c>
      <c r="J636" s="113" t="str">
        <f t="shared" si="29"/>
        <v>NO</v>
      </c>
      <c r="K636"/>
    </row>
    <row r="637" spans="1:11">
      <c r="A637" s="114" t="str">
        <f t="shared" si="27"/>
        <v>1823930DSR COSTS NOT AMORT103067COMMERCIAL FINANSWER EXPR - ID-UT 2010OTHER</v>
      </c>
      <c r="B637" s="126" t="s">
        <v>2734</v>
      </c>
      <c r="C637" s="128" t="s">
        <v>1170</v>
      </c>
      <c r="D637" s="126" t="s">
        <v>2785</v>
      </c>
      <c r="E637" s="128" t="s">
        <v>1231</v>
      </c>
      <c r="F637" s="127" t="s">
        <v>306</v>
      </c>
      <c r="G637" s="136">
        <v>513.47792000000004</v>
      </c>
      <c r="H637" s="113" t="str">
        <f t="shared" si="28"/>
        <v>OTHER</v>
      </c>
      <c r="I637" s="113" t="str">
        <f>INDEX('REGASSET Lookup'!$I:$I,MATCH('REGASSET Jun22data'!$A637,'REGASSET Lookup'!$A:$A,0))</f>
        <v>CUST</v>
      </c>
      <c r="J637" s="113" t="str">
        <f t="shared" si="29"/>
        <v>NO</v>
      </c>
      <c r="K637"/>
    </row>
    <row r="638" spans="1:11">
      <c r="A638" s="114" t="str">
        <f t="shared" si="27"/>
        <v>1823930DSR COSTS NOT AMORT103068INDUSTRIAL FINANSWER EXPR - ID-UT 2010OTHER</v>
      </c>
      <c r="B638" s="126" t="s">
        <v>2734</v>
      </c>
      <c r="C638" s="128" t="s">
        <v>1170</v>
      </c>
      <c r="D638" s="126" t="s">
        <v>2786</v>
      </c>
      <c r="E638" s="128" t="s">
        <v>1232</v>
      </c>
      <c r="F638" s="127" t="s">
        <v>306</v>
      </c>
      <c r="G638" s="136">
        <v>107.01175000000001</v>
      </c>
      <c r="H638" s="113" t="str">
        <f t="shared" si="28"/>
        <v>OTHER</v>
      </c>
      <c r="I638" s="113" t="str">
        <f>INDEX('REGASSET Lookup'!$I:$I,MATCH('REGASSET Jun22data'!$A638,'REGASSET Lookup'!$A:$A,0))</f>
        <v>CUST</v>
      </c>
      <c r="J638" s="113" t="str">
        <f t="shared" si="29"/>
        <v>NO</v>
      </c>
      <c r="K638"/>
    </row>
    <row r="639" spans="1:11">
      <c r="A639" s="114" t="str">
        <f t="shared" si="27"/>
        <v>1823930DSR COSTS NOT AMORT103069IRRIGATION EFFICIENCY PRGRM - ID-UT 2010OTHER</v>
      </c>
      <c r="B639" s="126" t="s">
        <v>2734</v>
      </c>
      <c r="C639" s="128" t="s">
        <v>1170</v>
      </c>
      <c r="D639" s="126" t="s">
        <v>2787</v>
      </c>
      <c r="E639" s="128" t="s">
        <v>1233</v>
      </c>
      <c r="F639" s="127" t="s">
        <v>306</v>
      </c>
      <c r="G639" s="136">
        <v>637.00941999999998</v>
      </c>
      <c r="H639" s="113" t="str">
        <f t="shared" si="28"/>
        <v>OTHER</v>
      </c>
      <c r="I639" s="113" t="str">
        <f>INDEX('REGASSET Lookup'!$I:$I,MATCH('REGASSET Jun22data'!$A639,'REGASSET Lookup'!$A:$A,0))</f>
        <v>CUST</v>
      </c>
      <c r="J639" s="113" t="str">
        <f t="shared" si="29"/>
        <v>NO</v>
      </c>
      <c r="K639"/>
    </row>
    <row r="640" spans="1:11">
      <c r="A640" s="114" t="str">
        <f t="shared" si="27"/>
        <v>1823930DSR COSTS NOT AMORT103070HOME ENERGY EFFICIENCY INCENTIVE PROG  -OTHER</v>
      </c>
      <c r="B640" s="126" t="s">
        <v>2734</v>
      </c>
      <c r="C640" s="128" t="s">
        <v>1170</v>
      </c>
      <c r="D640" s="126" t="s">
        <v>2788</v>
      </c>
      <c r="E640" s="128" t="s">
        <v>1202</v>
      </c>
      <c r="F640" s="127" t="s">
        <v>306</v>
      </c>
      <c r="G640" s="136">
        <v>1305.0138400000001</v>
      </c>
      <c r="H640" s="113" t="str">
        <f t="shared" si="28"/>
        <v>OTHER</v>
      </c>
      <c r="I640" s="113" t="str">
        <f>INDEX('REGASSET Lookup'!$I:$I,MATCH('REGASSET Jun22data'!$A640,'REGASSET Lookup'!$A:$A,0))</f>
        <v>CUST</v>
      </c>
      <c r="J640" s="113" t="str">
        <f t="shared" si="29"/>
        <v>NO</v>
      </c>
      <c r="K640"/>
    </row>
    <row r="641" spans="1:11">
      <c r="A641" s="114" t="str">
        <f t="shared" si="27"/>
        <v>1823930DSR COSTS NOT AMORT103171ENERGY FINANSWER - ID/UT 2011OTHER</v>
      </c>
      <c r="B641" s="126" t="s">
        <v>2734</v>
      </c>
      <c r="C641" s="128" t="s">
        <v>1170</v>
      </c>
      <c r="D641" s="126" t="s">
        <v>2789</v>
      </c>
      <c r="E641" s="128" t="s">
        <v>1234</v>
      </c>
      <c r="F641" s="127" t="s">
        <v>306</v>
      </c>
      <c r="G641" s="136">
        <v>23.137599999999999</v>
      </c>
      <c r="H641" s="113" t="str">
        <f t="shared" si="28"/>
        <v>OTHER</v>
      </c>
      <c r="I641" s="113" t="str">
        <f>INDEX('REGASSET Lookup'!$I:$I,MATCH('REGASSET Jun22data'!$A641,'REGASSET Lookup'!$A:$A,0))</f>
        <v>CUST</v>
      </c>
      <c r="J641" s="113" t="str">
        <f t="shared" si="29"/>
        <v>NO</v>
      </c>
      <c r="K641"/>
    </row>
    <row r="642" spans="1:11">
      <c r="A642" s="114" t="str">
        <f t="shared" si="27"/>
        <v>1823930DSR COSTS NOT AMORT103172INDUSTRIAL FINANSWER - ID-UT 2011OTHER</v>
      </c>
      <c r="B642" s="126" t="s">
        <v>2734</v>
      </c>
      <c r="C642" s="128" t="s">
        <v>1170</v>
      </c>
      <c r="D642" s="126" t="s">
        <v>2790</v>
      </c>
      <c r="E642" s="128" t="s">
        <v>1235</v>
      </c>
      <c r="F642" s="127" t="s">
        <v>306</v>
      </c>
      <c r="G642" s="136">
        <v>142.68645000000001</v>
      </c>
      <c r="H642" s="113" t="str">
        <f t="shared" si="28"/>
        <v>OTHER</v>
      </c>
      <c r="I642" s="113" t="str">
        <f>INDEX('REGASSET Lookup'!$I:$I,MATCH('REGASSET Jun22data'!$A642,'REGASSET Lookup'!$A:$A,0))</f>
        <v>CUST</v>
      </c>
      <c r="J642" s="113" t="str">
        <f t="shared" si="29"/>
        <v>NO</v>
      </c>
      <c r="K642"/>
    </row>
    <row r="643" spans="1:11">
      <c r="A643" s="114" t="str">
        <f t="shared" ref="A643:A706" si="30">CONCATENATE($B643,$C643,$D643,$E643,$H643)</f>
        <v>1823930DSR COSTS NOT AMORT103173IRRIGATION INTERRUPTIBLE ID-UT 2011OTHER</v>
      </c>
      <c r="B643" s="126" t="s">
        <v>2734</v>
      </c>
      <c r="C643" s="128" t="s">
        <v>1170</v>
      </c>
      <c r="D643" s="126" t="s">
        <v>2791</v>
      </c>
      <c r="E643" s="128" t="s">
        <v>1236</v>
      </c>
      <c r="F643" s="127" t="s">
        <v>306</v>
      </c>
      <c r="G643" s="136">
        <v>37.325920000000004</v>
      </c>
      <c r="H643" s="113" t="str">
        <f t="shared" ref="H643:H706" si="31">IF(OR(F643="IDU",F643="OR",F643="UT",F643="WYU",F643="WYP",F643="CA",F643="WA"),"SITUS",IF(OR(F643="CAEE",F643="JBE"),"SE",IF(OR(F643="CAGE",F643="CAGW",F643="JBG"),"SG",F643)))</f>
        <v>OTHER</v>
      </c>
      <c r="I643" s="113" t="str">
        <f>INDEX('REGASSET Lookup'!$I:$I,MATCH('REGASSET Jun22data'!$A643,'REGASSET Lookup'!$A:$A,0))</f>
        <v>CUST</v>
      </c>
      <c r="J643" s="113" t="str">
        <f t="shared" ref="J643:J706" si="32">IF(G643=0,"NO",IF(ISNA($I643),"YES",IF(_xlfn.ISFORMULA($I643),"NO","YES")))</f>
        <v>NO</v>
      </c>
      <c r="K643"/>
    </row>
    <row r="644" spans="1:11">
      <c r="A644" s="114" t="str">
        <f t="shared" si="30"/>
        <v>1823930DSR COSTS NOT AMORT103174LOW INCOME WZ  - ID-UT 2011OTHER</v>
      </c>
      <c r="B644" s="126" t="s">
        <v>2734</v>
      </c>
      <c r="C644" s="128" t="s">
        <v>1170</v>
      </c>
      <c r="D644" s="126" t="s">
        <v>2792</v>
      </c>
      <c r="E644" s="128" t="s">
        <v>1237</v>
      </c>
      <c r="F644" s="127" t="s">
        <v>306</v>
      </c>
      <c r="G644" s="136">
        <v>425.00497000000001</v>
      </c>
      <c r="H644" s="113" t="str">
        <f t="shared" si="31"/>
        <v>OTHER</v>
      </c>
      <c r="I644" s="113" t="str">
        <f>INDEX('REGASSET Lookup'!$I:$I,MATCH('REGASSET Jun22data'!$A644,'REGASSET Lookup'!$A:$A,0))</f>
        <v>CUST</v>
      </c>
      <c r="J644" s="113" t="str">
        <f t="shared" si="32"/>
        <v>NO</v>
      </c>
      <c r="K644"/>
    </row>
    <row r="645" spans="1:11">
      <c r="A645" s="114" t="str">
        <f t="shared" si="30"/>
        <v>1823930DSR COSTS NOT AMORT103176REFRIGERATOR RECYCLING PGM - ID-UT 2011OTHER</v>
      </c>
      <c r="B645" s="126" t="s">
        <v>2734</v>
      </c>
      <c r="C645" s="128" t="s">
        <v>1170</v>
      </c>
      <c r="D645" s="126" t="s">
        <v>2793</v>
      </c>
      <c r="E645" s="128" t="s">
        <v>1238</v>
      </c>
      <c r="F645" s="127" t="s">
        <v>306</v>
      </c>
      <c r="G645" s="136">
        <v>126.28608</v>
      </c>
      <c r="H645" s="113" t="str">
        <f t="shared" si="31"/>
        <v>OTHER</v>
      </c>
      <c r="I645" s="113" t="str">
        <f>INDEX('REGASSET Lookup'!$I:$I,MATCH('REGASSET Jun22data'!$A645,'REGASSET Lookup'!$A:$A,0))</f>
        <v>CUST</v>
      </c>
      <c r="J645" s="113" t="str">
        <f t="shared" si="32"/>
        <v>NO</v>
      </c>
      <c r="K645"/>
    </row>
    <row r="646" spans="1:11">
      <c r="A646" s="114" t="str">
        <f t="shared" si="30"/>
        <v>1823930DSR COSTS NOT AMORT103177COMMERCIAL FINANSWER EXPR - ID-UT 2011OTHER</v>
      </c>
      <c r="B646" s="126" t="s">
        <v>2734</v>
      </c>
      <c r="C646" s="128" t="s">
        <v>1170</v>
      </c>
      <c r="D646" s="126" t="s">
        <v>2794</v>
      </c>
      <c r="E646" s="128" t="s">
        <v>1239</v>
      </c>
      <c r="F646" s="127" t="s">
        <v>306</v>
      </c>
      <c r="G646" s="136">
        <v>631.68134999999995</v>
      </c>
      <c r="H646" s="113" t="str">
        <f t="shared" si="31"/>
        <v>OTHER</v>
      </c>
      <c r="I646" s="113" t="str">
        <f>INDEX('REGASSET Lookup'!$I:$I,MATCH('REGASSET Jun22data'!$A646,'REGASSET Lookup'!$A:$A,0))</f>
        <v>CUST</v>
      </c>
      <c r="J646" s="113" t="str">
        <f t="shared" si="32"/>
        <v>NO</v>
      </c>
      <c r="K646"/>
    </row>
    <row r="647" spans="1:11">
      <c r="A647" s="114" t="str">
        <f t="shared" si="30"/>
        <v>1823930DSR COSTS NOT AMORT103178INDUSTRIAL FINANSWER EXPR - ID-UT 2011OTHER</v>
      </c>
      <c r="B647" s="126" t="s">
        <v>2734</v>
      </c>
      <c r="C647" s="128" t="s">
        <v>1170</v>
      </c>
      <c r="D647" s="126" t="s">
        <v>2795</v>
      </c>
      <c r="E647" s="128" t="s">
        <v>1240</v>
      </c>
      <c r="F647" s="127" t="s">
        <v>306</v>
      </c>
      <c r="G647" s="136">
        <v>77.214200000000005</v>
      </c>
      <c r="H647" s="113" t="str">
        <f t="shared" si="31"/>
        <v>OTHER</v>
      </c>
      <c r="I647" s="113" t="str">
        <f>INDEX('REGASSET Lookup'!$I:$I,MATCH('REGASSET Jun22data'!$A647,'REGASSET Lookup'!$A:$A,0))</f>
        <v>CUST</v>
      </c>
      <c r="J647" s="113" t="str">
        <f t="shared" si="32"/>
        <v>NO</v>
      </c>
      <c r="K647"/>
    </row>
    <row r="648" spans="1:11">
      <c r="A648" s="114" t="str">
        <f t="shared" si="30"/>
        <v>1823930DSR COSTS NOT AMORT103179IRRIGATION EFFICIENCY PRGRM - ID-UT 2011OTHER</v>
      </c>
      <c r="B648" s="126" t="s">
        <v>2734</v>
      </c>
      <c r="C648" s="128" t="s">
        <v>1170</v>
      </c>
      <c r="D648" s="126" t="s">
        <v>2796</v>
      </c>
      <c r="E648" s="128" t="s">
        <v>1241</v>
      </c>
      <c r="F648" s="127" t="s">
        <v>306</v>
      </c>
      <c r="G648" s="136">
        <v>507.57371999999998</v>
      </c>
      <c r="H648" s="113" t="str">
        <f t="shared" si="31"/>
        <v>OTHER</v>
      </c>
      <c r="I648" s="113" t="str">
        <f>INDEX('REGASSET Lookup'!$I:$I,MATCH('REGASSET Jun22data'!$A648,'REGASSET Lookup'!$A:$A,0))</f>
        <v>CUST</v>
      </c>
      <c r="J648" s="113" t="str">
        <f t="shared" si="32"/>
        <v>NO</v>
      </c>
      <c r="K648"/>
    </row>
    <row r="649" spans="1:11">
      <c r="A649" s="114" t="str">
        <f t="shared" si="30"/>
        <v>1823930DSR COSTS NOT AMORT103180HOME ENERGY EFFICIENCY INCENTIVE PROG  -OTHER</v>
      </c>
      <c r="B649" s="126" t="s">
        <v>2734</v>
      </c>
      <c r="C649" s="128" t="s">
        <v>1170</v>
      </c>
      <c r="D649" s="126" t="s">
        <v>2797</v>
      </c>
      <c r="E649" s="128" t="s">
        <v>1202</v>
      </c>
      <c r="F649" s="127" t="s">
        <v>306</v>
      </c>
      <c r="G649" s="136">
        <v>699.07396000000006</v>
      </c>
      <c r="H649" s="113" t="str">
        <f t="shared" si="31"/>
        <v>OTHER</v>
      </c>
      <c r="I649" s="113" t="str">
        <f>INDEX('REGASSET Lookup'!$I:$I,MATCH('REGASSET Jun22data'!$A649,'REGASSET Lookup'!$A:$A,0))</f>
        <v>CUST</v>
      </c>
      <c r="J649" s="113" t="str">
        <f t="shared" si="32"/>
        <v>NO</v>
      </c>
      <c r="K649"/>
    </row>
    <row r="650" spans="1:11">
      <c r="A650" s="114" t="str">
        <f t="shared" si="30"/>
        <v>1823930DSR COSTS NOT AMORT103312ENERGY FINANSWER - ID 2012OTHER</v>
      </c>
      <c r="B650" s="126" t="s">
        <v>2734</v>
      </c>
      <c r="C650" s="128" t="s">
        <v>1170</v>
      </c>
      <c r="D650" s="126" t="s">
        <v>2798</v>
      </c>
      <c r="E650" s="128" t="s">
        <v>1242</v>
      </c>
      <c r="F650" s="127" t="s">
        <v>306</v>
      </c>
      <c r="G650" s="136">
        <v>35.377119999999998</v>
      </c>
      <c r="H650" s="113" t="str">
        <f t="shared" si="31"/>
        <v>OTHER</v>
      </c>
      <c r="I650" s="113" t="str">
        <f>INDEX('REGASSET Lookup'!$I:$I,MATCH('REGASSET Jun22data'!$A650,'REGASSET Lookup'!$A:$A,0))</f>
        <v>CUST</v>
      </c>
      <c r="J650" s="113" t="str">
        <f t="shared" si="32"/>
        <v>NO</v>
      </c>
      <c r="K650"/>
    </row>
    <row r="651" spans="1:11">
      <c r="A651" s="114" t="str">
        <f t="shared" si="30"/>
        <v>1823930DSR COSTS NOT AMORT103313INDUSTRIAL FINANSWER - ID 2012OTHER</v>
      </c>
      <c r="B651" s="126" t="s">
        <v>2734</v>
      </c>
      <c r="C651" s="128" t="s">
        <v>1170</v>
      </c>
      <c r="D651" s="126" t="s">
        <v>2799</v>
      </c>
      <c r="E651" s="128" t="s">
        <v>1243</v>
      </c>
      <c r="F651" s="127" t="s">
        <v>306</v>
      </c>
      <c r="G651" s="136">
        <v>303.18799000000001</v>
      </c>
      <c r="H651" s="113" t="str">
        <f t="shared" si="31"/>
        <v>OTHER</v>
      </c>
      <c r="I651" s="113" t="str">
        <f>INDEX('REGASSET Lookup'!$I:$I,MATCH('REGASSET Jun22data'!$A651,'REGASSET Lookup'!$A:$A,0))</f>
        <v>CUST</v>
      </c>
      <c r="J651" s="113" t="str">
        <f t="shared" si="32"/>
        <v>NO</v>
      </c>
      <c r="K651"/>
    </row>
    <row r="652" spans="1:11">
      <c r="A652" s="114" t="str">
        <f t="shared" si="30"/>
        <v>1823930DSR COSTS NOT AMORT103314IRRIGATION INTERRUPTIBLE- ID 2012OTHER</v>
      </c>
      <c r="B652" s="126" t="s">
        <v>2734</v>
      </c>
      <c r="C652" s="128" t="s">
        <v>1170</v>
      </c>
      <c r="D652" s="126" t="s">
        <v>2800</v>
      </c>
      <c r="E652" s="128" t="s">
        <v>1244</v>
      </c>
      <c r="F652" s="127" t="s">
        <v>306</v>
      </c>
      <c r="G652" s="136">
        <v>44.237549999999999</v>
      </c>
      <c r="H652" s="113" t="str">
        <f t="shared" si="31"/>
        <v>OTHER</v>
      </c>
      <c r="I652" s="113" t="str">
        <f>INDEX('REGASSET Lookup'!$I:$I,MATCH('REGASSET Jun22data'!$A652,'REGASSET Lookup'!$A:$A,0))</f>
        <v>CUST</v>
      </c>
      <c r="J652" s="113" t="str">
        <f t="shared" si="32"/>
        <v>NO</v>
      </c>
      <c r="K652"/>
    </row>
    <row r="653" spans="1:11">
      <c r="A653" s="114" t="str">
        <f t="shared" si="30"/>
        <v>1823930DSR COSTS NOT AMORT103315LOW INCOME WZ  - ID- 2012OTHER</v>
      </c>
      <c r="B653" s="126" t="s">
        <v>2734</v>
      </c>
      <c r="C653" s="128" t="s">
        <v>1170</v>
      </c>
      <c r="D653" s="126" t="s">
        <v>2801</v>
      </c>
      <c r="E653" s="128" t="s">
        <v>1245</v>
      </c>
      <c r="F653" s="127" t="s">
        <v>306</v>
      </c>
      <c r="G653" s="136">
        <v>295.92408</v>
      </c>
      <c r="H653" s="113" t="str">
        <f t="shared" si="31"/>
        <v>OTHER</v>
      </c>
      <c r="I653" s="113" t="str">
        <f>INDEX('REGASSET Lookup'!$I:$I,MATCH('REGASSET Jun22data'!$A653,'REGASSET Lookup'!$A:$A,0))</f>
        <v>CUST</v>
      </c>
      <c r="J653" s="113" t="str">
        <f t="shared" si="32"/>
        <v>NO</v>
      </c>
      <c r="K653"/>
    </row>
    <row r="654" spans="1:11">
      <c r="A654" s="114" t="str">
        <f t="shared" si="30"/>
        <v>1823930DSR COSTS NOT AMORT103317REFRIGERATOR RECYCLING PGM - ID 2012OTHER</v>
      </c>
      <c r="B654" s="126" t="s">
        <v>2734</v>
      </c>
      <c r="C654" s="128" t="s">
        <v>1170</v>
      </c>
      <c r="D654" s="126" t="s">
        <v>2802</v>
      </c>
      <c r="E654" s="128" t="s">
        <v>1246</v>
      </c>
      <c r="F654" s="127" t="s">
        <v>306</v>
      </c>
      <c r="G654" s="136">
        <v>115.49608000000001</v>
      </c>
      <c r="H654" s="113" t="str">
        <f t="shared" si="31"/>
        <v>OTHER</v>
      </c>
      <c r="I654" s="113" t="str">
        <f>INDEX('REGASSET Lookup'!$I:$I,MATCH('REGASSET Jun22data'!$A654,'REGASSET Lookup'!$A:$A,0))</f>
        <v>CUST</v>
      </c>
      <c r="J654" s="113" t="str">
        <f t="shared" si="32"/>
        <v>NO</v>
      </c>
      <c r="K654"/>
    </row>
    <row r="655" spans="1:11">
      <c r="A655" s="114" t="str">
        <f t="shared" si="30"/>
        <v>1823930DSR COSTS NOT AMORT103318COMMERCIAL FINANSWER EXPR - ID 2012OTHER</v>
      </c>
      <c r="B655" s="126" t="s">
        <v>2734</v>
      </c>
      <c r="C655" s="128" t="s">
        <v>1170</v>
      </c>
      <c r="D655" s="126" t="s">
        <v>2803</v>
      </c>
      <c r="E655" s="128" t="s">
        <v>1247</v>
      </c>
      <c r="F655" s="127" t="s">
        <v>306</v>
      </c>
      <c r="G655" s="136">
        <v>705.67894000000001</v>
      </c>
      <c r="H655" s="113" t="str">
        <f t="shared" si="31"/>
        <v>OTHER</v>
      </c>
      <c r="I655" s="113" t="str">
        <f>INDEX('REGASSET Lookup'!$I:$I,MATCH('REGASSET Jun22data'!$A655,'REGASSET Lookup'!$A:$A,0))</f>
        <v>CUST</v>
      </c>
      <c r="J655" s="113" t="str">
        <f t="shared" si="32"/>
        <v>NO</v>
      </c>
      <c r="K655"/>
    </row>
    <row r="656" spans="1:11">
      <c r="A656" s="114" t="str">
        <f t="shared" si="30"/>
        <v>1823930DSR COSTS NOT AMORT103319INDUSTRIAL FINANSWER EXPR - ID 2012OTHER</v>
      </c>
      <c r="B656" s="126" t="s">
        <v>2734</v>
      </c>
      <c r="C656" s="128" t="s">
        <v>1170</v>
      </c>
      <c r="D656" s="126" t="s">
        <v>2804</v>
      </c>
      <c r="E656" s="128" t="s">
        <v>1248</v>
      </c>
      <c r="F656" s="127" t="s">
        <v>306</v>
      </c>
      <c r="G656" s="136">
        <v>225.87345999999999</v>
      </c>
      <c r="H656" s="113" t="str">
        <f t="shared" si="31"/>
        <v>OTHER</v>
      </c>
      <c r="I656" s="113" t="str">
        <f>INDEX('REGASSET Lookup'!$I:$I,MATCH('REGASSET Jun22data'!$A656,'REGASSET Lookup'!$A:$A,0))</f>
        <v>CUST</v>
      </c>
      <c r="J656" s="113" t="str">
        <f t="shared" si="32"/>
        <v>NO</v>
      </c>
      <c r="K656"/>
    </row>
    <row r="657" spans="1:11">
      <c r="A657" s="114" t="str">
        <f t="shared" si="30"/>
        <v>1823930DSR COSTS NOT AMORT103320IRRIGATION EFFICIENCY PRGRM - ID 2012OTHER</v>
      </c>
      <c r="B657" s="126" t="s">
        <v>2734</v>
      </c>
      <c r="C657" s="128" t="s">
        <v>1170</v>
      </c>
      <c r="D657" s="126" t="s">
        <v>2805</v>
      </c>
      <c r="E657" s="128" t="s">
        <v>1249</v>
      </c>
      <c r="F657" s="127" t="s">
        <v>306</v>
      </c>
      <c r="G657" s="136">
        <v>846.70905000000005</v>
      </c>
      <c r="H657" s="113" t="str">
        <f t="shared" si="31"/>
        <v>OTHER</v>
      </c>
      <c r="I657" s="113" t="str">
        <f>INDEX('REGASSET Lookup'!$I:$I,MATCH('REGASSET Jun22data'!$A657,'REGASSET Lookup'!$A:$A,0))</f>
        <v>CUST</v>
      </c>
      <c r="J657" s="113" t="str">
        <f t="shared" si="32"/>
        <v>NO</v>
      </c>
      <c r="K657"/>
    </row>
    <row r="658" spans="1:11">
      <c r="A658" s="114" t="str">
        <f t="shared" si="30"/>
        <v>1823930DSR COSTS NOT AMORT103321HOME ENERGY EFFICIENCY INCENTIVE PROG  -OTHER</v>
      </c>
      <c r="B658" s="126" t="s">
        <v>2734</v>
      </c>
      <c r="C658" s="128" t="s">
        <v>1170</v>
      </c>
      <c r="D658" s="126" t="s">
        <v>2806</v>
      </c>
      <c r="E658" s="128" t="s">
        <v>1202</v>
      </c>
      <c r="F658" s="127" t="s">
        <v>306</v>
      </c>
      <c r="G658" s="136">
        <v>789.23712999999998</v>
      </c>
      <c r="H658" s="113" t="str">
        <f t="shared" si="31"/>
        <v>OTHER</v>
      </c>
      <c r="I658" s="113" t="str">
        <f>INDEX('REGASSET Lookup'!$I:$I,MATCH('REGASSET Jun22data'!$A658,'REGASSET Lookup'!$A:$A,0))</f>
        <v>CUST</v>
      </c>
      <c r="J658" s="113" t="str">
        <f t="shared" si="32"/>
        <v>NO</v>
      </c>
      <c r="K658"/>
    </row>
    <row r="659" spans="1:11">
      <c r="A659" s="114" t="str">
        <f t="shared" si="30"/>
        <v>1823930DSR COSTS NOT AMORT103322COMMERCIAL DIRECT INSTALL - ID 2012OTHER</v>
      </c>
      <c r="B659" s="126" t="s">
        <v>2734</v>
      </c>
      <c r="C659" s="128" t="s">
        <v>1170</v>
      </c>
      <c r="D659" s="126" t="s">
        <v>2807</v>
      </c>
      <c r="E659" s="128" t="s">
        <v>1250</v>
      </c>
      <c r="F659" s="127" t="s">
        <v>306</v>
      </c>
      <c r="G659" s="136">
        <v>8.1750000000000003E-2</v>
      </c>
      <c r="H659" s="113" t="str">
        <f t="shared" si="31"/>
        <v>OTHER</v>
      </c>
      <c r="I659" s="113" t="str">
        <f>INDEX('REGASSET Lookup'!$I:$I,MATCH('REGASSET Jun22data'!$A659,'REGASSET Lookup'!$A:$A,0))</f>
        <v>CUST</v>
      </c>
      <c r="J659" s="113" t="str">
        <f t="shared" si="32"/>
        <v>NO</v>
      </c>
      <c r="K659"/>
    </row>
    <row r="660" spans="1:11">
      <c r="A660" s="114" t="str">
        <f t="shared" si="30"/>
        <v>1823930DSR COSTS NOT AMORT103323AGRICULURAL FINANSWER EXPR - ID 2012OTHER</v>
      </c>
      <c r="B660" s="126" t="s">
        <v>2734</v>
      </c>
      <c r="C660" s="128" t="s">
        <v>1170</v>
      </c>
      <c r="D660" s="126" t="s">
        <v>2808</v>
      </c>
      <c r="E660" s="128" t="s">
        <v>1251</v>
      </c>
      <c r="F660" s="127" t="s">
        <v>306</v>
      </c>
      <c r="G660" s="136">
        <v>7.4726400000000002</v>
      </c>
      <c r="H660" s="113" t="str">
        <f t="shared" si="31"/>
        <v>OTHER</v>
      </c>
      <c r="I660" s="113" t="str">
        <f>INDEX('REGASSET Lookup'!$I:$I,MATCH('REGASSET Jun22data'!$A660,'REGASSET Lookup'!$A:$A,0))</f>
        <v>CUST</v>
      </c>
      <c r="J660" s="113" t="str">
        <f t="shared" si="32"/>
        <v>NO</v>
      </c>
      <c r="K660"/>
    </row>
    <row r="661" spans="1:11">
      <c r="A661" s="114" t="str">
        <f t="shared" si="30"/>
        <v>1823930DSR COSTS NOT AMORT103398RECOMMISSIONING INDUSTRIAL - UT 2012OTHER</v>
      </c>
      <c r="B661" s="126" t="s">
        <v>2734</v>
      </c>
      <c r="C661" s="128" t="s">
        <v>1170</v>
      </c>
      <c r="D661" s="126" t="s">
        <v>2809</v>
      </c>
      <c r="E661" s="128" t="s">
        <v>1252</v>
      </c>
      <c r="F661" s="127" t="s">
        <v>306</v>
      </c>
      <c r="G661" s="136">
        <v>5.9971500000000004</v>
      </c>
      <c r="H661" s="113" t="str">
        <f t="shared" si="31"/>
        <v>OTHER</v>
      </c>
      <c r="I661" s="113" t="str">
        <f>INDEX('REGASSET Lookup'!$I:$I,MATCH('REGASSET Jun22data'!$A661,'REGASSET Lookup'!$A:$A,0))</f>
        <v>CUST</v>
      </c>
      <c r="J661" s="113" t="str">
        <f t="shared" si="32"/>
        <v>NO</v>
      </c>
      <c r="K661"/>
    </row>
    <row r="662" spans="1:11">
      <c r="A662" s="114" t="str">
        <f t="shared" si="30"/>
        <v>1823930DSR COSTS NOT AMORT103634AGRICULURAL FINANSWER EXPR - ID 2013OTHER</v>
      </c>
      <c r="B662" s="126" t="s">
        <v>2734</v>
      </c>
      <c r="C662" s="128" t="s">
        <v>1170</v>
      </c>
      <c r="D662" s="126" t="s">
        <v>2810</v>
      </c>
      <c r="E662" s="128" t="s">
        <v>1253</v>
      </c>
      <c r="F662" s="127" t="s">
        <v>306</v>
      </c>
      <c r="G662" s="136">
        <v>20.56673</v>
      </c>
      <c r="H662" s="113" t="str">
        <f t="shared" si="31"/>
        <v>OTHER</v>
      </c>
      <c r="I662" s="113" t="str">
        <f>INDEX('REGASSET Lookup'!$I:$I,MATCH('REGASSET Jun22data'!$A662,'REGASSET Lookup'!$A:$A,0))</f>
        <v>CUST</v>
      </c>
      <c r="J662" s="113" t="str">
        <f t="shared" si="32"/>
        <v>NO</v>
      </c>
      <c r="K662"/>
    </row>
    <row r="663" spans="1:11">
      <c r="A663" s="114" t="str">
        <f t="shared" si="30"/>
        <v>1823930DSR COSTS NOT AMORT103635ENERGY FINANSWER - ID 2013OTHER</v>
      </c>
      <c r="B663" s="126" t="s">
        <v>2734</v>
      </c>
      <c r="C663" s="128" t="s">
        <v>1170</v>
      </c>
      <c r="D663" s="126" t="s">
        <v>2811</v>
      </c>
      <c r="E663" s="128" t="s">
        <v>1254</v>
      </c>
      <c r="F663" s="127" t="s">
        <v>306</v>
      </c>
      <c r="G663" s="136">
        <v>77.020679999999999</v>
      </c>
      <c r="H663" s="113" t="str">
        <f t="shared" si="31"/>
        <v>OTHER</v>
      </c>
      <c r="I663" s="113" t="str">
        <f>INDEX('REGASSET Lookup'!$I:$I,MATCH('REGASSET Jun22data'!$A663,'REGASSET Lookup'!$A:$A,0))</f>
        <v>CUST</v>
      </c>
      <c r="J663" s="113" t="str">
        <f t="shared" si="32"/>
        <v>NO</v>
      </c>
      <c r="K663"/>
    </row>
    <row r="664" spans="1:11">
      <c r="A664" s="114" t="str">
        <f t="shared" si="30"/>
        <v>1823930DSR COSTS NOT AMORT103636INDUSTRIAL FINANSWER - ID 2013OTHER</v>
      </c>
      <c r="B664" s="126" t="s">
        <v>2734</v>
      </c>
      <c r="C664" s="128" t="s">
        <v>1170</v>
      </c>
      <c r="D664" s="126" t="s">
        <v>2812</v>
      </c>
      <c r="E664" s="128" t="s">
        <v>1255</v>
      </c>
      <c r="F664" s="127" t="s">
        <v>306</v>
      </c>
      <c r="G664" s="136">
        <v>294.46746000000002</v>
      </c>
      <c r="H664" s="113" t="str">
        <f t="shared" si="31"/>
        <v>OTHER</v>
      </c>
      <c r="I664" s="113" t="str">
        <f>INDEX('REGASSET Lookup'!$I:$I,MATCH('REGASSET Jun22data'!$A664,'REGASSET Lookup'!$A:$A,0))</f>
        <v>CUST</v>
      </c>
      <c r="J664" s="113" t="str">
        <f t="shared" si="32"/>
        <v>NO</v>
      </c>
      <c r="K664"/>
    </row>
    <row r="665" spans="1:11">
      <c r="A665" s="114" t="str">
        <f t="shared" si="30"/>
        <v>1823930DSR COSTS NOT AMORT103638LOW INCOME WZ  - ID- 2013OTHER</v>
      </c>
      <c r="B665" s="126" t="s">
        <v>2734</v>
      </c>
      <c r="C665" s="128" t="s">
        <v>1170</v>
      </c>
      <c r="D665" s="126" t="s">
        <v>2813</v>
      </c>
      <c r="E665" s="128" t="s">
        <v>1256</v>
      </c>
      <c r="F665" s="127" t="s">
        <v>306</v>
      </c>
      <c r="G665" s="136">
        <v>226.28635</v>
      </c>
      <c r="H665" s="113" t="str">
        <f t="shared" si="31"/>
        <v>OTHER</v>
      </c>
      <c r="I665" s="113" t="str">
        <f>INDEX('REGASSET Lookup'!$I:$I,MATCH('REGASSET Jun22data'!$A665,'REGASSET Lookup'!$A:$A,0))</f>
        <v>CUST</v>
      </c>
      <c r="J665" s="113" t="str">
        <f t="shared" si="32"/>
        <v>NO</v>
      </c>
      <c r="K665"/>
    </row>
    <row r="666" spans="1:11">
      <c r="A666" s="114" t="str">
        <f t="shared" si="30"/>
        <v>1823930DSR COSTS NOT AMORT103640REFRIGERATOR RECYCLING PGM - ID 2013OTHER</v>
      </c>
      <c r="B666" s="126" t="s">
        <v>2734</v>
      </c>
      <c r="C666" s="128" t="s">
        <v>1170</v>
      </c>
      <c r="D666" s="126" t="s">
        <v>2814</v>
      </c>
      <c r="E666" s="128" t="s">
        <v>1257</v>
      </c>
      <c r="F666" s="127" t="s">
        <v>306</v>
      </c>
      <c r="G666" s="136">
        <v>115.10593</v>
      </c>
      <c r="H666" s="113" t="str">
        <f t="shared" si="31"/>
        <v>OTHER</v>
      </c>
      <c r="I666" s="113" t="str">
        <f>INDEX('REGASSET Lookup'!$I:$I,MATCH('REGASSET Jun22data'!$A666,'REGASSET Lookup'!$A:$A,0))</f>
        <v>CUST</v>
      </c>
      <c r="J666" s="113" t="str">
        <f t="shared" si="32"/>
        <v>NO</v>
      </c>
      <c r="K666"/>
    </row>
    <row r="667" spans="1:11">
      <c r="A667" s="114" t="str">
        <f t="shared" si="30"/>
        <v>1823930DSR COSTS NOT AMORT103641COMMERCIAL FINANSWER EXPR - ID 2013OTHER</v>
      </c>
      <c r="B667" s="126" t="s">
        <v>2734</v>
      </c>
      <c r="C667" s="128" t="s">
        <v>1170</v>
      </c>
      <c r="D667" s="126" t="s">
        <v>2815</v>
      </c>
      <c r="E667" s="128" t="s">
        <v>1258</v>
      </c>
      <c r="F667" s="127" t="s">
        <v>306</v>
      </c>
      <c r="G667" s="136">
        <v>615.11851000000001</v>
      </c>
      <c r="H667" s="113" t="str">
        <f t="shared" si="31"/>
        <v>OTHER</v>
      </c>
      <c r="I667" s="113" t="str">
        <f>INDEX('REGASSET Lookup'!$I:$I,MATCH('REGASSET Jun22data'!$A667,'REGASSET Lookup'!$A:$A,0))</f>
        <v>CUST</v>
      </c>
      <c r="J667" s="113" t="str">
        <f t="shared" si="32"/>
        <v>NO</v>
      </c>
      <c r="K667"/>
    </row>
    <row r="668" spans="1:11">
      <c r="A668" s="114" t="str">
        <f t="shared" si="30"/>
        <v>1823930DSR COSTS NOT AMORT103642INDUSTRIAL FINANSWER EXPR - ID 2013OTHER</v>
      </c>
      <c r="B668" s="126" t="s">
        <v>2734</v>
      </c>
      <c r="C668" s="128" t="s">
        <v>1170</v>
      </c>
      <c r="D668" s="126" t="s">
        <v>2816</v>
      </c>
      <c r="E668" s="128" t="s">
        <v>1259</v>
      </c>
      <c r="F668" s="127" t="s">
        <v>306</v>
      </c>
      <c r="G668" s="136">
        <v>363.38632999999999</v>
      </c>
      <c r="H668" s="113" t="str">
        <f t="shared" si="31"/>
        <v>OTHER</v>
      </c>
      <c r="I668" s="113" t="str">
        <f>INDEX('REGASSET Lookup'!$I:$I,MATCH('REGASSET Jun22data'!$A668,'REGASSET Lookup'!$A:$A,0))</f>
        <v>CUST</v>
      </c>
      <c r="J668" s="113" t="str">
        <f t="shared" si="32"/>
        <v>NO</v>
      </c>
      <c r="K668"/>
    </row>
    <row r="669" spans="1:11">
      <c r="A669" s="114" t="str">
        <f t="shared" si="30"/>
        <v>1823930DSR COSTS NOT AMORT103643IRRIGATION EFFICIENCY PRGRM - ID 2013OTHER</v>
      </c>
      <c r="B669" s="126" t="s">
        <v>2734</v>
      </c>
      <c r="C669" s="128" t="s">
        <v>1170</v>
      </c>
      <c r="D669" s="126" t="s">
        <v>2817</v>
      </c>
      <c r="E669" s="128" t="s">
        <v>1260</v>
      </c>
      <c r="F669" s="127" t="s">
        <v>306</v>
      </c>
      <c r="G669" s="136">
        <v>1221.7800500000001</v>
      </c>
      <c r="H669" s="113" t="str">
        <f t="shared" si="31"/>
        <v>OTHER</v>
      </c>
      <c r="I669" s="113" t="str">
        <f>INDEX('REGASSET Lookup'!$I:$I,MATCH('REGASSET Jun22data'!$A669,'REGASSET Lookup'!$A:$A,0))</f>
        <v>CUST</v>
      </c>
      <c r="J669" s="113" t="str">
        <f t="shared" si="32"/>
        <v>NO</v>
      </c>
      <c r="K669"/>
    </row>
    <row r="670" spans="1:11">
      <c r="A670" s="114" t="str">
        <f t="shared" si="30"/>
        <v>1823930DSR COSTS NOT AMORT103644HOME ENERGY EFFICIENCY INCENTIVE PROG  -OTHER</v>
      </c>
      <c r="B670" s="126" t="s">
        <v>2734</v>
      </c>
      <c r="C670" s="128" t="s">
        <v>1170</v>
      </c>
      <c r="D670" s="126" t="s">
        <v>2818</v>
      </c>
      <c r="E670" s="128" t="s">
        <v>1202</v>
      </c>
      <c r="F670" s="127" t="s">
        <v>306</v>
      </c>
      <c r="G670" s="136">
        <v>843.82664999999997</v>
      </c>
      <c r="H670" s="113" t="str">
        <f t="shared" si="31"/>
        <v>OTHER</v>
      </c>
      <c r="I670" s="113" t="str">
        <f>INDEX('REGASSET Lookup'!$I:$I,MATCH('REGASSET Jun22data'!$A670,'REGASSET Lookup'!$A:$A,0))</f>
        <v>CUST</v>
      </c>
      <c r="J670" s="113" t="str">
        <f t="shared" si="32"/>
        <v>NO</v>
      </c>
      <c r="K670"/>
    </row>
    <row r="671" spans="1:11">
      <c r="A671" s="114" t="str">
        <f t="shared" si="30"/>
        <v>1823930DSR COSTS NOT AMORT103672RECOMMISSIONING INDUSTRIAL - UT 2013OTHER</v>
      </c>
      <c r="B671" s="126" t="s">
        <v>2734</v>
      </c>
      <c r="C671" s="128" t="s">
        <v>1170</v>
      </c>
      <c r="D671" s="126" t="s">
        <v>2819</v>
      </c>
      <c r="E671" s="128" t="s">
        <v>1261</v>
      </c>
      <c r="F671" s="127" t="s">
        <v>306</v>
      </c>
      <c r="G671" s="136">
        <v>57.58267</v>
      </c>
      <c r="H671" s="113" t="str">
        <f t="shared" si="31"/>
        <v>OTHER</v>
      </c>
      <c r="I671" s="113" t="str">
        <f>INDEX('REGASSET Lookup'!$I:$I,MATCH('REGASSET Jun22data'!$A671,'REGASSET Lookup'!$A:$A,0))</f>
        <v>CUST</v>
      </c>
      <c r="J671" s="113" t="str">
        <f t="shared" si="32"/>
        <v>NO</v>
      </c>
      <c r="K671"/>
    </row>
    <row r="672" spans="1:11">
      <c r="A672" s="114" t="str">
        <f t="shared" si="30"/>
        <v>1823930DSR COSTS NOT AMORT103746AGRICULURAL FINANSWER EXPR - ID 2014OTHER</v>
      </c>
      <c r="B672" s="126" t="s">
        <v>2734</v>
      </c>
      <c r="C672" s="128" t="s">
        <v>1170</v>
      </c>
      <c r="D672" s="126" t="s">
        <v>2820</v>
      </c>
      <c r="E672" s="128" t="s">
        <v>1262</v>
      </c>
      <c r="F672" s="127" t="s">
        <v>306</v>
      </c>
      <c r="G672" s="136">
        <v>121.60559000000001</v>
      </c>
      <c r="H672" s="113" t="str">
        <f t="shared" si="31"/>
        <v>OTHER</v>
      </c>
      <c r="I672" s="113" t="str">
        <f>INDEX('REGASSET Lookup'!$I:$I,MATCH('REGASSET Jun22data'!$A672,'REGASSET Lookup'!$A:$A,0))</f>
        <v>CUST</v>
      </c>
      <c r="J672" s="113" t="str">
        <f t="shared" si="32"/>
        <v>NO</v>
      </c>
      <c r="K672"/>
    </row>
    <row r="673" spans="1:11">
      <c r="A673" s="114" t="str">
        <f t="shared" si="30"/>
        <v>1823930DSR COSTS NOT AMORT103747COMMERCIAL FINANSWER EXPR - ID 2014OTHER</v>
      </c>
      <c r="B673" s="126" t="s">
        <v>2734</v>
      </c>
      <c r="C673" s="128" t="s">
        <v>1170</v>
      </c>
      <c r="D673" s="126" t="s">
        <v>2821</v>
      </c>
      <c r="E673" s="128" t="s">
        <v>1263</v>
      </c>
      <c r="F673" s="127" t="s">
        <v>306</v>
      </c>
      <c r="G673" s="136">
        <v>682.87081000000001</v>
      </c>
      <c r="H673" s="113" t="str">
        <f t="shared" si="31"/>
        <v>OTHER</v>
      </c>
      <c r="I673" s="113" t="str">
        <f>INDEX('REGASSET Lookup'!$I:$I,MATCH('REGASSET Jun22data'!$A673,'REGASSET Lookup'!$A:$A,0))</f>
        <v>CUST</v>
      </c>
      <c r="J673" s="113" t="str">
        <f t="shared" si="32"/>
        <v>NO</v>
      </c>
      <c r="K673"/>
    </row>
    <row r="674" spans="1:11">
      <c r="A674" s="114" t="str">
        <f t="shared" si="30"/>
        <v>1823930DSR COSTS NOT AMORT103748ENERGY FINANSWER - ID 2014OTHER</v>
      </c>
      <c r="B674" s="126" t="s">
        <v>2734</v>
      </c>
      <c r="C674" s="128" t="s">
        <v>1170</v>
      </c>
      <c r="D674" s="126" t="s">
        <v>2822</v>
      </c>
      <c r="E674" s="128" t="s">
        <v>1264</v>
      </c>
      <c r="F674" s="127" t="s">
        <v>306</v>
      </c>
      <c r="G674" s="136">
        <v>153.74046999999999</v>
      </c>
      <c r="H674" s="113" t="str">
        <f t="shared" si="31"/>
        <v>OTHER</v>
      </c>
      <c r="I674" s="113" t="str">
        <f>INDEX('REGASSET Lookup'!$I:$I,MATCH('REGASSET Jun22data'!$A674,'REGASSET Lookup'!$A:$A,0))</f>
        <v>CUST</v>
      </c>
      <c r="J674" s="113" t="str">
        <f t="shared" si="32"/>
        <v>NO</v>
      </c>
      <c r="K674"/>
    </row>
    <row r="675" spans="1:11">
      <c r="A675" s="114" t="str">
        <f t="shared" si="30"/>
        <v>1823930DSR COSTS NOT AMORT103749HOME ENERGY EFFICIENCY INCENTIVE PROG  -OTHER</v>
      </c>
      <c r="B675" s="126" t="s">
        <v>2734</v>
      </c>
      <c r="C675" s="128" t="s">
        <v>1170</v>
      </c>
      <c r="D675" s="126" t="s">
        <v>2823</v>
      </c>
      <c r="E675" s="128" t="s">
        <v>1202</v>
      </c>
      <c r="F675" s="127" t="s">
        <v>306</v>
      </c>
      <c r="G675" s="136">
        <v>854.31682999999998</v>
      </c>
      <c r="H675" s="113" t="str">
        <f t="shared" si="31"/>
        <v>OTHER</v>
      </c>
      <c r="I675" s="113" t="str">
        <f>INDEX('REGASSET Lookup'!$I:$I,MATCH('REGASSET Jun22data'!$A675,'REGASSET Lookup'!$A:$A,0))</f>
        <v>CUST</v>
      </c>
      <c r="J675" s="113" t="str">
        <f t="shared" si="32"/>
        <v>NO</v>
      </c>
      <c r="K675"/>
    </row>
    <row r="676" spans="1:11">
      <c r="A676" s="114" t="str">
        <f t="shared" si="30"/>
        <v>1823930DSR COSTS NOT AMORT103750INDUSTRIAL FINANSWER - ID 2014OTHER</v>
      </c>
      <c r="B676" s="126" t="s">
        <v>2734</v>
      </c>
      <c r="C676" s="128" t="s">
        <v>1170</v>
      </c>
      <c r="D676" s="126" t="s">
        <v>2824</v>
      </c>
      <c r="E676" s="128" t="s">
        <v>1265</v>
      </c>
      <c r="F676" s="127" t="s">
        <v>306</v>
      </c>
      <c r="G676" s="136">
        <v>104.98147</v>
      </c>
      <c r="H676" s="113" t="str">
        <f t="shared" si="31"/>
        <v>OTHER</v>
      </c>
      <c r="I676" s="113" t="str">
        <f>INDEX('REGASSET Lookup'!$I:$I,MATCH('REGASSET Jun22data'!$A676,'REGASSET Lookup'!$A:$A,0))</f>
        <v>CUST</v>
      </c>
      <c r="J676" s="113" t="str">
        <f t="shared" si="32"/>
        <v>NO</v>
      </c>
      <c r="K676"/>
    </row>
    <row r="677" spans="1:11">
      <c r="A677" s="114" t="str">
        <f t="shared" si="30"/>
        <v>1823930DSR COSTS NOT AMORT103751INDUSTRIAL FINANSWER EXPR - ID 2014OTHER</v>
      </c>
      <c r="B677" s="126" t="s">
        <v>2734</v>
      </c>
      <c r="C677" s="128" t="s">
        <v>1170</v>
      </c>
      <c r="D677" s="126" t="s">
        <v>2825</v>
      </c>
      <c r="E677" s="128" t="s">
        <v>1266</v>
      </c>
      <c r="F677" s="127" t="s">
        <v>306</v>
      </c>
      <c r="G677" s="136">
        <v>267.80570999999998</v>
      </c>
      <c r="H677" s="113" t="str">
        <f t="shared" si="31"/>
        <v>OTHER</v>
      </c>
      <c r="I677" s="113" t="str">
        <f>INDEX('REGASSET Lookup'!$I:$I,MATCH('REGASSET Jun22data'!$A677,'REGASSET Lookup'!$A:$A,0))</f>
        <v>CUST</v>
      </c>
      <c r="J677" s="113" t="str">
        <f t="shared" si="32"/>
        <v>NO</v>
      </c>
      <c r="K677"/>
    </row>
    <row r="678" spans="1:11">
      <c r="A678" s="114" t="str">
        <f t="shared" si="30"/>
        <v>1823930DSR COSTS NOT AMORT103752IRRIGATION EFFICIENCY PRGRM - ID 2014OTHER</v>
      </c>
      <c r="B678" s="126" t="s">
        <v>2734</v>
      </c>
      <c r="C678" s="128" t="s">
        <v>1170</v>
      </c>
      <c r="D678" s="126" t="s">
        <v>2826</v>
      </c>
      <c r="E678" s="128" t="s">
        <v>1267</v>
      </c>
      <c r="F678" s="127" t="s">
        <v>306</v>
      </c>
      <c r="G678" s="136">
        <v>449.08541000000002</v>
      </c>
      <c r="H678" s="113" t="str">
        <f t="shared" si="31"/>
        <v>OTHER</v>
      </c>
      <c r="I678" s="113" t="str">
        <f>INDEX('REGASSET Lookup'!$I:$I,MATCH('REGASSET Jun22data'!$A678,'REGASSET Lookup'!$A:$A,0))</f>
        <v>CUST</v>
      </c>
      <c r="J678" s="113" t="str">
        <f t="shared" si="32"/>
        <v>NO</v>
      </c>
      <c r="K678"/>
    </row>
    <row r="679" spans="1:11">
      <c r="A679" s="114" t="str">
        <f t="shared" si="30"/>
        <v>1823930DSR COSTS NOT AMORT103753LOW INCOME WZ  - ID- 2014OTHER</v>
      </c>
      <c r="B679" s="126" t="s">
        <v>2734</v>
      </c>
      <c r="C679" s="128" t="s">
        <v>1170</v>
      </c>
      <c r="D679" s="126" t="s">
        <v>2827</v>
      </c>
      <c r="E679" s="128" t="s">
        <v>1268</v>
      </c>
      <c r="F679" s="127" t="s">
        <v>306</v>
      </c>
      <c r="G679" s="136">
        <v>297.81939999999997</v>
      </c>
      <c r="H679" s="113" t="str">
        <f t="shared" si="31"/>
        <v>OTHER</v>
      </c>
      <c r="I679" s="113" t="str">
        <f>INDEX('REGASSET Lookup'!$I:$I,MATCH('REGASSET Jun22data'!$A679,'REGASSET Lookup'!$A:$A,0))</f>
        <v>CUST</v>
      </c>
      <c r="J679" s="113" t="str">
        <f t="shared" si="32"/>
        <v>NO</v>
      </c>
      <c r="K679"/>
    </row>
    <row r="680" spans="1:11">
      <c r="A680" s="114" t="str">
        <f t="shared" si="30"/>
        <v>1823930DSR COSTS NOT AMORT103755REFRIGERATOR RECYCLING PGM - ID 2014OTHER</v>
      </c>
      <c r="B680" s="126" t="s">
        <v>2734</v>
      </c>
      <c r="C680" s="128" t="s">
        <v>1170</v>
      </c>
      <c r="D680" s="126" t="s">
        <v>2828</v>
      </c>
      <c r="E680" s="128" t="s">
        <v>1269</v>
      </c>
      <c r="F680" s="127" t="s">
        <v>306</v>
      </c>
      <c r="G680" s="136">
        <v>121.88800000000001</v>
      </c>
      <c r="H680" s="113" t="str">
        <f t="shared" si="31"/>
        <v>OTHER</v>
      </c>
      <c r="I680" s="113" t="str">
        <f>INDEX('REGASSET Lookup'!$I:$I,MATCH('REGASSET Jun22data'!$A680,'REGASSET Lookup'!$A:$A,0))</f>
        <v>CUST</v>
      </c>
      <c r="J680" s="113" t="str">
        <f t="shared" si="32"/>
        <v>NO</v>
      </c>
      <c r="K680"/>
    </row>
    <row r="681" spans="1:11">
      <c r="A681" s="114" t="str">
        <f t="shared" si="30"/>
        <v>1823930DSR COSTS NOT AMORT103866AGRICULURAL FINANSWER EXPR - ID 2015OTHER</v>
      </c>
      <c r="B681" s="126" t="s">
        <v>2734</v>
      </c>
      <c r="C681" s="128" t="s">
        <v>1170</v>
      </c>
      <c r="D681" s="126" t="s">
        <v>2829</v>
      </c>
      <c r="E681" s="128" t="s">
        <v>1270</v>
      </c>
      <c r="F681" s="127" t="s">
        <v>306</v>
      </c>
      <c r="G681" s="136">
        <v>2.0491999999999999</v>
      </c>
      <c r="H681" s="113" t="str">
        <f t="shared" si="31"/>
        <v>OTHER</v>
      </c>
      <c r="I681" s="113" t="str">
        <f>INDEX('REGASSET Lookup'!$I:$I,MATCH('REGASSET Jun22data'!$A681,'REGASSET Lookup'!$A:$A,0))</f>
        <v>CUST</v>
      </c>
      <c r="J681" s="113" t="str">
        <f t="shared" si="32"/>
        <v>NO</v>
      </c>
      <c r="K681"/>
    </row>
    <row r="682" spans="1:11">
      <c r="A682" s="114" t="str">
        <f t="shared" si="30"/>
        <v>1823930DSR COSTS NOT AMORT103867COMMERCIAL FINANSWER EXPR - ID 2015OTHER</v>
      </c>
      <c r="B682" s="126" t="s">
        <v>2734</v>
      </c>
      <c r="C682" s="128" t="s">
        <v>1170</v>
      </c>
      <c r="D682" s="126" t="s">
        <v>2830</v>
      </c>
      <c r="E682" s="128" t="s">
        <v>1271</v>
      </c>
      <c r="F682" s="127" t="s">
        <v>306</v>
      </c>
      <c r="G682" s="136">
        <v>157.44874999999999</v>
      </c>
      <c r="H682" s="113" t="str">
        <f t="shared" si="31"/>
        <v>OTHER</v>
      </c>
      <c r="I682" s="113" t="str">
        <f>INDEX('REGASSET Lookup'!$I:$I,MATCH('REGASSET Jun22data'!$A682,'REGASSET Lookup'!$A:$A,0))</f>
        <v>CUST</v>
      </c>
      <c r="J682" s="113" t="str">
        <f t="shared" si="32"/>
        <v>NO</v>
      </c>
      <c r="K682"/>
    </row>
    <row r="683" spans="1:11">
      <c r="A683" s="114" t="str">
        <f t="shared" si="30"/>
        <v>1823930DSR COSTS NOT AMORT103868ENERGY FINANSWER - ID 2015OTHER</v>
      </c>
      <c r="B683" s="126" t="s">
        <v>2734</v>
      </c>
      <c r="C683" s="128" t="s">
        <v>1170</v>
      </c>
      <c r="D683" s="126" t="s">
        <v>2831</v>
      </c>
      <c r="E683" s="128" t="s">
        <v>1272</v>
      </c>
      <c r="F683" s="127" t="s">
        <v>306</v>
      </c>
      <c r="G683" s="136">
        <v>5.7079300000000002</v>
      </c>
      <c r="H683" s="113" t="str">
        <f t="shared" si="31"/>
        <v>OTHER</v>
      </c>
      <c r="I683" s="113" t="str">
        <f>INDEX('REGASSET Lookup'!$I:$I,MATCH('REGASSET Jun22data'!$A683,'REGASSET Lookup'!$A:$A,0))</f>
        <v>CUST</v>
      </c>
      <c r="J683" s="113" t="str">
        <f t="shared" si="32"/>
        <v>NO</v>
      </c>
      <c r="K683"/>
    </row>
    <row r="684" spans="1:11">
      <c r="A684" s="114" t="str">
        <f t="shared" si="30"/>
        <v>1823930DSR COSTS NOT AMORT103869HOME ENERGY EFFICIENCY INCENTIVE PROG  -OTHER</v>
      </c>
      <c r="B684" s="126" t="s">
        <v>2734</v>
      </c>
      <c r="C684" s="128" t="s">
        <v>1170</v>
      </c>
      <c r="D684" s="126" t="s">
        <v>2832</v>
      </c>
      <c r="E684" s="128" t="s">
        <v>1202</v>
      </c>
      <c r="F684" s="127" t="s">
        <v>306</v>
      </c>
      <c r="G684" s="136">
        <v>848.10026000000005</v>
      </c>
      <c r="H684" s="113" t="str">
        <f t="shared" si="31"/>
        <v>OTHER</v>
      </c>
      <c r="I684" s="113" t="str">
        <f>INDEX('REGASSET Lookup'!$I:$I,MATCH('REGASSET Jun22data'!$A684,'REGASSET Lookup'!$A:$A,0))</f>
        <v>CUST</v>
      </c>
      <c r="J684" s="113" t="str">
        <f t="shared" si="32"/>
        <v>NO</v>
      </c>
      <c r="K684"/>
    </row>
    <row r="685" spans="1:11">
      <c r="A685" s="114" t="str">
        <f t="shared" si="30"/>
        <v>1823930DSR COSTS NOT AMORT103870INDUSTRIAL FINANSWER - ID 2015OTHER</v>
      </c>
      <c r="B685" s="126" t="s">
        <v>2734</v>
      </c>
      <c r="C685" s="128" t="s">
        <v>1170</v>
      </c>
      <c r="D685" s="126" t="s">
        <v>2833</v>
      </c>
      <c r="E685" s="128" t="s">
        <v>1273</v>
      </c>
      <c r="F685" s="127" t="s">
        <v>306</v>
      </c>
      <c r="G685" s="136">
        <v>62.730440000000002</v>
      </c>
      <c r="H685" s="113" t="str">
        <f t="shared" si="31"/>
        <v>OTHER</v>
      </c>
      <c r="I685" s="113" t="str">
        <f>INDEX('REGASSET Lookup'!$I:$I,MATCH('REGASSET Jun22data'!$A685,'REGASSET Lookup'!$A:$A,0))</f>
        <v>CUST</v>
      </c>
      <c r="J685" s="113" t="str">
        <f t="shared" si="32"/>
        <v>NO</v>
      </c>
      <c r="K685"/>
    </row>
    <row r="686" spans="1:11">
      <c r="A686" s="114" t="str">
        <f t="shared" si="30"/>
        <v>1823930DSR COSTS NOT AMORT103871INDUSTRIAL FINANSWER EXPR - ID 2015OTHER</v>
      </c>
      <c r="B686" s="126" t="s">
        <v>2734</v>
      </c>
      <c r="C686" s="128" t="s">
        <v>1170</v>
      </c>
      <c r="D686" s="126" t="s">
        <v>2834</v>
      </c>
      <c r="E686" s="128" t="s">
        <v>1274</v>
      </c>
      <c r="F686" s="127" t="s">
        <v>306</v>
      </c>
      <c r="G686" s="136">
        <v>79.587940000000003</v>
      </c>
      <c r="H686" s="113" t="str">
        <f t="shared" si="31"/>
        <v>OTHER</v>
      </c>
      <c r="I686" s="113" t="str">
        <f>INDEX('REGASSET Lookup'!$I:$I,MATCH('REGASSET Jun22data'!$A686,'REGASSET Lookup'!$A:$A,0))</f>
        <v>CUST</v>
      </c>
      <c r="J686" s="113" t="str">
        <f t="shared" si="32"/>
        <v>NO</v>
      </c>
      <c r="K686"/>
    </row>
    <row r="687" spans="1:11">
      <c r="A687" s="114" t="str">
        <f t="shared" si="30"/>
        <v>1823930DSR COSTS NOT AMORT103872IRRIGATION EFFICIENCY PRGRM - ID 2015OTHER</v>
      </c>
      <c r="B687" s="126" t="s">
        <v>2734</v>
      </c>
      <c r="C687" s="128" t="s">
        <v>1170</v>
      </c>
      <c r="D687" s="126" t="s">
        <v>2835</v>
      </c>
      <c r="E687" s="128" t="s">
        <v>1275</v>
      </c>
      <c r="F687" s="127" t="s">
        <v>306</v>
      </c>
      <c r="G687" s="136">
        <v>236.3903</v>
      </c>
      <c r="H687" s="113" t="str">
        <f t="shared" si="31"/>
        <v>OTHER</v>
      </c>
      <c r="I687" s="113" t="str">
        <f>INDEX('REGASSET Lookup'!$I:$I,MATCH('REGASSET Jun22data'!$A687,'REGASSET Lookup'!$A:$A,0))</f>
        <v>CUST</v>
      </c>
      <c r="J687" s="113" t="str">
        <f t="shared" si="32"/>
        <v>NO</v>
      </c>
      <c r="K687"/>
    </row>
    <row r="688" spans="1:11">
      <c r="A688" s="114" t="str">
        <f t="shared" si="30"/>
        <v>1823930DSR COSTS NOT AMORT103873LOW INCOME WZ  - ID- 2015OTHER</v>
      </c>
      <c r="B688" s="126" t="s">
        <v>2734</v>
      </c>
      <c r="C688" s="128" t="s">
        <v>1170</v>
      </c>
      <c r="D688" s="126" t="s">
        <v>2836</v>
      </c>
      <c r="E688" s="128" t="s">
        <v>1276</v>
      </c>
      <c r="F688" s="127" t="s">
        <v>306</v>
      </c>
      <c r="G688" s="136">
        <v>296.08478000000002</v>
      </c>
      <c r="H688" s="113" t="str">
        <f t="shared" si="31"/>
        <v>OTHER</v>
      </c>
      <c r="I688" s="113" t="str">
        <f>INDEX('REGASSET Lookup'!$I:$I,MATCH('REGASSET Jun22data'!$A688,'REGASSET Lookup'!$A:$A,0))</f>
        <v>CUST</v>
      </c>
      <c r="J688" s="113" t="str">
        <f t="shared" si="32"/>
        <v>NO</v>
      </c>
      <c r="K688"/>
    </row>
    <row r="689" spans="1:11">
      <c r="A689" s="114" t="str">
        <f t="shared" si="30"/>
        <v>1823930DSR COSTS NOT AMORT103875REFRIGERATOR RECYCLING PGM - ID 2015OTHER</v>
      </c>
      <c r="B689" s="126" t="s">
        <v>2734</v>
      </c>
      <c r="C689" s="128" t="s">
        <v>1170</v>
      </c>
      <c r="D689" s="126" t="s">
        <v>2837</v>
      </c>
      <c r="E689" s="128" t="s">
        <v>1277</v>
      </c>
      <c r="F689" s="127" t="s">
        <v>306</v>
      </c>
      <c r="G689" s="136">
        <v>105.98939</v>
      </c>
      <c r="H689" s="113" t="str">
        <f t="shared" si="31"/>
        <v>OTHER</v>
      </c>
      <c r="I689" s="113" t="str">
        <f>INDEX('REGASSET Lookup'!$I:$I,MATCH('REGASSET Jun22data'!$A689,'REGASSET Lookup'!$A:$A,0))</f>
        <v>CUST</v>
      </c>
      <c r="J689" s="113" t="str">
        <f t="shared" si="32"/>
        <v>NO</v>
      </c>
      <c r="K689"/>
    </row>
    <row r="690" spans="1:11">
      <c r="A690" s="114" t="str">
        <f t="shared" si="30"/>
        <v>1823930DSR COSTS NOT AMORT104014HOME ENERGY EFFICIENCY INCENTIVE PROG  -OTHER</v>
      </c>
      <c r="B690" s="126" t="s">
        <v>2734</v>
      </c>
      <c r="C690" s="128" t="s">
        <v>1170</v>
      </c>
      <c r="D690" s="126" t="s">
        <v>2838</v>
      </c>
      <c r="E690" s="128" t="s">
        <v>1202</v>
      </c>
      <c r="F690" s="127" t="s">
        <v>306</v>
      </c>
      <c r="G690" s="136">
        <v>450.07639999999998</v>
      </c>
      <c r="H690" s="113" t="str">
        <f t="shared" si="31"/>
        <v>OTHER</v>
      </c>
      <c r="I690" s="113" t="str">
        <f>INDEX('REGASSET Lookup'!$I:$I,MATCH('REGASSET Jun22data'!$A690,'REGASSET Lookup'!$A:$A,0))</f>
        <v>CUST</v>
      </c>
      <c r="J690" s="113" t="str">
        <f t="shared" si="32"/>
        <v>NO</v>
      </c>
      <c r="K690"/>
    </row>
    <row r="691" spans="1:11">
      <c r="A691" s="114" t="str">
        <f t="shared" si="30"/>
        <v>1823930DSR COSTS NOT AMORT104016IRRIGATION EFFICIENCY PRGRM - ID 2016OTHER</v>
      </c>
      <c r="B691" s="126" t="s">
        <v>2734</v>
      </c>
      <c r="C691" s="128" t="s">
        <v>1170</v>
      </c>
      <c r="D691" s="126" t="s">
        <v>2839</v>
      </c>
      <c r="E691" s="128" t="s">
        <v>1278</v>
      </c>
      <c r="F691" s="127" t="s">
        <v>306</v>
      </c>
      <c r="G691" s="136">
        <v>80.058080000000004</v>
      </c>
      <c r="H691" s="113" t="str">
        <f t="shared" si="31"/>
        <v>OTHER</v>
      </c>
      <c r="I691" s="113" t="str">
        <f>INDEX('REGASSET Lookup'!$I:$I,MATCH('REGASSET Jun22data'!$A691,'REGASSET Lookup'!$A:$A,0))</f>
        <v>CUST</v>
      </c>
      <c r="J691" s="113" t="str">
        <f t="shared" si="32"/>
        <v>NO</v>
      </c>
      <c r="K691"/>
    </row>
    <row r="692" spans="1:11">
      <c r="A692" s="114" t="str">
        <f t="shared" si="30"/>
        <v>1823930DSR COSTS NOT AMORT104017LOW INCOME WZ  - ID- 2016OTHER</v>
      </c>
      <c r="B692" s="126" t="s">
        <v>2734</v>
      </c>
      <c r="C692" s="128" t="s">
        <v>1170</v>
      </c>
      <c r="D692" s="126" t="s">
        <v>2840</v>
      </c>
      <c r="E692" s="128" t="s">
        <v>1279</v>
      </c>
      <c r="F692" s="127" t="s">
        <v>306</v>
      </c>
      <c r="G692" s="136">
        <v>244.62808000000001</v>
      </c>
      <c r="H692" s="113" t="str">
        <f t="shared" si="31"/>
        <v>OTHER</v>
      </c>
      <c r="I692" s="113" t="str">
        <f>INDEX('REGASSET Lookup'!$I:$I,MATCH('REGASSET Jun22data'!$A692,'REGASSET Lookup'!$A:$A,0))</f>
        <v>CUST</v>
      </c>
      <c r="J692" s="113" t="str">
        <f t="shared" si="32"/>
        <v>NO</v>
      </c>
      <c r="K692"/>
    </row>
    <row r="693" spans="1:11">
      <c r="A693" s="114" t="str">
        <f t="shared" si="30"/>
        <v>1823930DSR COSTS NOT AMORT104022REFRIGERATOR RECYCLING PGM - ID 2016OTHER</v>
      </c>
      <c r="B693" s="126" t="s">
        <v>2734</v>
      </c>
      <c r="C693" s="128" t="s">
        <v>1170</v>
      </c>
      <c r="D693" s="126" t="s">
        <v>2841</v>
      </c>
      <c r="E693" s="128" t="s">
        <v>1280</v>
      </c>
      <c r="F693" s="127" t="s">
        <v>306</v>
      </c>
      <c r="G693" s="136">
        <v>13.798170000000001</v>
      </c>
      <c r="H693" s="113" t="str">
        <f t="shared" si="31"/>
        <v>OTHER</v>
      </c>
      <c r="I693" s="113" t="str">
        <f>INDEX('REGASSET Lookup'!$I:$I,MATCH('REGASSET Jun22data'!$A693,'REGASSET Lookup'!$A:$A,0))</f>
        <v>CUST</v>
      </c>
      <c r="J693" s="113" t="str">
        <f t="shared" si="32"/>
        <v>NO</v>
      </c>
      <c r="K693"/>
    </row>
    <row r="694" spans="1:11">
      <c r="A694" s="114" t="str">
        <f t="shared" si="30"/>
        <v>1823940DSR CARRYING CHARGES102146UT CARRYING CHARGE - 2001/2002OTHER</v>
      </c>
      <c r="B694" s="126" t="s">
        <v>2842</v>
      </c>
      <c r="C694" s="128" t="s">
        <v>1281</v>
      </c>
      <c r="D694" s="126" t="s">
        <v>2843</v>
      </c>
      <c r="E694" s="128" t="s">
        <v>1282</v>
      </c>
      <c r="F694" s="127" t="s">
        <v>306</v>
      </c>
      <c r="G694" s="136">
        <v>3457.2049999999999</v>
      </c>
      <c r="H694" s="113" t="str">
        <f t="shared" si="31"/>
        <v>OTHER</v>
      </c>
      <c r="I694" s="113" t="str">
        <f>INDEX('REGASSET Lookup'!$I:$I,MATCH('REGASSET Jun22data'!$A694,'REGASSET Lookup'!$A:$A,0))</f>
        <v>CUST</v>
      </c>
      <c r="J694" s="113" t="str">
        <f t="shared" si="32"/>
        <v>NO</v>
      </c>
      <c r="K694"/>
    </row>
    <row r="695" spans="1:11">
      <c r="A695" s="114" t="str">
        <f t="shared" si="30"/>
        <v>1823940DSR CARRYING CHARGES102188WA REVENUE RECOVERY - CARRYING CHG PENALOTHER</v>
      </c>
      <c r="B695" s="126" t="s">
        <v>2842</v>
      </c>
      <c r="C695" s="128" t="s">
        <v>1281</v>
      </c>
      <c r="D695" s="126" t="s">
        <v>2844</v>
      </c>
      <c r="E695" s="128" t="s">
        <v>1283</v>
      </c>
      <c r="F695" s="127" t="s">
        <v>306</v>
      </c>
      <c r="G695" s="136">
        <v>-679.53083000000004</v>
      </c>
      <c r="H695" s="113" t="str">
        <f t="shared" si="31"/>
        <v>OTHER</v>
      </c>
      <c r="I695" s="113" t="str">
        <f>INDEX('REGASSET Lookup'!$I:$I,MATCH('REGASSET Jun22data'!$A695,'REGASSET Lookup'!$A:$A,0))</f>
        <v>CUST</v>
      </c>
      <c r="J695" s="113" t="str">
        <f t="shared" si="32"/>
        <v>NO</v>
      </c>
      <c r="K695"/>
    </row>
    <row r="696" spans="1:11">
      <c r="A696" s="114" t="str">
        <f t="shared" si="30"/>
        <v>1823940DSR CARRYING CHARGES102766DSR CARRYING CHARGESOTHER</v>
      </c>
      <c r="B696" s="126" t="s">
        <v>2842</v>
      </c>
      <c r="C696" s="128" t="s">
        <v>1281</v>
      </c>
      <c r="D696" s="126" t="s">
        <v>2845</v>
      </c>
      <c r="E696" s="128" t="s">
        <v>1281</v>
      </c>
      <c r="F696" s="127" t="s">
        <v>306</v>
      </c>
      <c r="G696" s="136">
        <v>163.02600000000001</v>
      </c>
      <c r="H696" s="113" t="str">
        <f t="shared" si="31"/>
        <v>OTHER</v>
      </c>
      <c r="I696" s="113" t="str">
        <f>INDEX('REGASSET Lookup'!$I:$I,MATCH('REGASSET Jun22data'!$A696,'REGASSET Lookup'!$A:$A,0))</f>
        <v>DMSC</v>
      </c>
      <c r="J696" s="113" t="str">
        <f t="shared" si="32"/>
        <v>NO</v>
      </c>
      <c r="K696"/>
    </row>
    <row r="697" spans="1:11">
      <c r="A697" s="114" t="str">
        <f t="shared" si="30"/>
        <v>1823940DSR CARRYING CHARGES103140Wy DSM - Cat1 - Carrying ChargesOTHER</v>
      </c>
      <c r="B697" s="126" t="s">
        <v>2842</v>
      </c>
      <c r="C697" s="128" t="s">
        <v>1281</v>
      </c>
      <c r="D697" s="126" t="s">
        <v>2846</v>
      </c>
      <c r="E697" s="128" t="s">
        <v>1284</v>
      </c>
      <c r="F697" s="127" t="s">
        <v>306</v>
      </c>
      <c r="G697" s="136">
        <v>-101.753</v>
      </c>
      <c r="H697" s="113" t="str">
        <f t="shared" si="31"/>
        <v>OTHER</v>
      </c>
      <c r="I697" s="113" t="str">
        <f>INDEX('REGASSET Lookup'!$I:$I,MATCH('REGASSET Jun22data'!$A697,'REGASSET Lookup'!$A:$A,0))</f>
        <v>CUST</v>
      </c>
      <c r="J697" s="113" t="str">
        <f t="shared" si="32"/>
        <v>NO</v>
      </c>
      <c r="K697"/>
    </row>
    <row r="698" spans="1:11">
      <c r="A698" s="114" t="str">
        <f t="shared" si="30"/>
        <v>1823940DSR CARRYING CHARGES103141Wy DSM - Cat2 - Carrying ChargesOTHER</v>
      </c>
      <c r="B698" s="126" t="s">
        <v>2842</v>
      </c>
      <c r="C698" s="128" t="s">
        <v>1281</v>
      </c>
      <c r="D698" s="126" t="s">
        <v>2847</v>
      </c>
      <c r="E698" s="128" t="s">
        <v>1285</v>
      </c>
      <c r="F698" s="127" t="s">
        <v>306</v>
      </c>
      <c r="G698" s="136">
        <v>-33.746000000000002</v>
      </c>
      <c r="H698" s="113" t="str">
        <f t="shared" si="31"/>
        <v>OTHER</v>
      </c>
      <c r="I698" s="113" t="str">
        <f>INDEX('REGASSET Lookup'!$I:$I,MATCH('REGASSET Jun22data'!$A698,'REGASSET Lookup'!$A:$A,0))</f>
        <v>CUST</v>
      </c>
      <c r="J698" s="113" t="str">
        <f t="shared" si="32"/>
        <v>NO</v>
      </c>
      <c r="K698"/>
    </row>
    <row r="699" spans="1:11">
      <c r="A699" s="114" t="str">
        <f t="shared" si="30"/>
        <v>1823940DSR CARRYING CHARGES103142Wy DSM - Cat3 - Carrying ChargesOTHER</v>
      </c>
      <c r="B699" s="126" t="s">
        <v>2842</v>
      </c>
      <c r="C699" s="128" t="s">
        <v>1281</v>
      </c>
      <c r="D699" s="126" t="s">
        <v>2848</v>
      </c>
      <c r="E699" s="128" t="s">
        <v>1286</v>
      </c>
      <c r="F699" s="127" t="s">
        <v>306</v>
      </c>
      <c r="G699" s="136">
        <v>-86.477000000000004</v>
      </c>
      <c r="H699" s="113" t="str">
        <f t="shared" si="31"/>
        <v>OTHER</v>
      </c>
      <c r="I699" s="113" t="str">
        <f>INDEX('REGASSET Lookup'!$I:$I,MATCH('REGASSET Jun22data'!$A699,'REGASSET Lookup'!$A:$A,0))</f>
        <v>CUST</v>
      </c>
      <c r="J699" s="113" t="str">
        <f t="shared" si="32"/>
        <v>NO</v>
      </c>
      <c r="K699"/>
    </row>
    <row r="700" spans="1:11">
      <c r="A700" s="114" t="str">
        <f t="shared" si="30"/>
        <v>1823990OTHR REG ASSET-N CST138014Reg Asset Current - Cholla ClosureOTHER</v>
      </c>
      <c r="B700" s="126" t="s">
        <v>2849</v>
      </c>
      <c r="C700" s="128" t="s">
        <v>1288</v>
      </c>
      <c r="D700" s="126" t="s">
        <v>2850</v>
      </c>
      <c r="E700" s="128" t="s">
        <v>1831</v>
      </c>
      <c r="F700" s="127" t="s">
        <v>306</v>
      </c>
      <c r="G700" s="136">
        <v>1898.744025</v>
      </c>
      <c r="H700" s="113" t="str">
        <f t="shared" si="31"/>
        <v>OTHER</v>
      </c>
      <c r="I700" s="113" t="str">
        <f>INDEX('REGASSET Lookup'!$I:$I,MATCH('REGASSET Jun22data'!$A700,'REGASSET Lookup'!$A:$A,0))</f>
        <v>P</v>
      </c>
      <c r="J700" s="113" t="str">
        <f t="shared" si="32"/>
        <v>NO</v>
      </c>
      <c r="K700"/>
    </row>
    <row r="701" spans="1:11">
      <c r="A701" s="114" t="str">
        <f t="shared" si="30"/>
        <v>1823990OTHR REG ASSET-N CST138015Reg Asset Current - Energy West MiningSE</v>
      </c>
      <c r="B701" s="126" t="s">
        <v>2849</v>
      </c>
      <c r="C701" s="128" t="s">
        <v>1288</v>
      </c>
      <c r="D701" s="126" t="s">
        <v>2851</v>
      </c>
      <c r="E701" s="128" t="s">
        <v>1289</v>
      </c>
      <c r="F701" s="127" t="s">
        <v>3110</v>
      </c>
      <c r="G701" s="136">
        <v>1857.9620833333299</v>
      </c>
      <c r="H701" s="113" t="str">
        <f t="shared" si="31"/>
        <v>SE</v>
      </c>
      <c r="I701" s="113" t="str">
        <f>INDEX('REGASSET Lookup'!$I:$I,MATCH('REGASSET Jun22data'!$A701,'REGASSET Lookup'!$A:$A,0))</f>
        <v>P</v>
      </c>
      <c r="J701" s="113" t="str">
        <f t="shared" si="32"/>
        <v>NO</v>
      </c>
      <c r="K701"/>
    </row>
    <row r="702" spans="1:11">
      <c r="A702" s="114" t="str">
        <f t="shared" si="30"/>
        <v>1823990OTHR REG ASSET-N CST138020Reg Asset Current - DSMOTHER</v>
      </c>
      <c r="B702" s="126" t="s">
        <v>2849</v>
      </c>
      <c r="C702" s="128" t="s">
        <v>1288</v>
      </c>
      <c r="D702" s="126" t="s">
        <v>2852</v>
      </c>
      <c r="E702" s="128" t="s">
        <v>1290</v>
      </c>
      <c r="F702" s="127" t="s">
        <v>306</v>
      </c>
      <c r="G702" s="136">
        <v>4518.2223020833299</v>
      </c>
      <c r="H702" s="113" t="str">
        <f t="shared" si="31"/>
        <v>OTHER</v>
      </c>
      <c r="I702" s="113" t="str">
        <f>INDEX('REGASSET Lookup'!$I:$I,MATCH('REGASSET Jun22data'!$A702,'REGASSET Lookup'!$A:$A,0))</f>
        <v>DMSC</v>
      </c>
      <c r="J702" s="113" t="str">
        <f t="shared" si="32"/>
        <v>NO</v>
      </c>
      <c r="K702"/>
    </row>
    <row r="703" spans="1:11">
      <c r="A703" s="114" t="str">
        <f t="shared" si="30"/>
        <v>1823990OTHR REG ASSET-N CST138045Reg Asset Current - GHG AllowancesOTHER</v>
      </c>
      <c r="B703" s="126" t="s">
        <v>2849</v>
      </c>
      <c r="C703" s="128" t="s">
        <v>1288</v>
      </c>
      <c r="D703" s="126" t="s">
        <v>2853</v>
      </c>
      <c r="E703" s="128" t="s">
        <v>1291</v>
      </c>
      <c r="F703" s="127" t="s">
        <v>306</v>
      </c>
      <c r="G703" s="136">
        <v>2295.1613587500001</v>
      </c>
      <c r="H703" s="113" t="str">
        <f t="shared" si="31"/>
        <v>OTHER</v>
      </c>
      <c r="I703" s="113" t="str">
        <f>INDEX('REGASSET Lookup'!$I:$I,MATCH('REGASSET Jun22data'!$A703,'REGASSET Lookup'!$A:$A,0))</f>
        <v>P</v>
      </c>
      <c r="J703" s="113" t="str">
        <f t="shared" si="32"/>
        <v>NO</v>
      </c>
      <c r="K703"/>
    </row>
    <row r="704" spans="1:11">
      <c r="A704" s="114" t="str">
        <f t="shared" si="30"/>
        <v>1823990OTHR REG ASSET-N CST138050Reg Asset Current - Def Net Power CostsOTHER</v>
      </c>
      <c r="B704" s="126" t="s">
        <v>2849</v>
      </c>
      <c r="C704" s="128" t="s">
        <v>1288</v>
      </c>
      <c r="D704" s="126" t="s">
        <v>2854</v>
      </c>
      <c r="E704" s="128" t="s">
        <v>1292</v>
      </c>
      <c r="F704" s="127" t="s">
        <v>306</v>
      </c>
      <c r="G704" s="136">
        <v>56848.724074999998</v>
      </c>
      <c r="H704" s="113" t="str">
        <f t="shared" si="31"/>
        <v>OTHER</v>
      </c>
      <c r="I704" s="113" t="str">
        <f>INDEX('REGASSET Lookup'!$I:$I,MATCH('REGASSET Jun22data'!$A704,'REGASSET Lookup'!$A:$A,0))</f>
        <v>P</v>
      </c>
      <c r="J704" s="113" t="str">
        <f t="shared" si="32"/>
        <v>NO</v>
      </c>
      <c r="K704"/>
    </row>
    <row r="705" spans="1:11">
      <c r="A705" s="114" t="str">
        <f t="shared" si="30"/>
        <v>1823990OTHR REG ASSET-N CST138055Reg Asset Current - Def RECs in RatesOTHER</v>
      </c>
      <c r="B705" s="126" t="s">
        <v>2849</v>
      </c>
      <c r="C705" s="128" t="s">
        <v>1288</v>
      </c>
      <c r="D705" s="126" t="s">
        <v>2855</v>
      </c>
      <c r="E705" s="128" t="s">
        <v>1293</v>
      </c>
      <c r="F705" s="127" t="s">
        <v>306</v>
      </c>
      <c r="G705" s="136">
        <v>95.8333333333333</v>
      </c>
      <c r="H705" s="113" t="str">
        <f t="shared" si="31"/>
        <v>OTHER</v>
      </c>
      <c r="I705" s="113" t="str">
        <f>INDEX('REGASSET Lookup'!$I:$I,MATCH('REGASSET Jun22data'!$A705,'REGASSET Lookup'!$A:$A,0))</f>
        <v>P</v>
      </c>
      <c r="J705" s="113" t="str">
        <f t="shared" si="32"/>
        <v>NO</v>
      </c>
      <c r="K705"/>
    </row>
    <row r="706" spans="1:11">
      <c r="A706" s="114" t="str">
        <f t="shared" si="30"/>
        <v>1823990OTHR REG ASSET-N CST138060Reg Asset Current - BPA Balancing AcctsOTHER</v>
      </c>
      <c r="B706" s="126" t="s">
        <v>2849</v>
      </c>
      <c r="C706" s="128" t="s">
        <v>1288</v>
      </c>
      <c r="D706" s="126" t="s">
        <v>2856</v>
      </c>
      <c r="E706" s="128" t="s">
        <v>1294</v>
      </c>
      <c r="F706" s="127" t="s">
        <v>306</v>
      </c>
      <c r="G706" s="136">
        <v>4550.5254545833304</v>
      </c>
      <c r="H706" s="113" t="str">
        <f t="shared" si="31"/>
        <v>OTHER</v>
      </c>
      <c r="I706" s="113" t="str">
        <f>INDEX('REGASSET Lookup'!$I:$I,MATCH('REGASSET Jun22data'!$A706,'REGASSET Lookup'!$A:$A,0))</f>
        <v>CUST</v>
      </c>
      <c r="J706" s="113" t="str">
        <f t="shared" si="32"/>
        <v>NO</v>
      </c>
      <c r="K706"/>
    </row>
    <row r="707" spans="1:11">
      <c r="A707" s="114" t="str">
        <f t="shared" ref="A707:A770" si="33">CONCATENATE($B707,$C707,$D707,$E707,$H707)</f>
        <v>1823990OTHR REG ASSET-N CST138090Reg Asset Current - Solar Feed-InOTHER</v>
      </c>
      <c r="B707" s="126" t="s">
        <v>2849</v>
      </c>
      <c r="C707" s="128" t="s">
        <v>1288</v>
      </c>
      <c r="D707" s="126" t="s">
        <v>2857</v>
      </c>
      <c r="E707" s="128" t="s">
        <v>1295</v>
      </c>
      <c r="F707" s="127" t="s">
        <v>306</v>
      </c>
      <c r="G707" s="136">
        <v>6643.6446804166699</v>
      </c>
      <c r="H707" s="113" t="str">
        <f t="shared" ref="H707:H770" si="34">IF(OR(F707="IDU",F707="OR",F707="UT",F707="WYU",F707="WYP",F707="CA",F707="WA"),"SITUS",IF(OR(F707="CAEE",F707="JBE"),"SE",IF(OR(F707="CAGE",F707="CAGW",F707="JBG"),"SG",F707)))</f>
        <v>OTHER</v>
      </c>
      <c r="I707" s="113" t="str">
        <f>INDEX('REGASSET Lookup'!$I:$I,MATCH('REGASSET Jun22data'!$A707,'REGASSET Lookup'!$A:$A,0))</f>
        <v>p</v>
      </c>
      <c r="J707" s="113" t="str">
        <f t="shared" ref="J707:J770" si="35">IF(G707=0,"NO",IF(ISNA($I707),"YES",IF(_xlfn.ISFORMULA($I707),"NO","YES")))</f>
        <v>NO</v>
      </c>
      <c r="K707"/>
    </row>
    <row r="708" spans="1:11">
      <c r="A708" s="114" t="str">
        <f t="shared" si="33"/>
        <v>1823990OTHR REG ASSET-N CST138190Reg Asset Current - OtherOTHER</v>
      </c>
      <c r="B708" s="126" t="s">
        <v>2849</v>
      </c>
      <c r="C708" s="128" t="s">
        <v>1288</v>
      </c>
      <c r="D708" s="126" t="s">
        <v>2858</v>
      </c>
      <c r="E708" s="128" t="s">
        <v>1297</v>
      </c>
      <c r="F708" s="127" t="s">
        <v>306</v>
      </c>
      <c r="G708" s="136">
        <v>8910.4050816666695</v>
      </c>
      <c r="H708" s="113" t="str">
        <f t="shared" si="34"/>
        <v>OTHER</v>
      </c>
      <c r="I708" s="113" t="str">
        <f>INDEX('REGASSET Lookup'!$I:$I,MATCH('REGASSET Jun22data'!$A708,'REGASSET Lookup'!$A:$A,0))</f>
        <v>PTD</v>
      </c>
      <c r="J708" s="113" t="str">
        <f t="shared" si="35"/>
        <v>NO</v>
      </c>
      <c r="K708"/>
    </row>
    <row r="709" spans="1:11">
      <c r="A709" s="114" t="str">
        <f t="shared" si="33"/>
        <v>1823990OTHR REG ASSET-N CST185879Reg A - Cholla Closure - Recl to CurrOTHER</v>
      </c>
      <c r="B709" s="126" t="s">
        <v>2849</v>
      </c>
      <c r="C709" s="128" t="s">
        <v>1288</v>
      </c>
      <c r="D709" s="126" t="s">
        <v>2859</v>
      </c>
      <c r="E709" s="128" t="s">
        <v>1832</v>
      </c>
      <c r="F709" s="127" t="s">
        <v>306</v>
      </c>
      <c r="G709" s="136">
        <v>-1898.744025</v>
      </c>
      <c r="H709" s="113" t="str">
        <f t="shared" si="34"/>
        <v>OTHER</v>
      </c>
      <c r="I709" s="113" t="str">
        <f>INDEX('REGASSET Lookup'!$I:$I,MATCH('REGASSET Jun22data'!$A709,'REGASSET Lookup'!$A:$A,0))</f>
        <v>P</v>
      </c>
      <c r="J709" s="113" t="str">
        <f t="shared" si="35"/>
        <v>NO</v>
      </c>
      <c r="K709"/>
    </row>
    <row r="710" spans="1:11">
      <c r="A710" s="114" t="str">
        <f t="shared" si="33"/>
        <v>1823990OTHR REG ASSET-N CST186100Calif Alternative Rate for Energy (CARE)OTHER</v>
      </c>
      <c r="B710" s="126" t="s">
        <v>2849</v>
      </c>
      <c r="C710" s="128" t="s">
        <v>1288</v>
      </c>
      <c r="D710" s="126" t="s">
        <v>2860</v>
      </c>
      <c r="E710" s="128" t="s">
        <v>1300</v>
      </c>
      <c r="F710" s="127" t="s">
        <v>306</v>
      </c>
      <c r="G710" s="136">
        <v>-489.69667041666702</v>
      </c>
      <c r="H710" s="113" t="str">
        <f t="shared" si="34"/>
        <v>OTHER</v>
      </c>
      <c r="I710" s="113" t="str">
        <f>INDEX('REGASSET Lookup'!$I:$I,MATCH('REGASSET Jun22data'!$A710,'REGASSET Lookup'!$A:$A,0))</f>
        <v>CUST</v>
      </c>
      <c r="J710" s="113" t="str">
        <f t="shared" si="35"/>
        <v>NO</v>
      </c>
      <c r="K710"/>
    </row>
    <row r="711" spans="1:11">
      <c r="A711" s="114" t="str">
        <f t="shared" si="33"/>
        <v>1823990OTHR REG ASSET-N CST186117RegA - DSM - CA - Reclass to CurrentOTHER</v>
      </c>
      <c r="B711" s="126" t="s">
        <v>2849</v>
      </c>
      <c r="C711" s="128" t="s">
        <v>1288</v>
      </c>
      <c r="D711" s="126" t="s">
        <v>2861</v>
      </c>
      <c r="E711" s="128" t="s">
        <v>2862</v>
      </c>
      <c r="F711" s="127" t="s">
        <v>306</v>
      </c>
      <c r="G711" s="136">
        <v>-87.519767916666694</v>
      </c>
      <c r="H711" s="113" t="str">
        <f t="shared" si="34"/>
        <v>OTHER</v>
      </c>
      <c r="I711" s="113" t="str">
        <f>INDEX('REGASSET Lookup'!$I:$I,MATCH('REGASSET Jun22data'!$A711,'REGASSET Lookup'!$A:$A,0))</f>
        <v>DMSC</v>
      </c>
      <c r="J711" s="113" t="str">
        <f t="shared" si="35"/>
        <v>NO</v>
      </c>
      <c r="K711"/>
    </row>
    <row r="712" spans="1:11">
      <c r="A712" s="114" t="str">
        <f t="shared" si="33"/>
        <v>1823990OTHR REG ASSET-N CST186119Reg Asset - DSM - CA - Balance ReclassOTHER</v>
      </c>
      <c r="B712" s="126" t="s">
        <v>2849</v>
      </c>
      <c r="C712" s="128" t="s">
        <v>1288</v>
      </c>
      <c r="D712" s="126" t="s">
        <v>2863</v>
      </c>
      <c r="E712" s="128" t="s">
        <v>1301</v>
      </c>
      <c r="F712" s="127" t="s">
        <v>306</v>
      </c>
      <c r="G712" s="136">
        <v>42.525486666666701</v>
      </c>
      <c r="H712" s="113" t="str">
        <f t="shared" si="34"/>
        <v>OTHER</v>
      </c>
      <c r="I712" s="113" t="str">
        <f>INDEX('REGASSET Lookup'!$I:$I,MATCH('REGASSET Jun22data'!$A712,'REGASSET Lookup'!$A:$A,0))</f>
        <v>DMSC</v>
      </c>
      <c r="J712" s="113" t="str">
        <f t="shared" si="35"/>
        <v>NO</v>
      </c>
      <c r="K712"/>
    </row>
    <row r="713" spans="1:11">
      <c r="A713" s="114" t="str">
        <f t="shared" si="33"/>
        <v>1823990OTHR REG ASSET-N CST186127RegA - DSM - ID - Reclass to CurrentOTHER</v>
      </c>
      <c r="B713" s="126" t="s">
        <v>2849</v>
      </c>
      <c r="C713" s="128" t="s">
        <v>1288</v>
      </c>
      <c r="D713" s="126" t="s">
        <v>2864</v>
      </c>
      <c r="E713" s="128" t="s">
        <v>1833</v>
      </c>
      <c r="F713" s="127" t="s">
        <v>306</v>
      </c>
      <c r="G713" s="136">
        <v>-0.169137916666667</v>
      </c>
      <c r="H713" s="113" t="str">
        <f t="shared" si="34"/>
        <v>OTHER</v>
      </c>
      <c r="I713" s="113" t="str">
        <f>INDEX('REGASSET Lookup'!$I:$I,MATCH('REGASSET Jun22data'!$A713,'REGASSET Lookup'!$A:$A,0))</f>
        <v>P</v>
      </c>
      <c r="J713" s="113" t="str">
        <f t="shared" si="35"/>
        <v>NO</v>
      </c>
      <c r="K713"/>
    </row>
    <row r="714" spans="1:11">
      <c r="A714" s="114" t="str">
        <f t="shared" si="33"/>
        <v>1823990OTHR REG ASSET-N CST186129Reg Asset - DSM - ID - Balance ReclassOTHER</v>
      </c>
      <c r="B714" s="126" t="s">
        <v>2849</v>
      </c>
      <c r="C714" s="128" t="s">
        <v>1288</v>
      </c>
      <c r="D714" s="126" t="s">
        <v>2865</v>
      </c>
      <c r="E714" s="128" t="s">
        <v>1302</v>
      </c>
      <c r="F714" s="127" t="s">
        <v>306</v>
      </c>
      <c r="G714" s="136">
        <v>411.56311249999999</v>
      </c>
      <c r="H714" s="113" t="str">
        <f t="shared" si="34"/>
        <v>OTHER</v>
      </c>
      <c r="I714" s="113" t="str">
        <f>INDEX('REGASSET Lookup'!$I:$I,MATCH('REGASSET Jun22data'!$A714,'REGASSET Lookup'!$A:$A,0))</f>
        <v>DMSC</v>
      </c>
      <c r="J714" s="113" t="str">
        <f t="shared" si="35"/>
        <v>NO</v>
      </c>
      <c r="K714"/>
    </row>
    <row r="715" spans="1:11">
      <c r="A715" s="114" t="str">
        <f t="shared" si="33"/>
        <v>1823990OTHR REG ASSET-N CST186137RegA - DSM - OR - Reclass to CurrentOTHER</v>
      </c>
      <c r="B715" s="126" t="s">
        <v>2849</v>
      </c>
      <c r="C715" s="128" t="s">
        <v>1288</v>
      </c>
      <c r="D715" s="126" t="s">
        <v>2866</v>
      </c>
      <c r="E715" s="128" t="s">
        <v>1303</v>
      </c>
      <c r="F715" s="127" t="s">
        <v>306</v>
      </c>
      <c r="G715" s="136">
        <v>-271.86028666666698</v>
      </c>
      <c r="H715" s="113" t="str">
        <f t="shared" si="34"/>
        <v>OTHER</v>
      </c>
      <c r="I715" s="113" t="str">
        <f>INDEX('REGASSET Lookup'!$I:$I,MATCH('REGASSET Jun22data'!$A715,'REGASSET Lookup'!$A:$A,0))</f>
        <v>DMSC</v>
      </c>
      <c r="J715" s="113" t="str">
        <f t="shared" si="35"/>
        <v>NO</v>
      </c>
      <c r="K715"/>
    </row>
    <row r="716" spans="1:11">
      <c r="A716" s="114" t="str">
        <f t="shared" si="33"/>
        <v>1823990OTHR REG ASSET-N CST186139Reg Asset - DSM - OR - Balance ReclassOTHER</v>
      </c>
      <c r="B716" s="126" t="s">
        <v>2849</v>
      </c>
      <c r="C716" s="128" t="s">
        <v>1288</v>
      </c>
      <c r="D716" s="126" t="s">
        <v>3384</v>
      </c>
      <c r="E716" s="128" t="s">
        <v>1304</v>
      </c>
      <c r="F716" s="127" t="s">
        <v>306</v>
      </c>
      <c r="G716" s="136">
        <v>0.75630333333333299</v>
      </c>
      <c r="H716" s="113" t="str">
        <f t="shared" si="34"/>
        <v>OTHER</v>
      </c>
      <c r="I716" s="113" t="str">
        <f>INDEX('REGASSET Lookup'!$I:$I,MATCH('REGASSET Jun22data'!$A716,'REGASSET Lookup'!$A:$A,0))</f>
        <v>DMSC</v>
      </c>
      <c r="J716" s="113" t="str">
        <f t="shared" si="35"/>
        <v>NO</v>
      </c>
      <c r="K716"/>
    </row>
    <row r="717" spans="1:11">
      <c r="A717" s="114" t="str">
        <f t="shared" si="33"/>
        <v>1823990OTHR REG ASSET-N CST186147RegA - DSM - UT - Reclass to CurrentOTHER</v>
      </c>
      <c r="B717" s="126" t="s">
        <v>2849</v>
      </c>
      <c r="C717" s="128" t="s">
        <v>1288</v>
      </c>
      <c r="D717" s="126" t="s">
        <v>2867</v>
      </c>
      <c r="E717" s="128" t="s">
        <v>1770</v>
      </c>
      <c r="F717" s="127" t="s">
        <v>306</v>
      </c>
      <c r="G717" s="136">
        <v>-4158.6731095833302</v>
      </c>
      <c r="H717" s="113" t="str">
        <f t="shared" si="34"/>
        <v>OTHER</v>
      </c>
      <c r="I717" s="113" t="str">
        <f>INDEX('REGASSET Lookup'!$I:$I,MATCH('REGASSET Jun22data'!$A717,'REGASSET Lookup'!$A:$A,0))</f>
        <v>DMSC</v>
      </c>
      <c r="J717" s="113" t="str">
        <f t="shared" si="35"/>
        <v>NO</v>
      </c>
      <c r="K717"/>
    </row>
    <row r="718" spans="1:11">
      <c r="A718" s="114" t="str">
        <f t="shared" si="33"/>
        <v>1823990OTHR REG ASSET-N CST186159Reg Asset - DSM - WA - Balance ReclassOTHER</v>
      </c>
      <c r="B718" s="126" t="s">
        <v>2849</v>
      </c>
      <c r="C718" s="128" t="s">
        <v>1288</v>
      </c>
      <c r="D718" s="126" t="s">
        <v>2868</v>
      </c>
      <c r="E718" s="128" t="s">
        <v>1438</v>
      </c>
      <c r="F718" s="127" t="s">
        <v>306</v>
      </c>
      <c r="G718" s="136">
        <v>3582.5376141666702</v>
      </c>
      <c r="H718" s="113" t="str">
        <f t="shared" si="34"/>
        <v>OTHER</v>
      </c>
      <c r="I718" s="113" t="str">
        <f>INDEX('REGASSET Lookup'!$I:$I,MATCH('REGASSET Jun22data'!$A718,'REGASSET Lookup'!$A:$A,0))</f>
        <v>DMSC</v>
      </c>
      <c r="J718" s="113" t="str">
        <f t="shared" si="35"/>
        <v>NO</v>
      </c>
      <c r="K718"/>
    </row>
    <row r="719" spans="1:11">
      <c r="A719" s="114" t="str">
        <f t="shared" si="33"/>
        <v>1823990OTHR REG ASSET-N CST186502POWERDALE HYDRO DECOM REG ASSET - IDSITUS</v>
      </c>
      <c r="B719" s="126" t="s">
        <v>2849</v>
      </c>
      <c r="C719" s="128" t="s">
        <v>1288</v>
      </c>
      <c r="D719" s="126" t="s">
        <v>2869</v>
      </c>
      <c r="E719" s="128" t="s">
        <v>1308</v>
      </c>
      <c r="F719" s="127" t="s">
        <v>372</v>
      </c>
      <c r="G719" s="136">
        <v>2.1012225</v>
      </c>
      <c r="H719" s="113" t="str">
        <f t="shared" si="34"/>
        <v>SITUS</v>
      </c>
      <c r="I719" s="113" t="str">
        <f>INDEX('REGASSET Lookup'!$I:$I,MATCH('REGASSET Jun22data'!$A719,'REGASSET Lookup'!$A:$A,0))</f>
        <v>P</v>
      </c>
      <c r="J719" s="113" t="str">
        <f t="shared" si="35"/>
        <v>NO</v>
      </c>
      <c r="K719"/>
    </row>
    <row r="720" spans="1:11">
      <c r="A720" s="114" t="str">
        <f t="shared" si="33"/>
        <v>1823990OTHR REG ASSET-N CST186793RegA - Deer Creek - OR - Recl to CurrSE</v>
      </c>
      <c r="B720" s="126" t="s">
        <v>2849</v>
      </c>
      <c r="C720" s="128" t="s">
        <v>1288</v>
      </c>
      <c r="D720" s="126" t="s">
        <v>2870</v>
      </c>
      <c r="E720" s="128" t="s">
        <v>1309</v>
      </c>
      <c r="F720" s="127" t="s">
        <v>3110</v>
      </c>
      <c r="G720" s="136">
        <v>-1103.93704166667</v>
      </c>
      <c r="H720" s="113" t="str">
        <f t="shared" si="34"/>
        <v>SE</v>
      </c>
      <c r="I720" s="113" t="str">
        <f>INDEX('REGASSET Lookup'!$I:$I,MATCH('REGASSET Jun22data'!$A720,'REGASSET Lookup'!$A:$A,0))</f>
        <v>P</v>
      </c>
      <c r="J720" s="113" t="str">
        <f t="shared" si="35"/>
        <v>NO</v>
      </c>
      <c r="K720"/>
    </row>
    <row r="721" spans="1:11">
      <c r="A721" s="114" t="str">
        <f t="shared" si="33"/>
        <v>1823990OTHR REG ASSET-N CST187042Reg Asset - CA GHG AllowancesOTHER</v>
      </c>
      <c r="B721" s="126" t="s">
        <v>2849</v>
      </c>
      <c r="C721" s="128" t="s">
        <v>1288</v>
      </c>
      <c r="D721" s="126" t="s">
        <v>2871</v>
      </c>
      <c r="E721" s="128" t="s">
        <v>1311</v>
      </c>
      <c r="F721" s="127" t="s">
        <v>306</v>
      </c>
      <c r="G721" s="136">
        <v>4106.7512049999996</v>
      </c>
      <c r="H721" s="113" t="str">
        <f t="shared" si="34"/>
        <v>OTHER</v>
      </c>
      <c r="I721" s="113" t="str">
        <f>INDEX('REGASSET Lookup'!$I:$I,MATCH('REGASSET Jun22data'!$A721,'REGASSET Lookup'!$A:$A,0))</f>
        <v>P</v>
      </c>
      <c r="J721" s="113" t="str">
        <f t="shared" si="35"/>
        <v>NO</v>
      </c>
      <c r="K721"/>
    </row>
    <row r="722" spans="1:11">
      <c r="A722" s="114" t="str">
        <f t="shared" si="33"/>
        <v>1823990OTHR REG ASSET-N CST187048RegA - CA GHG Allowances - Recl to CurrOTHER</v>
      </c>
      <c r="B722" s="126" t="s">
        <v>2849</v>
      </c>
      <c r="C722" s="128" t="s">
        <v>1288</v>
      </c>
      <c r="D722" s="126" t="s">
        <v>2872</v>
      </c>
      <c r="E722" s="128" t="s">
        <v>1312</v>
      </c>
      <c r="F722" s="127" t="s">
        <v>306</v>
      </c>
      <c r="G722" s="136">
        <v>-2295.1613587500001</v>
      </c>
      <c r="H722" s="113" t="str">
        <f t="shared" si="34"/>
        <v>OTHER</v>
      </c>
      <c r="I722" s="113" t="str">
        <f>INDEX('REGASSET Lookup'!$I:$I,MATCH('REGASSET Jun22data'!$A722,'REGASSET Lookup'!$A:$A,0))</f>
        <v>P</v>
      </c>
      <c r="J722" s="113" t="str">
        <f t="shared" si="35"/>
        <v>NO</v>
      </c>
      <c r="K722"/>
    </row>
    <row r="723" spans="1:11">
      <c r="A723" s="114" t="str">
        <f t="shared" si="33"/>
        <v>1823990OTHR REG ASSET-N CST187049RegA - CA GHG Allowances - Balance ReclOTHER</v>
      </c>
      <c r="B723" s="126" t="s">
        <v>2849</v>
      </c>
      <c r="C723" s="128" t="s">
        <v>1288</v>
      </c>
      <c r="D723" s="126" t="s">
        <v>2873</v>
      </c>
      <c r="E723" s="128" t="s">
        <v>1313</v>
      </c>
      <c r="F723" s="127" t="s">
        <v>306</v>
      </c>
      <c r="G723" s="136">
        <v>-670.13811375</v>
      </c>
      <c r="H723" s="113" t="str">
        <f t="shared" si="34"/>
        <v>OTHER</v>
      </c>
      <c r="I723" s="113" t="str">
        <f>INDEX('REGASSET Lookup'!$I:$I,MATCH('REGASSET Jun22data'!$A723,'REGASSET Lookup'!$A:$A,0))</f>
        <v>P</v>
      </c>
      <c r="J723" s="113" t="str">
        <f t="shared" si="35"/>
        <v>NO</v>
      </c>
      <c r="K723"/>
    </row>
    <row r="724" spans="1:11">
      <c r="A724" s="114" t="str">
        <f t="shared" si="33"/>
        <v>1823990OTHR REG ASSET-N CST187191Reg Asset  - WA RPS PurchaseOTHER</v>
      </c>
      <c r="B724" s="126" t="s">
        <v>2849</v>
      </c>
      <c r="C724" s="128" t="s">
        <v>1288</v>
      </c>
      <c r="D724" s="126" t="s">
        <v>2874</v>
      </c>
      <c r="E724" s="128" t="s">
        <v>1319</v>
      </c>
      <c r="F724" s="127" t="s">
        <v>306</v>
      </c>
      <c r="G724" s="136">
        <v>217.00254125000001</v>
      </c>
      <c r="H724" s="113" t="str">
        <f t="shared" si="34"/>
        <v>OTHER</v>
      </c>
      <c r="I724" s="113" t="str">
        <f>INDEX('REGASSET Lookup'!$I:$I,MATCH('REGASSET Jun22data'!$A724,'REGASSET Lookup'!$A:$A,0))</f>
        <v>P</v>
      </c>
      <c r="J724" s="113" t="str">
        <f t="shared" si="35"/>
        <v>NO</v>
      </c>
      <c r="K724"/>
    </row>
    <row r="725" spans="1:11">
      <c r="A725" s="114" t="str">
        <f t="shared" si="33"/>
        <v>1823990OTHR REG ASSET-N CST187230RegA - Oregon OCAT Expense DeferralOTHER</v>
      </c>
      <c r="B725" s="126" t="s">
        <v>2849</v>
      </c>
      <c r="C725" s="128" t="s">
        <v>1288</v>
      </c>
      <c r="D725" s="126" t="s">
        <v>2875</v>
      </c>
      <c r="E725" s="128" t="s">
        <v>1834</v>
      </c>
      <c r="F725" s="127" t="s">
        <v>306</v>
      </c>
      <c r="G725" s="136">
        <v>571.77798333333305</v>
      </c>
      <c r="H725" s="113" t="str">
        <f t="shared" si="34"/>
        <v>OTHER</v>
      </c>
      <c r="I725" s="113" t="str">
        <f>INDEX('REGASSET Lookup'!$I:$I,MATCH('REGASSET Jun22data'!$A725,'REGASSET Lookup'!$A:$A,0))</f>
        <v>P</v>
      </c>
      <c r="J725" s="113" t="str">
        <f t="shared" si="35"/>
        <v>NO</v>
      </c>
      <c r="K725"/>
    </row>
    <row r="726" spans="1:11">
      <c r="A726" s="114" t="str">
        <f t="shared" si="33"/>
        <v>1823990OTHR REG ASSET-N CST187231Reg Asset - Oregon Metro BITOTHER</v>
      </c>
      <c r="B726" s="126" t="s">
        <v>2849</v>
      </c>
      <c r="C726" s="128" t="s">
        <v>1288</v>
      </c>
      <c r="D726" s="126" t="s">
        <v>2876</v>
      </c>
      <c r="E726" s="128" t="s">
        <v>2877</v>
      </c>
      <c r="F726" s="127" t="s">
        <v>306</v>
      </c>
      <c r="G726" s="136">
        <v>37.706107500000002</v>
      </c>
      <c r="H726" s="113" t="str">
        <f t="shared" si="34"/>
        <v>OTHER</v>
      </c>
      <c r="I726" s="113" t="str">
        <f>INDEX('REGASSET Lookup'!$I:$I,MATCH('REGASSET Jun22data'!$A726,'REGASSET Lookup'!$A:$A,0))</f>
        <v>DMSC</v>
      </c>
      <c r="J726" s="113" t="str">
        <f t="shared" si="35"/>
        <v>NO</v>
      </c>
      <c r="K726"/>
    </row>
    <row r="727" spans="1:11">
      <c r="A727" s="114" t="str">
        <f t="shared" si="33"/>
        <v>1823990OTHR REG ASSET-N CST187255RegA - BPA Balancing Accts - Recl to CurOTHER</v>
      </c>
      <c r="B727" s="126" t="s">
        <v>2849</v>
      </c>
      <c r="C727" s="128" t="s">
        <v>1288</v>
      </c>
      <c r="D727" s="126" t="s">
        <v>2878</v>
      </c>
      <c r="E727" s="128" t="s">
        <v>1321</v>
      </c>
      <c r="F727" s="127" t="s">
        <v>306</v>
      </c>
      <c r="G727" s="136">
        <v>-4550.5254545833304</v>
      </c>
      <c r="H727" s="113" t="str">
        <f t="shared" si="34"/>
        <v>OTHER</v>
      </c>
      <c r="I727" s="113" t="str">
        <f>INDEX('REGASSET Lookup'!$I:$I,MATCH('REGASSET Jun22data'!$A727,'REGASSET Lookup'!$A:$A,0))</f>
        <v>CUST</v>
      </c>
      <c r="J727" s="113" t="str">
        <f t="shared" si="35"/>
        <v>NO</v>
      </c>
      <c r="K727"/>
    </row>
    <row r="728" spans="1:11">
      <c r="A728" s="114" t="str">
        <f t="shared" si="33"/>
        <v>1823990OTHR REG ASSET-N CST187300CA - Jan 2010 Storm CostsOTHER</v>
      </c>
      <c r="B728" s="126" t="s">
        <v>2849</v>
      </c>
      <c r="C728" s="128" t="s">
        <v>1288</v>
      </c>
      <c r="D728" s="126" t="s">
        <v>2879</v>
      </c>
      <c r="E728" s="128" t="s">
        <v>1322</v>
      </c>
      <c r="F728" s="127" t="s">
        <v>306</v>
      </c>
      <c r="G728" s="136">
        <v>7.6521720833333298</v>
      </c>
      <c r="H728" s="113" t="str">
        <f t="shared" si="34"/>
        <v>OTHER</v>
      </c>
      <c r="I728" s="113" t="str">
        <f>INDEX('REGASSET Lookup'!$I:$I,MATCH('REGASSET Jun22data'!$A728,'REGASSET Lookup'!$A:$A,0))</f>
        <v>P</v>
      </c>
      <c r="J728" s="113" t="str">
        <f t="shared" si="35"/>
        <v>NO</v>
      </c>
      <c r="K728"/>
    </row>
    <row r="729" spans="1:11">
      <c r="A729" s="114" t="str">
        <f t="shared" si="33"/>
        <v>1823990OTHR REG ASSET-N CST187301Reg Asset - CA - CEMA Costs DeferralOTHER</v>
      </c>
      <c r="B729" s="126" t="s">
        <v>2849</v>
      </c>
      <c r="C729" s="128" t="s">
        <v>1288</v>
      </c>
      <c r="D729" s="126" t="s">
        <v>2880</v>
      </c>
      <c r="E729" s="128" t="s">
        <v>1835</v>
      </c>
      <c r="F729" s="127" t="s">
        <v>306</v>
      </c>
      <c r="G729" s="136">
        <v>377.32096041666699</v>
      </c>
      <c r="H729" s="113" t="str">
        <f t="shared" si="34"/>
        <v>OTHER</v>
      </c>
      <c r="I729" s="113" t="str">
        <f>INDEX('REGASSET Lookup'!$I:$I,MATCH('REGASSET Jun22data'!$A729,'REGASSET Lookup'!$A:$A,0))</f>
        <v>P</v>
      </c>
      <c r="J729" s="113" t="str">
        <f t="shared" si="35"/>
        <v>NO</v>
      </c>
      <c r="K729"/>
    </row>
    <row r="730" spans="1:11">
      <c r="A730" s="114" t="str">
        <f t="shared" si="33"/>
        <v>1823990OTHR REG ASSET-N CST187303RegA-OR Low Income Bill Disc Admin CostOTHER</v>
      </c>
      <c r="B730" s="126" t="s">
        <v>2849</v>
      </c>
      <c r="C730" s="128" t="s">
        <v>1288</v>
      </c>
      <c r="D730" s="126" t="s">
        <v>3385</v>
      </c>
      <c r="E730" s="128" t="s">
        <v>3386</v>
      </c>
      <c r="F730" s="127" t="s">
        <v>306</v>
      </c>
      <c r="G730" s="136">
        <v>0.25560208333333301</v>
      </c>
      <c r="H730" s="113" t="str">
        <f t="shared" si="34"/>
        <v>OTHER</v>
      </c>
      <c r="I730" s="113" t="str">
        <f>INDEX('REGASSET Lookup'!$I:$I,MATCH('REGASSET Jun22data'!$A730,'REGASSET Lookup'!$A:$A,0))</f>
        <v>DMSC</v>
      </c>
      <c r="J730" s="113" t="str">
        <f t="shared" si="35"/>
        <v>NO</v>
      </c>
      <c r="K730"/>
    </row>
    <row r="731" spans="1:11">
      <c r="A731" s="114" t="str">
        <f t="shared" si="33"/>
        <v>1823990OTHR REG ASSET-N CST187304RegA-CA Emerg Svc Prgms-Battery StorageOTHER</v>
      </c>
      <c r="B731" s="126" t="s">
        <v>2849</v>
      </c>
      <c r="C731" s="128" t="s">
        <v>1288</v>
      </c>
      <c r="D731" s="126" t="s">
        <v>2881</v>
      </c>
      <c r="E731" s="128" t="s">
        <v>1836</v>
      </c>
      <c r="F731" s="127" t="s">
        <v>306</v>
      </c>
      <c r="G731" s="136">
        <v>-605.38803874999996</v>
      </c>
      <c r="H731" s="113" t="str">
        <f t="shared" si="34"/>
        <v>OTHER</v>
      </c>
      <c r="I731" s="113" t="str">
        <f>INDEX('REGASSET Lookup'!$I:$I,MATCH('REGASSET Jun22data'!$A731,'REGASSET Lookup'!$A:$A,0))</f>
        <v>P</v>
      </c>
      <c r="J731" s="113" t="str">
        <f t="shared" si="35"/>
        <v>NO</v>
      </c>
      <c r="K731"/>
    </row>
    <row r="732" spans="1:11">
      <c r="A732" s="114" t="str">
        <f t="shared" si="33"/>
        <v>1823990OTHR REG ASSET-N CST187305RegA - ID 2017 Protocol - MSP DeferralSITUS</v>
      </c>
      <c r="B732" s="126" t="s">
        <v>2849</v>
      </c>
      <c r="C732" s="128" t="s">
        <v>1288</v>
      </c>
      <c r="D732" s="126" t="s">
        <v>2882</v>
      </c>
      <c r="E732" s="128" t="s">
        <v>1323</v>
      </c>
      <c r="F732" s="127" t="s">
        <v>372</v>
      </c>
      <c r="G732" s="136">
        <v>137.5</v>
      </c>
      <c r="H732" s="113" t="str">
        <f t="shared" si="34"/>
        <v>SITUS</v>
      </c>
      <c r="I732" s="113" t="str">
        <f>INDEX('REGASSET Lookup'!$I:$I,MATCH('REGASSET Jun22data'!$A732,'REGASSET Lookup'!$A:$A,0))</f>
        <v>P</v>
      </c>
      <c r="J732" s="113" t="str">
        <f t="shared" si="35"/>
        <v>NO</v>
      </c>
      <c r="K732"/>
    </row>
    <row r="733" spans="1:11">
      <c r="A733" s="114" t="str">
        <f t="shared" si="33"/>
        <v>1823990OTHR REG ASSET-N CST187308RegA - WY Low-Carbon Energy StandardsOTHER</v>
      </c>
      <c r="B733" s="126" t="s">
        <v>2849</v>
      </c>
      <c r="C733" s="128" t="s">
        <v>1288</v>
      </c>
      <c r="D733" s="126" t="s">
        <v>3387</v>
      </c>
      <c r="E733" s="128" t="s">
        <v>3388</v>
      </c>
      <c r="F733" s="127" t="s">
        <v>306</v>
      </c>
      <c r="G733" s="136">
        <v>106.030987083333</v>
      </c>
      <c r="H733" s="113" t="str">
        <f t="shared" si="34"/>
        <v>OTHER</v>
      </c>
      <c r="I733" s="113" t="str">
        <f>INDEX('REGASSET Lookup'!$I:$I,MATCH('REGASSET Jun22data'!$A733,'REGASSET Lookup'!$A:$A,0))</f>
        <v>P</v>
      </c>
      <c r="J733" s="113" t="str">
        <f t="shared" si="35"/>
        <v>NO</v>
      </c>
      <c r="K733"/>
    </row>
    <row r="734" spans="1:11">
      <c r="A734" s="114" t="str">
        <f t="shared" si="33"/>
        <v>1823990OTHR REG ASSET-N CST187309RegA-OR Utility Community Advisory GroupOTHER</v>
      </c>
      <c r="B734" s="126" t="s">
        <v>2849</v>
      </c>
      <c r="C734" s="128" t="s">
        <v>1288</v>
      </c>
      <c r="D734" s="126" t="s">
        <v>3389</v>
      </c>
      <c r="E734" s="128" t="s">
        <v>3390</v>
      </c>
      <c r="F734" s="127" t="s">
        <v>306</v>
      </c>
      <c r="G734" s="136">
        <v>0.16260666666666701</v>
      </c>
      <c r="H734" s="113" t="str">
        <f t="shared" si="34"/>
        <v>OTHER</v>
      </c>
      <c r="I734" s="113" t="str">
        <f>INDEX('REGASSET Lookup'!$I:$I,MATCH('REGASSET Jun22data'!$A734,'REGASSET Lookup'!$A:$A,0))</f>
        <v>DMSC</v>
      </c>
      <c r="J734" s="113" t="str">
        <f t="shared" si="35"/>
        <v>NO</v>
      </c>
      <c r="K734"/>
    </row>
    <row r="735" spans="1:11">
      <c r="A735" s="114" t="str">
        <f t="shared" si="33"/>
        <v>1823990OTHR REG ASSET-N CST187311Contra Reg Asset-Carbon Plt Dec/Inv-CASITUS</v>
      </c>
      <c r="B735" s="126" t="s">
        <v>2849</v>
      </c>
      <c r="C735" s="128" t="s">
        <v>1288</v>
      </c>
      <c r="D735" s="126" t="s">
        <v>2883</v>
      </c>
      <c r="E735" s="128" t="s">
        <v>1326</v>
      </c>
      <c r="F735" s="127" t="s">
        <v>387</v>
      </c>
      <c r="G735" s="136">
        <v>-52.047510000000003</v>
      </c>
      <c r="H735" s="113" t="str">
        <f t="shared" si="34"/>
        <v>SITUS</v>
      </c>
      <c r="I735" s="113" t="str">
        <f>INDEX('REGASSET Lookup'!$I:$I,MATCH('REGASSET Jun22data'!$A735,'REGASSET Lookup'!$A:$A,0))</f>
        <v>P</v>
      </c>
      <c r="J735" s="113" t="str">
        <f t="shared" si="35"/>
        <v>NO</v>
      </c>
      <c r="K735"/>
    </row>
    <row r="736" spans="1:11">
      <c r="A736" s="114" t="str">
        <f t="shared" si="33"/>
        <v>1823990OTHR REG ASSET-N CST187312Contra Reg Asset-Carbon Plt Dec/Inv-WYSITUS</v>
      </c>
      <c r="B736" s="126" t="s">
        <v>2849</v>
      </c>
      <c r="C736" s="128" t="s">
        <v>1288</v>
      </c>
      <c r="D736" s="126" t="s">
        <v>2884</v>
      </c>
      <c r="E736" s="128" t="s">
        <v>1837</v>
      </c>
      <c r="F736" s="127" t="s">
        <v>386</v>
      </c>
      <c r="G736" s="136">
        <v>-152.61540291666699</v>
      </c>
      <c r="H736" s="113" t="str">
        <f t="shared" si="34"/>
        <v>SITUS</v>
      </c>
      <c r="I736" s="113" t="str">
        <f>INDEX('REGASSET Lookup'!$I:$I,MATCH('REGASSET Jun22data'!$A736,'REGASSET Lookup'!$A:$A,0))</f>
        <v>P</v>
      </c>
      <c r="J736" s="113" t="str">
        <f t="shared" si="35"/>
        <v>NO</v>
      </c>
      <c r="K736"/>
    </row>
    <row r="737" spans="1:11">
      <c r="A737" s="114" t="str">
        <f t="shared" si="33"/>
        <v>1823990OTHR REG ASSET-N CST187320Reg Asset - Deprec Increase - IDSITUS</v>
      </c>
      <c r="B737" s="126" t="s">
        <v>2849</v>
      </c>
      <c r="C737" s="128" t="s">
        <v>1288</v>
      </c>
      <c r="D737" s="126" t="s">
        <v>2885</v>
      </c>
      <c r="E737" s="128" t="s">
        <v>1327</v>
      </c>
      <c r="F737" s="127" t="s">
        <v>372</v>
      </c>
      <c r="G737" s="136">
        <v>11378.31798125</v>
      </c>
      <c r="H737" s="113" t="str">
        <f t="shared" si="34"/>
        <v>SITUS</v>
      </c>
      <c r="I737" s="113" t="str">
        <f>INDEX('REGASSET Lookup'!$I:$I,MATCH('REGASSET Jun22data'!$A737,'REGASSET Lookup'!$A:$A,0))</f>
        <v>P</v>
      </c>
      <c r="J737" s="113" t="str">
        <f t="shared" si="35"/>
        <v>NO</v>
      </c>
      <c r="K737"/>
    </row>
    <row r="738" spans="1:11">
      <c r="A738" s="114" t="str">
        <f t="shared" si="33"/>
        <v>1823990OTHR REG ASSET-N CST187321Reg Asset - Deprec Increase - UTSITUS</v>
      </c>
      <c r="B738" s="126" t="s">
        <v>2849</v>
      </c>
      <c r="C738" s="128" t="s">
        <v>1288</v>
      </c>
      <c r="D738" s="126" t="s">
        <v>2886</v>
      </c>
      <c r="E738" s="128" t="s">
        <v>1328</v>
      </c>
      <c r="F738" s="127" t="s">
        <v>370</v>
      </c>
      <c r="G738" s="136">
        <v>1216.4103700000001</v>
      </c>
      <c r="H738" s="113" t="str">
        <f t="shared" si="34"/>
        <v>SITUS</v>
      </c>
      <c r="I738" s="113" t="str">
        <f>INDEX('REGASSET Lookup'!$I:$I,MATCH('REGASSET Jun22data'!$A738,'REGASSET Lookup'!$A:$A,0))</f>
        <v>P</v>
      </c>
      <c r="J738" s="113" t="str">
        <f t="shared" si="35"/>
        <v>NO</v>
      </c>
      <c r="K738"/>
    </row>
    <row r="739" spans="1:11">
      <c r="A739" s="114" t="str">
        <f t="shared" si="33"/>
        <v>1823990OTHR REG ASSET-N CST187322Reg Asset - Deprec Increase - WYSITUS</v>
      </c>
      <c r="B739" s="126" t="s">
        <v>2849</v>
      </c>
      <c r="C739" s="128" t="s">
        <v>1288</v>
      </c>
      <c r="D739" s="126" t="s">
        <v>2887</v>
      </c>
      <c r="E739" s="128" t="s">
        <v>1329</v>
      </c>
      <c r="F739" s="127" t="s">
        <v>386</v>
      </c>
      <c r="G739" s="136">
        <v>15275.6713175</v>
      </c>
      <c r="H739" s="113" t="str">
        <f t="shared" si="34"/>
        <v>SITUS</v>
      </c>
      <c r="I739" s="113" t="str">
        <f>INDEX('REGASSET Lookup'!$I:$I,MATCH('REGASSET Jun22data'!$A739,'REGASSET Lookup'!$A:$A,0))</f>
        <v>P</v>
      </c>
      <c r="J739" s="113" t="str">
        <f t="shared" si="35"/>
        <v>NO</v>
      </c>
      <c r="K739"/>
    </row>
    <row r="740" spans="1:11">
      <c r="A740" s="114" t="str">
        <f t="shared" si="33"/>
        <v>1823990OTHR REG ASSET-N CST187332Reg Asset - Carbon Unrec Plant - UTSITUS</v>
      </c>
      <c r="B740" s="126" t="s">
        <v>2849</v>
      </c>
      <c r="C740" s="128" t="s">
        <v>1288</v>
      </c>
      <c r="D740" s="126" t="s">
        <v>2888</v>
      </c>
      <c r="E740" s="128" t="s">
        <v>1331</v>
      </c>
      <c r="F740" s="127" t="s">
        <v>370</v>
      </c>
      <c r="G740" s="136">
        <v>4867.3920320833304</v>
      </c>
      <c r="H740" s="113" t="str">
        <f t="shared" si="34"/>
        <v>SITUS</v>
      </c>
      <c r="I740" s="113" t="str">
        <f>INDEX('REGASSET Lookup'!$I:$I,MATCH('REGASSET Jun22data'!$A740,'REGASSET Lookup'!$A:$A,0))</f>
        <v>P</v>
      </c>
      <c r="J740" s="113" t="str">
        <f t="shared" si="35"/>
        <v>NO</v>
      </c>
      <c r="K740"/>
    </row>
    <row r="741" spans="1:11">
      <c r="A741" s="114" t="str">
        <f t="shared" si="33"/>
        <v>1823990OTHR REG ASSET-N CST187337Reg Asset - Carbon Decomm - CASITUS</v>
      </c>
      <c r="B741" s="126" t="s">
        <v>2849</v>
      </c>
      <c r="C741" s="128" t="s">
        <v>1288</v>
      </c>
      <c r="D741" s="126" t="s">
        <v>2889</v>
      </c>
      <c r="E741" s="128" t="s">
        <v>1839</v>
      </c>
      <c r="F741" s="127" t="s">
        <v>387</v>
      </c>
      <c r="G741" s="136">
        <v>374.72336000000001</v>
      </c>
      <c r="H741" s="113" t="str">
        <f t="shared" si="34"/>
        <v>SITUS</v>
      </c>
      <c r="I741" s="113" t="str">
        <f>INDEX('REGASSET Lookup'!$I:$I,MATCH('REGASSET Jun22data'!$A741,'REGASSET Lookup'!$A:$A,0))</f>
        <v>P</v>
      </c>
      <c r="J741" s="113" t="str">
        <f t="shared" si="35"/>
        <v>NO</v>
      </c>
      <c r="K741"/>
    </row>
    <row r="742" spans="1:11">
      <c r="A742" s="114" t="str">
        <f t="shared" si="33"/>
        <v>1823990OTHR REG ASSET-N CST187338REG ASSET - CARBON PLT DECOM/INVENTORYSITUS</v>
      </c>
      <c r="B742" s="126" t="s">
        <v>2849</v>
      </c>
      <c r="C742" s="128" t="s">
        <v>1288</v>
      </c>
      <c r="D742" s="126" t="s">
        <v>2890</v>
      </c>
      <c r="E742" s="128" t="s">
        <v>1439</v>
      </c>
      <c r="F742" s="127" t="s">
        <v>387</v>
      </c>
      <c r="G742" s="136">
        <v>-442.54906208333301</v>
      </c>
      <c r="H742" s="113" t="str">
        <f t="shared" si="34"/>
        <v>SITUS</v>
      </c>
      <c r="I742" s="113" t="str">
        <f>INDEX('REGASSET Lookup'!$I:$I,MATCH('REGASSET Jun22data'!$A742,'REGASSET Lookup'!$A:$A,0))</f>
        <v>P</v>
      </c>
      <c r="J742" s="113" t="str">
        <f t="shared" si="35"/>
        <v>NO</v>
      </c>
      <c r="K742"/>
    </row>
    <row r="743" spans="1:11">
      <c r="A743" s="114" t="str">
        <f t="shared" si="33"/>
        <v>1823990OTHR REG ASSET-N CST187338REG ASSET - CARBON PLT DECOM/INVENTORYSG</v>
      </c>
      <c r="B743" s="126" t="s">
        <v>2849</v>
      </c>
      <c r="C743" s="128" t="s">
        <v>1288</v>
      </c>
      <c r="D743" s="126" t="s">
        <v>2890</v>
      </c>
      <c r="E743" s="128" t="s">
        <v>1439</v>
      </c>
      <c r="F743" s="127" t="s">
        <v>3106</v>
      </c>
      <c r="G743" s="136">
        <v>3448.66939</v>
      </c>
      <c r="H743" s="113" t="str">
        <f t="shared" si="34"/>
        <v>SG</v>
      </c>
      <c r="I743" s="113" t="str">
        <f>INDEX('REGASSET Lookup'!$I:$I,MATCH('REGASSET Jun22data'!$A743,'REGASSET Lookup'!$A:$A,0))</f>
        <v>P</v>
      </c>
      <c r="J743" s="113" t="str">
        <f t="shared" si="35"/>
        <v>NO</v>
      </c>
      <c r="K743"/>
    </row>
    <row r="744" spans="1:11">
      <c r="A744" s="114" t="str">
        <f t="shared" si="33"/>
        <v>1823990OTHR REG ASSET-N CST187338REG ASSET - CARBON PLT DECOM/INVENTORYSITUS</v>
      </c>
      <c r="B744" s="126" t="s">
        <v>2849</v>
      </c>
      <c r="C744" s="128" t="s">
        <v>1288</v>
      </c>
      <c r="D744" s="126" t="s">
        <v>2890</v>
      </c>
      <c r="E744" s="128" t="s">
        <v>1439</v>
      </c>
      <c r="F744" s="127" t="s">
        <v>372</v>
      </c>
      <c r="G744" s="136">
        <v>-5.4815100000000001</v>
      </c>
      <c r="H744" s="113" t="str">
        <f t="shared" si="34"/>
        <v>SITUS</v>
      </c>
      <c r="I744" s="113" t="str">
        <f>INDEX('REGASSET Lookup'!$I:$I,MATCH('REGASSET Jun22data'!$A744,'REGASSET Lookup'!$A:$A,0))</f>
        <v>P</v>
      </c>
      <c r="J744" s="113" t="str">
        <f t="shared" si="35"/>
        <v>NO</v>
      </c>
      <c r="K744"/>
    </row>
    <row r="745" spans="1:11">
      <c r="A745" s="114" t="str">
        <f t="shared" si="33"/>
        <v>1823990OTHR REG ASSET-N CST187338REG ASSET - CARBON PLT DECOM/INVENTORYSITUS</v>
      </c>
      <c r="B745" s="126" t="s">
        <v>2849</v>
      </c>
      <c r="C745" s="128" t="s">
        <v>1288</v>
      </c>
      <c r="D745" s="126" t="s">
        <v>2890</v>
      </c>
      <c r="E745" s="128" t="s">
        <v>1439</v>
      </c>
      <c r="F745" s="127" t="s">
        <v>343</v>
      </c>
      <c r="G745" s="136">
        <v>-179.48699999999999</v>
      </c>
      <c r="H745" s="113" t="str">
        <f t="shared" si="34"/>
        <v>SITUS</v>
      </c>
      <c r="I745" s="113" t="str">
        <f>INDEX('REGASSET Lookup'!$I:$I,MATCH('REGASSET Jun22data'!$A745,'REGASSET Lookup'!$A:$A,0))</f>
        <v>P</v>
      </c>
      <c r="J745" s="113" t="str">
        <f t="shared" si="35"/>
        <v>NO</v>
      </c>
      <c r="K745"/>
    </row>
    <row r="746" spans="1:11">
      <c r="A746" s="114" t="str">
        <f t="shared" si="33"/>
        <v>1823990OTHR REG ASSET-N CST187338REG ASSET - CARBON PLT DECOM/INVENTORYSITUS</v>
      </c>
      <c r="B746" s="126" t="s">
        <v>2849</v>
      </c>
      <c r="C746" s="128" t="s">
        <v>1288</v>
      </c>
      <c r="D746" s="126" t="s">
        <v>2890</v>
      </c>
      <c r="E746" s="128" t="s">
        <v>1439</v>
      </c>
      <c r="F746" s="127" t="s">
        <v>370</v>
      </c>
      <c r="G746" s="136">
        <v>-1074.76200791667</v>
      </c>
      <c r="H746" s="113" t="str">
        <f t="shared" si="34"/>
        <v>SITUS</v>
      </c>
      <c r="I746" s="113" t="str">
        <f>INDEX('REGASSET Lookup'!$I:$I,MATCH('REGASSET Jun22data'!$A746,'REGASSET Lookup'!$A:$A,0))</f>
        <v>P</v>
      </c>
      <c r="J746" s="113" t="str">
        <f t="shared" si="35"/>
        <v>NO</v>
      </c>
      <c r="K746"/>
    </row>
    <row r="747" spans="1:11">
      <c r="A747" s="114" t="str">
        <f t="shared" si="33"/>
        <v>1823990OTHR REG ASSET-N CST187338REG ASSET - CARBON PLT DECOM/INVENTORYSITUS</v>
      </c>
      <c r="B747" s="126" t="s">
        <v>2849</v>
      </c>
      <c r="C747" s="128" t="s">
        <v>1288</v>
      </c>
      <c r="D747" s="126" t="s">
        <v>2890</v>
      </c>
      <c r="E747" s="128" t="s">
        <v>1439</v>
      </c>
      <c r="F747" s="127" t="s">
        <v>378</v>
      </c>
      <c r="G747" s="136">
        <v>-136.6026675</v>
      </c>
      <c r="H747" s="113" t="str">
        <f t="shared" si="34"/>
        <v>SITUS</v>
      </c>
      <c r="I747" s="113" t="str">
        <f>INDEX('REGASSET Lookup'!$I:$I,MATCH('REGASSET Jun22data'!$A747,'REGASSET Lookup'!$A:$A,0))</f>
        <v>P</v>
      </c>
      <c r="J747" s="113" t="str">
        <f t="shared" si="35"/>
        <v>NO</v>
      </c>
      <c r="K747"/>
    </row>
    <row r="748" spans="1:11">
      <c r="A748" s="114" t="str">
        <f t="shared" si="33"/>
        <v>1823990OTHR REG ASSET-N CST187345Reg Asset - UT - Pref Stock Redemp LossOTHER</v>
      </c>
      <c r="B748" s="126" t="s">
        <v>2849</v>
      </c>
      <c r="C748" s="128" t="s">
        <v>1288</v>
      </c>
      <c r="D748" s="126" t="s">
        <v>2891</v>
      </c>
      <c r="E748" s="128" t="s">
        <v>1333</v>
      </c>
      <c r="F748" s="127" t="s">
        <v>306</v>
      </c>
      <c r="G748" s="136">
        <v>182.25543999999999</v>
      </c>
      <c r="H748" s="113" t="str">
        <f t="shared" si="34"/>
        <v>OTHER</v>
      </c>
      <c r="I748" s="113" t="str">
        <f>INDEX('REGASSET Lookup'!$I:$I,MATCH('REGASSET Jun22data'!$A748,'REGASSET Lookup'!$A:$A,0))</f>
        <v>P</v>
      </c>
      <c r="J748" s="113" t="str">
        <f t="shared" si="35"/>
        <v>NO</v>
      </c>
      <c r="K748"/>
    </row>
    <row r="749" spans="1:11">
      <c r="A749" s="114" t="str">
        <f t="shared" si="33"/>
        <v>1823990OTHR REG ASSET-N CST187346Reg Asset - WY - Pref Stock Redemp LossOTHER</v>
      </c>
      <c r="B749" s="126" t="s">
        <v>2849</v>
      </c>
      <c r="C749" s="128" t="s">
        <v>1288</v>
      </c>
      <c r="D749" s="126" t="s">
        <v>2892</v>
      </c>
      <c r="E749" s="128" t="s">
        <v>1334</v>
      </c>
      <c r="F749" s="127" t="s">
        <v>306</v>
      </c>
      <c r="G749" s="136">
        <v>62.80874</v>
      </c>
      <c r="H749" s="113" t="str">
        <f t="shared" si="34"/>
        <v>OTHER</v>
      </c>
      <c r="I749" s="113" t="str">
        <f>INDEX('REGASSET Lookup'!$I:$I,MATCH('REGASSET Jun22data'!$A749,'REGASSET Lookup'!$A:$A,0))</f>
        <v>P</v>
      </c>
      <c r="J749" s="113" t="str">
        <f t="shared" si="35"/>
        <v>NO</v>
      </c>
      <c r="K749"/>
    </row>
    <row r="750" spans="1:11">
      <c r="A750" s="114" t="str">
        <f t="shared" si="33"/>
        <v>1823990OTHR REG ASSET-N CST187347Reg Asset - WA - Pref Stock Redemp LossOTHER</v>
      </c>
      <c r="B750" s="126" t="s">
        <v>2849</v>
      </c>
      <c r="C750" s="128" t="s">
        <v>1288</v>
      </c>
      <c r="D750" s="126" t="s">
        <v>2893</v>
      </c>
      <c r="E750" s="128" t="s">
        <v>1335</v>
      </c>
      <c r="F750" s="127" t="s">
        <v>306</v>
      </c>
      <c r="G750" s="136">
        <v>28.85502</v>
      </c>
      <c r="H750" s="113" t="str">
        <f t="shared" si="34"/>
        <v>OTHER</v>
      </c>
      <c r="I750" s="113" t="str">
        <f>INDEX('REGASSET Lookup'!$I:$I,MATCH('REGASSET Jun22data'!$A750,'REGASSET Lookup'!$A:$A,0))</f>
        <v>P</v>
      </c>
      <c r="J750" s="113" t="str">
        <f t="shared" si="35"/>
        <v>NO</v>
      </c>
      <c r="K750"/>
    </row>
    <row r="751" spans="1:11">
      <c r="A751" s="114" t="str">
        <f t="shared" si="33"/>
        <v>1823990OTHR REG ASSET-N CST187350ID - Deferred Overburden CostsOTHER</v>
      </c>
      <c r="B751" s="126" t="s">
        <v>2849</v>
      </c>
      <c r="C751" s="128" t="s">
        <v>1288</v>
      </c>
      <c r="D751" s="126" t="s">
        <v>2894</v>
      </c>
      <c r="E751" s="128" t="s">
        <v>400</v>
      </c>
      <c r="F751" s="127" t="s">
        <v>306</v>
      </c>
      <c r="G751" s="136">
        <v>588.85338458333399</v>
      </c>
      <c r="H751" s="113" t="str">
        <f t="shared" si="34"/>
        <v>OTHER</v>
      </c>
      <c r="I751" s="113" t="str">
        <f>INDEX('REGASSET Lookup'!$I:$I,MATCH('REGASSET Jun22data'!$A751,'REGASSET Lookup'!$A:$A,0))</f>
        <v>P</v>
      </c>
      <c r="J751" s="113" t="str">
        <f t="shared" si="35"/>
        <v>NO</v>
      </c>
      <c r="K751"/>
    </row>
    <row r="752" spans="1:11">
      <c r="A752" s="114" t="str">
        <f t="shared" si="33"/>
        <v>1823990OTHR REG ASSET-N CST187351WY - Deferred Overburden CostsSITUS</v>
      </c>
      <c r="B752" s="126" t="s">
        <v>2849</v>
      </c>
      <c r="C752" s="128" t="s">
        <v>1288</v>
      </c>
      <c r="D752" s="126" t="s">
        <v>2895</v>
      </c>
      <c r="E752" s="128" t="s">
        <v>401</v>
      </c>
      <c r="F752" s="127" t="s">
        <v>386</v>
      </c>
      <c r="G752" s="136">
        <v>1541.7139275</v>
      </c>
      <c r="H752" s="113" t="str">
        <f t="shared" si="34"/>
        <v>SITUS</v>
      </c>
      <c r="I752" s="113" t="str">
        <f>INDEX('REGASSET Lookup'!$I:$I,MATCH('REGASSET Jun22data'!$A752,'REGASSET Lookup'!$A:$A,0))</f>
        <v>P</v>
      </c>
      <c r="J752" s="113" t="str">
        <f t="shared" si="35"/>
        <v>NO</v>
      </c>
      <c r="K752"/>
    </row>
    <row r="753" spans="1:11">
      <c r="A753" s="114" t="str">
        <f t="shared" si="33"/>
        <v>1823990OTHR REG ASSET-N CST187354RegA-OR 2020 GRC-Meters Replcd by AMIOTHER</v>
      </c>
      <c r="B753" s="126" t="s">
        <v>2849</v>
      </c>
      <c r="C753" s="128" t="s">
        <v>1288</v>
      </c>
      <c r="D753" s="126" t="s">
        <v>2896</v>
      </c>
      <c r="E753" s="128" t="s">
        <v>1840</v>
      </c>
      <c r="F753" s="127" t="s">
        <v>306</v>
      </c>
      <c r="G753" s="136">
        <v>13858.173937916699</v>
      </c>
      <c r="H753" s="113" t="str">
        <f t="shared" si="34"/>
        <v>OTHER</v>
      </c>
      <c r="I753" s="113" t="str">
        <f>INDEX('REGASSET Lookup'!$I:$I,MATCH('REGASSET Jun22data'!$A753,'REGASSET Lookup'!$A:$A,0))</f>
        <v>P</v>
      </c>
      <c r="J753" s="113" t="str">
        <f t="shared" si="35"/>
        <v>NO</v>
      </c>
      <c r="K753"/>
    </row>
    <row r="754" spans="1:11">
      <c r="A754" s="114" t="str">
        <f t="shared" si="33"/>
        <v>1823990OTHR REG ASSET-N CST187357CA Mobile Home Park Conversion (MHPCBA)OTHER</v>
      </c>
      <c r="B754" s="126" t="s">
        <v>2849</v>
      </c>
      <c r="C754" s="128" t="s">
        <v>1288</v>
      </c>
      <c r="D754" s="126" t="s">
        <v>2897</v>
      </c>
      <c r="E754" s="128" t="s">
        <v>1337</v>
      </c>
      <c r="F754" s="127" t="s">
        <v>306</v>
      </c>
      <c r="G754" s="136">
        <v>216.03716666666699</v>
      </c>
      <c r="H754" s="113" t="str">
        <f t="shared" si="34"/>
        <v>OTHER</v>
      </c>
      <c r="I754" s="113" t="str">
        <f>INDEX('REGASSET Lookup'!$I:$I,MATCH('REGASSET Jun22data'!$A754,'REGASSET Lookup'!$A:$A,0))</f>
        <v>CUST</v>
      </c>
      <c r="J754" s="113" t="str">
        <f t="shared" si="35"/>
        <v>NO</v>
      </c>
      <c r="K754"/>
    </row>
    <row r="755" spans="1:11">
      <c r="A755" s="114" t="str">
        <f t="shared" si="33"/>
        <v>1823990OTHR REG ASSET-N CST187361Reg A-OR-COVID-19 Bill Assistance ProgOTHER</v>
      </c>
      <c r="B755" s="126" t="s">
        <v>2849</v>
      </c>
      <c r="C755" s="128" t="s">
        <v>1288</v>
      </c>
      <c r="D755" s="126" t="s">
        <v>2898</v>
      </c>
      <c r="E755" s="128" t="s">
        <v>2899</v>
      </c>
      <c r="F755" s="127" t="s">
        <v>306</v>
      </c>
      <c r="G755" s="136">
        <v>9512.2776770833298</v>
      </c>
      <c r="H755" s="113" t="str">
        <f t="shared" si="34"/>
        <v>OTHER</v>
      </c>
      <c r="I755" s="113" t="str">
        <f>INDEX('REGASSET Lookup'!$I:$I,MATCH('REGASSET Jun22data'!$A755,'REGASSET Lookup'!$A:$A,0))</f>
        <v>CUST</v>
      </c>
      <c r="J755" s="113" t="str">
        <f t="shared" si="35"/>
        <v>NO</v>
      </c>
      <c r="K755"/>
    </row>
    <row r="756" spans="1:11">
      <c r="A756" s="114" t="str">
        <f t="shared" si="33"/>
        <v>1823990OTHR REG ASSET-N CST187362Reg A-WA-COVID-19 Bill Assistance ProgOTHER</v>
      </c>
      <c r="B756" s="126" t="s">
        <v>2849</v>
      </c>
      <c r="C756" s="128" t="s">
        <v>1288</v>
      </c>
      <c r="D756" s="126" t="s">
        <v>2900</v>
      </c>
      <c r="E756" s="128" t="s">
        <v>2901</v>
      </c>
      <c r="F756" s="127" t="s">
        <v>306</v>
      </c>
      <c r="G756" s="136">
        <v>2555.32326291667</v>
      </c>
      <c r="H756" s="113" t="str">
        <f t="shared" si="34"/>
        <v>OTHER</v>
      </c>
      <c r="I756" s="113" t="str">
        <f>INDEX('REGASSET Lookup'!$I:$I,MATCH('REGASSET Jun22data'!$A756,'REGASSET Lookup'!$A:$A,0))</f>
        <v>CUST</v>
      </c>
      <c r="J756" s="113" t="str">
        <f t="shared" si="35"/>
        <v>NO</v>
      </c>
      <c r="K756"/>
    </row>
    <row r="757" spans="1:11">
      <c r="A757" s="114" t="str">
        <f t="shared" si="33"/>
        <v>1823990OTHR REG ASSET-N CST187369RegA -WA Equity Advisory Group (CETA)SITUS</v>
      </c>
      <c r="B757" s="126" t="s">
        <v>2849</v>
      </c>
      <c r="C757" s="128" t="s">
        <v>1288</v>
      </c>
      <c r="D757" s="126" t="s">
        <v>2902</v>
      </c>
      <c r="E757" s="128" t="s">
        <v>2903</v>
      </c>
      <c r="F757" s="127" t="s">
        <v>367</v>
      </c>
      <c r="G757" s="136">
        <v>400.73890333333298</v>
      </c>
      <c r="H757" s="113" t="str">
        <f t="shared" si="34"/>
        <v>SITUS</v>
      </c>
      <c r="I757" s="113" t="str">
        <f>INDEX('REGASSET Lookup'!$I:$I,MATCH('REGASSET Jun22data'!$A757,'REGASSET Lookup'!$A:$A,0))</f>
        <v>CUST</v>
      </c>
      <c r="J757" s="113" t="str">
        <f t="shared" si="35"/>
        <v>NO</v>
      </c>
      <c r="K757"/>
    </row>
    <row r="758" spans="1:11">
      <c r="A758" s="114" t="str">
        <f t="shared" si="33"/>
        <v>1823990OTHR REG ASSET-N CST187380Reg Asset - UT Solar Incentive ProgramOTHER</v>
      </c>
      <c r="B758" s="126" t="s">
        <v>2849</v>
      </c>
      <c r="C758" s="128" t="s">
        <v>1288</v>
      </c>
      <c r="D758" s="126" t="s">
        <v>2904</v>
      </c>
      <c r="E758" s="128" t="s">
        <v>1342</v>
      </c>
      <c r="F758" s="127" t="s">
        <v>306</v>
      </c>
      <c r="G758" s="136">
        <v>-1562.80055708333</v>
      </c>
      <c r="H758" s="113" t="str">
        <f t="shared" si="34"/>
        <v>OTHER</v>
      </c>
      <c r="I758" s="113" t="str">
        <f>INDEX('REGASSET Lookup'!$I:$I,MATCH('REGASSET Jun22data'!$A758,'REGASSET Lookup'!$A:$A,0))</f>
        <v>P</v>
      </c>
      <c r="J758" s="113" t="str">
        <f t="shared" si="35"/>
        <v>NO</v>
      </c>
      <c r="K758"/>
    </row>
    <row r="759" spans="1:11">
      <c r="A759" s="114" t="str">
        <f t="shared" si="33"/>
        <v>1823990OTHR REG ASSET-N CST187382Reg Asset-OR Solar Feed-In Tariff 2020OTHER</v>
      </c>
      <c r="B759" s="126" t="s">
        <v>2849</v>
      </c>
      <c r="C759" s="128" t="s">
        <v>1288</v>
      </c>
      <c r="D759" s="126" t="s">
        <v>2905</v>
      </c>
      <c r="E759" s="128" t="s">
        <v>1841</v>
      </c>
      <c r="F759" s="127" t="s">
        <v>306</v>
      </c>
      <c r="G759" s="136">
        <v>496.89582124999998</v>
      </c>
      <c r="H759" s="113" t="str">
        <f t="shared" si="34"/>
        <v>OTHER</v>
      </c>
      <c r="I759" s="113" t="str">
        <f>INDEX('REGASSET Lookup'!$I:$I,MATCH('REGASSET Jun22data'!$A759,'REGASSET Lookup'!$A:$A,0))</f>
        <v>P</v>
      </c>
      <c r="J759" s="113" t="str">
        <f t="shared" si="35"/>
        <v>NO</v>
      </c>
      <c r="K759"/>
    </row>
    <row r="760" spans="1:11">
      <c r="A760" s="114" t="str">
        <f t="shared" si="33"/>
        <v>1823990OTHR REG ASSET-N CST187383RegA - OR Solar Feed-In - Recl to CurrOTHER</v>
      </c>
      <c r="B760" s="126" t="s">
        <v>2849</v>
      </c>
      <c r="C760" s="128" t="s">
        <v>1288</v>
      </c>
      <c r="D760" s="126" t="s">
        <v>2906</v>
      </c>
      <c r="E760" s="128" t="s">
        <v>1343</v>
      </c>
      <c r="F760" s="127" t="s">
        <v>306</v>
      </c>
      <c r="G760" s="136">
        <v>-6515.7332987500004</v>
      </c>
      <c r="H760" s="113" t="str">
        <f t="shared" si="34"/>
        <v>OTHER</v>
      </c>
      <c r="I760" s="113" t="str">
        <f>INDEX('REGASSET Lookup'!$I:$I,MATCH('REGASSET Jun22data'!$A760,'REGASSET Lookup'!$A:$A,0))</f>
        <v>P</v>
      </c>
      <c r="J760" s="113" t="str">
        <f t="shared" si="35"/>
        <v>NO</v>
      </c>
      <c r="K760"/>
    </row>
    <row r="761" spans="1:11">
      <c r="A761" s="114" t="str">
        <f t="shared" si="33"/>
        <v>1823990OTHR REG ASSET-N CST187384RegA - UT Solar Feed-In - Recl to CurrOTHER</v>
      </c>
      <c r="B761" s="126" t="s">
        <v>2849</v>
      </c>
      <c r="C761" s="128" t="s">
        <v>1288</v>
      </c>
      <c r="D761" s="126" t="s">
        <v>2907</v>
      </c>
      <c r="E761" s="128" t="s">
        <v>1344</v>
      </c>
      <c r="F761" s="127" t="s">
        <v>306</v>
      </c>
      <c r="G761" s="136">
        <v>-127.911381666667</v>
      </c>
      <c r="H761" s="113" t="str">
        <f t="shared" si="34"/>
        <v>OTHER</v>
      </c>
      <c r="I761" s="113" t="str">
        <f>INDEX('REGASSET Lookup'!$I:$I,MATCH('REGASSET Jun22data'!$A761,'REGASSET Lookup'!$A:$A,0))</f>
        <v>P</v>
      </c>
      <c r="J761" s="113" t="str">
        <f t="shared" si="35"/>
        <v>NO</v>
      </c>
      <c r="K761"/>
    </row>
    <row r="762" spans="1:11">
      <c r="A762" s="114" t="str">
        <f t="shared" si="33"/>
        <v>1823990OTHR REG ASSET-N CST187386Reg Asset-OR Solar Feed-In Tariff 2021OTHER</v>
      </c>
      <c r="B762" s="126" t="s">
        <v>2849</v>
      </c>
      <c r="C762" s="128" t="s">
        <v>1288</v>
      </c>
      <c r="D762" s="126" t="s">
        <v>2908</v>
      </c>
      <c r="E762" s="128" t="s">
        <v>1842</v>
      </c>
      <c r="F762" s="127" t="s">
        <v>306</v>
      </c>
      <c r="G762" s="136">
        <v>3331.7517208333302</v>
      </c>
      <c r="H762" s="113" t="str">
        <f t="shared" si="34"/>
        <v>OTHER</v>
      </c>
      <c r="I762" s="113" t="str">
        <f>INDEX('REGASSET Lookup'!$I:$I,MATCH('REGASSET Jun22data'!$A762,'REGASSET Lookup'!$A:$A,0))</f>
        <v>P</v>
      </c>
      <c r="J762" s="113" t="str">
        <f t="shared" si="35"/>
        <v>NO</v>
      </c>
      <c r="K762"/>
    </row>
    <row r="763" spans="1:11">
      <c r="A763" s="114" t="str">
        <f t="shared" si="33"/>
        <v>1823990OTHR REG ASSET-N CST187387Reg Asset-Utah STEP Pilot Prog Bal AcctOTHER</v>
      </c>
      <c r="B763" s="126" t="s">
        <v>2849</v>
      </c>
      <c r="C763" s="128" t="s">
        <v>1288</v>
      </c>
      <c r="D763" s="126" t="s">
        <v>2909</v>
      </c>
      <c r="E763" s="128" t="s">
        <v>1345</v>
      </c>
      <c r="F763" s="127" t="s">
        <v>306</v>
      </c>
      <c r="G763" s="136">
        <v>-13166.1498416667</v>
      </c>
      <c r="H763" s="113" t="str">
        <f t="shared" si="34"/>
        <v>OTHER</v>
      </c>
      <c r="I763" s="113" t="str">
        <f>INDEX('REGASSET Lookup'!$I:$I,MATCH('REGASSET Jun22data'!$A763,'REGASSET Lookup'!$A:$A,0))</f>
        <v>P</v>
      </c>
      <c r="J763" s="113" t="str">
        <f t="shared" si="35"/>
        <v>NO</v>
      </c>
      <c r="K763"/>
    </row>
    <row r="764" spans="1:11">
      <c r="A764" s="114" t="str">
        <f t="shared" si="33"/>
        <v>1823990OTHR REG ASSET-N CST187390UT-Klamath Hydro Relicensing CostsOTHER</v>
      </c>
      <c r="B764" s="126" t="s">
        <v>2849</v>
      </c>
      <c r="C764" s="128" t="s">
        <v>1288</v>
      </c>
      <c r="D764" s="126" t="s">
        <v>2910</v>
      </c>
      <c r="E764" s="128" t="s">
        <v>1346</v>
      </c>
      <c r="F764" s="127" t="s">
        <v>306</v>
      </c>
      <c r="G764" s="136">
        <v>4141.2544720833303</v>
      </c>
      <c r="H764" s="113" t="str">
        <f t="shared" si="34"/>
        <v>OTHER</v>
      </c>
      <c r="I764" s="113" t="str">
        <f>INDEX('REGASSET Lookup'!$I:$I,MATCH('REGASSET Jun22data'!$A764,'REGASSET Lookup'!$A:$A,0))</f>
        <v>P</v>
      </c>
      <c r="J764" s="113" t="str">
        <f t="shared" si="35"/>
        <v>NO</v>
      </c>
      <c r="K764"/>
    </row>
    <row r="765" spans="1:11">
      <c r="A765" s="114" t="str">
        <f t="shared" si="33"/>
        <v>1823990OTHR REG ASSET-N CST187392Reg Asset-OR Solar Feed-In Tariff 2022OTHER</v>
      </c>
      <c r="B765" s="126" t="s">
        <v>2849</v>
      </c>
      <c r="C765" s="128" t="s">
        <v>1288</v>
      </c>
      <c r="D765" s="126" t="s">
        <v>2911</v>
      </c>
      <c r="E765" s="128" t="s">
        <v>2912</v>
      </c>
      <c r="F765" s="127" t="s">
        <v>306</v>
      </c>
      <c r="G765" s="136">
        <v>839.79433708333295</v>
      </c>
      <c r="H765" s="113" t="str">
        <f t="shared" si="34"/>
        <v>OTHER</v>
      </c>
      <c r="I765" s="113" t="str">
        <f>INDEX('REGASSET Lookup'!$I:$I,MATCH('REGASSET Jun22data'!$A765,'REGASSET Lookup'!$A:$A,0))</f>
        <v>P</v>
      </c>
      <c r="J765" s="113" t="str">
        <f t="shared" si="35"/>
        <v>NO</v>
      </c>
      <c r="K765"/>
    </row>
    <row r="766" spans="1:11">
      <c r="A766" s="114" t="str">
        <f t="shared" si="33"/>
        <v>1823990OTHR REG ASSET-N CST187394RegA - UT Solar Feed-In - Recl to LiabOTHER</v>
      </c>
      <c r="B766" s="126" t="s">
        <v>2849</v>
      </c>
      <c r="C766" s="128" t="s">
        <v>1288</v>
      </c>
      <c r="D766" s="126" t="s">
        <v>2913</v>
      </c>
      <c r="E766" s="128" t="s">
        <v>1348</v>
      </c>
      <c r="F766" s="127" t="s">
        <v>306</v>
      </c>
      <c r="G766" s="136">
        <v>14710.2173995833</v>
      </c>
      <c r="H766" s="113" t="str">
        <f t="shared" si="34"/>
        <v>OTHER</v>
      </c>
      <c r="I766" s="113" t="str">
        <f>INDEX('REGASSET Lookup'!$I:$I,MATCH('REGASSET Jun22data'!$A766,'REGASSET Lookup'!$A:$A,0))</f>
        <v>P</v>
      </c>
      <c r="J766" s="113" t="str">
        <f t="shared" si="35"/>
        <v>NO</v>
      </c>
      <c r="K766"/>
    </row>
    <row r="767" spans="1:11">
      <c r="A767" s="114" t="str">
        <f t="shared" si="33"/>
        <v>1823990OTHR REG ASSET-N CST187415Reg Asset-UT Subscriber Solar ProgramOTHER</v>
      </c>
      <c r="B767" s="126" t="s">
        <v>2849</v>
      </c>
      <c r="C767" s="128" t="s">
        <v>1288</v>
      </c>
      <c r="D767" s="126" t="s">
        <v>2914</v>
      </c>
      <c r="E767" s="128" t="s">
        <v>1349</v>
      </c>
      <c r="F767" s="127" t="s">
        <v>306</v>
      </c>
      <c r="G767" s="136">
        <v>1922.3631233333299</v>
      </c>
      <c r="H767" s="113" t="str">
        <f t="shared" si="34"/>
        <v>OTHER</v>
      </c>
      <c r="I767" s="113" t="str">
        <f>INDEX('REGASSET Lookup'!$I:$I,MATCH('REGASSET Jun22data'!$A767,'REGASSET Lookup'!$A:$A,0))</f>
        <v>P</v>
      </c>
      <c r="J767" s="113" t="str">
        <f t="shared" si="35"/>
        <v>NO</v>
      </c>
      <c r="K767"/>
    </row>
    <row r="768" spans="1:11">
      <c r="A768" s="114" t="str">
        <f t="shared" si="33"/>
        <v>1823990OTHR REG ASSET-N CST187420RegA - OR Community SolarOTHER</v>
      </c>
      <c r="B768" s="126" t="s">
        <v>2849</v>
      </c>
      <c r="C768" s="128" t="s">
        <v>1288</v>
      </c>
      <c r="D768" s="126" t="s">
        <v>2915</v>
      </c>
      <c r="E768" s="128" t="s">
        <v>1771</v>
      </c>
      <c r="F768" s="127" t="s">
        <v>306</v>
      </c>
      <c r="G768" s="136">
        <v>1849.30166375</v>
      </c>
      <c r="H768" s="113" t="str">
        <f t="shared" si="34"/>
        <v>OTHER</v>
      </c>
      <c r="I768" s="113" t="str">
        <f>INDEX('REGASSET Lookup'!$I:$I,MATCH('REGASSET Jun22data'!$A768,'REGASSET Lookup'!$A:$A,0))</f>
        <v>P</v>
      </c>
      <c r="J768" s="113" t="str">
        <f t="shared" si="35"/>
        <v>NO</v>
      </c>
      <c r="K768"/>
    </row>
    <row r="769" spans="1:11">
      <c r="A769" s="114" t="str">
        <f t="shared" si="33"/>
        <v>1823990OTHR REG ASSET-N CST187488RegA-WA Decoupling Mech - Recl to CurrOTHER</v>
      </c>
      <c r="B769" s="126" t="s">
        <v>2849</v>
      </c>
      <c r="C769" s="128" t="s">
        <v>1288</v>
      </c>
      <c r="D769" s="126" t="s">
        <v>2916</v>
      </c>
      <c r="E769" s="128" t="s">
        <v>2917</v>
      </c>
      <c r="F769" s="127" t="s">
        <v>306</v>
      </c>
      <c r="G769" s="136">
        <v>-2205.5352058333301</v>
      </c>
      <c r="H769" s="113" t="str">
        <f t="shared" si="34"/>
        <v>OTHER</v>
      </c>
      <c r="I769" s="113" t="str">
        <f>INDEX('REGASSET Lookup'!$I:$I,MATCH('REGASSET Jun22data'!$A769,'REGASSET Lookup'!$A:$A,0))</f>
        <v>P</v>
      </c>
      <c r="J769" s="113" t="str">
        <f t="shared" si="35"/>
        <v>NO</v>
      </c>
      <c r="K769"/>
    </row>
    <row r="770" spans="1:11">
      <c r="A770" s="114" t="str">
        <f t="shared" si="33"/>
        <v>1823990OTHR REG ASSET-N CST187489Reg A-WA Decoupling Mechanism-ReclassOTHER</v>
      </c>
      <c r="B770" s="126" t="s">
        <v>2849</v>
      </c>
      <c r="C770" s="128" t="s">
        <v>1288</v>
      </c>
      <c r="D770" s="126" t="s">
        <v>2918</v>
      </c>
      <c r="E770" s="128" t="s">
        <v>1352</v>
      </c>
      <c r="F770" s="127" t="s">
        <v>306</v>
      </c>
      <c r="G770" s="136">
        <v>2783.3497883333298</v>
      </c>
      <c r="H770" s="113" t="str">
        <f t="shared" si="34"/>
        <v>OTHER</v>
      </c>
      <c r="I770" s="113" t="str">
        <f>INDEX('REGASSET Lookup'!$I:$I,MATCH('REGASSET Jun22data'!$A770,'REGASSET Lookup'!$A:$A,0))</f>
        <v>P</v>
      </c>
      <c r="J770" s="113" t="str">
        <f t="shared" si="35"/>
        <v>NO</v>
      </c>
      <c r="K770"/>
    </row>
    <row r="771" spans="1:11">
      <c r="A771" s="114" t="str">
        <f t="shared" ref="A771:A834" si="36">CONCATENATE($B771,$C771,$D771,$E771,$H771)</f>
        <v>1823990OTHR REG ASSET-N CST187495RegA - Other - Recl to CurrOTHER</v>
      </c>
      <c r="B771" s="126" t="s">
        <v>2849</v>
      </c>
      <c r="C771" s="128" t="s">
        <v>1288</v>
      </c>
      <c r="D771" s="126" t="s">
        <v>2919</v>
      </c>
      <c r="E771" s="128" t="s">
        <v>1353</v>
      </c>
      <c r="F771" s="127" t="s">
        <v>306</v>
      </c>
      <c r="G771" s="136">
        <v>-6217.5490054166703</v>
      </c>
      <c r="H771" s="113" t="str">
        <f t="shared" ref="H771:H834" si="37">IF(OR(F771="IDU",F771="OR",F771="UT",F771="WYU",F771="WYP",F771="CA",F771="WA"),"SITUS",IF(OR(F771="CAEE",F771="JBE"),"SE",IF(OR(F771="CAGE",F771="CAGW",F771="JBG"),"SG",F771)))</f>
        <v>OTHER</v>
      </c>
      <c r="I771" s="113" t="str">
        <f>INDEX('REGASSET Lookup'!$I:$I,MATCH('REGASSET Jun22data'!$A771,'REGASSET Lookup'!$A:$A,0))</f>
        <v>P</v>
      </c>
      <c r="J771" s="113" t="str">
        <f t="shared" ref="J771:J834" si="38">IF(G771=0,"NO",IF(ISNA($I771),"YES",IF(_xlfn.ISFORMULA($I771),"NO","YES")))</f>
        <v>NO</v>
      </c>
      <c r="K771"/>
    </row>
    <row r="772" spans="1:11">
      <c r="A772" s="114" t="str">
        <f t="shared" si="36"/>
        <v>1823990OTHR REG ASSET-N CST187648Reg A - Post-Retirement - Recl to CurrSE</v>
      </c>
      <c r="B772" s="126" t="s">
        <v>2849</v>
      </c>
      <c r="C772" s="128" t="s">
        <v>1288</v>
      </c>
      <c r="D772" s="126" t="s">
        <v>2920</v>
      </c>
      <c r="E772" s="128" t="s">
        <v>1843</v>
      </c>
      <c r="F772" s="127" t="s">
        <v>3110</v>
      </c>
      <c r="G772" s="136">
        <v>-754.02504166666699</v>
      </c>
      <c r="H772" s="113" t="str">
        <f t="shared" si="37"/>
        <v>SE</v>
      </c>
      <c r="I772" s="113" t="str">
        <f>INDEX('REGASSET Lookup'!$I:$I,MATCH('REGASSET Jun22data'!$A772,'REGASSET Lookup'!$A:$A,0))</f>
        <v>LABOR</v>
      </c>
      <c r="J772" s="113" t="str">
        <f t="shared" si="38"/>
        <v>NO</v>
      </c>
      <c r="K772"/>
    </row>
    <row r="773" spans="1:11">
      <c r="A773" s="114" t="str">
        <f t="shared" si="36"/>
        <v>1823990OTHR REG ASSET-N CST187658RegA-WA Insurance Reserves-Recl to LiabOTHER</v>
      </c>
      <c r="B773" s="126" t="s">
        <v>2849</v>
      </c>
      <c r="C773" s="128" t="s">
        <v>1288</v>
      </c>
      <c r="D773" s="126" t="s">
        <v>2921</v>
      </c>
      <c r="E773" s="128" t="s">
        <v>2922</v>
      </c>
      <c r="F773" s="127" t="s">
        <v>306</v>
      </c>
      <c r="G773" s="136">
        <v>35.582960833333303</v>
      </c>
      <c r="H773" s="113" t="str">
        <f t="shared" si="37"/>
        <v>OTHER</v>
      </c>
      <c r="I773" s="113" t="str">
        <f>INDEX('REGASSET Lookup'!$I:$I,MATCH('REGASSET Jun22data'!$A773,'REGASSET Lookup'!$A:$A,0))</f>
        <v>LABOR</v>
      </c>
      <c r="J773" s="113" t="str">
        <f t="shared" si="38"/>
        <v>NO</v>
      </c>
      <c r="K773"/>
    </row>
    <row r="774" spans="1:11">
      <c r="A774" s="114" t="str">
        <f t="shared" si="36"/>
        <v>1823990OTHR REG ASSET-N CST187660RegA-OR Transp Electrification PilotOTHER</v>
      </c>
      <c r="B774" s="126" t="s">
        <v>2849</v>
      </c>
      <c r="C774" s="128" t="s">
        <v>1288</v>
      </c>
      <c r="D774" s="126" t="s">
        <v>2923</v>
      </c>
      <c r="E774" s="128" t="s">
        <v>1734</v>
      </c>
      <c r="F774" s="127" t="s">
        <v>306</v>
      </c>
      <c r="G774" s="136">
        <v>3710.09589333333</v>
      </c>
      <c r="H774" s="113" t="str">
        <f t="shared" si="37"/>
        <v>OTHER</v>
      </c>
      <c r="I774" s="113" t="str">
        <f>INDEX('REGASSET Lookup'!$I:$I,MATCH('REGASSET Jun22data'!$A774,'REGASSET Lookup'!$A:$A,0))</f>
        <v>P</v>
      </c>
      <c r="J774" s="113" t="str">
        <f t="shared" si="38"/>
        <v>NO</v>
      </c>
      <c r="K774"/>
    </row>
    <row r="775" spans="1:11">
      <c r="A775" s="114" t="str">
        <f t="shared" si="36"/>
        <v>1823990OTHR REG ASSET-N CST187661RegA-UT Elec Vehicle Charging InfrastOTHER</v>
      </c>
      <c r="B775" s="126" t="s">
        <v>2849</v>
      </c>
      <c r="C775" s="128" t="s">
        <v>1288</v>
      </c>
      <c r="D775" s="126" t="s">
        <v>3391</v>
      </c>
      <c r="E775" s="128" t="s">
        <v>3392</v>
      </c>
      <c r="F775" s="127" t="s">
        <v>306</v>
      </c>
      <c r="G775" s="136">
        <v>-501.03399291666699</v>
      </c>
      <c r="H775" s="113" t="str">
        <f t="shared" si="37"/>
        <v>OTHER</v>
      </c>
      <c r="I775" s="113" t="str">
        <f>INDEX('REGASSET Lookup'!$I:$I,MATCH('REGASSET Jun22data'!$A775,'REGASSET Lookup'!$A:$A,0))</f>
        <v>DMSC</v>
      </c>
      <c r="J775" s="113" t="str">
        <f t="shared" si="38"/>
        <v>NO</v>
      </c>
      <c r="K775"/>
    </row>
    <row r="776" spans="1:11">
      <c r="A776" s="114" t="str">
        <f t="shared" si="36"/>
        <v>1823990OTHR REG ASSET-N CST187662RegA-CA Transp Electrification PilotOTHER</v>
      </c>
      <c r="B776" s="126" t="s">
        <v>2849</v>
      </c>
      <c r="C776" s="128" t="s">
        <v>1288</v>
      </c>
      <c r="D776" s="126" t="s">
        <v>2924</v>
      </c>
      <c r="E776" s="128" t="s">
        <v>1735</v>
      </c>
      <c r="F776" s="127" t="s">
        <v>306</v>
      </c>
      <c r="G776" s="136">
        <v>-223.68987166666699</v>
      </c>
      <c r="H776" s="113" t="str">
        <f t="shared" si="37"/>
        <v>OTHER</v>
      </c>
      <c r="I776" s="113" t="str">
        <f>INDEX('REGASSET Lookup'!$I:$I,MATCH('REGASSET Jun22data'!$A776,'REGASSET Lookup'!$A:$A,0))</f>
        <v>P</v>
      </c>
      <c r="J776" s="113" t="str">
        <f t="shared" si="38"/>
        <v>NO</v>
      </c>
      <c r="K776"/>
    </row>
    <row r="777" spans="1:11">
      <c r="A777" s="114" t="str">
        <f t="shared" si="36"/>
        <v>1823990OTHR REG ASSET-N CST187664RegA-WA Transp Electrification PilotOTHER</v>
      </c>
      <c r="B777" s="126" t="s">
        <v>2849</v>
      </c>
      <c r="C777" s="128" t="s">
        <v>1288</v>
      </c>
      <c r="D777" s="126" t="s">
        <v>2925</v>
      </c>
      <c r="E777" s="128" t="s">
        <v>1772</v>
      </c>
      <c r="F777" s="127" t="s">
        <v>306</v>
      </c>
      <c r="G777" s="136">
        <v>552.78286958333297</v>
      </c>
      <c r="H777" s="113" t="str">
        <f t="shared" si="37"/>
        <v>OTHER</v>
      </c>
      <c r="I777" s="113" t="str">
        <f>INDEX('REGASSET Lookup'!$I:$I,MATCH('REGASSET Jun22data'!$A777,'REGASSET Lookup'!$A:$A,0))</f>
        <v>P</v>
      </c>
      <c r="J777" s="113" t="str">
        <f t="shared" si="38"/>
        <v>NO</v>
      </c>
      <c r="K777"/>
    </row>
    <row r="778" spans="1:11">
      <c r="A778" s="114" t="str">
        <f t="shared" si="36"/>
        <v>1823990OTHR REG ASSET-N CST187665RegA-OR Residential Charging PilotOTHER</v>
      </c>
      <c r="B778" s="126" t="s">
        <v>2849</v>
      </c>
      <c r="C778" s="128" t="s">
        <v>1288</v>
      </c>
      <c r="D778" s="126" t="s">
        <v>3393</v>
      </c>
      <c r="E778" s="128" t="s">
        <v>3394</v>
      </c>
      <c r="F778" s="127" t="s">
        <v>306</v>
      </c>
      <c r="G778" s="136">
        <v>-190.11387625</v>
      </c>
      <c r="H778" s="113" t="str">
        <f t="shared" si="37"/>
        <v>OTHER</v>
      </c>
      <c r="I778" s="113" t="str">
        <f>INDEX('REGASSET Lookup'!$I:$I,MATCH('REGASSET Jun22data'!$A778,'REGASSET Lookup'!$A:$A,0))</f>
        <v>DMSC</v>
      </c>
      <c r="J778" s="113" t="str">
        <f t="shared" si="38"/>
        <v>NO</v>
      </c>
      <c r="K778"/>
    </row>
    <row r="779" spans="1:11">
      <c r="A779" s="114" t="str">
        <f t="shared" si="36"/>
        <v>1823990OTHR REG ASSET-N CST187666RegA-OR Non-Residential Charging PilotOTHER</v>
      </c>
      <c r="B779" s="126" t="s">
        <v>2849</v>
      </c>
      <c r="C779" s="128" t="s">
        <v>1288</v>
      </c>
      <c r="D779" s="126" t="s">
        <v>3395</v>
      </c>
      <c r="E779" s="128" t="s">
        <v>3396</v>
      </c>
      <c r="F779" s="127" t="s">
        <v>306</v>
      </c>
      <c r="G779" s="136">
        <v>1.6935</v>
      </c>
      <c r="H779" s="113" t="str">
        <f t="shared" si="37"/>
        <v>OTHER</v>
      </c>
      <c r="I779" s="113" t="str">
        <f>INDEX('REGASSET Lookup'!$I:$I,MATCH('REGASSET Jun22data'!$A779,'REGASSET Lookup'!$A:$A,0))</f>
        <v>DMSC</v>
      </c>
      <c r="J779" s="113" t="str">
        <f t="shared" si="38"/>
        <v>NO</v>
      </c>
      <c r="K779"/>
    </row>
    <row r="780" spans="1:11">
      <c r="A780" s="114" t="str">
        <f t="shared" si="36"/>
        <v>1823990OTHR REG ASSET-N CST187667RegA-OR Outreach and Research PilotOTHER</v>
      </c>
      <c r="B780" s="126" t="s">
        <v>2849</v>
      </c>
      <c r="C780" s="128" t="s">
        <v>1288</v>
      </c>
      <c r="D780" s="126" t="s">
        <v>2926</v>
      </c>
      <c r="E780" s="128" t="s">
        <v>2927</v>
      </c>
      <c r="F780" s="127" t="s">
        <v>306</v>
      </c>
      <c r="G780" s="136">
        <v>39.475298333333299</v>
      </c>
      <c r="H780" s="113" t="str">
        <f t="shared" si="37"/>
        <v>OTHER</v>
      </c>
      <c r="I780" s="113" t="str">
        <f>INDEX('REGASSET Lookup'!$I:$I,MATCH('REGASSET Jun22data'!$A780,'REGASSET Lookup'!$A:$A,0))</f>
        <v>CUST</v>
      </c>
      <c r="J780" s="113" t="str">
        <f t="shared" si="38"/>
        <v>NO</v>
      </c>
      <c r="K780"/>
    </row>
    <row r="781" spans="1:11">
      <c r="A781" s="114" t="str">
        <f t="shared" si="36"/>
        <v>1823990OTHR REG ASSET-N CST187830Reg Asset - UT RBA CY2021OTHER</v>
      </c>
      <c r="B781" s="126" t="s">
        <v>2849</v>
      </c>
      <c r="C781" s="128" t="s">
        <v>1288</v>
      </c>
      <c r="D781" s="126" t="s">
        <v>2928</v>
      </c>
      <c r="E781" s="128" t="s">
        <v>2929</v>
      </c>
      <c r="F781" s="127" t="s">
        <v>306</v>
      </c>
      <c r="G781" s="136">
        <v>-878.02921416666595</v>
      </c>
      <c r="H781" s="113" t="str">
        <f t="shared" si="37"/>
        <v>OTHER</v>
      </c>
      <c r="I781" s="113" t="str">
        <f>INDEX('REGASSET Lookup'!$I:$I,MATCH('REGASSET Jun22data'!$A781,'REGASSET Lookup'!$A:$A,0))</f>
        <v>P</v>
      </c>
      <c r="J781" s="113" t="str">
        <f t="shared" si="38"/>
        <v>NO</v>
      </c>
      <c r="K781"/>
    </row>
    <row r="782" spans="1:11">
      <c r="A782" s="114" t="str">
        <f t="shared" si="36"/>
        <v>1823990OTHR REG ASSET-N CST187831Reg Asset - UT RBA CY2022OTHER</v>
      </c>
      <c r="B782" s="126" t="s">
        <v>2849</v>
      </c>
      <c r="C782" s="128" t="s">
        <v>1288</v>
      </c>
      <c r="D782" s="126" t="s">
        <v>3397</v>
      </c>
      <c r="E782" s="128" t="s">
        <v>3398</v>
      </c>
      <c r="F782" s="127" t="s">
        <v>306</v>
      </c>
      <c r="G782" s="136">
        <v>-455.57697374999998</v>
      </c>
      <c r="H782" s="113" t="str">
        <f t="shared" si="37"/>
        <v>OTHER</v>
      </c>
      <c r="I782" s="113" t="str">
        <f>INDEX('REGASSET Lookup'!$I:$I,MATCH('REGASSET Jun22data'!$A782,'REGASSET Lookup'!$A:$A,0))</f>
        <v>P</v>
      </c>
      <c r="J782" s="113" t="str">
        <f t="shared" si="38"/>
        <v>NO</v>
      </c>
      <c r="K782"/>
    </row>
    <row r="783" spans="1:11">
      <c r="A783" s="114" t="str">
        <f t="shared" si="36"/>
        <v>1823990OTHR REG ASSET-N CST187859Reg Asset - WY ECAM CY2019OTHER</v>
      </c>
      <c r="B783" s="126" t="s">
        <v>2849</v>
      </c>
      <c r="C783" s="128" t="s">
        <v>1288</v>
      </c>
      <c r="D783" s="126" t="s">
        <v>2930</v>
      </c>
      <c r="E783" s="128" t="s">
        <v>1737</v>
      </c>
      <c r="F783" s="127" t="s">
        <v>306</v>
      </c>
      <c r="G783" s="136">
        <v>90.379836249999997</v>
      </c>
      <c r="H783" s="113" t="str">
        <f t="shared" si="37"/>
        <v>OTHER</v>
      </c>
      <c r="I783" s="113" t="str">
        <f>INDEX('REGASSET Lookup'!$I:$I,MATCH('REGASSET Jun22data'!$A783,'REGASSET Lookup'!$A:$A,0))</f>
        <v>P</v>
      </c>
      <c r="J783" s="113" t="str">
        <f t="shared" si="38"/>
        <v>NO</v>
      </c>
      <c r="K783"/>
    </row>
    <row r="784" spans="1:11">
      <c r="A784" s="114" t="str">
        <f t="shared" si="36"/>
        <v>1823990OTHR REG ASSET-N CST187860Reg Asset - WY RRA CY2022OTHER</v>
      </c>
      <c r="B784" s="126" t="s">
        <v>2849</v>
      </c>
      <c r="C784" s="128" t="s">
        <v>1288</v>
      </c>
      <c r="D784" s="126" t="s">
        <v>3399</v>
      </c>
      <c r="E784" s="128" t="s">
        <v>3400</v>
      </c>
      <c r="F784" s="127" t="s">
        <v>306</v>
      </c>
      <c r="G784" s="136">
        <v>-106.68523</v>
      </c>
      <c r="H784" s="113" t="str">
        <f t="shared" si="37"/>
        <v>OTHER</v>
      </c>
      <c r="I784" s="113" t="str">
        <f>INDEX('REGASSET Lookup'!$I:$I,MATCH('REGASSET Jun22data'!$A784,'REGASSET Lookup'!$A:$A,0))</f>
        <v>P</v>
      </c>
      <c r="J784" s="113" t="str">
        <f t="shared" si="38"/>
        <v>NO</v>
      </c>
      <c r="K784"/>
    </row>
    <row r="785" spans="1:11">
      <c r="A785" s="114" t="str">
        <f t="shared" si="36"/>
        <v>1823990OTHR REG ASSET-N CST187869Reg Asset - WY RRA CY2019OTHER</v>
      </c>
      <c r="B785" s="126" t="s">
        <v>2849</v>
      </c>
      <c r="C785" s="128" t="s">
        <v>1288</v>
      </c>
      <c r="D785" s="126" t="s">
        <v>2931</v>
      </c>
      <c r="E785" s="128" t="s">
        <v>1773</v>
      </c>
      <c r="F785" s="127" t="s">
        <v>306</v>
      </c>
      <c r="G785" s="136">
        <v>-1.8745258333333299</v>
      </c>
      <c r="H785" s="113" t="str">
        <f t="shared" si="37"/>
        <v>OTHER</v>
      </c>
      <c r="I785" s="113" t="str">
        <f>INDEX('REGASSET Lookup'!$I:$I,MATCH('REGASSET Jun22data'!$A785,'REGASSET Lookup'!$A:$A,0))</f>
        <v>P</v>
      </c>
      <c r="J785" s="113" t="str">
        <f t="shared" si="38"/>
        <v>NO</v>
      </c>
      <c r="K785"/>
    </row>
    <row r="786" spans="1:11">
      <c r="A786" s="114" t="str">
        <f t="shared" si="36"/>
        <v>1823990OTHR REG ASSET-N CST187879Contra Reg Asset - WY ECAM CY2019OTHER</v>
      </c>
      <c r="B786" s="126" t="s">
        <v>2849</v>
      </c>
      <c r="C786" s="128" t="s">
        <v>1288</v>
      </c>
      <c r="D786" s="126" t="s">
        <v>2932</v>
      </c>
      <c r="E786" s="128" t="s">
        <v>1739</v>
      </c>
      <c r="F786" s="127" t="s">
        <v>306</v>
      </c>
      <c r="G786" s="136">
        <v>-30.966643749999999</v>
      </c>
      <c r="H786" s="113" t="str">
        <f t="shared" si="37"/>
        <v>OTHER</v>
      </c>
      <c r="I786" s="113" t="str">
        <f>INDEX('REGASSET Lookup'!$I:$I,MATCH('REGASSET Jun22data'!$A786,'REGASSET Lookup'!$A:$A,0))</f>
        <v>P</v>
      </c>
      <c r="J786" s="113" t="str">
        <f t="shared" si="38"/>
        <v>NO</v>
      </c>
      <c r="K786"/>
    </row>
    <row r="787" spans="1:11">
      <c r="A787" s="114" t="str">
        <f t="shared" si="36"/>
        <v>1823990OTHR REG ASSET-N CST187880Reg Asset - UT RBA CY2019OTHER</v>
      </c>
      <c r="B787" s="126" t="s">
        <v>2849</v>
      </c>
      <c r="C787" s="128" t="s">
        <v>1288</v>
      </c>
      <c r="D787" s="126" t="s">
        <v>2933</v>
      </c>
      <c r="E787" s="128" t="s">
        <v>1774</v>
      </c>
      <c r="F787" s="127" t="s">
        <v>306</v>
      </c>
      <c r="G787" s="136">
        <v>-1.1576074999999999</v>
      </c>
      <c r="H787" s="113" t="str">
        <f t="shared" si="37"/>
        <v>OTHER</v>
      </c>
      <c r="I787" s="113" t="str">
        <f>INDEX('REGASSET Lookup'!$I:$I,MATCH('REGASSET Jun22data'!$A787,'REGASSET Lookup'!$A:$A,0))</f>
        <v>P</v>
      </c>
      <c r="J787" s="113" t="str">
        <f t="shared" si="38"/>
        <v>NO</v>
      </c>
      <c r="K787"/>
    </row>
    <row r="788" spans="1:11">
      <c r="A788" s="114" t="str">
        <f t="shared" si="36"/>
        <v>1823990OTHR REG ASSET-N CST187882Reg Asset - UT RBA CY2020OTHER</v>
      </c>
      <c r="B788" s="126" t="s">
        <v>2849</v>
      </c>
      <c r="C788" s="128" t="s">
        <v>1288</v>
      </c>
      <c r="D788" s="126" t="s">
        <v>2934</v>
      </c>
      <c r="E788" s="128" t="s">
        <v>1844</v>
      </c>
      <c r="F788" s="127" t="s">
        <v>306</v>
      </c>
      <c r="G788" s="136">
        <v>-166.79453749999999</v>
      </c>
      <c r="H788" s="113" t="str">
        <f t="shared" si="37"/>
        <v>OTHER</v>
      </c>
      <c r="I788" s="113" t="str">
        <f>INDEX('REGASSET Lookup'!$I:$I,MATCH('REGASSET Jun22data'!$A788,'REGASSET Lookup'!$A:$A,0))</f>
        <v>P</v>
      </c>
      <c r="J788" s="113" t="str">
        <f t="shared" si="38"/>
        <v>NO</v>
      </c>
      <c r="K788"/>
    </row>
    <row r="789" spans="1:11">
      <c r="A789" s="114" t="str">
        <f t="shared" si="36"/>
        <v>1823990OTHR REG ASSET-N CST187884Reg Asset - WY RRA CY2020OTHER</v>
      </c>
      <c r="B789" s="126" t="s">
        <v>2849</v>
      </c>
      <c r="C789" s="128" t="s">
        <v>1288</v>
      </c>
      <c r="D789" s="126" t="s">
        <v>2935</v>
      </c>
      <c r="E789" s="128" t="s">
        <v>1845</v>
      </c>
      <c r="F789" s="127" t="s">
        <v>306</v>
      </c>
      <c r="G789" s="136">
        <v>29.2777170833333</v>
      </c>
      <c r="H789" s="113" t="str">
        <f t="shared" si="37"/>
        <v>OTHER</v>
      </c>
      <c r="I789" s="113" t="str">
        <f>INDEX('REGASSET Lookup'!$I:$I,MATCH('REGASSET Jun22data'!$A789,'REGASSET Lookup'!$A:$A,0))</f>
        <v>P</v>
      </c>
      <c r="J789" s="113" t="str">
        <f t="shared" si="38"/>
        <v>NO</v>
      </c>
      <c r="K789"/>
    </row>
    <row r="790" spans="1:11">
      <c r="A790" s="114" t="str">
        <f t="shared" si="36"/>
        <v>1823990OTHR REG ASSET-N CST187885Reg Asset - WY RRA CY2021OTHER</v>
      </c>
      <c r="B790" s="126" t="s">
        <v>2849</v>
      </c>
      <c r="C790" s="128" t="s">
        <v>1288</v>
      </c>
      <c r="D790" s="126" t="s">
        <v>2936</v>
      </c>
      <c r="E790" s="128" t="s">
        <v>2937</v>
      </c>
      <c r="F790" s="127" t="s">
        <v>306</v>
      </c>
      <c r="G790" s="136">
        <v>-475.39283791666702</v>
      </c>
      <c r="H790" s="113" t="str">
        <f t="shared" si="37"/>
        <v>OTHER</v>
      </c>
      <c r="I790" s="113" t="str">
        <f>INDEX('REGASSET Lookup'!$I:$I,MATCH('REGASSET Jun22data'!$A790,'REGASSET Lookup'!$A:$A,0))</f>
        <v>P</v>
      </c>
      <c r="J790" s="113" t="str">
        <f t="shared" si="38"/>
        <v>NO</v>
      </c>
      <c r="K790"/>
    </row>
    <row r="791" spans="1:11">
      <c r="A791" s="114" t="str">
        <f t="shared" si="36"/>
        <v>1823990OTHR REG ASSET-N CST187886Reg Asset-OR RPS Compliance PurchasesOTHER</v>
      </c>
      <c r="B791" s="126" t="s">
        <v>2849</v>
      </c>
      <c r="C791" s="128" t="s">
        <v>1288</v>
      </c>
      <c r="D791" s="126" t="s">
        <v>2938</v>
      </c>
      <c r="E791" s="128" t="s">
        <v>1378</v>
      </c>
      <c r="F791" s="127" t="s">
        <v>306</v>
      </c>
      <c r="G791" s="136">
        <v>-273.01946750000002</v>
      </c>
      <c r="H791" s="113" t="str">
        <f t="shared" si="37"/>
        <v>OTHER</v>
      </c>
      <c r="I791" s="113" t="str">
        <f>INDEX('REGASSET Lookup'!$I:$I,MATCH('REGASSET Jun22data'!$A791,'REGASSET Lookup'!$A:$A,0))</f>
        <v>P</v>
      </c>
      <c r="J791" s="113" t="str">
        <f t="shared" si="38"/>
        <v>NO</v>
      </c>
      <c r="K791"/>
    </row>
    <row r="792" spans="1:11">
      <c r="A792" s="114" t="str">
        <f t="shared" si="36"/>
        <v>1823990OTHR REG ASSET-N CST187888RegA - WA RECs in Rates - Recl to CurrOTHER</v>
      </c>
      <c r="B792" s="126" t="s">
        <v>2849</v>
      </c>
      <c r="C792" s="128" t="s">
        <v>1288</v>
      </c>
      <c r="D792" s="126" t="s">
        <v>2939</v>
      </c>
      <c r="E792" s="128" t="s">
        <v>1379</v>
      </c>
      <c r="F792" s="127" t="s">
        <v>306</v>
      </c>
      <c r="G792" s="136">
        <v>-95.8333333333333</v>
      </c>
      <c r="H792" s="113" t="str">
        <f t="shared" si="37"/>
        <v>OTHER</v>
      </c>
      <c r="I792" s="113" t="str">
        <f>INDEX('REGASSET Lookup'!$I:$I,MATCH('REGASSET Jun22data'!$A792,'REGASSET Lookup'!$A:$A,0))</f>
        <v>P</v>
      </c>
      <c r="J792" s="113" t="str">
        <f t="shared" si="38"/>
        <v>NO</v>
      </c>
      <c r="K792"/>
    </row>
    <row r="793" spans="1:11">
      <c r="A793" s="114" t="str">
        <f t="shared" si="36"/>
        <v>1823990OTHR REG ASSET-N CST187895RegA - OR RECs in Rates - Balance ReclOTHER</v>
      </c>
      <c r="B793" s="126" t="s">
        <v>2849</v>
      </c>
      <c r="C793" s="128" t="s">
        <v>1288</v>
      </c>
      <c r="D793" s="126" t="s">
        <v>2940</v>
      </c>
      <c r="E793" s="128" t="s">
        <v>1382</v>
      </c>
      <c r="F793" s="127" t="s">
        <v>306</v>
      </c>
      <c r="G793" s="136">
        <v>273.01946750000002</v>
      </c>
      <c r="H793" s="113" t="str">
        <f t="shared" si="37"/>
        <v>OTHER</v>
      </c>
      <c r="I793" s="113" t="str">
        <f>INDEX('REGASSET Lookup'!$I:$I,MATCH('REGASSET Jun22data'!$A793,'REGASSET Lookup'!$A:$A,0))</f>
        <v>P</v>
      </c>
      <c r="J793" s="113" t="str">
        <f t="shared" si="38"/>
        <v>NO</v>
      </c>
      <c r="K793"/>
    </row>
    <row r="794" spans="1:11">
      <c r="A794" s="114" t="str">
        <f t="shared" si="36"/>
        <v>1823990OTHR REG ASSET-N CST187897RegA - UT RECs in Rates - Recl to LiabOTHER</v>
      </c>
      <c r="B794" s="126" t="s">
        <v>2849</v>
      </c>
      <c r="C794" s="128" t="s">
        <v>1288</v>
      </c>
      <c r="D794" s="126" t="s">
        <v>2941</v>
      </c>
      <c r="E794" s="128" t="s">
        <v>1384</v>
      </c>
      <c r="F794" s="127" t="s">
        <v>306</v>
      </c>
      <c r="G794" s="136">
        <v>1501.55833291667</v>
      </c>
      <c r="H794" s="113" t="str">
        <f t="shared" si="37"/>
        <v>OTHER</v>
      </c>
      <c r="I794" s="113" t="str">
        <f>INDEX('REGASSET Lookup'!$I:$I,MATCH('REGASSET Jun22data'!$A794,'REGASSET Lookup'!$A:$A,0))</f>
        <v>P</v>
      </c>
      <c r="J794" s="113" t="str">
        <f t="shared" si="38"/>
        <v>NO</v>
      </c>
      <c r="K794"/>
    </row>
    <row r="795" spans="1:11">
      <c r="A795" s="114" t="str">
        <f t="shared" si="36"/>
        <v>1823990OTHR REG ASSET-N CST187899RegA - WY RECs in Rates - Recl to LiabOTHER</v>
      </c>
      <c r="B795" s="126" t="s">
        <v>2849</v>
      </c>
      <c r="C795" s="128" t="s">
        <v>1288</v>
      </c>
      <c r="D795" s="126" t="s">
        <v>2942</v>
      </c>
      <c r="E795" s="128" t="s">
        <v>1386</v>
      </c>
      <c r="F795" s="127" t="s">
        <v>306</v>
      </c>
      <c r="G795" s="136">
        <v>554.67487666666705</v>
      </c>
      <c r="H795" s="113" t="str">
        <f t="shared" si="37"/>
        <v>OTHER</v>
      </c>
      <c r="I795" s="113" t="str">
        <f>INDEX('REGASSET Lookup'!$I:$I,MATCH('REGASSET Jun22data'!$A795,'REGASSET Lookup'!$A:$A,0))</f>
        <v>P</v>
      </c>
      <c r="J795" s="113" t="str">
        <f t="shared" si="38"/>
        <v>NO</v>
      </c>
      <c r="K795"/>
    </row>
    <row r="796" spans="1:11">
      <c r="A796" s="114" t="str">
        <f t="shared" si="36"/>
        <v>1823990OTHR REG ASSET-N CST187911REG ASSET - LAKE SIDE LIQ. DAMAGES - WYSITUS</v>
      </c>
      <c r="B796" s="126" t="s">
        <v>2849</v>
      </c>
      <c r="C796" s="128" t="s">
        <v>1288</v>
      </c>
      <c r="D796" s="126" t="s">
        <v>2943</v>
      </c>
      <c r="E796" s="128" t="s">
        <v>1387</v>
      </c>
      <c r="F796" s="127" t="s">
        <v>386</v>
      </c>
      <c r="G796" s="136">
        <v>703.76945000000001</v>
      </c>
      <c r="H796" s="113" t="str">
        <f t="shared" si="37"/>
        <v>SITUS</v>
      </c>
      <c r="I796" s="113" t="str">
        <f>INDEX('REGASSET Lookup'!$I:$I,MATCH('REGASSET Jun22data'!$A796,'REGASSET Lookup'!$A:$A,0))</f>
        <v>P</v>
      </c>
      <c r="J796" s="113" t="str">
        <f t="shared" si="38"/>
        <v>NO</v>
      </c>
      <c r="K796"/>
    </row>
    <row r="797" spans="1:11">
      <c r="A797" s="114" t="str">
        <f t="shared" si="36"/>
        <v>1823990OTHR REG ASSET-N CST187913Reg Asset - Goodnoe Hills Liq. Damages -SITUS</v>
      </c>
      <c r="B797" s="126" t="s">
        <v>2849</v>
      </c>
      <c r="C797" s="128" t="s">
        <v>1288</v>
      </c>
      <c r="D797" s="126" t="s">
        <v>2944</v>
      </c>
      <c r="E797" s="128" t="s">
        <v>1389</v>
      </c>
      <c r="F797" s="127" t="s">
        <v>386</v>
      </c>
      <c r="G797" s="136">
        <v>255.00000333333301</v>
      </c>
      <c r="H797" s="113" t="str">
        <f t="shared" si="37"/>
        <v>SITUS</v>
      </c>
      <c r="I797" s="113" t="str">
        <f>INDEX('REGASSET Lookup'!$I:$I,MATCH('REGASSET Jun22data'!$A797,'REGASSET Lookup'!$A:$A,0))</f>
        <v>P</v>
      </c>
      <c r="J797" s="113" t="str">
        <f t="shared" si="38"/>
        <v>NO</v>
      </c>
      <c r="K797"/>
    </row>
    <row r="798" spans="1:11">
      <c r="A798" s="114" t="str">
        <f t="shared" si="36"/>
        <v>1823990OTHR REG ASSET-N CST187914"Reg Asset-UT-Liq. Damages JB4, N1&amp;2"SITUS</v>
      </c>
      <c r="B798" s="126" t="s">
        <v>2849</v>
      </c>
      <c r="C798" s="128" t="s">
        <v>1288</v>
      </c>
      <c r="D798" s="126" t="s">
        <v>2945</v>
      </c>
      <c r="E798" s="128" t="s">
        <v>1390</v>
      </c>
      <c r="F798" s="127" t="s">
        <v>370</v>
      </c>
      <c r="G798" s="136">
        <v>419.99968000000001</v>
      </c>
      <c r="H798" s="113" t="str">
        <f t="shared" si="37"/>
        <v>SITUS</v>
      </c>
      <c r="I798" s="113" t="str">
        <f>INDEX('REGASSET Lookup'!$I:$I,MATCH('REGASSET Jun22data'!$A798,'REGASSET Lookup'!$A:$A,0))</f>
        <v>P</v>
      </c>
      <c r="J798" s="113" t="str">
        <f t="shared" si="38"/>
        <v>NO</v>
      </c>
      <c r="K798"/>
    </row>
    <row r="799" spans="1:11">
      <c r="A799" s="114" t="str">
        <f t="shared" si="36"/>
        <v>1823990OTHR REG ASSET-N CST187915Reg Asset-WY-Liq. Damages N2SITUS</v>
      </c>
      <c r="B799" s="126" t="s">
        <v>2849</v>
      </c>
      <c r="C799" s="128" t="s">
        <v>1288</v>
      </c>
      <c r="D799" s="126" t="s">
        <v>2946</v>
      </c>
      <c r="E799" s="128" t="s">
        <v>1391</v>
      </c>
      <c r="F799" s="127" t="s">
        <v>386</v>
      </c>
      <c r="G799" s="136">
        <v>68.491519999999994</v>
      </c>
      <c r="H799" s="113" t="str">
        <f t="shared" si="37"/>
        <v>SITUS</v>
      </c>
      <c r="I799" s="113" t="str">
        <f>INDEX('REGASSET Lookup'!$I:$I,MATCH('REGASSET Jun22data'!$A799,'REGASSET Lookup'!$A:$A,0))</f>
        <v>P</v>
      </c>
      <c r="J799" s="113" t="str">
        <f t="shared" si="38"/>
        <v>NO</v>
      </c>
      <c r="K799"/>
    </row>
    <row r="800" spans="1:11">
      <c r="A800" s="114" t="str">
        <f t="shared" si="36"/>
        <v>1823990OTHR REG ASSET-N CST187916Reg Asset-WY Wind Test Energy DeferralOTHER</v>
      </c>
      <c r="B800" s="126" t="s">
        <v>2849</v>
      </c>
      <c r="C800" s="128" t="s">
        <v>1288</v>
      </c>
      <c r="D800" s="126" t="s">
        <v>2947</v>
      </c>
      <c r="E800" s="128" t="s">
        <v>2088</v>
      </c>
      <c r="F800" s="127" t="s">
        <v>306</v>
      </c>
      <c r="G800" s="136">
        <v>137.24203041666701</v>
      </c>
      <c r="H800" s="113" t="str">
        <f t="shared" si="37"/>
        <v>OTHER</v>
      </c>
      <c r="I800" s="113" t="str">
        <f>INDEX('REGASSET Lookup'!$I:$I,MATCH('REGASSET Jun22data'!$A800,'REGASSET Lookup'!$A:$A,0))</f>
        <v>P</v>
      </c>
      <c r="J800" s="113" t="str">
        <f t="shared" si="38"/>
        <v>NO</v>
      </c>
      <c r="K800"/>
    </row>
    <row r="801" spans="1:11">
      <c r="A801" s="114" t="str">
        <f t="shared" si="36"/>
        <v>1823990OTHR REG ASSET-N CST187952DEFERRED INTERVENEROTHER</v>
      </c>
      <c r="B801" s="126" t="s">
        <v>2849</v>
      </c>
      <c r="C801" s="128" t="s">
        <v>1288</v>
      </c>
      <c r="D801" s="126" t="s">
        <v>2948</v>
      </c>
      <c r="E801" s="128" t="s">
        <v>1392</v>
      </c>
      <c r="F801" s="127" t="s">
        <v>306</v>
      </c>
      <c r="G801" s="136">
        <v>0.40699999999999997</v>
      </c>
      <c r="H801" s="113" t="str">
        <f t="shared" si="37"/>
        <v>OTHER</v>
      </c>
      <c r="I801" s="113" t="str">
        <f>INDEX('REGASSET Lookup'!$I:$I,MATCH('REGASSET Jun22data'!$A801,'REGASSET Lookup'!$A:$A,0))</f>
        <v>PTD</v>
      </c>
      <c r="J801" s="113" t="str">
        <f t="shared" si="38"/>
        <v>NO</v>
      </c>
      <c r="K801"/>
    </row>
    <row r="802" spans="1:11">
      <c r="A802" s="114" t="str">
        <f t="shared" si="36"/>
        <v>1823990OTHR REG ASSET-N CST187956CA DEFERRED INTERVENOR FUNDINGOTHER</v>
      </c>
      <c r="B802" s="126" t="s">
        <v>2849</v>
      </c>
      <c r="C802" s="128" t="s">
        <v>1288</v>
      </c>
      <c r="D802" s="126" t="s">
        <v>2949</v>
      </c>
      <c r="E802" s="128" t="s">
        <v>1393</v>
      </c>
      <c r="F802" s="127" t="s">
        <v>306</v>
      </c>
      <c r="G802" s="136">
        <v>342.94121791666697</v>
      </c>
      <c r="H802" s="113" t="str">
        <f t="shared" si="37"/>
        <v>OTHER</v>
      </c>
      <c r="I802" s="113" t="str">
        <f>INDEX('REGASSET Lookup'!$I:$I,MATCH('REGASSET Jun22data'!$A802,'REGASSET Lookup'!$A:$A,0))</f>
        <v>DMSC</v>
      </c>
      <c r="J802" s="113" t="str">
        <f t="shared" si="38"/>
        <v>NO</v>
      </c>
      <c r="K802"/>
    </row>
    <row r="803" spans="1:11">
      <c r="A803" s="114" t="str">
        <f t="shared" si="36"/>
        <v>1823990OTHR REG ASSET-N CST187957DEFERRED OR INDEPENDENT EVALUATOR FEESOTHER</v>
      </c>
      <c r="B803" s="126" t="s">
        <v>2849</v>
      </c>
      <c r="C803" s="128" t="s">
        <v>1288</v>
      </c>
      <c r="D803" s="126" t="s">
        <v>2950</v>
      </c>
      <c r="E803" s="128" t="s">
        <v>1447</v>
      </c>
      <c r="F803" s="127" t="s">
        <v>306</v>
      </c>
      <c r="G803" s="136">
        <v>38.550797916666703</v>
      </c>
      <c r="H803" s="113" t="str">
        <f t="shared" si="37"/>
        <v>OTHER</v>
      </c>
      <c r="I803" s="113" t="str">
        <f>INDEX('REGASSET Lookup'!$I:$I,MATCH('REGASSET Jun22data'!$A803,'REGASSET Lookup'!$A:$A,0))</f>
        <v>DMSC</v>
      </c>
      <c r="J803" s="113" t="str">
        <f t="shared" si="38"/>
        <v>NO</v>
      </c>
      <c r="K803"/>
    </row>
    <row r="804" spans="1:11">
      <c r="A804" s="114" t="str">
        <f t="shared" si="36"/>
        <v>1823990OTHR REG ASSET-N CST187958ID Deferred Intervenor FundingSITUS</v>
      </c>
      <c r="B804" s="126" t="s">
        <v>2849</v>
      </c>
      <c r="C804" s="128" t="s">
        <v>1288</v>
      </c>
      <c r="D804" s="126" t="s">
        <v>2951</v>
      </c>
      <c r="E804" s="128" t="s">
        <v>1394</v>
      </c>
      <c r="F804" s="127" t="s">
        <v>372</v>
      </c>
      <c r="G804" s="136">
        <v>65.701913750000003</v>
      </c>
      <c r="H804" s="113" t="str">
        <f t="shared" si="37"/>
        <v>SITUS</v>
      </c>
      <c r="I804" s="113" t="str">
        <f>INDEX('REGASSET Lookup'!$I:$I,MATCH('REGASSET Jun22data'!$A804,'REGASSET Lookup'!$A:$A,0))</f>
        <v>DMSC</v>
      </c>
      <c r="J804" s="113" t="str">
        <f t="shared" si="38"/>
        <v>NO</v>
      </c>
      <c r="K804"/>
    </row>
    <row r="805" spans="1:11">
      <c r="A805" s="114" t="str">
        <f t="shared" si="36"/>
        <v>1823990OTHR REG ASSET-N CST187964RegA - Intervenor Fees - Recl to LiabOTHER</v>
      </c>
      <c r="B805" s="126" t="s">
        <v>2849</v>
      </c>
      <c r="C805" s="128" t="s">
        <v>1288</v>
      </c>
      <c r="D805" s="126" t="s">
        <v>2952</v>
      </c>
      <c r="E805" s="128" t="s">
        <v>1448</v>
      </c>
      <c r="F805" s="127" t="s">
        <v>306</v>
      </c>
      <c r="G805" s="136">
        <v>383.40224875000001</v>
      </c>
      <c r="H805" s="113" t="str">
        <f t="shared" si="37"/>
        <v>OTHER</v>
      </c>
      <c r="I805" s="113" t="str">
        <f>INDEX('REGASSET Lookup'!$I:$I,MATCH('REGASSET Jun22data'!$A805,'REGASSET Lookup'!$A:$A,0))</f>
        <v>DMSC</v>
      </c>
      <c r="J805" s="113" t="str">
        <f t="shared" si="38"/>
        <v>NO</v>
      </c>
      <c r="K805"/>
    </row>
    <row r="806" spans="1:11">
      <c r="A806" s="114" t="str">
        <f t="shared" si="36"/>
        <v>1823990OTHR REG ASSET-N CST187966RegA - CA (CARE) Program - Recl to LiabOTHER</v>
      </c>
      <c r="B806" s="126" t="s">
        <v>2849</v>
      </c>
      <c r="C806" s="128" t="s">
        <v>1288</v>
      </c>
      <c r="D806" s="126" t="s">
        <v>2953</v>
      </c>
      <c r="E806" s="128" t="s">
        <v>1449</v>
      </c>
      <c r="F806" s="127" t="s">
        <v>306</v>
      </c>
      <c r="G806" s="136">
        <v>489.69667041666702</v>
      </c>
      <c r="H806" s="113" t="str">
        <f t="shared" si="37"/>
        <v>OTHER</v>
      </c>
      <c r="I806" s="113" t="str">
        <f>INDEX('REGASSET Lookup'!$I:$I,MATCH('REGASSET Jun22data'!$A806,'REGASSET Lookup'!$A:$A,0))</f>
        <v>P</v>
      </c>
      <c r="J806" s="113" t="str">
        <f t="shared" si="38"/>
        <v>NO</v>
      </c>
      <c r="K806"/>
    </row>
    <row r="807" spans="1:11">
      <c r="A807" s="114" t="str">
        <f t="shared" si="36"/>
        <v>1823990OTHR REG ASSET-N CST187967RegA - OR Asset Sale Gain-Balance ReclOTHER</v>
      </c>
      <c r="B807" s="126" t="s">
        <v>2849</v>
      </c>
      <c r="C807" s="128" t="s">
        <v>1288</v>
      </c>
      <c r="D807" s="126" t="s">
        <v>2954</v>
      </c>
      <c r="E807" s="128" t="s">
        <v>1395</v>
      </c>
      <c r="F807" s="127" t="s">
        <v>306</v>
      </c>
      <c r="G807" s="136">
        <v>2185.7427954166701</v>
      </c>
      <c r="H807" s="113" t="str">
        <f t="shared" si="37"/>
        <v>OTHER</v>
      </c>
      <c r="I807" s="113" t="str">
        <f>INDEX('REGASSET Lookup'!$I:$I,MATCH('REGASSET Jun22data'!$A807,'REGASSET Lookup'!$A:$A,0))</f>
        <v>P</v>
      </c>
      <c r="J807" s="113" t="str">
        <f t="shared" si="38"/>
        <v>NO</v>
      </c>
      <c r="K807"/>
    </row>
    <row r="808" spans="1:11">
      <c r="A808" s="114" t="str">
        <f t="shared" si="36"/>
        <v>1823990OTHR REG ASSET-N CST187968Reg A - Insurance Reserves - ReclassOTHER</v>
      </c>
      <c r="B808" s="126" t="s">
        <v>2849</v>
      </c>
      <c r="C808" s="128" t="s">
        <v>1288</v>
      </c>
      <c r="D808" s="126" t="s">
        <v>2955</v>
      </c>
      <c r="E808" s="128" t="s">
        <v>1396</v>
      </c>
      <c r="F808" s="127" t="s">
        <v>306</v>
      </c>
      <c r="G808" s="136">
        <v>23768.012460833299</v>
      </c>
      <c r="H808" s="113" t="str">
        <f t="shared" si="37"/>
        <v>OTHER</v>
      </c>
      <c r="I808" s="113" t="str">
        <f>INDEX('REGASSET Lookup'!$I:$I,MATCH('REGASSET Jun22data'!$A808,'REGASSET Lookup'!$A:$A,0))</f>
        <v>LABOR</v>
      </c>
      <c r="J808" s="113" t="str">
        <f t="shared" si="38"/>
        <v>NO</v>
      </c>
      <c r="K808"/>
    </row>
    <row r="809" spans="1:11">
      <c r="A809" s="114" t="str">
        <f t="shared" si="36"/>
        <v>1823990OTHR REG ASSET-N CST187975Reg Asset - CA ECACOTHER</v>
      </c>
      <c r="B809" s="126" t="s">
        <v>2849</v>
      </c>
      <c r="C809" s="128" t="s">
        <v>1288</v>
      </c>
      <c r="D809" s="126" t="s">
        <v>2956</v>
      </c>
      <c r="E809" s="128" t="s">
        <v>1399</v>
      </c>
      <c r="F809" s="127" t="s">
        <v>306</v>
      </c>
      <c r="G809" s="136">
        <v>-2256.2796499999999</v>
      </c>
      <c r="H809" s="113" t="str">
        <f t="shared" si="37"/>
        <v>OTHER</v>
      </c>
      <c r="I809" s="113" t="str">
        <f>INDEX('REGASSET Lookup'!$I:$I,MATCH('REGASSET Jun22data'!$A809,'REGASSET Lookup'!$A:$A,0))</f>
        <v>P</v>
      </c>
      <c r="J809" s="113" t="str">
        <f t="shared" si="38"/>
        <v>NO</v>
      </c>
      <c r="K809"/>
    </row>
    <row r="810" spans="1:11">
      <c r="A810" s="114" t="str">
        <f t="shared" si="36"/>
        <v>1823990OTHR REG ASSET-N CST187979Contra Reg Asset - CA ECAC CY2018OTHER</v>
      </c>
      <c r="B810" s="126" t="s">
        <v>2849</v>
      </c>
      <c r="C810" s="128" t="s">
        <v>1288</v>
      </c>
      <c r="D810" s="126" t="s">
        <v>2957</v>
      </c>
      <c r="E810" s="128" t="s">
        <v>1741</v>
      </c>
      <c r="F810" s="127" t="s">
        <v>306</v>
      </c>
      <c r="G810" s="136">
        <v>-150.717553333333</v>
      </c>
      <c r="H810" s="113" t="str">
        <f t="shared" si="37"/>
        <v>OTHER</v>
      </c>
      <c r="I810" s="113" t="str">
        <f>INDEX('REGASSET Lookup'!$I:$I,MATCH('REGASSET Jun22data'!$A810,'REGASSET Lookup'!$A:$A,0))</f>
        <v>P</v>
      </c>
      <c r="J810" s="113" t="str">
        <f t="shared" si="38"/>
        <v>NO</v>
      </c>
      <c r="K810"/>
    </row>
    <row r="811" spans="1:11">
      <c r="A811" s="114" t="str">
        <f t="shared" si="36"/>
        <v>1823990OTHR REG ASSET-N CST187989Reg Asset - OR PCAM FY2021OTHER</v>
      </c>
      <c r="B811" s="126" t="s">
        <v>2849</v>
      </c>
      <c r="C811" s="128" t="s">
        <v>1288</v>
      </c>
      <c r="D811" s="126" t="s">
        <v>2958</v>
      </c>
      <c r="E811" s="128" t="s">
        <v>2959</v>
      </c>
      <c r="F811" s="127" t="s">
        <v>306</v>
      </c>
      <c r="G811" s="136">
        <v>24225.797152083302</v>
      </c>
      <c r="H811" s="113" t="str">
        <f t="shared" si="37"/>
        <v>OTHER</v>
      </c>
      <c r="I811" s="113" t="str">
        <f>INDEX('REGASSET Lookup'!$I:$I,MATCH('REGASSET Jun22data'!$A811,'REGASSET Lookup'!$A:$A,0))</f>
        <v>P</v>
      </c>
      <c r="J811" s="113" t="str">
        <f t="shared" si="38"/>
        <v>NO</v>
      </c>
      <c r="K811"/>
    </row>
    <row r="812" spans="1:11">
      <c r="A812" s="114" t="str">
        <f t="shared" si="36"/>
        <v>1823990OTHR REG ASSET-N CST187990Contra Reg Asset - OR PCAM FY2021OTHER</v>
      </c>
      <c r="B812" s="126" t="s">
        <v>2849</v>
      </c>
      <c r="C812" s="128" t="s">
        <v>1288</v>
      </c>
      <c r="D812" s="126" t="s">
        <v>2960</v>
      </c>
      <c r="E812" s="128" t="s">
        <v>2961</v>
      </c>
      <c r="F812" s="127" t="s">
        <v>306</v>
      </c>
      <c r="G812" s="136">
        <v>-24225.797152083302</v>
      </c>
      <c r="H812" s="113" t="str">
        <f t="shared" si="37"/>
        <v>OTHER</v>
      </c>
      <c r="I812" s="113" t="str">
        <f>INDEX('REGASSET Lookup'!$I:$I,MATCH('REGASSET Jun22data'!$A812,'REGASSET Lookup'!$A:$A,0))</f>
        <v>P</v>
      </c>
      <c r="J812" s="113" t="str">
        <f t="shared" si="38"/>
        <v>NO</v>
      </c>
      <c r="K812"/>
    </row>
    <row r="813" spans="1:11">
      <c r="A813" s="114" t="str">
        <f t="shared" si="36"/>
        <v>1823990OTHR REG ASSET-N CST189001RegA-CA Fire Risk Mitigation (FRMMA)OTHER</v>
      </c>
      <c r="B813" s="126" t="s">
        <v>2849</v>
      </c>
      <c r="C813" s="128" t="s">
        <v>1288</v>
      </c>
      <c r="D813" s="126" t="s">
        <v>2962</v>
      </c>
      <c r="E813" s="128" t="s">
        <v>1846</v>
      </c>
      <c r="F813" s="127" t="s">
        <v>306</v>
      </c>
      <c r="G813" s="136">
        <v>75.906320416666702</v>
      </c>
      <c r="H813" s="113" t="str">
        <f t="shared" si="37"/>
        <v>OTHER</v>
      </c>
      <c r="I813" s="113" t="str">
        <f>INDEX('REGASSET Lookup'!$I:$I,MATCH('REGASSET Jun22data'!$A813,'REGASSET Lookup'!$A:$A,0))</f>
        <v>P</v>
      </c>
      <c r="J813" s="113" t="str">
        <f t="shared" si="38"/>
        <v>NO</v>
      </c>
      <c r="K813"/>
    </row>
    <row r="814" spans="1:11">
      <c r="A814" s="114" t="str">
        <f t="shared" si="36"/>
        <v>1823990OTHR REG ASSET-N CST189002RegA-CA Wildfire Mitigation Plan(WMPMA)OTHER</v>
      </c>
      <c r="B814" s="126" t="s">
        <v>2849</v>
      </c>
      <c r="C814" s="128" t="s">
        <v>1288</v>
      </c>
      <c r="D814" s="126" t="s">
        <v>2963</v>
      </c>
      <c r="E814" s="128" t="s">
        <v>1847</v>
      </c>
      <c r="F814" s="127" t="s">
        <v>306</v>
      </c>
      <c r="G814" s="136">
        <v>20458.601175</v>
      </c>
      <c r="H814" s="113" t="str">
        <f t="shared" si="37"/>
        <v>OTHER</v>
      </c>
      <c r="I814" s="113" t="str">
        <f>INDEX('REGASSET Lookup'!$I:$I,MATCH('REGASSET Jun22data'!$A814,'REGASSET Lookup'!$A:$A,0))</f>
        <v>P</v>
      </c>
      <c r="J814" s="113" t="str">
        <f t="shared" si="38"/>
        <v>NO</v>
      </c>
      <c r="K814"/>
    </row>
    <row r="815" spans="1:11">
      <c r="A815" s="114" t="str">
        <f t="shared" si="36"/>
        <v>1823990OTHR REG ASSET-N CST189003Contra RegA-CA Fire/Wildlife MitigationOTHER</v>
      </c>
      <c r="B815" s="126" t="s">
        <v>2849</v>
      </c>
      <c r="C815" s="128" t="s">
        <v>1288</v>
      </c>
      <c r="D815" s="126" t="s">
        <v>2964</v>
      </c>
      <c r="E815" s="128" t="s">
        <v>1848</v>
      </c>
      <c r="F815" s="127" t="s">
        <v>306</v>
      </c>
      <c r="G815" s="136">
        <v>-1180.79961</v>
      </c>
      <c r="H815" s="113" t="str">
        <f t="shared" si="37"/>
        <v>OTHER</v>
      </c>
      <c r="I815" s="113" t="str">
        <f>INDEX('REGASSET Lookup'!$I:$I,MATCH('REGASSET Jun22data'!$A815,'REGASSET Lookup'!$A:$A,0))</f>
        <v>P</v>
      </c>
      <c r="J815" s="113" t="str">
        <f t="shared" si="38"/>
        <v>NO</v>
      </c>
      <c r="K815"/>
    </row>
    <row r="816" spans="1:11">
      <c r="A816" s="114" t="str">
        <f t="shared" si="36"/>
        <v>1823990OTHR REG ASSET-N CST189004RegA-CA Fire Hazard Prevention (FHPMA)OTHER</v>
      </c>
      <c r="B816" s="126" t="s">
        <v>2849</v>
      </c>
      <c r="C816" s="128" t="s">
        <v>1288</v>
      </c>
      <c r="D816" s="126" t="s">
        <v>2965</v>
      </c>
      <c r="E816" s="128" t="s">
        <v>1849</v>
      </c>
      <c r="F816" s="127" t="s">
        <v>306</v>
      </c>
      <c r="G816" s="136">
        <v>3159.23491458333</v>
      </c>
      <c r="H816" s="113" t="str">
        <f t="shared" si="37"/>
        <v>OTHER</v>
      </c>
      <c r="I816" s="113" t="str">
        <f>INDEX('REGASSET Lookup'!$I:$I,MATCH('REGASSET Jun22data'!$A816,'REGASSET Lookup'!$A:$A,0))</f>
        <v>P</v>
      </c>
      <c r="J816" s="113" t="str">
        <f t="shared" si="38"/>
        <v>NO</v>
      </c>
      <c r="K816"/>
    </row>
    <row r="817" spans="1:11">
      <c r="A817" s="114" t="str">
        <f t="shared" si="36"/>
        <v>1823990OTHR REG ASSET-N CST189005RegA-CA Wildfire/Natl Disaster (WNDRR)OTHER</v>
      </c>
      <c r="B817" s="126" t="s">
        <v>2849</v>
      </c>
      <c r="C817" s="128" t="s">
        <v>1288</v>
      </c>
      <c r="D817" s="126" t="s">
        <v>3401</v>
      </c>
      <c r="E817" s="128" t="s">
        <v>3402</v>
      </c>
      <c r="F817" s="127" t="s">
        <v>306</v>
      </c>
      <c r="G817" s="136">
        <v>30.284624999999998</v>
      </c>
      <c r="H817" s="113" t="str">
        <f t="shared" si="37"/>
        <v>OTHER</v>
      </c>
      <c r="I817" s="113" t="str">
        <f>INDEX('REGASSET Lookup'!$I:$I,MATCH('REGASSET Jun22data'!$A817,'REGASSET Lookup'!$A:$A,0))</f>
        <v>DPW</v>
      </c>
      <c r="J817" s="113" t="str">
        <f t="shared" si="38"/>
        <v>NO</v>
      </c>
      <c r="K817"/>
    </row>
    <row r="818" spans="1:11">
      <c r="A818" s="114" t="str">
        <f t="shared" si="36"/>
        <v>1823990OTHR REG ASSET-N CST189011Reg Asset-UT Wildland Fire ProtectionOTHER</v>
      </c>
      <c r="B818" s="126" t="s">
        <v>2849</v>
      </c>
      <c r="C818" s="128" t="s">
        <v>1288</v>
      </c>
      <c r="D818" s="126" t="s">
        <v>2966</v>
      </c>
      <c r="E818" s="128" t="s">
        <v>2046</v>
      </c>
      <c r="F818" s="127" t="s">
        <v>306</v>
      </c>
      <c r="G818" s="136">
        <v>-1177.74460916667</v>
      </c>
      <c r="H818" s="113" t="str">
        <f t="shared" si="37"/>
        <v>OTHER</v>
      </c>
      <c r="I818" s="113" t="str">
        <f>INDEX('REGASSET Lookup'!$I:$I,MATCH('REGASSET Jun22data'!$A818,'REGASSET Lookup'!$A:$A,0))</f>
        <v>DPW</v>
      </c>
      <c r="J818" s="113" t="str">
        <f t="shared" si="38"/>
        <v>NO</v>
      </c>
      <c r="K818"/>
    </row>
    <row r="819" spans="1:11">
      <c r="A819" s="114" t="str">
        <f t="shared" si="36"/>
        <v>1823990OTHR REG ASSET-N CST189016Reg Asset-OR Wildfire Mitigation AcctOTHER</v>
      </c>
      <c r="B819" s="126" t="s">
        <v>2849</v>
      </c>
      <c r="C819" s="128" t="s">
        <v>1288</v>
      </c>
      <c r="D819" s="126" t="s">
        <v>3403</v>
      </c>
      <c r="E819" s="128" t="s">
        <v>3404</v>
      </c>
      <c r="F819" s="127" t="s">
        <v>306</v>
      </c>
      <c r="G819" s="136">
        <v>1878.97224333333</v>
      </c>
      <c r="H819" s="113" t="str">
        <f t="shared" si="37"/>
        <v>OTHER</v>
      </c>
      <c r="I819" s="113" t="str">
        <f>INDEX('REGASSET Lookup'!$I:$I,MATCH('REGASSET Jun22data'!$A819,'REGASSET Lookup'!$A:$A,0))</f>
        <v>DPW</v>
      </c>
      <c r="J819" s="113" t="str">
        <f t="shared" si="38"/>
        <v>NO</v>
      </c>
      <c r="K819"/>
    </row>
    <row r="820" spans="1:11">
      <c r="A820" s="114" t="str">
        <f t="shared" si="36"/>
        <v>1823990OTHR REG ASSET-N CST189017RegA-OR Wildfire – Damaged Asset NBVSITUS</v>
      </c>
      <c r="B820" s="126" t="s">
        <v>2849</v>
      </c>
      <c r="C820" s="128" t="s">
        <v>1288</v>
      </c>
      <c r="D820" s="126" t="s">
        <v>3405</v>
      </c>
      <c r="E820" s="128" t="s">
        <v>3406</v>
      </c>
      <c r="F820" s="127" t="s">
        <v>343</v>
      </c>
      <c r="G820" s="136">
        <v>78.695084583333298</v>
      </c>
      <c r="H820" s="113" t="str">
        <f t="shared" si="37"/>
        <v>SITUS</v>
      </c>
      <c r="I820" s="113" t="str">
        <f>INDEX('REGASSET Lookup'!$I:$I,MATCH('REGASSET Jun22data'!$A820,'REGASSET Lookup'!$A:$A,0))</f>
        <v>DPW</v>
      </c>
      <c r="J820" s="113" t="str">
        <f t="shared" si="38"/>
        <v>NO</v>
      </c>
      <c r="K820"/>
    </row>
    <row r="821" spans="1:11">
      <c r="A821" s="114" t="str">
        <f t="shared" si="36"/>
        <v>1823990OTHR REG ASSET-N CST189020Contra RegA-OR Wildfire MitigationOTHER</v>
      </c>
      <c r="B821" s="126" t="s">
        <v>2849</v>
      </c>
      <c r="C821" s="128" t="s">
        <v>1288</v>
      </c>
      <c r="D821" s="126" t="s">
        <v>3407</v>
      </c>
      <c r="E821" s="128" t="s">
        <v>3408</v>
      </c>
      <c r="F821" s="127" t="s">
        <v>306</v>
      </c>
      <c r="G821" s="136">
        <v>-94.156394166666701</v>
      </c>
      <c r="H821" s="113" t="str">
        <f t="shared" si="37"/>
        <v>OTHER</v>
      </c>
      <c r="I821" s="113" t="str">
        <f>INDEX('REGASSET Lookup'!$I:$I,MATCH('REGASSET Jun22data'!$A821,'REGASSET Lookup'!$A:$A,0))</f>
        <v>DPW</v>
      </c>
      <c r="J821" s="113" t="str">
        <f t="shared" si="38"/>
        <v>NO</v>
      </c>
      <c r="K821"/>
    </row>
    <row r="822" spans="1:11">
      <c r="A822" s="114" t="str">
        <f t="shared" si="36"/>
        <v>1823990OTHR REG ASSET-N CST189028RegA-Wildland Fire Mitigat-Recl to LiabOTHER</v>
      </c>
      <c r="B822" s="126" t="s">
        <v>2849</v>
      </c>
      <c r="C822" s="128" t="s">
        <v>1288</v>
      </c>
      <c r="D822" s="126" t="s">
        <v>2967</v>
      </c>
      <c r="E822" s="128" t="s">
        <v>2968</v>
      </c>
      <c r="F822" s="127" t="s">
        <v>306</v>
      </c>
      <c r="G822" s="136">
        <v>1177.74460916667</v>
      </c>
      <c r="H822" s="113" t="str">
        <f t="shared" si="37"/>
        <v>OTHER</v>
      </c>
      <c r="I822" s="113" t="str">
        <f>INDEX('REGASSET Lookup'!$I:$I,MATCH('REGASSET Jun22data'!$A822,'REGASSET Lookup'!$A:$A,0))</f>
        <v>DPW</v>
      </c>
      <c r="J822" s="113" t="str">
        <f t="shared" si="38"/>
        <v>NO</v>
      </c>
      <c r="K822"/>
    </row>
    <row r="823" spans="1:11">
      <c r="A823" s="114" t="str">
        <f t="shared" si="36"/>
        <v>1823990OTHR REG ASSET-N CST189500Reg Asset - CA ECAC CY2019OTHER</v>
      </c>
      <c r="B823" s="126" t="s">
        <v>2849</v>
      </c>
      <c r="C823" s="128" t="s">
        <v>1288</v>
      </c>
      <c r="D823" s="126" t="s">
        <v>2969</v>
      </c>
      <c r="E823" s="128" t="s">
        <v>1742</v>
      </c>
      <c r="F823" s="127" t="s">
        <v>306</v>
      </c>
      <c r="G823" s="136">
        <v>690.01327041666696</v>
      </c>
      <c r="H823" s="113" t="str">
        <f t="shared" si="37"/>
        <v>OTHER</v>
      </c>
      <c r="I823" s="113" t="str">
        <f>INDEX('REGASSET Lookup'!$I:$I,MATCH('REGASSET Jun22data'!$A823,'REGASSET Lookup'!$A:$A,0))</f>
        <v>P</v>
      </c>
      <c r="J823" s="113" t="str">
        <f t="shared" si="38"/>
        <v>NO</v>
      </c>
      <c r="K823"/>
    </row>
    <row r="824" spans="1:11">
      <c r="A824" s="114" t="str">
        <f t="shared" si="36"/>
        <v>1823990OTHR REG ASSET-N CST189501Contra Reg Asset - CA ECAC CY2019OTHER</v>
      </c>
      <c r="B824" s="126" t="s">
        <v>2849</v>
      </c>
      <c r="C824" s="128" t="s">
        <v>1288</v>
      </c>
      <c r="D824" s="126" t="s">
        <v>2970</v>
      </c>
      <c r="E824" s="128" t="s">
        <v>1743</v>
      </c>
      <c r="F824" s="127" t="s">
        <v>306</v>
      </c>
      <c r="G824" s="136">
        <v>-74.023239166666698</v>
      </c>
      <c r="H824" s="113" t="str">
        <f t="shared" si="37"/>
        <v>OTHER</v>
      </c>
      <c r="I824" s="113" t="str">
        <f>INDEX('REGASSET Lookup'!$I:$I,MATCH('REGASSET Jun22data'!$A824,'REGASSET Lookup'!$A:$A,0))</f>
        <v>P</v>
      </c>
      <c r="J824" s="113" t="str">
        <f t="shared" si="38"/>
        <v>NO</v>
      </c>
      <c r="K824"/>
    </row>
    <row r="825" spans="1:11">
      <c r="A825" s="114" t="str">
        <f t="shared" si="36"/>
        <v>1823990OTHR REG ASSET-N CST189502Reg Asset - CA ECAC CY2020OTHER</v>
      </c>
      <c r="B825" s="126" t="s">
        <v>2849</v>
      </c>
      <c r="C825" s="128" t="s">
        <v>1288</v>
      </c>
      <c r="D825" s="126" t="s">
        <v>2971</v>
      </c>
      <c r="E825" s="128" t="s">
        <v>1775</v>
      </c>
      <c r="F825" s="127" t="s">
        <v>306</v>
      </c>
      <c r="G825" s="136">
        <v>162.02910083333299</v>
      </c>
      <c r="H825" s="113" t="str">
        <f t="shared" si="37"/>
        <v>OTHER</v>
      </c>
      <c r="I825" s="113" t="str">
        <f>INDEX('REGASSET Lookup'!$I:$I,MATCH('REGASSET Jun22data'!$A825,'REGASSET Lookup'!$A:$A,0))</f>
        <v>P</v>
      </c>
      <c r="J825" s="113" t="str">
        <f t="shared" si="38"/>
        <v>NO</v>
      </c>
      <c r="K825"/>
    </row>
    <row r="826" spans="1:11">
      <c r="A826" s="114" t="str">
        <f t="shared" si="36"/>
        <v>1823990OTHR REG ASSET-N CST189503Contra Reg Asset - CA ECAC CY2020OTHER</v>
      </c>
      <c r="B826" s="126" t="s">
        <v>2849</v>
      </c>
      <c r="C826" s="128" t="s">
        <v>1288</v>
      </c>
      <c r="D826" s="126" t="s">
        <v>2972</v>
      </c>
      <c r="E826" s="128" t="s">
        <v>1776</v>
      </c>
      <c r="F826" s="127" t="s">
        <v>306</v>
      </c>
      <c r="G826" s="136">
        <v>-26.967713750000001</v>
      </c>
      <c r="H826" s="113" t="str">
        <f t="shared" si="37"/>
        <v>OTHER</v>
      </c>
      <c r="I826" s="113" t="str">
        <f>INDEX('REGASSET Lookup'!$I:$I,MATCH('REGASSET Jun22data'!$A826,'REGASSET Lookup'!$A:$A,0))</f>
        <v>P</v>
      </c>
      <c r="J826" s="113" t="str">
        <f t="shared" si="38"/>
        <v>NO</v>
      </c>
      <c r="K826"/>
    </row>
    <row r="827" spans="1:11">
      <c r="A827" s="114" t="str">
        <f t="shared" si="36"/>
        <v>1823990OTHR REG ASSET-N CST189504Reg Asset - CA ECAC CY2021OTHER</v>
      </c>
      <c r="B827" s="126" t="s">
        <v>2849</v>
      </c>
      <c r="C827" s="128" t="s">
        <v>1288</v>
      </c>
      <c r="D827" s="126" t="s">
        <v>2973</v>
      </c>
      <c r="E827" s="128" t="s">
        <v>1777</v>
      </c>
      <c r="F827" s="127" t="s">
        <v>306</v>
      </c>
      <c r="G827" s="136">
        <v>849.58918625000001</v>
      </c>
      <c r="H827" s="113" t="str">
        <f t="shared" si="37"/>
        <v>OTHER</v>
      </c>
      <c r="I827" s="113" t="str">
        <f>INDEX('REGASSET Lookup'!$I:$I,MATCH('REGASSET Jun22data'!$A827,'REGASSET Lookup'!$A:$A,0))</f>
        <v>P</v>
      </c>
      <c r="J827" s="113" t="str">
        <f t="shared" si="38"/>
        <v>NO</v>
      </c>
      <c r="K827"/>
    </row>
    <row r="828" spans="1:11">
      <c r="A828" s="114" t="str">
        <f t="shared" si="36"/>
        <v>1823990OTHR REG ASSET-N CST189505Contra Reg Asset - CA ECAC CY2021OTHER</v>
      </c>
      <c r="B828" s="126" t="s">
        <v>2849</v>
      </c>
      <c r="C828" s="128" t="s">
        <v>1288</v>
      </c>
      <c r="D828" s="126" t="s">
        <v>2974</v>
      </c>
      <c r="E828" s="128" t="s">
        <v>1778</v>
      </c>
      <c r="F828" s="127" t="s">
        <v>306</v>
      </c>
      <c r="G828" s="136">
        <v>-214.58977375000001</v>
      </c>
      <c r="H828" s="113" t="str">
        <f t="shared" si="37"/>
        <v>OTHER</v>
      </c>
      <c r="I828" s="113" t="str">
        <f>INDEX('REGASSET Lookup'!$I:$I,MATCH('REGASSET Jun22data'!$A828,'REGASSET Lookup'!$A:$A,0))</f>
        <v>P</v>
      </c>
      <c r="J828" s="113" t="str">
        <f t="shared" si="38"/>
        <v>NO</v>
      </c>
      <c r="K828"/>
    </row>
    <row r="829" spans="1:11">
      <c r="A829" s="114" t="str">
        <f t="shared" si="36"/>
        <v>1823990OTHR REG ASSET-N CST189506Reg Asset - CA ECAC CY2022OTHER</v>
      </c>
      <c r="B829" s="126" t="s">
        <v>2849</v>
      </c>
      <c r="C829" s="128" t="s">
        <v>1288</v>
      </c>
      <c r="D829" s="126" t="s">
        <v>2975</v>
      </c>
      <c r="E829" s="128" t="s">
        <v>1850</v>
      </c>
      <c r="F829" s="127" t="s">
        <v>306</v>
      </c>
      <c r="G829" s="136">
        <v>233.28070625000001</v>
      </c>
      <c r="H829" s="113" t="str">
        <f t="shared" si="37"/>
        <v>OTHER</v>
      </c>
      <c r="I829" s="113" t="str">
        <f>INDEX('REGASSET Lookup'!$I:$I,MATCH('REGASSET Jun22data'!$A829,'REGASSET Lookup'!$A:$A,0))</f>
        <v>P</v>
      </c>
      <c r="J829" s="113" t="str">
        <f t="shared" si="38"/>
        <v>NO</v>
      </c>
      <c r="K829"/>
    </row>
    <row r="830" spans="1:11">
      <c r="A830" s="114" t="str">
        <f t="shared" si="36"/>
        <v>1823990OTHR REG ASSET-N CST189507Contra Reg Asset - CA ECAC CY2022OTHER</v>
      </c>
      <c r="B830" s="126" t="s">
        <v>2849</v>
      </c>
      <c r="C830" s="128" t="s">
        <v>1288</v>
      </c>
      <c r="D830" s="126" t="s">
        <v>2976</v>
      </c>
      <c r="E830" s="128" t="s">
        <v>1851</v>
      </c>
      <c r="F830" s="127" t="s">
        <v>306</v>
      </c>
      <c r="G830" s="136">
        <v>-11.6640383333333</v>
      </c>
      <c r="H830" s="113" t="str">
        <f t="shared" si="37"/>
        <v>OTHER</v>
      </c>
      <c r="I830" s="113" t="str">
        <f>INDEX('REGASSET Lookup'!$I:$I,MATCH('REGASSET Jun22data'!$A830,'REGASSET Lookup'!$A:$A,0))</f>
        <v>P</v>
      </c>
      <c r="J830" s="113" t="str">
        <f t="shared" si="38"/>
        <v>NO</v>
      </c>
      <c r="K830"/>
    </row>
    <row r="831" spans="1:11">
      <c r="A831" s="114" t="str">
        <f t="shared" si="36"/>
        <v>1823990OTHR REG ASSET-N CST189528RegA - CA Def Exc NPC - Recl to CurrOTHER</v>
      </c>
      <c r="B831" s="126" t="s">
        <v>2849</v>
      </c>
      <c r="C831" s="128" t="s">
        <v>1288</v>
      </c>
      <c r="D831" s="126" t="s">
        <v>2977</v>
      </c>
      <c r="E831" s="128" t="s">
        <v>1402</v>
      </c>
      <c r="F831" s="127" t="s">
        <v>306</v>
      </c>
      <c r="G831" s="136">
        <v>-35.458390833333297</v>
      </c>
      <c r="H831" s="113" t="str">
        <f t="shared" si="37"/>
        <v>OTHER</v>
      </c>
      <c r="I831" s="113" t="str">
        <f>INDEX('REGASSET Lookup'!$I:$I,MATCH('REGASSET Jun22data'!$A831,'REGASSET Lookup'!$A:$A,0))</f>
        <v>P</v>
      </c>
      <c r="J831" s="113" t="str">
        <f t="shared" si="38"/>
        <v>NO</v>
      </c>
      <c r="K831"/>
    </row>
    <row r="832" spans="1:11">
      <c r="A832" s="114" t="str">
        <f t="shared" si="36"/>
        <v>1823990OTHR REG ASSET-N CST189529RegA - CA Def Exc NPC - Recl to LiabOTHER</v>
      </c>
      <c r="B832" s="126" t="s">
        <v>2849</v>
      </c>
      <c r="C832" s="128" t="s">
        <v>1288</v>
      </c>
      <c r="D832" s="126" t="s">
        <v>2978</v>
      </c>
      <c r="E832" s="128" t="s">
        <v>1852</v>
      </c>
      <c r="F832" s="127" t="s">
        <v>306</v>
      </c>
      <c r="G832" s="136">
        <v>1389.15995666667</v>
      </c>
      <c r="H832" s="113" t="str">
        <f t="shared" si="37"/>
        <v>OTHER</v>
      </c>
      <c r="I832" s="113" t="str">
        <f>INDEX('REGASSET Lookup'!$I:$I,MATCH('REGASSET Jun22data'!$A832,'REGASSET Lookup'!$A:$A,0))</f>
        <v>P</v>
      </c>
      <c r="J832" s="113" t="str">
        <f t="shared" si="38"/>
        <v>NO</v>
      </c>
      <c r="K832"/>
    </row>
    <row r="833" spans="1:11">
      <c r="A833" s="114" t="str">
        <f t="shared" si="36"/>
        <v>1823990OTHR REG ASSET-N CST189535Reg Asset-ID ECAM CY 2020OTHER</v>
      </c>
      <c r="B833" s="126" t="s">
        <v>2849</v>
      </c>
      <c r="C833" s="128" t="s">
        <v>1288</v>
      </c>
      <c r="D833" s="126" t="s">
        <v>2979</v>
      </c>
      <c r="E833" s="128" t="s">
        <v>1779</v>
      </c>
      <c r="F833" s="127" t="s">
        <v>306</v>
      </c>
      <c r="G833" s="136">
        <v>1297.0775345833299</v>
      </c>
      <c r="H833" s="113" t="str">
        <f t="shared" si="37"/>
        <v>OTHER</v>
      </c>
      <c r="I833" s="113" t="str">
        <f>INDEX('REGASSET Lookup'!$I:$I,MATCH('REGASSET Jun22data'!$A833,'REGASSET Lookup'!$A:$A,0))</f>
        <v>P</v>
      </c>
      <c r="J833" s="113" t="str">
        <f t="shared" si="38"/>
        <v>NO</v>
      </c>
      <c r="K833"/>
    </row>
    <row r="834" spans="1:11">
      <c r="A834" s="114" t="str">
        <f t="shared" si="36"/>
        <v>1823990OTHR REG ASSET-N CST189536Reg Asset-ID ECAM CY 2021OTHER</v>
      </c>
      <c r="B834" s="126" t="s">
        <v>2849</v>
      </c>
      <c r="C834" s="128" t="s">
        <v>1288</v>
      </c>
      <c r="D834" s="126" t="s">
        <v>2980</v>
      </c>
      <c r="E834" s="128" t="s">
        <v>1780</v>
      </c>
      <c r="F834" s="127" t="s">
        <v>306</v>
      </c>
      <c r="G834" s="136">
        <v>25794.185013333299</v>
      </c>
      <c r="H834" s="113" t="str">
        <f t="shared" si="37"/>
        <v>OTHER</v>
      </c>
      <c r="I834" s="113" t="str">
        <f>INDEX('REGASSET Lookup'!$I:$I,MATCH('REGASSET Jun22data'!$A834,'REGASSET Lookup'!$A:$A,0))</f>
        <v>P</v>
      </c>
      <c r="J834" s="113" t="str">
        <f t="shared" si="38"/>
        <v>NO</v>
      </c>
      <c r="K834"/>
    </row>
    <row r="835" spans="1:11">
      <c r="A835" s="114" t="str">
        <f t="shared" ref="A835:A882" si="39">CONCATENATE($B835,$C835,$D835,$E835,$H835)</f>
        <v>1823990OTHR REG ASSET-N CST189537Reg Asset-ID ECAM CY 2022OTHER</v>
      </c>
      <c r="B835" s="126" t="s">
        <v>2849</v>
      </c>
      <c r="C835" s="128" t="s">
        <v>1288</v>
      </c>
      <c r="D835" s="126" t="s">
        <v>2981</v>
      </c>
      <c r="E835" s="128" t="s">
        <v>1853</v>
      </c>
      <c r="F835" s="127" t="s">
        <v>306</v>
      </c>
      <c r="G835" s="136">
        <v>1257.77364458333</v>
      </c>
      <c r="H835" s="113" t="str">
        <f t="shared" ref="H835:H882" si="40">IF(OR(F835="IDU",F835="OR",F835="UT",F835="WYU",F835="WYP",F835="CA",F835="WA"),"SITUS",IF(OR(F835="CAEE",F835="JBE"),"SE",IF(OR(F835="CAGE",F835="CAGW",F835="JBG"),"SG",F835)))</f>
        <v>OTHER</v>
      </c>
      <c r="I835" s="113" t="str">
        <f>INDEX('REGASSET Lookup'!$I:$I,MATCH('REGASSET Jun22data'!$A835,'REGASSET Lookup'!$A:$A,0))</f>
        <v>P</v>
      </c>
      <c r="J835" s="113" t="str">
        <f t="shared" ref="J835:J882" si="41">IF(G835=0,"NO",IF(ISNA($I835),"YES",IF(_xlfn.ISFORMULA($I835),"NO","YES")))</f>
        <v>NO</v>
      </c>
      <c r="K835"/>
    </row>
    <row r="836" spans="1:11">
      <c r="A836" s="114" t="str">
        <f t="shared" si="39"/>
        <v>1823990OTHR REG ASSET-N CST189546Contra Reg Asset - ID ECAM CY 2021OTHER</v>
      </c>
      <c r="B836" s="126" t="s">
        <v>2849</v>
      </c>
      <c r="C836" s="128" t="s">
        <v>1288</v>
      </c>
      <c r="D836" s="126" t="s">
        <v>2982</v>
      </c>
      <c r="E836" s="128" t="s">
        <v>1782</v>
      </c>
      <c r="F836" s="127" t="s">
        <v>306</v>
      </c>
      <c r="G836" s="136">
        <v>-1616.97824416667</v>
      </c>
      <c r="H836" s="113" t="str">
        <f t="shared" si="40"/>
        <v>OTHER</v>
      </c>
      <c r="I836" s="113" t="str">
        <f>INDEX('REGASSET Lookup'!$I:$I,MATCH('REGASSET Jun22data'!$A836,'REGASSET Lookup'!$A:$A,0))</f>
        <v>P</v>
      </c>
      <c r="J836" s="113" t="str">
        <f t="shared" si="41"/>
        <v>NO</v>
      </c>
      <c r="K836"/>
    </row>
    <row r="837" spans="1:11">
      <c r="A837" s="114" t="str">
        <f t="shared" si="39"/>
        <v>1823990OTHR REG ASSET-N CST189547Contra Reg Asset - ID ECAM CY 2022OTHER</v>
      </c>
      <c r="B837" s="126" t="s">
        <v>2849</v>
      </c>
      <c r="C837" s="128" t="s">
        <v>1288</v>
      </c>
      <c r="D837" s="126" t="s">
        <v>2983</v>
      </c>
      <c r="E837" s="128" t="s">
        <v>1854</v>
      </c>
      <c r="F837" s="127" t="s">
        <v>306</v>
      </c>
      <c r="G837" s="136">
        <v>-62.798288749999998</v>
      </c>
      <c r="H837" s="113" t="str">
        <f t="shared" si="40"/>
        <v>OTHER</v>
      </c>
      <c r="I837" s="113" t="str">
        <f>INDEX('REGASSET Lookup'!$I:$I,MATCH('REGASSET Jun22data'!$A837,'REGASSET Lookup'!$A:$A,0))</f>
        <v>P</v>
      </c>
      <c r="J837" s="113" t="str">
        <f t="shared" si="41"/>
        <v>NO</v>
      </c>
      <c r="K837"/>
    </row>
    <row r="838" spans="1:11">
      <c r="A838" s="114" t="str">
        <f t="shared" si="39"/>
        <v>1823990OTHR REG ASSET-N CST189568RegA - ID Def Exc NPC - Recl to CurrOTHER</v>
      </c>
      <c r="B838" s="126" t="s">
        <v>2849</v>
      </c>
      <c r="C838" s="128" t="s">
        <v>1288</v>
      </c>
      <c r="D838" s="126" t="s">
        <v>2984</v>
      </c>
      <c r="E838" s="128" t="s">
        <v>1408</v>
      </c>
      <c r="F838" s="127" t="s">
        <v>306</v>
      </c>
      <c r="G838" s="136">
        <v>-15120.306701666699</v>
      </c>
      <c r="H838" s="113" t="str">
        <f t="shared" si="40"/>
        <v>OTHER</v>
      </c>
      <c r="I838" s="113" t="str">
        <f>INDEX('REGASSET Lookup'!$I:$I,MATCH('REGASSET Jun22data'!$A838,'REGASSET Lookup'!$A:$A,0))</f>
        <v>P</v>
      </c>
      <c r="J838" s="113" t="str">
        <f t="shared" si="41"/>
        <v>NO</v>
      </c>
      <c r="K838"/>
    </row>
    <row r="839" spans="1:11">
      <c r="A839" s="114" t="str">
        <f t="shared" si="39"/>
        <v>1823990OTHR REG ASSET-N CST189571Reg Asset - OR TAM CY2021OTHER</v>
      </c>
      <c r="B839" s="126" t="s">
        <v>2849</v>
      </c>
      <c r="C839" s="128" t="s">
        <v>1288</v>
      </c>
      <c r="D839" s="126" t="s">
        <v>2985</v>
      </c>
      <c r="E839" s="128" t="s">
        <v>1784</v>
      </c>
      <c r="F839" s="127" t="s">
        <v>306</v>
      </c>
      <c r="G839" s="136">
        <v>211.72626249999999</v>
      </c>
      <c r="H839" s="113" t="str">
        <f t="shared" si="40"/>
        <v>OTHER</v>
      </c>
      <c r="I839" s="113" t="str">
        <f>INDEX('REGASSET Lookup'!$I:$I,MATCH('REGASSET Jun22data'!$A839,'REGASSET Lookup'!$A:$A,0))</f>
        <v>P</v>
      </c>
      <c r="J839" s="113" t="str">
        <f t="shared" si="41"/>
        <v>NO</v>
      </c>
      <c r="K839"/>
    </row>
    <row r="840" spans="1:11">
      <c r="A840" s="114" t="str">
        <f t="shared" si="39"/>
        <v>1823990OTHR REG ASSET-N CST189572Reg Asset-OR TAM CY 2022OTHER</v>
      </c>
      <c r="B840" s="126" t="s">
        <v>2849</v>
      </c>
      <c r="C840" s="128" t="s">
        <v>1288</v>
      </c>
      <c r="D840" s="126" t="s">
        <v>2986</v>
      </c>
      <c r="E840" s="128" t="s">
        <v>2987</v>
      </c>
      <c r="F840" s="127" t="s">
        <v>306</v>
      </c>
      <c r="G840" s="136">
        <v>35.379412500000001</v>
      </c>
      <c r="H840" s="113" t="str">
        <f t="shared" si="40"/>
        <v>OTHER</v>
      </c>
      <c r="I840" s="113" t="str">
        <f>INDEX('REGASSET Lookup'!$I:$I,MATCH('REGASSET Jun22data'!$A840,'REGASSET Lookup'!$A:$A,0))</f>
        <v>P</v>
      </c>
      <c r="J840" s="113" t="str">
        <f t="shared" si="41"/>
        <v>NO</v>
      </c>
      <c r="K840"/>
    </row>
    <row r="841" spans="1:11">
      <c r="A841" s="114" t="str">
        <f t="shared" si="39"/>
        <v>1823990OTHR REG ASSET-N CST189581Contra Reg Asset - OR TAM CY2021OTHER</v>
      </c>
      <c r="B841" s="126" t="s">
        <v>2849</v>
      </c>
      <c r="C841" s="128" t="s">
        <v>1288</v>
      </c>
      <c r="D841" s="126" t="s">
        <v>2988</v>
      </c>
      <c r="E841" s="128" t="s">
        <v>1786</v>
      </c>
      <c r="F841" s="127" t="s">
        <v>306</v>
      </c>
      <c r="G841" s="136">
        <v>-0.58965749999999995</v>
      </c>
      <c r="H841" s="113" t="str">
        <f t="shared" si="40"/>
        <v>OTHER</v>
      </c>
      <c r="I841" s="113" t="str">
        <f>INDEX('REGASSET Lookup'!$I:$I,MATCH('REGASSET Jun22data'!$A841,'REGASSET Lookup'!$A:$A,0))</f>
        <v>P</v>
      </c>
      <c r="J841" s="113" t="str">
        <f t="shared" si="41"/>
        <v>NO</v>
      </c>
      <c r="K841"/>
    </row>
    <row r="842" spans="1:11">
      <c r="A842" s="114" t="str">
        <f t="shared" si="39"/>
        <v>1823990OTHR REG ASSET-N CST189582Contra Reg Asset - OR TAM CY 2022OTHER</v>
      </c>
      <c r="B842" s="126" t="s">
        <v>2849</v>
      </c>
      <c r="C842" s="128" t="s">
        <v>1288</v>
      </c>
      <c r="D842" s="126" t="s">
        <v>2989</v>
      </c>
      <c r="E842" s="128" t="s">
        <v>2990</v>
      </c>
      <c r="F842" s="127" t="s">
        <v>306</v>
      </c>
      <c r="G842" s="136">
        <v>-1.7689725000000001</v>
      </c>
      <c r="H842" s="113" t="str">
        <f t="shared" si="40"/>
        <v>OTHER</v>
      </c>
      <c r="I842" s="113" t="str">
        <f>INDEX('REGASSET Lookup'!$I:$I,MATCH('REGASSET Jun22data'!$A842,'REGASSET Lookup'!$A:$A,0))</f>
        <v>P</v>
      </c>
      <c r="J842" s="113" t="str">
        <f t="shared" si="41"/>
        <v>NO</v>
      </c>
      <c r="K842"/>
    </row>
    <row r="843" spans="1:11">
      <c r="A843" s="114" t="str">
        <f t="shared" si="39"/>
        <v>1823990OTHR REG ASSET-N CST189586Reg Asset - OR PCAM FY2022OTHER</v>
      </c>
      <c r="B843" s="126" t="s">
        <v>2849</v>
      </c>
      <c r="C843" s="128" t="s">
        <v>1288</v>
      </c>
      <c r="D843" s="126" t="s">
        <v>3409</v>
      </c>
      <c r="E843" s="128" t="s">
        <v>3410</v>
      </c>
      <c r="F843" s="127" t="s">
        <v>306</v>
      </c>
      <c r="G843" s="136">
        <v>93.5309533333334</v>
      </c>
      <c r="H843" s="113" t="str">
        <f t="shared" si="40"/>
        <v>OTHER</v>
      </c>
      <c r="I843" s="113" t="str">
        <f>INDEX('REGASSET Lookup'!$I:$I,MATCH('REGASSET Jun22data'!$A843,'REGASSET Lookup'!$A:$A,0))</f>
        <v>P</v>
      </c>
      <c r="J843" s="113" t="str">
        <f t="shared" si="41"/>
        <v>NO</v>
      </c>
      <c r="K843"/>
    </row>
    <row r="844" spans="1:11">
      <c r="A844" s="114" t="str">
        <f t="shared" si="39"/>
        <v>1823990OTHR REG ASSET-N CST189587Contra Reg Asset - OR PCAM FY2022OTHER</v>
      </c>
      <c r="B844" s="126" t="s">
        <v>2849</v>
      </c>
      <c r="C844" s="128" t="s">
        <v>1288</v>
      </c>
      <c r="D844" s="126" t="s">
        <v>3411</v>
      </c>
      <c r="E844" s="128" t="s">
        <v>3412</v>
      </c>
      <c r="F844" s="127" t="s">
        <v>306</v>
      </c>
      <c r="G844" s="136">
        <v>-93.5309533333334</v>
      </c>
      <c r="H844" s="113" t="str">
        <f t="shared" si="40"/>
        <v>OTHER</v>
      </c>
      <c r="I844" s="113" t="str">
        <f>INDEX('REGASSET Lookup'!$I:$I,MATCH('REGASSET Jun22data'!$A844,'REGASSET Lookup'!$A:$A,0))</f>
        <v>P</v>
      </c>
      <c r="J844" s="113" t="str">
        <f t="shared" si="41"/>
        <v>NO</v>
      </c>
      <c r="K844"/>
    </row>
    <row r="845" spans="1:11">
      <c r="A845" s="114" t="str">
        <f t="shared" si="39"/>
        <v>1823990OTHR REG ASSET-N CST189598RegA - OR Def Exc NPC - Recl to CurrOTHER</v>
      </c>
      <c r="B845" s="126" t="s">
        <v>2849</v>
      </c>
      <c r="C845" s="128" t="s">
        <v>1288</v>
      </c>
      <c r="D845" s="126" t="s">
        <v>2991</v>
      </c>
      <c r="E845" s="128" t="s">
        <v>1855</v>
      </c>
      <c r="F845" s="127" t="s">
        <v>306</v>
      </c>
      <c r="G845" s="136">
        <v>-239.14530416666699</v>
      </c>
      <c r="H845" s="113" t="str">
        <f t="shared" si="40"/>
        <v>OTHER</v>
      </c>
      <c r="I845" s="113" t="str">
        <f>INDEX('REGASSET Lookup'!$I:$I,MATCH('REGASSET Jun22data'!$A845,'REGASSET Lookup'!$A:$A,0))</f>
        <v>P</v>
      </c>
      <c r="J845" s="113" t="str">
        <f t="shared" si="41"/>
        <v>NO</v>
      </c>
      <c r="K845"/>
    </row>
    <row r="846" spans="1:11">
      <c r="A846" s="114" t="str">
        <f t="shared" si="39"/>
        <v>1823990OTHR REG ASSET-N CST189609Reg Asset - UT EBA CY2019OTHER</v>
      </c>
      <c r="B846" s="126" t="s">
        <v>2849</v>
      </c>
      <c r="C846" s="128" t="s">
        <v>1288</v>
      </c>
      <c r="D846" s="126" t="s">
        <v>2992</v>
      </c>
      <c r="E846" s="128" t="s">
        <v>1748</v>
      </c>
      <c r="F846" s="127" t="s">
        <v>306</v>
      </c>
      <c r="G846" s="136">
        <v>8713.4015479166701</v>
      </c>
      <c r="H846" s="113" t="str">
        <f t="shared" si="40"/>
        <v>OTHER</v>
      </c>
      <c r="I846" s="113" t="str">
        <f>INDEX('REGASSET Lookup'!$I:$I,MATCH('REGASSET Jun22data'!$A846,'REGASSET Lookup'!$A:$A,0))</f>
        <v>P</v>
      </c>
      <c r="J846" s="113" t="str">
        <f t="shared" si="41"/>
        <v>NO</v>
      </c>
      <c r="K846"/>
    </row>
    <row r="847" spans="1:11">
      <c r="A847" s="114" t="str">
        <f t="shared" si="39"/>
        <v>1823990OTHR REG ASSET-N CST189610Reg Asset - UT EBA CY2020OTHER</v>
      </c>
      <c r="B847" s="126" t="s">
        <v>2849</v>
      </c>
      <c r="C847" s="128" t="s">
        <v>1288</v>
      </c>
      <c r="D847" s="126" t="s">
        <v>2993</v>
      </c>
      <c r="E847" s="128" t="s">
        <v>1787</v>
      </c>
      <c r="F847" s="127" t="s">
        <v>306</v>
      </c>
      <c r="G847" s="136">
        <v>3448.5112554166699</v>
      </c>
      <c r="H847" s="113" t="str">
        <f t="shared" si="40"/>
        <v>OTHER</v>
      </c>
      <c r="I847" s="113" t="str">
        <f>INDEX('REGASSET Lookup'!$I:$I,MATCH('REGASSET Jun22data'!$A847,'REGASSET Lookup'!$A:$A,0))</f>
        <v>P</v>
      </c>
      <c r="J847" s="113" t="str">
        <f t="shared" si="41"/>
        <v>NO</v>
      </c>
      <c r="K847"/>
    </row>
    <row r="848" spans="1:11">
      <c r="A848" s="114" t="str">
        <f t="shared" si="39"/>
        <v>1823990OTHR REG ASSET-N CST189611Reg Asset - UT EBA CY2021OTHER</v>
      </c>
      <c r="B848" s="126" t="s">
        <v>2849</v>
      </c>
      <c r="C848" s="128" t="s">
        <v>1288</v>
      </c>
      <c r="D848" s="126" t="s">
        <v>2994</v>
      </c>
      <c r="E848" s="128" t="s">
        <v>1788</v>
      </c>
      <c r="F848" s="127" t="s">
        <v>306</v>
      </c>
      <c r="G848" s="136">
        <v>90919.002089166694</v>
      </c>
      <c r="H848" s="113" t="str">
        <f t="shared" si="40"/>
        <v>OTHER</v>
      </c>
      <c r="I848" s="113" t="str">
        <f>INDEX('REGASSET Lookup'!$I:$I,MATCH('REGASSET Jun22data'!$A848,'REGASSET Lookup'!$A:$A,0))</f>
        <v>P</v>
      </c>
      <c r="J848" s="113" t="str">
        <f t="shared" si="41"/>
        <v>NO</v>
      </c>
      <c r="K848"/>
    </row>
    <row r="849" spans="1:11">
      <c r="A849" s="114" t="str">
        <f t="shared" si="39"/>
        <v>1823990OTHR REG ASSET-N CST189612Reg Asset - UT EBA CY2022OTHER</v>
      </c>
      <c r="B849" s="126" t="s">
        <v>2849</v>
      </c>
      <c r="C849" s="128" t="s">
        <v>1288</v>
      </c>
      <c r="D849" s="126" t="s">
        <v>2995</v>
      </c>
      <c r="E849" s="128" t="s">
        <v>1856</v>
      </c>
      <c r="F849" s="127" t="s">
        <v>306</v>
      </c>
      <c r="G849" s="136">
        <v>5874.4805408333305</v>
      </c>
      <c r="H849" s="113" t="str">
        <f t="shared" si="40"/>
        <v>OTHER</v>
      </c>
      <c r="I849" s="113" t="str">
        <f>INDEX('REGASSET Lookup'!$I:$I,MATCH('REGASSET Jun22data'!$A849,'REGASSET Lookup'!$A:$A,0))</f>
        <v>P</v>
      </c>
      <c r="J849" s="113" t="str">
        <f t="shared" si="41"/>
        <v>NO</v>
      </c>
      <c r="K849"/>
    </row>
    <row r="850" spans="1:11">
      <c r="A850" s="114" t="str">
        <f t="shared" si="39"/>
        <v>1823990OTHR REG ASSET-N CST189620Contra Reg Asset - UT EBA CY2020OTHER</v>
      </c>
      <c r="B850" s="126" t="s">
        <v>2849</v>
      </c>
      <c r="C850" s="128" t="s">
        <v>1288</v>
      </c>
      <c r="D850" s="126" t="s">
        <v>2996</v>
      </c>
      <c r="E850" s="128" t="s">
        <v>1789</v>
      </c>
      <c r="F850" s="127" t="s">
        <v>306</v>
      </c>
      <c r="G850" s="136">
        <v>-83.222581250000005</v>
      </c>
      <c r="H850" s="113" t="str">
        <f t="shared" si="40"/>
        <v>OTHER</v>
      </c>
      <c r="I850" s="113" t="str">
        <f>INDEX('REGASSET Lookup'!$I:$I,MATCH('REGASSET Jun22data'!$A850,'REGASSET Lookup'!$A:$A,0))</f>
        <v>P</v>
      </c>
      <c r="J850" s="113" t="str">
        <f t="shared" si="41"/>
        <v>NO</v>
      </c>
      <c r="K850"/>
    </row>
    <row r="851" spans="1:11">
      <c r="A851" s="114" t="str">
        <f t="shared" si="39"/>
        <v>1823990OTHR REG ASSET-N CST189621Contra Reg Asset - UT EBA CY2021OTHER</v>
      </c>
      <c r="B851" s="126" t="s">
        <v>2849</v>
      </c>
      <c r="C851" s="128" t="s">
        <v>1288</v>
      </c>
      <c r="D851" s="126" t="s">
        <v>2997</v>
      </c>
      <c r="E851" s="128" t="s">
        <v>1790</v>
      </c>
      <c r="F851" s="127" t="s">
        <v>306</v>
      </c>
      <c r="G851" s="136">
        <v>-9765.3714354166605</v>
      </c>
      <c r="H851" s="113" t="str">
        <f t="shared" si="40"/>
        <v>OTHER</v>
      </c>
      <c r="I851" s="113" t="str">
        <f>INDEX('REGASSET Lookup'!$I:$I,MATCH('REGASSET Jun22data'!$A851,'REGASSET Lookup'!$A:$A,0))</f>
        <v>P</v>
      </c>
      <c r="J851" s="113" t="str">
        <f t="shared" si="41"/>
        <v>NO</v>
      </c>
      <c r="K851"/>
    </row>
    <row r="852" spans="1:11">
      <c r="A852" s="114" t="str">
        <f t="shared" si="39"/>
        <v>1823990OTHR REG ASSET-N CST189622Contra Reg Asset - UT EBA CY2022OTHER</v>
      </c>
      <c r="B852" s="126" t="s">
        <v>2849</v>
      </c>
      <c r="C852" s="128" t="s">
        <v>1288</v>
      </c>
      <c r="D852" s="126" t="s">
        <v>2998</v>
      </c>
      <c r="E852" s="128" t="s">
        <v>1857</v>
      </c>
      <c r="F852" s="127" t="s">
        <v>306</v>
      </c>
      <c r="G852" s="136">
        <v>-293.84688041666698</v>
      </c>
      <c r="H852" s="113" t="str">
        <f t="shared" si="40"/>
        <v>OTHER</v>
      </c>
      <c r="I852" s="113" t="str">
        <f>INDEX('REGASSET Lookup'!$I:$I,MATCH('REGASSET Jun22data'!$A852,'REGASSET Lookup'!$A:$A,0))</f>
        <v>P</v>
      </c>
      <c r="J852" s="113" t="str">
        <f t="shared" si="41"/>
        <v>NO</v>
      </c>
      <c r="K852"/>
    </row>
    <row r="853" spans="1:11">
      <c r="A853" s="114" t="str">
        <f t="shared" si="39"/>
        <v>1823990OTHR REG ASSET-N CST189638RegA - UT Def Exc NPC - Recl to CurrOTHER</v>
      </c>
      <c r="B853" s="126" t="s">
        <v>2849</v>
      </c>
      <c r="C853" s="128" t="s">
        <v>1288</v>
      </c>
      <c r="D853" s="126" t="s">
        <v>2999</v>
      </c>
      <c r="E853" s="128" t="s">
        <v>1409</v>
      </c>
      <c r="F853" s="127" t="s">
        <v>306</v>
      </c>
      <c r="G853" s="136">
        <v>-30801.189289583301</v>
      </c>
      <c r="H853" s="113" t="str">
        <f t="shared" si="40"/>
        <v>OTHER</v>
      </c>
      <c r="I853" s="113" t="str">
        <f>INDEX('REGASSET Lookup'!$I:$I,MATCH('REGASSET Jun22data'!$A853,'REGASSET Lookup'!$A:$A,0))</f>
        <v>P</v>
      </c>
      <c r="J853" s="113" t="str">
        <f t="shared" si="41"/>
        <v>NO</v>
      </c>
      <c r="K853"/>
    </row>
    <row r="854" spans="1:11">
      <c r="A854" s="114" t="str">
        <f t="shared" si="39"/>
        <v>1823990OTHR REG ASSET-N CST189642Reg Asset-WA-Major Mtc Exp-Colstrip U4SITUS</v>
      </c>
      <c r="B854" s="126" t="s">
        <v>2849</v>
      </c>
      <c r="C854" s="128" t="s">
        <v>1288</v>
      </c>
      <c r="D854" s="126" t="s">
        <v>3000</v>
      </c>
      <c r="E854" s="128" t="s">
        <v>3001</v>
      </c>
      <c r="F854" s="127" t="s">
        <v>367</v>
      </c>
      <c r="G854" s="136">
        <v>258.90366999999998</v>
      </c>
      <c r="H854" s="113" t="str">
        <f t="shared" si="40"/>
        <v>SITUS</v>
      </c>
      <c r="I854" s="113" t="str">
        <f>INDEX('REGASSET Lookup'!$I:$I,MATCH('REGASSET Jun22data'!$A854,'REGASSET Lookup'!$A:$A,0))</f>
        <v>P</v>
      </c>
      <c r="J854" s="113" t="str">
        <f t="shared" si="41"/>
        <v>NO</v>
      </c>
      <c r="K854"/>
    </row>
    <row r="855" spans="1:11">
      <c r="A855" s="114" t="str">
        <f t="shared" si="39"/>
        <v>1823990OTHR REG ASSET-N CST189648RegA - WA Def Exc NPC - Recl to CurrOTHER</v>
      </c>
      <c r="B855" s="126" t="s">
        <v>2849</v>
      </c>
      <c r="C855" s="128" t="s">
        <v>1288</v>
      </c>
      <c r="D855" s="126" t="s">
        <v>3002</v>
      </c>
      <c r="E855" s="128" t="s">
        <v>3003</v>
      </c>
      <c r="F855" s="127" t="s">
        <v>306</v>
      </c>
      <c r="G855" s="136">
        <v>-1243.9252166666699</v>
      </c>
      <c r="H855" s="113" t="str">
        <f t="shared" si="40"/>
        <v>OTHER</v>
      </c>
      <c r="I855" s="113" t="str">
        <f>INDEX('REGASSET Lookup'!$I:$I,MATCH('REGASSET Jun22data'!$A855,'REGASSET Lookup'!$A:$A,0))</f>
        <v>P</v>
      </c>
      <c r="J855" s="113" t="str">
        <f t="shared" si="41"/>
        <v>NO</v>
      </c>
      <c r="K855"/>
    </row>
    <row r="856" spans="1:11">
      <c r="A856" s="114" t="str">
        <f t="shared" si="39"/>
        <v>1823990OTHR REG ASSET-N CST189649RegA - WA Def Exc NPC - Recl to LiabOTHER</v>
      </c>
      <c r="B856" s="126" t="s">
        <v>2849</v>
      </c>
      <c r="C856" s="128" t="s">
        <v>1288</v>
      </c>
      <c r="D856" s="126" t="s">
        <v>3004</v>
      </c>
      <c r="E856" s="128" t="s">
        <v>1411</v>
      </c>
      <c r="F856" s="127" t="s">
        <v>306</v>
      </c>
      <c r="G856" s="136">
        <v>10725.498420416699</v>
      </c>
      <c r="H856" s="113" t="str">
        <f t="shared" si="40"/>
        <v>OTHER</v>
      </c>
      <c r="I856" s="113" t="str">
        <f>INDEX('REGASSET Lookup'!$I:$I,MATCH('REGASSET Jun22data'!$A856,'REGASSET Lookup'!$A:$A,0))</f>
        <v>P</v>
      </c>
      <c r="J856" s="113" t="str">
        <f t="shared" si="41"/>
        <v>NO</v>
      </c>
      <c r="K856"/>
    </row>
    <row r="857" spans="1:11">
      <c r="A857" s="114" t="str">
        <f t="shared" si="39"/>
        <v>1823990OTHR REG ASSET-N CST189650Reg Asset - WY ECAM CY2020OTHER</v>
      </c>
      <c r="B857" s="126" t="s">
        <v>2849</v>
      </c>
      <c r="C857" s="128" t="s">
        <v>1288</v>
      </c>
      <c r="D857" s="126" t="s">
        <v>3005</v>
      </c>
      <c r="E857" s="128" t="s">
        <v>1791</v>
      </c>
      <c r="F857" s="127" t="s">
        <v>306</v>
      </c>
      <c r="G857" s="136">
        <v>-960.13964166666699</v>
      </c>
      <c r="H857" s="113" t="str">
        <f t="shared" si="40"/>
        <v>OTHER</v>
      </c>
      <c r="I857" s="113" t="str">
        <f>INDEX('REGASSET Lookup'!$I:$I,MATCH('REGASSET Jun22data'!$A857,'REGASSET Lookup'!$A:$A,0))</f>
        <v>P</v>
      </c>
      <c r="J857" s="113" t="str">
        <f t="shared" si="41"/>
        <v>NO</v>
      </c>
      <c r="K857"/>
    </row>
    <row r="858" spans="1:11">
      <c r="A858" s="114" t="str">
        <f t="shared" si="39"/>
        <v>1823990OTHR REG ASSET-N CST189651Reg Asset - WY ECAM CY2021OTHER</v>
      </c>
      <c r="B858" s="126" t="s">
        <v>2849</v>
      </c>
      <c r="C858" s="128" t="s">
        <v>1288</v>
      </c>
      <c r="D858" s="126" t="s">
        <v>3006</v>
      </c>
      <c r="E858" s="128" t="s">
        <v>1792</v>
      </c>
      <c r="F858" s="127" t="s">
        <v>306</v>
      </c>
      <c r="G858" s="136">
        <v>25554.048122083299</v>
      </c>
      <c r="H858" s="113" t="str">
        <f t="shared" si="40"/>
        <v>OTHER</v>
      </c>
      <c r="I858" s="113" t="str">
        <f>INDEX('REGASSET Lookup'!$I:$I,MATCH('REGASSET Jun22data'!$A858,'REGASSET Lookup'!$A:$A,0))</f>
        <v>P</v>
      </c>
      <c r="J858" s="113" t="str">
        <f t="shared" si="41"/>
        <v>NO</v>
      </c>
      <c r="K858"/>
    </row>
    <row r="859" spans="1:11">
      <c r="A859" s="114" t="str">
        <f t="shared" si="39"/>
        <v>1823990OTHR REG ASSET-N CST189652Reg Asset - WY ECAM CY2022OTHER</v>
      </c>
      <c r="B859" s="126" t="s">
        <v>2849</v>
      </c>
      <c r="C859" s="128" t="s">
        <v>1288</v>
      </c>
      <c r="D859" s="126" t="s">
        <v>3007</v>
      </c>
      <c r="E859" s="128" t="s">
        <v>1858</v>
      </c>
      <c r="F859" s="127" t="s">
        <v>306</v>
      </c>
      <c r="G859" s="136">
        <v>1577.7039574999999</v>
      </c>
      <c r="H859" s="113" t="str">
        <f t="shared" si="40"/>
        <v>OTHER</v>
      </c>
      <c r="I859" s="113" t="str">
        <f>INDEX('REGASSET Lookup'!$I:$I,MATCH('REGASSET Jun22data'!$A859,'REGASSET Lookup'!$A:$A,0))</f>
        <v>P</v>
      </c>
      <c r="J859" s="113" t="str">
        <f t="shared" si="41"/>
        <v>NO</v>
      </c>
      <c r="K859"/>
    </row>
    <row r="860" spans="1:11">
      <c r="A860" s="114" t="str">
        <f t="shared" si="39"/>
        <v>1823990OTHR REG ASSET-N CST189660Contra Reg Asset - WY ECAM CY2020OTHER</v>
      </c>
      <c r="B860" s="126" t="s">
        <v>2849</v>
      </c>
      <c r="C860" s="128" t="s">
        <v>1288</v>
      </c>
      <c r="D860" s="126" t="s">
        <v>3008</v>
      </c>
      <c r="E860" s="128" t="s">
        <v>1793</v>
      </c>
      <c r="F860" s="127" t="s">
        <v>306</v>
      </c>
      <c r="G860" s="136">
        <v>-95.903876666666605</v>
      </c>
      <c r="H860" s="113" t="str">
        <f t="shared" si="40"/>
        <v>OTHER</v>
      </c>
      <c r="I860" s="113" t="str">
        <f>INDEX('REGASSET Lookup'!$I:$I,MATCH('REGASSET Jun22data'!$A860,'REGASSET Lookup'!$A:$A,0))</f>
        <v>P</v>
      </c>
      <c r="J860" s="113" t="str">
        <f t="shared" si="41"/>
        <v>NO</v>
      </c>
      <c r="K860"/>
    </row>
    <row r="861" spans="1:11">
      <c r="A861" s="114" t="str">
        <f t="shared" si="39"/>
        <v>1823990OTHR REG ASSET-N CST189661Contra Reg Asset - WY ECAM CY2021OTHER</v>
      </c>
      <c r="B861" s="126" t="s">
        <v>2849</v>
      </c>
      <c r="C861" s="128" t="s">
        <v>1288</v>
      </c>
      <c r="D861" s="126" t="s">
        <v>3009</v>
      </c>
      <c r="E861" s="128" t="s">
        <v>1794</v>
      </c>
      <c r="F861" s="127" t="s">
        <v>306</v>
      </c>
      <c r="G861" s="136">
        <v>-2251.0406720833298</v>
      </c>
      <c r="H861" s="113" t="str">
        <f t="shared" si="40"/>
        <v>OTHER</v>
      </c>
      <c r="I861" s="113" t="str">
        <f>INDEX('REGASSET Lookup'!$I:$I,MATCH('REGASSET Jun22data'!$A861,'REGASSET Lookup'!$A:$A,0))</f>
        <v>P</v>
      </c>
      <c r="J861" s="113" t="str">
        <f t="shared" si="41"/>
        <v>NO</v>
      </c>
      <c r="K861"/>
    </row>
    <row r="862" spans="1:11">
      <c r="A862" s="114" t="str">
        <f t="shared" si="39"/>
        <v>1823990OTHR REG ASSET-N CST189662Contra Reg Asset - WY ECAM CY2022OTHER</v>
      </c>
      <c r="B862" s="126" t="s">
        <v>2849</v>
      </c>
      <c r="C862" s="128" t="s">
        <v>1288</v>
      </c>
      <c r="D862" s="126" t="s">
        <v>3010</v>
      </c>
      <c r="E862" s="128" t="s">
        <v>1859</v>
      </c>
      <c r="F862" s="127" t="s">
        <v>306</v>
      </c>
      <c r="G862" s="136">
        <v>-70.092354999999998</v>
      </c>
      <c r="H862" s="113" t="str">
        <f t="shared" si="40"/>
        <v>OTHER</v>
      </c>
      <c r="I862" s="113" t="str">
        <f>INDEX('REGASSET Lookup'!$I:$I,MATCH('REGASSET Jun22data'!$A862,'REGASSET Lookup'!$A:$A,0))</f>
        <v>P</v>
      </c>
      <c r="J862" s="113" t="str">
        <f t="shared" si="41"/>
        <v>NO</v>
      </c>
      <c r="K862"/>
    </row>
    <row r="863" spans="1:11">
      <c r="A863" s="114" t="str">
        <f t="shared" si="39"/>
        <v>1823990OTHR REG ASSET-N CST189688RegA - WY Def Exc NPC - Recl to CurrOTHER</v>
      </c>
      <c r="B863" s="126" t="s">
        <v>2849</v>
      </c>
      <c r="C863" s="128" t="s">
        <v>1288</v>
      </c>
      <c r="D863" s="126" t="s">
        <v>3011</v>
      </c>
      <c r="E863" s="128" t="s">
        <v>1412</v>
      </c>
      <c r="F863" s="127" t="s">
        <v>306</v>
      </c>
      <c r="G863" s="136">
        <v>-9408.6991720833394</v>
      </c>
      <c r="H863" s="113" t="str">
        <f t="shared" si="40"/>
        <v>OTHER</v>
      </c>
      <c r="I863" s="113" t="str">
        <f>INDEX('REGASSET Lookup'!$I:$I,MATCH('REGASSET Jun22data'!$A863,'REGASSET Lookup'!$A:$A,0))</f>
        <v>P</v>
      </c>
      <c r="J863" s="113" t="str">
        <f t="shared" si="41"/>
        <v>NO</v>
      </c>
      <c r="K863"/>
    </row>
    <row r="864" spans="1:11">
      <c r="A864" s="114" t="str">
        <f t="shared" si="39"/>
        <v>1823990OTHR REG ASSET-N CST189689RegA - WY Def Exc NPC - Recl to LiabOTHER</v>
      </c>
      <c r="B864" s="126" t="s">
        <v>2849</v>
      </c>
      <c r="C864" s="128" t="s">
        <v>1288</v>
      </c>
      <c r="D864" s="126" t="s">
        <v>3012</v>
      </c>
      <c r="E864" s="128" t="s">
        <v>1413</v>
      </c>
      <c r="F864" s="127" t="s">
        <v>306</v>
      </c>
      <c r="G864" s="136">
        <v>1.78492916666667</v>
      </c>
      <c r="H864" s="113" t="str">
        <f t="shared" si="40"/>
        <v>OTHER</v>
      </c>
      <c r="I864" s="113" t="str">
        <f>INDEX('REGASSET Lookup'!$I:$I,MATCH('REGASSET Jun22data'!$A864,'REGASSET Lookup'!$A:$A,0))</f>
        <v>P</v>
      </c>
      <c r="J864" s="113" t="str">
        <f t="shared" si="41"/>
        <v>NO</v>
      </c>
      <c r="K864"/>
    </row>
    <row r="865" spans="1:11">
      <c r="A865" s="114" t="str">
        <f t="shared" si="39"/>
        <v>1823990OTHR REG ASSET-N CST610000BlankOTHER</v>
      </c>
      <c r="B865" s="126" t="s">
        <v>2849</v>
      </c>
      <c r="C865" s="128" t="s">
        <v>1288</v>
      </c>
      <c r="D865" s="126" t="s">
        <v>3225</v>
      </c>
      <c r="E865" s="128" t="s">
        <v>2139</v>
      </c>
      <c r="F865" s="127" t="s">
        <v>306</v>
      </c>
      <c r="G865" s="136">
        <v>5.0937916666666698</v>
      </c>
      <c r="H865" s="113" t="str">
        <f t="shared" si="40"/>
        <v>OTHER</v>
      </c>
      <c r="I865" s="113" t="str">
        <f>INDEX('REGASSET Lookup'!$I:$I,MATCH('REGASSET Jun22data'!$A865,'REGASSET Lookup'!$A:$A,0))</f>
        <v>PTD</v>
      </c>
      <c r="J865" s="113" t="str">
        <f t="shared" si="41"/>
        <v>NO</v>
      </c>
      <c r="K865"/>
    </row>
    <row r="866" spans="1:11">
      <c r="A866" s="114" t="str">
        <f t="shared" si="39"/>
        <v>1823990OTHR REG ASSET-N CST610099BlankOTHER</v>
      </c>
      <c r="B866" s="126" t="s">
        <v>2849</v>
      </c>
      <c r="C866" s="128" t="s">
        <v>1288</v>
      </c>
      <c r="D866" s="126" t="s">
        <v>3413</v>
      </c>
      <c r="E866" s="128" t="s">
        <v>2139</v>
      </c>
      <c r="F866" s="127" t="s">
        <v>306</v>
      </c>
      <c r="G866" s="136">
        <v>17.1751458333333</v>
      </c>
      <c r="H866" s="113" t="str">
        <f t="shared" si="40"/>
        <v>OTHER</v>
      </c>
      <c r="I866" s="113" t="str">
        <f>INDEX('REGASSET Lookup'!$I:$I,MATCH('REGASSET Jun22data'!$A866,'REGASSET Lookup'!$A:$A,0))</f>
        <v>PTD</v>
      </c>
      <c r="J866" s="113" t="str">
        <f t="shared" si="41"/>
        <v>NO</v>
      </c>
      <c r="K866"/>
    </row>
    <row r="867" spans="1:11">
      <c r="A867" s="114" t="str">
        <f t="shared" si="39"/>
        <v>1823990OTHR REG ASSET-N CST701010LABOR COSTS SETTLED TO CAPITALOTHER</v>
      </c>
      <c r="B867" s="126" t="s">
        <v>2849</v>
      </c>
      <c r="C867" s="128" t="s">
        <v>1288</v>
      </c>
      <c r="D867" s="126" t="s">
        <v>2140</v>
      </c>
      <c r="E867" s="128" t="s">
        <v>3414</v>
      </c>
      <c r="F867" s="127" t="s">
        <v>306</v>
      </c>
      <c r="G867" s="136">
        <v>-22.2689375</v>
      </c>
      <c r="H867" s="113" t="str">
        <f t="shared" si="40"/>
        <v>OTHER</v>
      </c>
      <c r="I867" s="113" t="str">
        <f>INDEX('REGASSET Lookup'!$I:$I,MATCH('REGASSET Jun22data'!$A867,'REGASSET Lookup'!$A:$A,0))</f>
        <v>LABOR</v>
      </c>
      <c r="J867" s="113" t="str">
        <f t="shared" si="41"/>
        <v>NO</v>
      </c>
      <c r="K867"/>
    </row>
    <row r="868" spans="1:11">
      <c r="A868" s="114" t="str">
        <f t="shared" si="39"/>
        <v>1823999REGULATORY ASST-OTH186011DSM Reg Asset - Accruals - CAOTHER</v>
      </c>
      <c r="B868" s="126" t="s">
        <v>3013</v>
      </c>
      <c r="C868" s="128" t="s">
        <v>1419</v>
      </c>
      <c r="D868" s="126" t="s">
        <v>3014</v>
      </c>
      <c r="E868" s="128" t="s">
        <v>1421</v>
      </c>
      <c r="F868" s="127" t="s">
        <v>306</v>
      </c>
      <c r="G868" s="136">
        <v>180.63495374999999</v>
      </c>
      <c r="H868" s="113" t="str">
        <f t="shared" si="40"/>
        <v>OTHER</v>
      </c>
      <c r="I868" s="113" t="str">
        <f>INDEX('REGASSET Lookup'!$I:$I,MATCH('REGASSET Jun22data'!$A868,'REGASSET Lookup'!$A:$A,0))</f>
        <v>P</v>
      </c>
      <c r="J868" s="113" t="str">
        <f t="shared" si="41"/>
        <v>NO</v>
      </c>
      <c r="K868"/>
    </row>
    <row r="869" spans="1:11">
      <c r="A869" s="114" t="str">
        <f t="shared" si="39"/>
        <v>1823999REGULATORY ASST-OTH186015DSM Reg Asset - Balancing Acct - CAOTHER</v>
      </c>
      <c r="B869" s="126" t="s">
        <v>3013</v>
      </c>
      <c r="C869" s="128" t="s">
        <v>1419</v>
      </c>
      <c r="D869" s="126" t="s">
        <v>3015</v>
      </c>
      <c r="E869" s="128" t="s">
        <v>1422</v>
      </c>
      <c r="F869" s="127" t="s">
        <v>306</v>
      </c>
      <c r="G869" s="136">
        <v>-136.833419166667</v>
      </c>
      <c r="H869" s="113" t="str">
        <f t="shared" si="40"/>
        <v>OTHER</v>
      </c>
      <c r="I869" s="113" t="str">
        <f>INDEX('REGASSET Lookup'!$I:$I,MATCH('REGASSET Jun22data'!$A869,'REGASSET Lookup'!$A:$A,0))</f>
        <v>P</v>
      </c>
      <c r="J869" s="113" t="str">
        <f t="shared" si="41"/>
        <v>NO</v>
      </c>
      <c r="K869"/>
    </row>
    <row r="870" spans="1:11">
      <c r="A870" s="114" t="str">
        <f t="shared" si="39"/>
        <v>1823999REGULATORY ASST-OTH186021DSM Reg Asset - Accruals - IDOTHER</v>
      </c>
      <c r="B870" s="126" t="s">
        <v>3013</v>
      </c>
      <c r="C870" s="128" t="s">
        <v>1419</v>
      </c>
      <c r="D870" s="126" t="s">
        <v>3016</v>
      </c>
      <c r="E870" s="128" t="s">
        <v>1423</v>
      </c>
      <c r="F870" s="127" t="s">
        <v>306</v>
      </c>
      <c r="G870" s="136">
        <v>249.72076583333299</v>
      </c>
      <c r="H870" s="113" t="str">
        <f t="shared" si="40"/>
        <v>OTHER</v>
      </c>
      <c r="I870" s="113" t="str">
        <f>INDEX('REGASSET Lookup'!$I:$I,MATCH('REGASSET Jun22data'!$A870,'REGASSET Lookup'!$A:$A,0))</f>
        <v>P</v>
      </c>
      <c r="J870" s="113" t="str">
        <f t="shared" si="41"/>
        <v>NO</v>
      </c>
      <c r="K870"/>
    </row>
    <row r="871" spans="1:11">
      <c r="A871" s="114" t="str">
        <f t="shared" si="39"/>
        <v>1823999REGULATORY ASST-OTH186025DSM Reg Asset - Balancing Acct - IDOTHER</v>
      </c>
      <c r="B871" s="126" t="s">
        <v>3013</v>
      </c>
      <c r="C871" s="128" t="s">
        <v>1419</v>
      </c>
      <c r="D871" s="126" t="s">
        <v>3017</v>
      </c>
      <c r="E871" s="128" t="s">
        <v>1424</v>
      </c>
      <c r="F871" s="127" t="s">
        <v>306</v>
      </c>
      <c r="G871" s="136">
        <v>-661.114740416666</v>
      </c>
      <c r="H871" s="113" t="str">
        <f t="shared" si="40"/>
        <v>OTHER</v>
      </c>
      <c r="I871" s="113" t="str">
        <f>INDEX('REGASSET Lookup'!$I:$I,MATCH('REGASSET Jun22data'!$A871,'REGASSET Lookup'!$A:$A,0))</f>
        <v>P</v>
      </c>
      <c r="J871" s="113" t="str">
        <f t="shared" si="41"/>
        <v>NO</v>
      </c>
      <c r="K871"/>
    </row>
    <row r="872" spans="1:11">
      <c r="A872" s="114" t="str">
        <f t="shared" si="39"/>
        <v>1823999REGULATORY ASST-OTH186035DSM Reg Asset - Balancing Acct - OROTHER</v>
      </c>
      <c r="B872" s="126" t="s">
        <v>3013</v>
      </c>
      <c r="C872" s="128" t="s">
        <v>1419</v>
      </c>
      <c r="D872" s="126" t="s">
        <v>3018</v>
      </c>
      <c r="E872" s="128" t="s">
        <v>1425</v>
      </c>
      <c r="F872" s="127" t="s">
        <v>306</v>
      </c>
      <c r="G872" s="136">
        <v>262.38621000000001</v>
      </c>
      <c r="H872" s="113" t="str">
        <f t="shared" si="40"/>
        <v>OTHER</v>
      </c>
      <c r="I872" s="113" t="str">
        <f>INDEX('REGASSET Lookup'!$I:$I,MATCH('REGASSET Jun22data'!$A872,'REGASSET Lookup'!$A:$A,0))</f>
        <v>P</v>
      </c>
      <c r="J872" s="113" t="str">
        <f t="shared" si="41"/>
        <v>NO</v>
      </c>
      <c r="K872"/>
    </row>
    <row r="873" spans="1:11">
      <c r="A873" s="114" t="str">
        <f t="shared" si="39"/>
        <v>1823999REGULATORY ASST-OTH186041DSM Reg Asset - Accruals - UTOTHER</v>
      </c>
      <c r="B873" s="126" t="s">
        <v>3013</v>
      </c>
      <c r="C873" s="128" t="s">
        <v>1419</v>
      </c>
      <c r="D873" s="126" t="s">
        <v>3019</v>
      </c>
      <c r="E873" s="128" t="s">
        <v>1426</v>
      </c>
      <c r="F873" s="127" t="s">
        <v>306</v>
      </c>
      <c r="G873" s="136">
        <v>3347.9441520833302</v>
      </c>
      <c r="H873" s="113" t="str">
        <f t="shared" si="40"/>
        <v>OTHER</v>
      </c>
      <c r="I873" s="113" t="str">
        <f>INDEX('REGASSET Lookup'!$I:$I,MATCH('REGASSET Jun22data'!$A873,'REGASSET Lookup'!$A:$A,0))</f>
        <v>P</v>
      </c>
      <c r="J873" s="113" t="str">
        <f t="shared" si="41"/>
        <v>NO</v>
      </c>
      <c r="K873"/>
    </row>
    <row r="874" spans="1:11">
      <c r="A874" s="114" t="str">
        <f t="shared" si="39"/>
        <v>1823999REGULATORY ASST-OTH186045DSM Reg Asset - Balancing Acct - UTOTHER</v>
      </c>
      <c r="B874" s="126" t="s">
        <v>3013</v>
      </c>
      <c r="C874" s="128" t="s">
        <v>1419</v>
      </c>
      <c r="D874" s="126" t="s">
        <v>3020</v>
      </c>
      <c r="E874" s="128" t="s">
        <v>1427</v>
      </c>
      <c r="F874" s="127" t="s">
        <v>306</v>
      </c>
      <c r="G874" s="136">
        <v>-27863.580121666699</v>
      </c>
      <c r="H874" s="113" t="str">
        <f t="shared" si="40"/>
        <v>OTHER</v>
      </c>
      <c r="I874" s="113" t="str">
        <f>INDEX('REGASSET Lookup'!$I:$I,MATCH('REGASSET Jun22data'!$A874,'REGASSET Lookup'!$A:$A,0))</f>
        <v>P</v>
      </c>
      <c r="J874" s="113" t="str">
        <f t="shared" si="41"/>
        <v>NO</v>
      </c>
      <c r="K874"/>
    </row>
    <row r="875" spans="1:11">
      <c r="A875" s="114" t="str">
        <f t="shared" si="39"/>
        <v>1823999REGULATORY ASST-OTH186051DSM Reg Asset - Accruals - WAOTHER</v>
      </c>
      <c r="B875" s="126" t="s">
        <v>3013</v>
      </c>
      <c r="C875" s="128" t="s">
        <v>1419</v>
      </c>
      <c r="D875" s="126" t="s">
        <v>3021</v>
      </c>
      <c r="E875" s="128" t="s">
        <v>1428</v>
      </c>
      <c r="F875" s="127" t="s">
        <v>306</v>
      </c>
      <c r="G875" s="136">
        <v>1037.0360149999999</v>
      </c>
      <c r="H875" s="113" t="str">
        <f t="shared" si="40"/>
        <v>OTHER</v>
      </c>
      <c r="I875" s="113" t="str">
        <f>INDEX('REGASSET Lookup'!$I:$I,MATCH('REGASSET Jun22data'!$A875,'REGASSET Lookup'!$A:$A,0))</f>
        <v>P</v>
      </c>
      <c r="J875" s="113" t="str">
        <f t="shared" si="41"/>
        <v>NO</v>
      </c>
      <c r="K875"/>
    </row>
    <row r="876" spans="1:11">
      <c r="A876" s="114" t="str">
        <f t="shared" si="39"/>
        <v>1823999REGULATORY ASST-OTH186055DSM Reg Asset - Balancing Acct - WAOTHER</v>
      </c>
      <c r="B876" s="126" t="s">
        <v>3013</v>
      </c>
      <c r="C876" s="128" t="s">
        <v>1419</v>
      </c>
      <c r="D876" s="126" t="s">
        <v>3022</v>
      </c>
      <c r="E876" s="128" t="s">
        <v>1429</v>
      </c>
      <c r="F876" s="127" t="s">
        <v>306</v>
      </c>
      <c r="G876" s="136">
        <v>-4619.5736291666699</v>
      </c>
      <c r="H876" s="113" t="str">
        <f t="shared" si="40"/>
        <v>OTHER</v>
      </c>
      <c r="I876" s="113" t="str">
        <f>INDEX('REGASSET Lookup'!$I:$I,MATCH('REGASSET Jun22data'!$A876,'REGASSET Lookup'!$A:$A,0))</f>
        <v>P</v>
      </c>
      <c r="J876" s="113" t="str">
        <f t="shared" si="41"/>
        <v>NO</v>
      </c>
      <c r="K876"/>
    </row>
    <row r="877" spans="1:11">
      <c r="A877" s="114" t="str">
        <f t="shared" si="39"/>
        <v>1823999REGULATORY ASST-OTH186061DSM Reg Asset - Accruals - WYOTHER</v>
      </c>
      <c r="B877" s="126" t="s">
        <v>3013</v>
      </c>
      <c r="C877" s="128" t="s">
        <v>1419</v>
      </c>
      <c r="D877" s="126" t="s">
        <v>3023</v>
      </c>
      <c r="E877" s="128" t="s">
        <v>1430</v>
      </c>
      <c r="F877" s="127" t="s">
        <v>306</v>
      </c>
      <c r="G877" s="136">
        <v>238.91556666666699</v>
      </c>
      <c r="H877" s="113" t="str">
        <f t="shared" si="40"/>
        <v>OTHER</v>
      </c>
      <c r="I877" s="113" t="str">
        <f>INDEX('REGASSET Lookup'!$I:$I,MATCH('REGASSET Jun22data'!$A877,'REGASSET Lookup'!$A:$A,0))</f>
        <v>P</v>
      </c>
      <c r="J877" s="113" t="str">
        <f t="shared" si="41"/>
        <v>NO</v>
      </c>
      <c r="K877"/>
    </row>
    <row r="878" spans="1:11">
      <c r="A878" s="114" t="str">
        <f t="shared" si="39"/>
        <v>1823999REGULATORY ASST-OTH186065DSM Reg Asset - Balancing Acct - WYOTHER</v>
      </c>
      <c r="B878" s="126" t="s">
        <v>3013</v>
      </c>
      <c r="C878" s="128" t="s">
        <v>1419</v>
      </c>
      <c r="D878" s="126" t="s">
        <v>3024</v>
      </c>
      <c r="E878" s="128" t="s">
        <v>1431</v>
      </c>
      <c r="F878" s="127" t="s">
        <v>306</v>
      </c>
      <c r="G878" s="136">
        <v>-2190.6638033333302</v>
      </c>
      <c r="H878" s="113" t="str">
        <f t="shared" si="40"/>
        <v>OTHER</v>
      </c>
      <c r="I878" s="113" t="str">
        <f>INDEX('REGASSET Lookup'!$I:$I,MATCH('REGASSET Jun22data'!$A878,'REGASSET Lookup'!$A:$A,0))</f>
        <v>P</v>
      </c>
      <c r="J878" s="113" t="str">
        <f t="shared" si="41"/>
        <v>NO</v>
      </c>
      <c r="K878"/>
    </row>
    <row r="879" spans="1:11">
      <c r="A879" s="114" t="str">
        <f t="shared" si="39"/>
        <v>1823999REGULATORY ASST-OTH186071DSM Reg Asset - Accruals - WY Cat 1OTHER</v>
      </c>
      <c r="B879" s="126" t="s">
        <v>3013</v>
      </c>
      <c r="C879" s="128" t="s">
        <v>1419</v>
      </c>
      <c r="D879" s="126" t="s">
        <v>3025</v>
      </c>
      <c r="E879" s="128" t="s">
        <v>1750</v>
      </c>
      <c r="F879" s="127" t="s">
        <v>306</v>
      </c>
      <c r="G879" s="136">
        <v>207.09689041666701</v>
      </c>
      <c r="H879" s="113" t="str">
        <f t="shared" si="40"/>
        <v>OTHER</v>
      </c>
      <c r="I879" s="113" t="str">
        <f>INDEX('REGASSET Lookup'!$I:$I,MATCH('REGASSET Jun22data'!$A879,'REGASSET Lookup'!$A:$A,0))</f>
        <v>P</v>
      </c>
      <c r="J879" s="113" t="str">
        <f t="shared" si="41"/>
        <v>NO</v>
      </c>
      <c r="K879"/>
    </row>
    <row r="880" spans="1:11">
      <c r="A880" s="114" t="str">
        <f t="shared" si="39"/>
        <v>1823999REGULATORY ASST-OTH186075DSM Reg Asset-Balancing Acct-WY Cat 1OTHER</v>
      </c>
      <c r="B880" s="126" t="s">
        <v>3013</v>
      </c>
      <c r="C880" s="128" t="s">
        <v>1419</v>
      </c>
      <c r="D880" s="126" t="s">
        <v>3026</v>
      </c>
      <c r="E880" s="128" t="s">
        <v>1751</v>
      </c>
      <c r="F880" s="127" t="s">
        <v>306</v>
      </c>
      <c r="G880" s="136">
        <v>745.52746708333302</v>
      </c>
      <c r="H880" s="113" t="str">
        <f t="shared" si="40"/>
        <v>OTHER</v>
      </c>
      <c r="I880" s="113" t="str">
        <f>INDEX('REGASSET Lookup'!$I:$I,MATCH('REGASSET Jun22data'!$A880,'REGASSET Lookup'!$A:$A,0))</f>
        <v>P</v>
      </c>
      <c r="J880" s="113" t="str">
        <f t="shared" si="41"/>
        <v>NO</v>
      </c>
      <c r="K880"/>
    </row>
    <row r="881" spans="1:11">
      <c r="A881" s="114" t="str">
        <f t="shared" si="39"/>
        <v>1823999REGULATORY ASST-OTH186081DSM Reg Asset - Accruals - WY Cat 2OTHER</v>
      </c>
      <c r="B881" s="126" t="s">
        <v>3013</v>
      </c>
      <c r="C881" s="128" t="s">
        <v>1419</v>
      </c>
      <c r="D881" s="126" t="s">
        <v>3027</v>
      </c>
      <c r="E881" s="128" t="s">
        <v>1752</v>
      </c>
      <c r="F881" s="127" t="s">
        <v>306</v>
      </c>
      <c r="G881" s="136">
        <v>60.343777916666703</v>
      </c>
      <c r="H881" s="113" t="str">
        <f t="shared" si="40"/>
        <v>OTHER</v>
      </c>
      <c r="I881" s="113" t="str">
        <f>INDEX('REGASSET Lookup'!$I:$I,MATCH('REGASSET Jun22data'!$A881,'REGASSET Lookup'!$A:$A,0))</f>
        <v>P</v>
      </c>
      <c r="J881" s="113" t="str">
        <f t="shared" si="41"/>
        <v>NO</v>
      </c>
      <c r="K881"/>
    </row>
    <row r="882" spans="1:11">
      <c r="A882" s="114" t="str">
        <f t="shared" si="39"/>
        <v>1823999REGULATORY ASST-OTH186085DSM Reg Asset-Balancing Acct-WY Cat 2OTHER</v>
      </c>
      <c r="B882" s="126" t="s">
        <v>3013</v>
      </c>
      <c r="C882" s="128" t="s">
        <v>1419</v>
      </c>
      <c r="D882" s="126" t="s">
        <v>3028</v>
      </c>
      <c r="E882" s="128" t="s">
        <v>1753</v>
      </c>
      <c r="F882" s="127" t="s">
        <v>306</v>
      </c>
      <c r="G882" s="136">
        <v>-4665.80326625</v>
      </c>
      <c r="H882" s="113" t="str">
        <f t="shared" si="40"/>
        <v>OTHER</v>
      </c>
      <c r="I882" s="113" t="str">
        <f>INDEX('REGASSET Lookup'!$I:$I,MATCH('REGASSET Jun22data'!$A882,'REGASSET Lookup'!$A:$A,0))</f>
        <v>P</v>
      </c>
      <c r="J882" s="113" t="str">
        <f t="shared" si="41"/>
        <v>NO</v>
      </c>
      <c r="K882"/>
    </row>
  </sheetData>
  <autoFilter ref="A1:J882" xr:uid="{00000000-0009-0000-0000-000016000000}"/>
  <conditionalFormatting sqref="J2:J882">
    <cfRule type="cellIs" dxfId="3" priority="5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201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18.7109375" style="118" customWidth="1"/>
    <col min="2" max="2" width="18.7109375" style="127" customWidth="1"/>
    <col min="3" max="3" width="18.7109375" style="128" customWidth="1"/>
    <col min="4" max="4" width="18.7109375" style="127" customWidth="1"/>
    <col min="5" max="5" width="38.85546875" style="128" customWidth="1"/>
    <col min="6" max="6" width="18.7109375" style="127" customWidth="1"/>
    <col min="7" max="7" width="18.7109375" style="129" customWidth="1"/>
    <col min="8" max="8" width="18.7109375" style="274" customWidth="1"/>
    <col min="9" max="9" width="18.7109375" style="113" customWidth="1"/>
    <col min="10" max="10" width="18.7109375" style="115" customWidth="1"/>
    <col min="11" max="13" width="18.7109375" customWidth="1"/>
  </cols>
  <sheetData>
    <row r="1" spans="1:10">
      <c r="A1" s="118" t="s">
        <v>1672</v>
      </c>
      <c r="B1" s="127" t="s">
        <v>345</v>
      </c>
      <c r="C1" s="128" t="s">
        <v>346</v>
      </c>
      <c r="D1" s="127" t="s">
        <v>347</v>
      </c>
      <c r="E1" s="128" t="s">
        <v>348</v>
      </c>
      <c r="F1" s="127" t="s">
        <v>349</v>
      </c>
      <c r="G1" s="276" t="s">
        <v>350</v>
      </c>
      <c r="H1" s="117" t="s">
        <v>351</v>
      </c>
      <c r="I1" s="113" t="s">
        <v>352</v>
      </c>
      <c r="J1"/>
    </row>
    <row r="2" spans="1:10">
      <c r="A2" s="114" t="str">
        <f>CONCATENATE($B2,$C2,$D2,$E2,$H2)</f>
        <v>1823700OTH REGA-ENERGY WEST186801Reg Asset-Deer Creek-Elec Plt In SvcSE</v>
      </c>
      <c r="B2" s="127">
        <v>1823700</v>
      </c>
      <c r="C2" s="128" t="s">
        <v>590</v>
      </c>
      <c r="D2" s="127">
        <v>186801</v>
      </c>
      <c r="E2" s="128" t="s">
        <v>591</v>
      </c>
      <c r="F2" s="127" t="s">
        <v>85</v>
      </c>
      <c r="H2" s="117" t="str">
        <f>IF(OR(F2="IDU",F2="OR",F2="UT",F2="WYU",F2="WYP",F2="CA",F2="WA"),"SITUS",F2)</f>
        <v>SE</v>
      </c>
      <c r="I2" s="113" t="s">
        <v>68</v>
      </c>
      <c r="J2"/>
    </row>
    <row r="3" spans="1:10">
      <c r="A3" s="114" t="str">
        <f t="shared" ref="A3:A66" si="0">CONCATENATE($B3,$C3,$D3,$E3,$H3)</f>
        <v>1823700OTH REGA-ENERGY WEST186802Reg Asset-Deer Creek-EPIS IntangiblesSE</v>
      </c>
      <c r="B3" s="127">
        <v>1823700</v>
      </c>
      <c r="C3" s="128" t="s">
        <v>590</v>
      </c>
      <c r="D3" s="127">
        <v>186802</v>
      </c>
      <c r="E3" s="128" t="s">
        <v>592</v>
      </c>
      <c r="F3" s="127" t="s">
        <v>85</v>
      </c>
      <c r="H3" s="117" t="str">
        <f t="shared" ref="H3:H66" si="1">IF(OR(F3="IDU",F3="OR",F3="UT",F3="WYU",F3="WYP",F3="CA",F3="WA"),"SITUS",F3)</f>
        <v>SE</v>
      </c>
      <c r="I3" s="113" t="s">
        <v>68</v>
      </c>
      <c r="J3"/>
    </row>
    <row r="4" spans="1:10">
      <c r="A4" s="114" t="str">
        <f t="shared" si="0"/>
        <v>1823700OTH REGA-ENERGY WEST186805Reg Asset-Deer Creek-CWIPSE</v>
      </c>
      <c r="B4" s="127">
        <v>1823700</v>
      </c>
      <c r="C4" s="128" t="s">
        <v>590</v>
      </c>
      <c r="D4" s="127">
        <v>186805</v>
      </c>
      <c r="E4" s="128" t="s">
        <v>593</v>
      </c>
      <c r="F4" s="127" t="s">
        <v>85</v>
      </c>
      <c r="H4" s="117" t="str">
        <f t="shared" si="1"/>
        <v>SE</v>
      </c>
      <c r="I4" s="113" t="s">
        <v>68</v>
      </c>
      <c r="J4"/>
    </row>
    <row r="5" spans="1:10">
      <c r="A5" s="114" t="str">
        <f t="shared" si="0"/>
        <v>1823700OTH REGA-ENERGY WEST186806Reg Asset-Deer Creek-PS&amp;ISE</v>
      </c>
      <c r="B5" s="127">
        <v>1823700</v>
      </c>
      <c r="C5" s="128" t="s">
        <v>590</v>
      </c>
      <c r="D5" s="127">
        <v>186806</v>
      </c>
      <c r="E5" s="128" t="s">
        <v>594</v>
      </c>
      <c r="F5" s="127" t="s">
        <v>85</v>
      </c>
      <c r="H5" s="117" t="str">
        <f t="shared" si="1"/>
        <v>SE</v>
      </c>
      <c r="I5" s="113" t="s">
        <v>68</v>
      </c>
      <c r="J5"/>
    </row>
    <row r="6" spans="1:10">
      <c r="A6" s="114" t="str">
        <f t="shared" si="0"/>
        <v>1823700OTH REGA-ENERGY WEST186811Reg Asset-Deer Creek Sale-EPISSE</v>
      </c>
      <c r="B6" s="127">
        <v>1823700</v>
      </c>
      <c r="C6" s="128" t="s">
        <v>590</v>
      </c>
      <c r="D6" s="127">
        <v>186811</v>
      </c>
      <c r="E6" s="128" t="s">
        <v>595</v>
      </c>
      <c r="F6" s="127" t="s">
        <v>85</v>
      </c>
      <c r="H6" s="117" t="str">
        <f t="shared" si="1"/>
        <v>SE</v>
      </c>
      <c r="I6" s="113" t="s">
        <v>68</v>
      </c>
      <c r="J6"/>
    </row>
    <row r="7" spans="1:10">
      <c r="A7" s="114" t="str">
        <f t="shared" si="0"/>
        <v>1823700OTH REGA-ENERGY WEST186812Contra RA-DCM PP&amp;E-OR-To G/L Bal AcctSITUS</v>
      </c>
      <c r="B7" s="127">
        <v>1823700</v>
      </c>
      <c r="C7" s="128" t="s">
        <v>590</v>
      </c>
      <c r="D7" s="127">
        <v>186812</v>
      </c>
      <c r="E7" s="128" t="s">
        <v>596</v>
      </c>
      <c r="F7" s="127" t="s">
        <v>12</v>
      </c>
      <c r="H7" s="117" t="str">
        <f t="shared" si="1"/>
        <v>SITUS</v>
      </c>
      <c r="I7" s="113" t="s">
        <v>68</v>
      </c>
      <c r="J7"/>
    </row>
    <row r="8" spans="1:10">
      <c r="A8" s="114" t="str">
        <f t="shared" si="0"/>
        <v>1823700OTH REGA-ENERGY WEST186815Reg Asset-Deer Creek Sale-CWIPSE</v>
      </c>
      <c r="B8" s="127">
        <v>1823700</v>
      </c>
      <c r="C8" s="128" t="s">
        <v>590</v>
      </c>
      <c r="D8" s="127">
        <v>186815</v>
      </c>
      <c r="E8" s="128" t="s">
        <v>597</v>
      </c>
      <c r="F8" s="127" t="s">
        <v>85</v>
      </c>
      <c r="H8" s="117" t="str">
        <f t="shared" si="1"/>
        <v>SE</v>
      </c>
      <c r="I8" s="113" t="s">
        <v>68</v>
      </c>
      <c r="J8"/>
    </row>
    <row r="9" spans="1:10">
      <c r="A9" s="114" t="str">
        <f t="shared" si="0"/>
        <v>1823700OTH REGA-ENERGY WEST186816Contra RA-DCM PP&amp;E-To Joint OwnersSE</v>
      </c>
      <c r="B9" s="127">
        <v>1823700</v>
      </c>
      <c r="C9" s="128" t="s">
        <v>590</v>
      </c>
      <c r="D9" s="127">
        <v>186816</v>
      </c>
      <c r="E9" s="128" t="s">
        <v>598</v>
      </c>
      <c r="F9" s="127" t="s">
        <v>85</v>
      </c>
      <c r="H9" s="117" t="str">
        <f t="shared" si="1"/>
        <v>SE</v>
      </c>
      <c r="I9" s="113" t="s">
        <v>68</v>
      </c>
      <c r="J9"/>
    </row>
    <row r="10" spans="1:10">
      <c r="A10" s="114" t="str">
        <f t="shared" si="0"/>
        <v>1823700OTH REGA-ENERGY WEST186817Contra RA-DCM PP&amp;E-Amortz &amp; Oth AdjsSITUS</v>
      </c>
      <c r="B10" s="127">
        <v>1823700</v>
      </c>
      <c r="C10" s="128" t="s">
        <v>590</v>
      </c>
      <c r="D10" s="127">
        <v>186817</v>
      </c>
      <c r="E10" s="128" t="s">
        <v>599</v>
      </c>
      <c r="F10" s="127" t="s">
        <v>12</v>
      </c>
      <c r="H10" s="117" t="str">
        <f t="shared" si="1"/>
        <v>SITUS</v>
      </c>
      <c r="I10" s="113" t="s">
        <v>68</v>
      </c>
      <c r="J10"/>
    </row>
    <row r="11" spans="1:10">
      <c r="A11" s="114" t="str">
        <f t="shared" si="0"/>
        <v>1823700OTH REGA-ENERGY WEST186817Contra RA-DCM PP&amp;E-Amortz &amp; Oth AdjsSE</v>
      </c>
      <c r="B11" s="127">
        <v>1823700</v>
      </c>
      <c r="C11" s="128" t="s">
        <v>590</v>
      </c>
      <c r="D11" s="127">
        <v>186817</v>
      </c>
      <c r="E11" s="128" t="s">
        <v>599</v>
      </c>
      <c r="F11" s="127" t="s">
        <v>85</v>
      </c>
      <c r="H11" s="117" t="str">
        <f t="shared" si="1"/>
        <v>SE</v>
      </c>
      <c r="I11" s="113" t="s">
        <v>68</v>
      </c>
      <c r="J11"/>
    </row>
    <row r="12" spans="1:10">
      <c r="A12" s="114" t="str">
        <f t="shared" si="0"/>
        <v>1823700OTH REGA-ENERGY WEST186817Contra RA-DCM PP&amp;E-Amortz &amp; Oth AdjsSITUS</v>
      </c>
      <c r="B12" s="127">
        <v>1823700</v>
      </c>
      <c r="C12" s="128" t="s">
        <v>590</v>
      </c>
      <c r="D12" s="127">
        <v>186817</v>
      </c>
      <c r="E12" s="128" t="s">
        <v>599</v>
      </c>
      <c r="F12" s="127" t="s">
        <v>12</v>
      </c>
      <c r="H12" s="117" t="str">
        <f t="shared" si="1"/>
        <v>SITUS</v>
      </c>
      <c r="I12" s="113" t="s">
        <v>68</v>
      </c>
      <c r="J12"/>
    </row>
    <row r="13" spans="1:10">
      <c r="A13" s="114" t="str">
        <f t="shared" si="0"/>
        <v>1823700OTH REGA-ENERGY WEST186817Contra RA-DCM PP&amp;E-Amortz &amp; Oth AdjsSITUS</v>
      </c>
      <c r="B13" s="127">
        <v>1823700</v>
      </c>
      <c r="C13" s="128" t="s">
        <v>590</v>
      </c>
      <c r="D13" s="127">
        <v>186817</v>
      </c>
      <c r="E13" s="128" t="s">
        <v>599</v>
      </c>
      <c r="F13" s="127" t="s">
        <v>12</v>
      </c>
      <c r="H13" s="117" t="str">
        <f t="shared" si="1"/>
        <v>SITUS</v>
      </c>
      <c r="I13" s="113" t="s">
        <v>68</v>
      </c>
      <c r="J13"/>
    </row>
    <row r="14" spans="1:10">
      <c r="A14" s="114" t="str">
        <f t="shared" si="0"/>
        <v>1823700OTH REGA-ENERGY WEST186817Contra RA-DCM PP&amp;E-Amortz &amp; Oth AdjsSITUS</v>
      </c>
      <c r="B14" s="127">
        <v>1823700</v>
      </c>
      <c r="C14" s="128" t="s">
        <v>590</v>
      </c>
      <c r="D14" s="127">
        <v>186817</v>
      </c>
      <c r="E14" s="128" t="s">
        <v>599</v>
      </c>
      <c r="F14" s="127" t="s">
        <v>12</v>
      </c>
      <c r="H14" s="117" t="str">
        <f t="shared" si="1"/>
        <v>SITUS</v>
      </c>
      <c r="I14" s="113" t="s">
        <v>68</v>
      </c>
      <c r="J14"/>
    </row>
    <row r="15" spans="1:10">
      <c r="A15" s="114" t="str">
        <f t="shared" si="0"/>
        <v>1823700OTH REGA-ENERGY WEST186817Contra RA-DCM PP&amp;E-Amortz &amp; Oth AdjsSITUS</v>
      </c>
      <c r="B15" s="127">
        <v>1823700</v>
      </c>
      <c r="C15" s="128" t="s">
        <v>590</v>
      </c>
      <c r="D15" s="127">
        <v>186817</v>
      </c>
      <c r="E15" s="128" t="s">
        <v>599</v>
      </c>
      <c r="F15" s="127" t="s">
        <v>12</v>
      </c>
      <c r="H15" s="117" t="str">
        <f t="shared" si="1"/>
        <v>SITUS</v>
      </c>
      <c r="I15" s="113" t="s">
        <v>68</v>
      </c>
      <c r="J15"/>
    </row>
    <row r="16" spans="1:10">
      <c r="A16" s="114" t="str">
        <f t="shared" si="0"/>
        <v>1823700OTH REGA-ENERGY WEST186820Reg Asset-Deer Creek Mine AROSE</v>
      </c>
      <c r="B16" s="127">
        <v>1823700</v>
      </c>
      <c r="C16" s="128" t="s">
        <v>590</v>
      </c>
      <c r="D16" s="127">
        <v>186820</v>
      </c>
      <c r="E16" s="128" t="s">
        <v>600</v>
      </c>
      <c r="F16" s="127" t="s">
        <v>85</v>
      </c>
      <c r="H16" s="117" t="str">
        <f t="shared" si="1"/>
        <v>SE</v>
      </c>
      <c r="I16" s="113" t="s">
        <v>68</v>
      </c>
      <c r="J16"/>
    </row>
    <row r="17" spans="1:10">
      <c r="A17" s="114" t="str">
        <f t="shared" si="0"/>
        <v>1823700OTH REGA-ENERGY WEST186825Reg Asset-Deer Creek Mine M&amp;SSE</v>
      </c>
      <c r="B17" s="127">
        <v>1823700</v>
      </c>
      <c r="C17" s="128" t="s">
        <v>590</v>
      </c>
      <c r="D17" s="127">
        <v>186825</v>
      </c>
      <c r="E17" s="128" t="s">
        <v>601</v>
      </c>
      <c r="F17" s="127" t="s">
        <v>85</v>
      </c>
      <c r="H17" s="117" t="str">
        <f t="shared" si="1"/>
        <v>SE</v>
      </c>
      <c r="I17" s="113" t="s">
        <v>68</v>
      </c>
      <c r="J17"/>
    </row>
    <row r="18" spans="1:10">
      <c r="A18" s="114" t="str">
        <f t="shared" si="0"/>
        <v>1823700OTH REGA-ENERGY WEST186826Reg Asset-Deer Creek-Prepaid RoyaltiesSE</v>
      </c>
      <c r="B18" s="127">
        <v>1823700</v>
      </c>
      <c r="C18" s="128" t="s">
        <v>590</v>
      </c>
      <c r="D18" s="127">
        <v>186826</v>
      </c>
      <c r="E18" s="128" t="s">
        <v>602</v>
      </c>
      <c r="F18" s="127" t="s">
        <v>85</v>
      </c>
      <c r="H18" s="117" t="str">
        <f t="shared" si="1"/>
        <v>SE</v>
      </c>
      <c r="I18" s="113" t="s">
        <v>68</v>
      </c>
      <c r="J18"/>
    </row>
    <row r="19" spans="1:10">
      <c r="A19" s="114" t="str">
        <f t="shared" si="0"/>
        <v>1823700OTH REGA-ENERGY WEST186828Reg Asset-Deer Creek-Recovery RoyaltiesSE</v>
      </c>
      <c r="B19" s="127">
        <v>1823700</v>
      </c>
      <c r="C19" s="128" t="s">
        <v>590</v>
      </c>
      <c r="D19" s="127">
        <v>186828</v>
      </c>
      <c r="E19" s="128" t="s">
        <v>603</v>
      </c>
      <c r="F19" s="127" t="s">
        <v>85</v>
      </c>
      <c r="H19" s="117" t="str">
        <f t="shared" si="1"/>
        <v>SE</v>
      </c>
      <c r="I19" s="113" t="s">
        <v>68</v>
      </c>
      <c r="J19"/>
    </row>
    <row r="20" spans="1:10">
      <c r="A20" s="114" t="str">
        <f t="shared" si="0"/>
        <v>1823700OTH REGA-ENERGY WEST186830Reg Asset-Deer Creek-Union Suppl BenSE</v>
      </c>
      <c r="B20" s="127">
        <v>1823700</v>
      </c>
      <c r="C20" s="128" t="s">
        <v>590</v>
      </c>
      <c r="D20" s="127">
        <v>186830</v>
      </c>
      <c r="E20" s="128" t="s">
        <v>604</v>
      </c>
      <c r="F20" s="127" t="s">
        <v>85</v>
      </c>
      <c r="H20" s="117" t="str">
        <f t="shared" si="1"/>
        <v>SE</v>
      </c>
      <c r="I20" s="113" t="s">
        <v>68</v>
      </c>
      <c r="J20"/>
    </row>
    <row r="21" spans="1:10">
      <c r="A21" s="114" t="str">
        <f t="shared" si="0"/>
        <v>1823700OTH REGA-ENERGY WEST186833Reg Asset-Deer Creek-Nonunion SeveranceSE</v>
      </c>
      <c r="B21" s="127">
        <v>1823700</v>
      </c>
      <c r="C21" s="128" t="s">
        <v>590</v>
      </c>
      <c r="D21" s="127">
        <v>186833</v>
      </c>
      <c r="E21" s="128" t="s">
        <v>605</v>
      </c>
      <c r="F21" s="127" t="s">
        <v>85</v>
      </c>
      <c r="H21" s="117" t="str">
        <f t="shared" si="1"/>
        <v>SE</v>
      </c>
      <c r="I21" s="113" t="s">
        <v>68</v>
      </c>
      <c r="J21"/>
    </row>
    <row r="22" spans="1:10">
      <c r="A22" s="114" t="str">
        <f t="shared" si="0"/>
        <v>1823700OTH REGA-ENERGY WEST186835Reg Asset-Deer Creek-Misc Closure CostsSE</v>
      </c>
      <c r="B22" s="127">
        <v>1823700</v>
      </c>
      <c r="C22" s="128" t="s">
        <v>590</v>
      </c>
      <c r="D22" s="127">
        <v>186835</v>
      </c>
      <c r="E22" s="128" t="s">
        <v>606</v>
      </c>
      <c r="F22" s="127" t="s">
        <v>85</v>
      </c>
      <c r="H22" s="117" t="str">
        <f t="shared" si="1"/>
        <v>SE</v>
      </c>
      <c r="I22" s="113" t="s">
        <v>68</v>
      </c>
      <c r="J22"/>
    </row>
    <row r="23" spans="1:10">
      <c r="A23" s="114" t="str">
        <f t="shared" si="0"/>
        <v>1823700OTH REGA-ENERGY WEST186836Contra RA-DCM Closure-To Joint OwnersSE</v>
      </c>
      <c r="B23" s="127">
        <v>1823700</v>
      </c>
      <c r="C23" s="128" t="s">
        <v>590</v>
      </c>
      <c r="D23" s="127">
        <v>186836</v>
      </c>
      <c r="E23" s="128" t="s">
        <v>607</v>
      </c>
      <c r="F23" s="127" t="s">
        <v>85</v>
      </c>
      <c r="H23" s="117" t="str">
        <f t="shared" si="1"/>
        <v>SE</v>
      </c>
      <c r="I23" s="113" t="s">
        <v>68</v>
      </c>
      <c r="J23"/>
    </row>
    <row r="24" spans="1:10">
      <c r="A24" s="114" t="str">
        <f t="shared" si="0"/>
        <v>1823700OTH REGA-ENERGY WEST186837Contra RA-DCM Closure-Amortz &amp; Oth AdjsSITUS</v>
      </c>
      <c r="B24" s="127">
        <v>1823700</v>
      </c>
      <c r="C24" s="128" t="s">
        <v>590</v>
      </c>
      <c r="D24" s="127">
        <v>186837</v>
      </c>
      <c r="E24" s="128" t="s">
        <v>608</v>
      </c>
      <c r="F24" s="127" t="s">
        <v>12</v>
      </c>
      <c r="H24" s="117" t="str">
        <f t="shared" si="1"/>
        <v>SITUS</v>
      </c>
      <c r="I24" s="113" t="s">
        <v>68</v>
      </c>
      <c r="J24"/>
    </row>
    <row r="25" spans="1:10">
      <c r="A25" s="114" t="str">
        <f t="shared" si="0"/>
        <v>1823700OTH REGA-ENERGY WEST186837Contra RA-DCM Closure-Amortz &amp; Oth AdjsSITUS</v>
      </c>
      <c r="B25" s="127">
        <v>1823700</v>
      </c>
      <c r="C25" s="128" t="s">
        <v>590</v>
      </c>
      <c r="D25" s="127">
        <v>186837</v>
      </c>
      <c r="E25" s="128" t="s">
        <v>608</v>
      </c>
      <c r="F25" s="127" t="s">
        <v>12</v>
      </c>
      <c r="H25" s="117" t="str">
        <f t="shared" si="1"/>
        <v>SITUS</v>
      </c>
      <c r="I25" s="113" t="s">
        <v>68</v>
      </c>
      <c r="J25"/>
    </row>
    <row r="26" spans="1:10">
      <c r="A26" s="114" t="str">
        <f t="shared" si="0"/>
        <v>1823700OTH REGA-ENERGY WEST186839Reg Asset-Deer Creek-Tax Flow-ThroughSE</v>
      </c>
      <c r="B26" s="127">
        <v>1823700</v>
      </c>
      <c r="C26" s="128" t="s">
        <v>590</v>
      </c>
      <c r="D26" s="127">
        <v>186839</v>
      </c>
      <c r="E26" s="128" t="s">
        <v>609</v>
      </c>
      <c r="F26" s="127" t="s">
        <v>85</v>
      </c>
      <c r="H26" s="117" t="str">
        <f t="shared" si="1"/>
        <v>SE</v>
      </c>
      <c r="I26" s="113" t="s">
        <v>68</v>
      </c>
      <c r="J26"/>
    </row>
    <row r="27" spans="1:10">
      <c r="A27" s="114" t="str">
        <f t="shared" si="0"/>
        <v>1823700OTH REGA-ENERGY WEST186841Contra Reg Asset-Deer Creek Aband-CASITUS</v>
      </c>
      <c r="B27" s="127">
        <v>1823700</v>
      </c>
      <c r="C27" s="128" t="s">
        <v>590</v>
      </c>
      <c r="D27" s="127">
        <v>186841</v>
      </c>
      <c r="E27" s="128" t="s">
        <v>610</v>
      </c>
      <c r="F27" s="127" t="s">
        <v>12</v>
      </c>
      <c r="H27" s="117" t="str">
        <f t="shared" si="1"/>
        <v>SITUS</v>
      </c>
      <c r="I27" s="113" t="s">
        <v>68</v>
      </c>
      <c r="J27"/>
    </row>
    <row r="28" spans="1:10">
      <c r="A28" s="114" t="str">
        <f t="shared" si="0"/>
        <v>1823700OTH REGA-ENERGY WEST186844Contra Reg Asset-Deer Creek Aband-UTSITUS</v>
      </c>
      <c r="B28" s="127">
        <v>1823700</v>
      </c>
      <c r="C28" s="128" t="s">
        <v>590</v>
      </c>
      <c r="D28" s="127">
        <v>186844</v>
      </c>
      <c r="E28" s="128" t="s">
        <v>611</v>
      </c>
      <c r="F28" s="127" t="s">
        <v>12</v>
      </c>
      <c r="H28" s="117" t="str">
        <f t="shared" si="1"/>
        <v>SITUS</v>
      </c>
      <c r="I28" s="113" t="s">
        <v>68</v>
      </c>
      <c r="J28"/>
    </row>
    <row r="29" spans="1:10">
      <c r="A29" s="114" t="str">
        <f t="shared" si="0"/>
        <v>1823700OTH REGA-ENERGY WEST186845Contra Reg Asset-Deer Creek Aband-WASITUS</v>
      </c>
      <c r="B29" s="127">
        <v>1823700</v>
      </c>
      <c r="C29" s="128" t="s">
        <v>590</v>
      </c>
      <c r="D29" s="127">
        <v>186845</v>
      </c>
      <c r="E29" s="128" t="s">
        <v>612</v>
      </c>
      <c r="F29" s="127" t="s">
        <v>12</v>
      </c>
      <c r="H29" s="117" t="str">
        <f t="shared" si="1"/>
        <v>SITUS</v>
      </c>
      <c r="I29" s="113" t="s">
        <v>68</v>
      </c>
      <c r="J29"/>
    </row>
    <row r="30" spans="1:10">
      <c r="A30" s="114" t="str">
        <f t="shared" si="0"/>
        <v>1823700OTH REGA-ENERGY WEST186846Contra Reg Asset-Deer Creek Aband-WYSITUS</v>
      </c>
      <c r="B30" s="127">
        <v>1823700</v>
      </c>
      <c r="C30" s="128" t="s">
        <v>590</v>
      </c>
      <c r="D30" s="127">
        <v>186846</v>
      </c>
      <c r="E30" s="128" t="s">
        <v>613</v>
      </c>
      <c r="F30" s="127" t="s">
        <v>12</v>
      </c>
      <c r="H30" s="117" t="str">
        <f t="shared" si="1"/>
        <v>SITUS</v>
      </c>
      <c r="I30" s="113" t="s">
        <v>68</v>
      </c>
      <c r="J30"/>
    </row>
    <row r="31" spans="1:10">
      <c r="A31" s="114" t="str">
        <f t="shared" si="0"/>
        <v>1823700OTH REGA-ENERGY WEST186851Contra Reg Asset-Deer Creek Closure-CASITUS</v>
      </c>
      <c r="B31" s="127">
        <v>1823700</v>
      </c>
      <c r="C31" s="128" t="s">
        <v>590</v>
      </c>
      <c r="D31" s="127">
        <v>186851</v>
      </c>
      <c r="E31" s="128" t="s">
        <v>614</v>
      </c>
      <c r="F31" s="127" t="s">
        <v>12</v>
      </c>
      <c r="H31" s="117" t="str">
        <f t="shared" si="1"/>
        <v>SITUS</v>
      </c>
      <c r="I31" s="113" t="s">
        <v>68</v>
      </c>
      <c r="J31"/>
    </row>
    <row r="32" spans="1:10">
      <c r="A32" s="114" t="str">
        <f t="shared" si="0"/>
        <v>1823700OTH REGA-ENERGY WEST186852CONTRA REG ASSET-DEER CREEK CLOSURE-IDSITUS</v>
      </c>
      <c r="B32" s="127">
        <v>1823700</v>
      </c>
      <c r="C32" s="128" t="s">
        <v>590</v>
      </c>
      <c r="D32" s="127">
        <v>186852</v>
      </c>
      <c r="E32" s="128" t="s">
        <v>615</v>
      </c>
      <c r="F32" s="127" t="s">
        <v>12</v>
      </c>
      <c r="H32" s="117" t="str">
        <f t="shared" si="1"/>
        <v>SITUS</v>
      </c>
      <c r="I32" s="113" t="s">
        <v>68</v>
      </c>
      <c r="J32"/>
    </row>
    <row r="33" spans="1:10">
      <c r="A33" s="114" t="str">
        <f t="shared" si="0"/>
        <v>1823700OTH REGA-ENERGY WEST186853Contra Reg Asset-Deer Creek Closure-ORSITUS</v>
      </c>
      <c r="B33" s="127">
        <v>1823700</v>
      </c>
      <c r="C33" s="128" t="s">
        <v>590</v>
      </c>
      <c r="D33" s="127">
        <v>186853</v>
      </c>
      <c r="E33" s="128" t="s">
        <v>616</v>
      </c>
      <c r="F33" s="127" t="s">
        <v>12</v>
      </c>
      <c r="H33" s="117" t="str">
        <f t="shared" si="1"/>
        <v>SITUS</v>
      </c>
      <c r="I33" s="113" t="s">
        <v>68</v>
      </c>
      <c r="J33"/>
    </row>
    <row r="34" spans="1:10">
      <c r="A34" s="114" t="str">
        <f t="shared" si="0"/>
        <v>1823700OTH REGA-ENERGY WEST186854CONTRA REG ASSET-DEER CREEK CLOSURE-UTSITUS</v>
      </c>
      <c r="B34" s="127">
        <v>1823700</v>
      </c>
      <c r="C34" s="128" t="s">
        <v>590</v>
      </c>
      <c r="D34" s="127">
        <v>186854</v>
      </c>
      <c r="E34" s="128" t="s">
        <v>617</v>
      </c>
      <c r="F34" s="127" t="s">
        <v>12</v>
      </c>
      <c r="H34" s="117" t="str">
        <f t="shared" si="1"/>
        <v>SITUS</v>
      </c>
      <c r="I34" s="113" t="s">
        <v>68</v>
      </c>
      <c r="J34"/>
    </row>
    <row r="35" spans="1:10">
      <c r="A35" s="114" t="str">
        <f t="shared" si="0"/>
        <v>1823700OTH REGA-ENERGY WEST186855Contra Reg Asset-Deer Creek Closure-WASITUS</v>
      </c>
      <c r="B35" s="127">
        <v>1823700</v>
      </c>
      <c r="C35" s="128" t="s">
        <v>590</v>
      </c>
      <c r="D35" s="127">
        <v>186855</v>
      </c>
      <c r="E35" s="128" t="s">
        <v>618</v>
      </c>
      <c r="F35" s="127" t="s">
        <v>12</v>
      </c>
      <c r="H35" s="117" t="str">
        <f t="shared" si="1"/>
        <v>SITUS</v>
      </c>
      <c r="I35" s="113" t="s">
        <v>68</v>
      </c>
      <c r="J35"/>
    </row>
    <row r="36" spans="1:10">
      <c r="A36" s="114" t="str">
        <f t="shared" si="0"/>
        <v>1823700OTH REGA-ENERGY WEST186856CONTRA REG ASSET-DEER CREEK CLOSURE-WYSITUS</v>
      </c>
      <c r="B36" s="127">
        <v>1823700</v>
      </c>
      <c r="C36" s="128" t="s">
        <v>590</v>
      </c>
      <c r="D36" s="127">
        <v>186856</v>
      </c>
      <c r="E36" s="128" t="s">
        <v>619</v>
      </c>
      <c r="F36" s="127" t="s">
        <v>12</v>
      </c>
      <c r="H36" s="117" t="str">
        <f t="shared" si="1"/>
        <v>SITUS</v>
      </c>
      <c r="I36" s="113" t="s">
        <v>68</v>
      </c>
      <c r="J36"/>
    </row>
    <row r="37" spans="1:10">
      <c r="A37" s="114" t="str">
        <f t="shared" si="0"/>
        <v>1823700OTH REGA-ENERGY WEST186860RA-Deer Creek-ROR Offset-Assets SoldSITUS</v>
      </c>
      <c r="B37" s="127">
        <v>1823700</v>
      </c>
      <c r="C37" s="128" t="s">
        <v>590</v>
      </c>
      <c r="D37" s="127">
        <v>186860</v>
      </c>
      <c r="E37" s="128" t="s">
        <v>620</v>
      </c>
      <c r="F37" s="127" t="s">
        <v>12</v>
      </c>
      <c r="H37" s="117" t="str">
        <f t="shared" si="1"/>
        <v>SITUS</v>
      </c>
      <c r="I37" s="113" t="s">
        <v>68</v>
      </c>
      <c r="J37"/>
    </row>
    <row r="38" spans="1:10">
      <c r="A38" s="114" t="str">
        <f t="shared" si="0"/>
        <v>1823700OTH REGA-ENERGY WEST186860RA-Deer Creek-ROR Offset-Assets SoldSITUS</v>
      </c>
      <c r="B38" s="127">
        <v>1823700</v>
      </c>
      <c r="C38" s="128" t="s">
        <v>590</v>
      </c>
      <c r="D38" s="127">
        <v>186860</v>
      </c>
      <c r="E38" s="128" t="s">
        <v>620</v>
      </c>
      <c r="F38" s="127" t="s">
        <v>12</v>
      </c>
      <c r="H38" s="117" t="str">
        <f t="shared" si="1"/>
        <v>SITUS</v>
      </c>
      <c r="I38" s="113" t="s">
        <v>68</v>
      </c>
      <c r="J38"/>
    </row>
    <row r="39" spans="1:10">
      <c r="A39" s="114" t="str">
        <f t="shared" si="0"/>
        <v>1823700OTH REGA-ENERGY WEST186861RA-Deer Creek-ROR Offset-Fuel InventorySITUS</v>
      </c>
      <c r="B39" s="127">
        <v>1823700</v>
      </c>
      <c r="C39" s="128" t="s">
        <v>590</v>
      </c>
      <c r="D39" s="127">
        <v>186861</v>
      </c>
      <c r="E39" s="128" t="s">
        <v>621</v>
      </c>
      <c r="F39" s="127" t="s">
        <v>12</v>
      </c>
      <c r="H39" s="117" t="str">
        <f t="shared" si="1"/>
        <v>SITUS</v>
      </c>
      <c r="I39" s="113" t="s">
        <v>68</v>
      </c>
      <c r="J39"/>
    </row>
    <row r="40" spans="1:10">
      <c r="A40" s="114" t="str">
        <f t="shared" si="0"/>
        <v>1823700OTH REGA-ENERGY WEST186861RA-Deer Creek-ROR Offset-Fuel InventorySITUS</v>
      </c>
      <c r="B40" s="127">
        <v>1823700</v>
      </c>
      <c r="C40" s="128" t="s">
        <v>590</v>
      </c>
      <c r="D40" s="127">
        <v>186861</v>
      </c>
      <c r="E40" s="128" t="s">
        <v>621</v>
      </c>
      <c r="F40" s="127" t="s">
        <v>12</v>
      </c>
      <c r="H40" s="117" t="str">
        <f t="shared" si="1"/>
        <v>SITUS</v>
      </c>
      <c r="I40" s="113" t="s">
        <v>68</v>
      </c>
      <c r="J40"/>
    </row>
    <row r="41" spans="1:10">
      <c r="A41" s="114" t="str">
        <f t="shared" si="0"/>
        <v>1823700OTH REGA-ENERGY WEST186861RA-Deer Creek-ROR Offset-Fuel InventorySITUS</v>
      </c>
      <c r="B41" s="127">
        <v>1823700</v>
      </c>
      <c r="C41" s="128" t="s">
        <v>590</v>
      </c>
      <c r="D41" s="127">
        <v>186861</v>
      </c>
      <c r="E41" s="128" t="s">
        <v>621</v>
      </c>
      <c r="F41" s="127" t="s">
        <v>12</v>
      </c>
      <c r="H41" s="117" t="str">
        <f t="shared" si="1"/>
        <v>SITUS</v>
      </c>
      <c r="I41" s="113" t="s">
        <v>68</v>
      </c>
      <c r="J41"/>
    </row>
    <row r="42" spans="1:10">
      <c r="A42" s="114" t="str">
        <f t="shared" si="0"/>
        <v>1823700OTH REGA-ENERGY WEST186862RA-Deer Creek-ROR Offset-Fossil RockSITUS</v>
      </c>
      <c r="B42" s="127">
        <v>1823700</v>
      </c>
      <c r="C42" s="128" t="s">
        <v>590</v>
      </c>
      <c r="D42" s="127">
        <v>186862</v>
      </c>
      <c r="E42" s="128" t="s">
        <v>622</v>
      </c>
      <c r="F42" s="127" t="s">
        <v>12</v>
      </c>
      <c r="H42" s="117" t="str">
        <f t="shared" si="1"/>
        <v>SITUS</v>
      </c>
      <c r="I42" s="113" t="s">
        <v>68</v>
      </c>
      <c r="J42"/>
    </row>
    <row r="43" spans="1:10">
      <c r="A43" s="114" t="str">
        <f t="shared" si="0"/>
        <v>1823700OTH REGA-ENERGY WEST186862RA-Deer Creek-ROR Offset-Fossil RockSITUS</v>
      </c>
      <c r="B43" s="127">
        <v>1823700</v>
      </c>
      <c r="C43" s="128" t="s">
        <v>590</v>
      </c>
      <c r="D43" s="127">
        <v>186862</v>
      </c>
      <c r="E43" s="128" t="s">
        <v>622</v>
      </c>
      <c r="F43" s="127" t="s">
        <v>12</v>
      </c>
      <c r="H43" s="117" t="str">
        <f t="shared" si="1"/>
        <v>SITUS</v>
      </c>
      <c r="I43" s="113" t="s">
        <v>68</v>
      </c>
      <c r="J43"/>
    </row>
    <row r="44" spans="1:10">
      <c r="A44" s="114" t="str">
        <f t="shared" si="0"/>
        <v>1823700OTH REGA-ENERGY WEST186863RA-Deer Creek-ROR Offset-Note Intrst-IDSITUS</v>
      </c>
      <c r="B44" s="127">
        <v>1823700</v>
      </c>
      <c r="C44" s="128" t="s">
        <v>590</v>
      </c>
      <c r="D44" s="127">
        <v>186863</v>
      </c>
      <c r="E44" s="128" t="s">
        <v>623</v>
      </c>
      <c r="F44" s="127" t="s">
        <v>12</v>
      </c>
      <c r="H44" s="117" t="str">
        <f t="shared" si="1"/>
        <v>SITUS</v>
      </c>
      <c r="I44" s="113" t="s">
        <v>68</v>
      </c>
      <c r="J44"/>
    </row>
    <row r="45" spans="1:10">
      <c r="A45" s="114" t="str">
        <f t="shared" si="0"/>
        <v>1823700OTH REGA-ENERGY WEST186870RA-DC ROR Offset-Assets Sold-AmortzSITUS</v>
      </c>
      <c r="B45" s="127">
        <v>1823700</v>
      </c>
      <c r="C45" s="128" t="s">
        <v>590</v>
      </c>
      <c r="D45" s="127">
        <v>186870</v>
      </c>
      <c r="E45" s="128" t="s">
        <v>624</v>
      </c>
      <c r="F45" s="127" t="s">
        <v>12</v>
      </c>
      <c r="H45" s="117" t="str">
        <f t="shared" si="1"/>
        <v>SITUS</v>
      </c>
      <c r="I45" s="113" t="s">
        <v>68</v>
      </c>
      <c r="J45"/>
    </row>
    <row r="46" spans="1:10">
      <c r="A46" s="114" t="str">
        <f t="shared" si="0"/>
        <v>1823700OTH REGA-ENERGY WEST186871RA-DC ROR Offset-Fuel Inventory-AmortzSITUS</v>
      </c>
      <c r="B46" s="127">
        <v>1823700</v>
      </c>
      <c r="C46" s="128" t="s">
        <v>590</v>
      </c>
      <c r="D46" s="127">
        <v>186871</v>
      </c>
      <c r="E46" s="128" t="s">
        <v>625</v>
      </c>
      <c r="F46" s="127" t="s">
        <v>12</v>
      </c>
      <c r="H46" s="117" t="str">
        <f t="shared" si="1"/>
        <v>SITUS</v>
      </c>
      <c r="I46" s="113" t="s">
        <v>68</v>
      </c>
      <c r="J46"/>
    </row>
    <row r="47" spans="1:10">
      <c r="A47" s="114" t="str">
        <f t="shared" si="0"/>
        <v>1823700OTH REGA-ENERGY WEST186872RA-DC ROR Offset-Fossil Rock-AmortzSITUS</v>
      </c>
      <c r="B47" s="127">
        <v>1823700</v>
      </c>
      <c r="C47" s="128" t="s">
        <v>590</v>
      </c>
      <c r="D47" s="127">
        <v>186872</v>
      </c>
      <c r="E47" s="128" t="s">
        <v>626</v>
      </c>
      <c r="F47" s="127" t="s">
        <v>12</v>
      </c>
      <c r="H47" s="117" t="str">
        <f t="shared" si="1"/>
        <v>SITUS</v>
      </c>
      <c r="I47" s="113" t="s">
        <v>68</v>
      </c>
      <c r="J47"/>
    </row>
    <row r="48" spans="1:10">
      <c r="A48" s="114" t="str">
        <f t="shared" si="0"/>
        <v>1823700OTH REGA-ENERGY WEST186881Reg Asset-UMWA Pension Trust ObligSE</v>
      </c>
      <c r="B48" s="127">
        <v>1823700</v>
      </c>
      <c r="C48" s="128" t="s">
        <v>590</v>
      </c>
      <c r="D48" s="127">
        <v>186881</v>
      </c>
      <c r="E48" s="128" t="s">
        <v>627</v>
      </c>
      <c r="F48" s="127" t="s">
        <v>85</v>
      </c>
      <c r="H48" s="117" t="str">
        <f t="shared" si="1"/>
        <v>SE</v>
      </c>
      <c r="I48" s="113" t="s">
        <v>68</v>
      </c>
      <c r="J48"/>
    </row>
    <row r="49" spans="1:10">
      <c r="A49" s="114" t="str">
        <f t="shared" si="0"/>
        <v>1823700OTH REGA-ENERGY WEST186886Contra RA-UMWA Pens W/D-To Joint OwnersOTHER</v>
      </c>
      <c r="B49" s="127">
        <v>1823700</v>
      </c>
      <c r="C49" s="128" t="s">
        <v>590</v>
      </c>
      <c r="D49" s="127">
        <v>186886</v>
      </c>
      <c r="E49" s="128" t="s">
        <v>628</v>
      </c>
      <c r="F49" s="127" t="s">
        <v>306</v>
      </c>
      <c r="H49" s="117" t="str">
        <f t="shared" si="1"/>
        <v>OTHER</v>
      </c>
      <c r="I49" s="113" t="s">
        <v>68</v>
      </c>
      <c r="J49"/>
    </row>
    <row r="50" spans="1:10">
      <c r="A50" s="114" t="str">
        <f t="shared" si="0"/>
        <v>1823700OTH REGA-ENERGY WEST186891Contra Reg Asset-UMWA Pension Trust-CAOTHER</v>
      </c>
      <c r="B50" s="127">
        <v>1823700</v>
      </c>
      <c r="C50" s="128" t="s">
        <v>590</v>
      </c>
      <c r="D50" s="127">
        <v>186891</v>
      </c>
      <c r="E50" s="128" t="s">
        <v>629</v>
      </c>
      <c r="F50" s="127" t="s">
        <v>306</v>
      </c>
      <c r="H50" s="117" t="str">
        <f t="shared" si="1"/>
        <v>OTHER</v>
      </c>
      <c r="I50" s="113" t="s">
        <v>68</v>
      </c>
      <c r="J50"/>
    </row>
    <row r="51" spans="1:10">
      <c r="A51" s="114" t="str">
        <f t="shared" si="0"/>
        <v>1823700OTH REGA-ENERGY WEST186895Contra Reg Asset-UMWA Pension Trust-WAOTHER</v>
      </c>
      <c r="B51" s="127">
        <v>1823700</v>
      </c>
      <c r="C51" s="128" t="s">
        <v>590</v>
      </c>
      <c r="D51" s="127">
        <v>186895</v>
      </c>
      <c r="E51" s="128" t="s">
        <v>630</v>
      </c>
      <c r="F51" s="127" t="s">
        <v>306</v>
      </c>
      <c r="H51" s="117" t="str">
        <f t="shared" si="1"/>
        <v>OTHER</v>
      </c>
      <c r="I51" s="113" t="s">
        <v>68</v>
      </c>
      <c r="J51"/>
    </row>
    <row r="52" spans="1:10">
      <c r="A52" s="114" t="str">
        <f t="shared" si="0"/>
        <v>1823870DEFERRED PENSION187017FAS 158 Pen Liab AdjSO</v>
      </c>
      <c r="B52" s="127">
        <v>1823870</v>
      </c>
      <c r="C52" s="128" t="s">
        <v>631</v>
      </c>
      <c r="D52" s="127">
        <v>187017</v>
      </c>
      <c r="E52" s="128" t="s">
        <v>632</v>
      </c>
      <c r="F52" s="127" t="s">
        <v>89</v>
      </c>
      <c r="H52" s="117" t="str">
        <f t="shared" si="1"/>
        <v>SO</v>
      </c>
      <c r="I52" s="113" t="s">
        <v>102</v>
      </c>
      <c r="J52"/>
    </row>
    <row r="53" spans="1:10">
      <c r="A53" s="114" t="str">
        <f t="shared" si="0"/>
        <v>1823870DEFERRED PENSION187600Contra Pension Reg Asset MMT &amp; CTG - ORSITUS</v>
      </c>
      <c r="B53" s="127">
        <v>1823870</v>
      </c>
      <c r="C53" s="128" t="s">
        <v>631</v>
      </c>
      <c r="D53" s="127">
        <v>187600</v>
      </c>
      <c r="E53" s="128" t="s">
        <v>633</v>
      </c>
      <c r="F53" s="127" t="s">
        <v>12</v>
      </c>
      <c r="H53" s="117" t="str">
        <f t="shared" si="1"/>
        <v>SITUS</v>
      </c>
      <c r="I53" s="113" t="s">
        <v>102</v>
      </c>
      <c r="J53"/>
    </row>
    <row r="54" spans="1:10">
      <c r="A54" s="114" t="str">
        <f t="shared" si="0"/>
        <v>1823870DEFERRED PENSION187602Reg Asset -  Pension MMT - UTSITUS</v>
      </c>
      <c r="B54" s="127">
        <v>1823870</v>
      </c>
      <c r="C54" s="128" t="s">
        <v>631</v>
      </c>
      <c r="D54" s="127">
        <v>187602</v>
      </c>
      <c r="E54" s="128" t="s">
        <v>634</v>
      </c>
      <c r="F54" s="127" t="s">
        <v>12</v>
      </c>
      <c r="H54" s="117" t="str">
        <f t="shared" si="1"/>
        <v>SITUS</v>
      </c>
      <c r="I54" s="113" t="s">
        <v>102</v>
      </c>
      <c r="J54"/>
    </row>
    <row r="55" spans="1:10">
      <c r="A55" s="114" t="str">
        <f t="shared" si="0"/>
        <v>1823870DEFERRED PENSION187604Contra Pension Reg Asset MMT &amp; CTG - CASITUS</v>
      </c>
      <c r="B55" s="127">
        <v>1823870</v>
      </c>
      <c r="C55" s="128" t="s">
        <v>631</v>
      </c>
      <c r="D55" s="127">
        <v>187604</v>
      </c>
      <c r="E55" s="128" t="s">
        <v>635</v>
      </c>
      <c r="F55" s="127" t="s">
        <v>12</v>
      </c>
      <c r="H55" s="117" t="str">
        <f t="shared" si="1"/>
        <v>SITUS</v>
      </c>
      <c r="I55" s="113" t="s">
        <v>102</v>
      </c>
      <c r="J55"/>
    </row>
    <row r="56" spans="1:10">
      <c r="A56" s="114" t="str">
        <f t="shared" si="0"/>
        <v>1823870DEFERRED PENSION187607Contra Reg Asset 2016 Pension Plan CTGSO</v>
      </c>
      <c r="B56" s="127">
        <v>1823870</v>
      </c>
      <c r="C56" s="128" t="s">
        <v>631</v>
      </c>
      <c r="D56" s="127">
        <v>187607</v>
      </c>
      <c r="E56" s="128" t="s">
        <v>636</v>
      </c>
      <c r="F56" s="127" t="s">
        <v>89</v>
      </c>
      <c r="H56" s="117" t="str">
        <f t="shared" si="1"/>
        <v>SO</v>
      </c>
      <c r="I56" s="113" t="s">
        <v>102</v>
      </c>
      <c r="J56"/>
    </row>
    <row r="57" spans="1:10">
      <c r="A57" s="114" t="str">
        <f t="shared" si="0"/>
        <v>1823870DEFERRED PENSION187621Reg Asset FAS - 158SO</v>
      </c>
      <c r="B57" s="127">
        <v>1823870</v>
      </c>
      <c r="C57" s="128" t="s">
        <v>631</v>
      </c>
      <c r="D57" s="127">
        <v>187621</v>
      </c>
      <c r="E57" s="128" t="s">
        <v>637</v>
      </c>
      <c r="F57" s="127" t="s">
        <v>89</v>
      </c>
      <c r="H57" s="117" t="str">
        <f t="shared" si="1"/>
        <v>SO</v>
      </c>
      <c r="I57" s="113" t="s">
        <v>102</v>
      </c>
      <c r="J57"/>
    </row>
    <row r="58" spans="1:10">
      <c r="A58" s="114" t="str">
        <f t="shared" si="0"/>
        <v>1823870DEFERRED PENSION187622Reg Asset - Post-Ret MMT - ORSITUS</v>
      </c>
      <c r="B58" s="127">
        <v>1823870</v>
      </c>
      <c r="C58" s="128" t="s">
        <v>631</v>
      </c>
      <c r="D58" s="127">
        <v>187622</v>
      </c>
      <c r="E58" s="128" t="s">
        <v>638</v>
      </c>
      <c r="F58" s="127" t="s">
        <v>12</v>
      </c>
      <c r="H58" s="117" t="str">
        <f t="shared" si="1"/>
        <v>SITUS</v>
      </c>
      <c r="I58" s="113" t="s">
        <v>102</v>
      </c>
      <c r="J58"/>
    </row>
    <row r="59" spans="1:10">
      <c r="A59" s="114" t="str">
        <f t="shared" si="0"/>
        <v>1823870DEFERRED PENSION187624Reg Asset - Post-Ret MMT - UTSITUS</v>
      </c>
      <c r="B59" s="127">
        <v>1823870</v>
      </c>
      <c r="C59" s="128" t="s">
        <v>631</v>
      </c>
      <c r="D59" s="127">
        <v>187624</v>
      </c>
      <c r="E59" s="128" t="s">
        <v>639</v>
      </c>
      <c r="F59" s="127" t="s">
        <v>12</v>
      </c>
      <c r="H59" s="117" t="str">
        <f t="shared" si="1"/>
        <v>SITUS</v>
      </c>
      <c r="I59" s="113" t="s">
        <v>102</v>
      </c>
      <c r="J59"/>
    </row>
    <row r="60" spans="1:10">
      <c r="A60" s="114" t="str">
        <f t="shared" si="0"/>
        <v>1823870DEFERRED PENSION187627Reg Asset - Post-Ret MMT - CASITUS</v>
      </c>
      <c r="B60" s="127">
        <v>1823870</v>
      </c>
      <c r="C60" s="128" t="s">
        <v>631</v>
      </c>
      <c r="D60" s="127">
        <v>187627</v>
      </c>
      <c r="E60" s="128" t="s">
        <v>640</v>
      </c>
      <c r="F60" s="127" t="s">
        <v>12</v>
      </c>
      <c r="H60" s="117" t="str">
        <f t="shared" si="1"/>
        <v>SITUS</v>
      </c>
      <c r="I60" s="113" t="s">
        <v>102</v>
      </c>
      <c r="J60"/>
    </row>
    <row r="61" spans="1:10">
      <c r="A61" s="114" t="str">
        <f t="shared" si="0"/>
        <v>1823870DEFERRED PENSION187629Reg Asset - Post-Ret - Settlement LossSITUS</v>
      </c>
      <c r="B61" s="127">
        <v>1823870</v>
      </c>
      <c r="C61" s="128" t="s">
        <v>631</v>
      </c>
      <c r="D61" s="127">
        <v>187629</v>
      </c>
      <c r="E61" s="128" t="s">
        <v>641</v>
      </c>
      <c r="F61" s="127" t="s">
        <v>12</v>
      </c>
      <c r="H61" s="117" t="str">
        <f t="shared" si="1"/>
        <v>SITUS</v>
      </c>
      <c r="I61" s="113" t="s">
        <v>102</v>
      </c>
      <c r="J61"/>
    </row>
    <row r="62" spans="1:10">
      <c r="A62" s="114" t="str">
        <f t="shared" si="0"/>
        <v>1823870DEFERRED PENSION187629Reg Asset - Post-Ret - Settlement LossSO</v>
      </c>
      <c r="B62" s="127">
        <v>1823870</v>
      </c>
      <c r="C62" s="128" t="s">
        <v>631</v>
      </c>
      <c r="D62" s="127">
        <v>187629</v>
      </c>
      <c r="E62" s="128" t="s">
        <v>641</v>
      </c>
      <c r="F62" s="127" t="s">
        <v>89</v>
      </c>
      <c r="H62" s="117" t="str">
        <f t="shared" si="1"/>
        <v>SO</v>
      </c>
      <c r="I62" s="113" t="s">
        <v>102</v>
      </c>
      <c r="J62"/>
    </row>
    <row r="63" spans="1:10">
      <c r="A63" s="114" t="str">
        <f t="shared" si="0"/>
        <v>1823870DEFERRED PENSION187629Reg Asset - Post-Ret - Settlement LossSITUS</v>
      </c>
      <c r="B63" s="127">
        <v>1823870</v>
      </c>
      <c r="C63" s="128" t="s">
        <v>631</v>
      </c>
      <c r="D63" s="127">
        <v>187629</v>
      </c>
      <c r="E63" s="128" t="s">
        <v>641</v>
      </c>
      <c r="F63" s="127" t="s">
        <v>12</v>
      </c>
      <c r="H63" s="117" t="str">
        <f t="shared" si="1"/>
        <v>SITUS</v>
      </c>
      <c r="I63" s="113" t="s">
        <v>102</v>
      </c>
      <c r="J63"/>
    </row>
    <row r="64" spans="1:10">
      <c r="A64" s="114" t="str">
        <f t="shared" si="0"/>
        <v>1823870DEFERRED PENSION187629Reg Asset - Post-Ret - Settlement LossSITUS</v>
      </c>
      <c r="B64" s="127">
        <v>1823870</v>
      </c>
      <c r="C64" s="128" t="s">
        <v>631</v>
      </c>
      <c r="D64" s="127">
        <v>187629</v>
      </c>
      <c r="E64" s="128" t="s">
        <v>641</v>
      </c>
      <c r="F64" s="127" t="s">
        <v>12</v>
      </c>
      <c r="H64" s="117" t="str">
        <f t="shared" si="1"/>
        <v>SITUS</v>
      </c>
      <c r="I64" s="113" t="s">
        <v>102</v>
      </c>
      <c r="J64"/>
    </row>
    <row r="65" spans="1:10">
      <c r="A65" s="114" t="str">
        <f t="shared" si="0"/>
        <v>1823870DEFERRED PENSION187629Reg Asset - Post-Ret - Settlement LossSITUS</v>
      </c>
      <c r="B65" s="127">
        <v>1823870</v>
      </c>
      <c r="C65" s="128" t="s">
        <v>631</v>
      </c>
      <c r="D65" s="127">
        <v>187629</v>
      </c>
      <c r="E65" s="128" t="s">
        <v>641</v>
      </c>
      <c r="F65" s="127" t="s">
        <v>12</v>
      </c>
      <c r="H65" s="117" t="str">
        <f t="shared" si="1"/>
        <v>SITUS</v>
      </c>
      <c r="I65" s="113" t="s">
        <v>102</v>
      </c>
      <c r="J65"/>
    </row>
    <row r="66" spans="1:10">
      <c r="A66" s="114" t="str">
        <f t="shared" si="0"/>
        <v>1823870DEFERRED PENSION187640Reg Asset-PostRet Sttlmt Loss-CC-UTSITUS</v>
      </c>
      <c r="B66" s="127">
        <v>1823870</v>
      </c>
      <c r="C66" s="128" t="s">
        <v>631</v>
      </c>
      <c r="D66" s="127">
        <v>187640</v>
      </c>
      <c r="E66" s="128" t="s">
        <v>642</v>
      </c>
      <c r="F66" s="127" t="s">
        <v>12</v>
      </c>
      <c r="H66" s="117" t="str">
        <f t="shared" si="1"/>
        <v>SITUS</v>
      </c>
      <c r="I66" s="113" t="s">
        <v>102</v>
      </c>
      <c r="J66"/>
    </row>
    <row r="67" spans="1:10">
      <c r="A67" s="114" t="str">
        <f t="shared" ref="A67:A130" si="2">CONCATENATE($B67,$C67,$D67,$E67,$H67)</f>
        <v>1823870DEFERRED PENSION187641Reg Asset-PostRet Sttlmt Loss-CC-WYSITUS</v>
      </c>
      <c r="B67" s="127">
        <v>1823870</v>
      </c>
      <c r="C67" s="128" t="s">
        <v>631</v>
      </c>
      <c r="D67" s="127">
        <v>187641</v>
      </c>
      <c r="E67" s="128" t="s">
        <v>643</v>
      </c>
      <c r="F67" s="127" t="s">
        <v>12</v>
      </c>
      <c r="H67" s="117" t="str">
        <f t="shared" ref="H67:H130" si="3">IF(OR(F67="IDU",F67="OR",F67="UT",F67="WYU",F67="WYP",F67="CA",F67="WA"),"SITUS",F67)</f>
        <v>SITUS</v>
      </c>
      <c r="I67" s="113" t="s">
        <v>102</v>
      </c>
      <c r="J67"/>
    </row>
    <row r="68" spans="1:10">
      <c r="A68" s="114" t="str">
        <f t="shared" si="2"/>
        <v>1823910ENVIR CST UNDR AMORT102465UTAH METALS CLEANUPSO</v>
      </c>
      <c r="B68" s="127">
        <v>1823910</v>
      </c>
      <c r="C68" s="128" t="s">
        <v>644</v>
      </c>
      <c r="D68" s="127">
        <v>102465</v>
      </c>
      <c r="E68" s="128" t="s">
        <v>645</v>
      </c>
      <c r="F68" s="127" t="s">
        <v>89</v>
      </c>
      <c r="H68" s="117" t="str">
        <f t="shared" si="3"/>
        <v>SO</v>
      </c>
      <c r="I68" s="113" t="s">
        <v>100</v>
      </c>
      <c r="J68"/>
    </row>
    <row r="69" spans="1:10">
      <c r="A69" s="114" t="str">
        <f t="shared" si="2"/>
        <v>1823910ENVIR CST UNDR AMORT102570D-SM RETAIL MINOR SITESSO</v>
      </c>
      <c r="B69" s="127">
        <v>1823910</v>
      </c>
      <c r="C69" s="128" t="s">
        <v>644</v>
      </c>
      <c r="D69" s="127">
        <v>102570</v>
      </c>
      <c r="E69" s="128" t="s">
        <v>646</v>
      </c>
      <c r="F69" s="127" t="s">
        <v>89</v>
      </c>
      <c r="H69" s="117" t="str">
        <f t="shared" si="3"/>
        <v>SO</v>
      </c>
      <c r="I69" s="113" t="s">
        <v>74</v>
      </c>
      <c r="J69"/>
    </row>
    <row r="70" spans="1:10">
      <c r="A70" s="114" t="str">
        <f t="shared" si="2"/>
        <v>1823910ENVIR CST UNDR AMORT103408D-SM RETAIL MINOR SITESSO</v>
      </c>
      <c r="B70" s="127">
        <v>1823910</v>
      </c>
      <c r="C70" s="128" t="s">
        <v>644</v>
      </c>
      <c r="D70" s="127">
        <v>103408</v>
      </c>
      <c r="E70" s="128" t="s">
        <v>646</v>
      </c>
      <c r="F70" s="127" t="s">
        <v>89</v>
      </c>
      <c r="H70" s="117" t="str">
        <f t="shared" si="3"/>
        <v>SO</v>
      </c>
      <c r="I70" s="113" t="s">
        <v>74</v>
      </c>
      <c r="J70"/>
    </row>
    <row r="71" spans="1:10">
      <c r="A71" s="114" t="str">
        <f t="shared" si="2"/>
        <v>1823910ENVIR CST UNDR AMORT103409D-SM RETAIL MINOR SITESSO</v>
      </c>
      <c r="B71" s="127">
        <v>1823910</v>
      </c>
      <c r="C71" s="128" t="s">
        <v>644</v>
      </c>
      <c r="D71" s="127">
        <v>103409</v>
      </c>
      <c r="E71" s="128" t="s">
        <v>646</v>
      </c>
      <c r="F71" s="127" t="s">
        <v>89</v>
      </c>
      <c r="H71" s="117" t="str">
        <f t="shared" si="3"/>
        <v>SO</v>
      </c>
      <c r="I71" s="113" t="s">
        <v>74</v>
      </c>
      <c r="J71"/>
    </row>
    <row r="72" spans="1:10">
      <c r="A72" s="114" t="str">
        <f t="shared" si="2"/>
        <v>1823910ENVIR CST UNDR AMORT103410D-SM RETAIL MINOR SITESSO</v>
      </c>
      <c r="B72" s="127">
        <v>1823910</v>
      </c>
      <c r="C72" s="128" t="s">
        <v>644</v>
      </c>
      <c r="D72" s="127">
        <v>103410</v>
      </c>
      <c r="E72" s="128" t="s">
        <v>646</v>
      </c>
      <c r="F72" s="127" t="s">
        <v>89</v>
      </c>
      <c r="H72" s="117" t="str">
        <f t="shared" si="3"/>
        <v>SO</v>
      </c>
      <c r="I72" s="113" t="s">
        <v>74</v>
      </c>
      <c r="J72"/>
    </row>
    <row r="73" spans="1:10">
      <c r="A73" s="114" t="str">
        <f t="shared" si="2"/>
        <v>1823910ENVIR CST UNDR AMORT103411D-SM RETAIL MINOR SITESSO</v>
      </c>
      <c r="B73" s="127">
        <v>1823910</v>
      </c>
      <c r="C73" s="128" t="s">
        <v>644</v>
      </c>
      <c r="D73" s="127">
        <v>103411</v>
      </c>
      <c r="E73" s="128" t="s">
        <v>646</v>
      </c>
      <c r="F73" s="127" t="s">
        <v>89</v>
      </c>
      <c r="H73" s="117" t="str">
        <f t="shared" si="3"/>
        <v>SO</v>
      </c>
      <c r="I73" s="113" t="s">
        <v>74</v>
      </c>
      <c r="J73"/>
    </row>
    <row r="74" spans="1:10">
      <c r="A74" s="114" t="str">
        <f t="shared" si="2"/>
        <v>1823910ENVIR CST UNDR AMORT103412D-SM RETAIL MINOR SITESSO</v>
      </c>
      <c r="B74" s="127">
        <v>1823910</v>
      </c>
      <c r="C74" s="128" t="s">
        <v>644</v>
      </c>
      <c r="D74" s="127">
        <v>103412</v>
      </c>
      <c r="E74" s="128" t="s">
        <v>646</v>
      </c>
      <c r="F74" s="127" t="s">
        <v>89</v>
      </c>
      <c r="H74" s="117" t="str">
        <f t="shared" si="3"/>
        <v>SO</v>
      </c>
      <c r="I74" s="113" t="s">
        <v>74</v>
      </c>
      <c r="J74"/>
    </row>
    <row r="75" spans="1:10">
      <c r="A75" s="114" t="str">
        <f t="shared" si="2"/>
        <v>1823910ENVIR CST UNDR AMORT103413D-SM RETAIL MINOR SITESSO</v>
      </c>
      <c r="B75" s="127">
        <v>1823910</v>
      </c>
      <c r="C75" s="128" t="s">
        <v>644</v>
      </c>
      <c r="D75" s="127">
        <v>103413</v>
      </c>
      <c r="E75" s="128" t="s">
        <v>646</v>
      </c>
      <c r="F75" s="127" t="s">
        <v>89</v>
      </c>
      <c r="H75" s="117" t="str">
        <f t="shared" si="3"/>
        <v>SO</v>
      </c>
      <c r="I75" s="113" t="s">
        <v>74</v>
      </c>
      <c r="J75"/>
    </row>
    <row r="76" spans="1:10">
      <c r="A76" s="114" t="str">
        <f t="shared" si="2"/>
        <v>1823910ENVIR CST UNDR AMORT103415ASTORIA YOUNGS BAY CLEANUPSO</v>
      </c>
      <c r="B76" s="127">
        <v>1823910</v>
      </c>
      <c r="C76" s="128" t="s">
        <v>644</v>
      </c>
      <c r="D76" s="127">
        <v>103415</v>
      </c>
      <c r="E76" s="128" t="s">
        <v>647</v>
      </c>
      <c r="F76" s="127" t="s">
        <v>89</v>
      </c>
      <c r="H76" s="117" t="str">
        <f t="shared" si="3"/>
        <v>SO</v>
      </c>
      <c r="I76" s="113" t="s">
        <v>100</v>
      </c>
      <c r="J76"/>
    </row>
    <row r="77" spans="1:10">
      <c r="A77" s="114" t="str">
        <f t="shared" si="2"/>
        <v>1823910ENVIR CST UNDR AMORT103416ASTORIA YOUNGS BAY CLEANUPSO</v>
      </c>
      <c r="B77" s="127">
        <v>1823910</v>
      </c>
      <c r="C77" s="128" t="s">
        <v>644</v>
      </c>
      <c r="D77" s="127">
        <v>103416</v>
      </c>
      <c r="E77" s="128" t="s">
        <v>647</v>
      </c>
      <c r="F77" s="127" t="s">
        <v>89</v>
      </c>
      <c r="H77" s="117" t="str">
        <f t="shared" si="3"/>
        <v>SO</v>
      </c>
      <c r="I77" s="113" t="s">
        <v>100</v>
      </c>
      <c r="J77"/>
    </row>
    <row r="78" spans="1:10">
      <c r="A78" s="114" t="str">
        <f t="shared" si="2"/>
        <v>1823910ENVIR CST UNDR AMORT103417ASTORIA YOUNGS BAY CLEANUPSO</v>
      </c>
      <c r="B78" s="127">
        <v>1823910</v>
      </c>
      <c r="C78" s="128" t="s">
        <v>644</v>
      </c>
      <c r="D78" s="127">
        <v>103417</v>
      </c>
      <c r="E78" s="128" t="s">
        <v>647</v>
      </c>
      <c r="F78" s="127" t="s">
        <v>89</v>
      </c>
      <c r="H78" s="117" t="str">
        <f t="shared" si="3"/>
        <v>SO</v>
      </c>
      <c r="I78" s="113" t="s">
        <v>100</v>
      </c>
      <c r="J78"/>
    </row>
    <row r="79" spans="1:10">
      <c r="A79" s="114" t="str">
        <f t="shared" si="2"/>
        <v>1823910ENVIR CST UNDR AMORT103418ASTORIA YOUNGS BAY CLEANUPSO</v>
      </c>
      <c r="B79" s="127">
        <v>1823910</v>
      </c>
      <c r="C79" s="128" t="s">
        <v>644</v>
      </c>
      <c r="D79" s="127">
        <v>103418</v>
      </c>
      <c r="E79" s="128" t="s">
        <v>647</v>
      </c>
      <c r="F79" s="127" t="s">
        <v>89</v>
      </c>
      <c r="H79" s="117" t="str">
        <f t="shared" si="3"/>
        <v>SO</v>
      </c>
      <c r="I79" s="113" t="s">
        <v>100</v>
      </c>
      <c r="J79"/>
    </row>
    <row r="80" spans="1:10">
      <c r="A80" s="114" t="str">
        <f t="shared" si="2"/>
        <v>1823910ENVIR CST UNDR AMORT103419ASTORIA YOUNGS BAY CLEANUPSO</v>
      </c>
      <c r="B80" s="127">
        <v>1823910</v>
      </c>
      <c r="C80" s="128" t="s">
        <v>644</v>
      </c>
      <c r="D80" s="127">
        <v>103419</v>
      </c>
      <c r="E80" s="128" t="s">
        <v>647</v>
      </c>
      <c r="F80" s="127" t="s">
        <v>89</v>
      </c>
      <c r="H80" s="117" t="str">
        <f t="shared" si="3"/>
        <v>SO</v>
      </c>
      <c r="I80" s="113" t="s">
        <v>100</v>
      </c>
      <c r="J80"/>
    </row>
    <row r="81" spans="1:10">
      <c r="A81" s="114" t="str">
        <f t="shared" si="2"/>
        <v>1823910ENVIR CST UNDR AMORT103420ASTORIA YOUNGS BAY CLEANUPSO</v>
      </c>
      <c r="B81" s="127">
        <v>1823910</v>
      </c>
      <c r="C81" s="128" t="s">
        <v>644</v>
      </c>
      <c r="D81" s="127">
        <v>103420</v>
      </c>
      <c r="E81" s="128" t="s">
        <v>647</v>
      </c>
      <c r="F81" s="127" t="s">
        <v>89</v>
      </c>
      <c r="H81" s="117" t="str">
        <f t="shared" si="3"/>
        <v>SO</v>
      </c>
      <c r="I81" s="113" t="s">
        <v>100</v>
      </c>
      <c r="J81"/>
    </row>
    <row r="82" spans="1:10">
      <c r="A82" s="114" t="str">
        <f t="shared" si="2"/>
        <v>1823910ENVIR CST UNDR AMORT103421SILVER BELL MINE ENVIRONMENTAL REMEDSO</v>
      </c>
      <c r="B82" s="127">
        <v>1823910</v>
      </c>
      <c r="C82" s="128" t="s">
        <v>644</v>
      </c>
      <c r="D82" s="127">
        <v>103421</v>
      </c>
      <c r="E82" s="128" t="s">
        <v>648</v>
      </c>
      <c r="F82" s="127" t="s">
        <v>89</v>
      </c>
      <c r="H82" s="117" t="str">
        <f t="shared" si="3"/>
        <v>SO</v>
      </c>
      <c r="I82" s="113" t="s">
        <v>100</v>
      </c>
      <c r="J82"/>
    </row>
    <row r="83" spans="1:10">
      <c r="A83" s="114" t="str">
        <f t="shared" si="2"/>
        <v>1823910ENVIR CST UNDR AMORT103422SILVER BELL MINE ENVIRONMENTAL REMEDSO</v>
      </c>
      <c r="B83" s="127">
        <v>1823910</v>
      </c>
      <c r="C83" s="128" t="s">
        <v>644</v>
      </c>
      <c r="D83" s="127">
        <v>103422</v>
      </c>
      <c r="E83" s="128" t="s">
        <v>648</v>
      </c>
      <c r="F83" s="127" t="s">
        <v>89</v>
      </c>
      <c r="H83" s="117" t="str">
        <f t="shared" si="3"/>
        <v>SO</v>
      </c>
      <c r="I83" s="113" t="s">
        <v>100</v>
      </c>
      <c r="J83"/>
    </row>
    <row r="84" spans="1:10">
      <c r="A84" s="114" t="str">
        <f t="shared" si="2"/>
        <v>1823910ENVIR CST UNDR AMORT103423SILVER BELL MINE ENVIRONMENTAL REMEDSO</v>
      </c>
      <c r="B84" s="127">
        <v>1823910</v>
      </c>
      <c r="C84" s="128" t="s">
        <v>644</v>
      </c>
      <c r="D84" s="127">
        <v>103423</v>
      </c>
      <c r="E84" s="128" t="s">
        <v>648</v>
      </c>
      <c r="F84" s="127" t="s">
        <v>89</v>
      </c>
      <c r="H84" s="117" t="str">
        <f t="shared" si="3"/>
        <v>SO</v>
      </c>
      <c r="I84" s="113" t="s">
        <v>100</v>
      </c>
      <c r="J84"/>
    </row>
    <row r="85" spans="1:10">
      <c r="A85" s="114" t="str">
        <f t="shared" si="2"/>
        <v>1823910ENVIR CST UNDR AMORT103424SILVER BELL MINE ENVIRONMENTAL REMEDSO</v>
      </c>
      <c r="B85" s="127">
        <v>1823910</v>
      </c>
      <c r="C85" s="128" t="s">
        <v>644</v>
      </c>
      <c r="D85" s="127">
        <v>103424</v>
      </c>
      <c r="E85" s="128" t="s">
        <v>648</v>
      </c>
      <c r="F85" s="127" t="s">
        <v>89</v>
      </c>
      <c r="H85" s="117" t="str">
        <f t="shared" si="3"/>
        <v>SO</v>
      </c>
      <c r="I85" s="113" t="s">
        <v>100</v>
      </c>
      <c r="J85"/>
    </row>
    <row r="86" spans="1:10">
      <c r="A86" s="114" t="str">
        <f t="shared" si="2"/>
        <v>1823910ENVIR CST UNDR AMORT103425SILVER BELL MINE ENVIRONMENTAL REMEDSO</v>
      </c>
      <c r="B86" s="127">
        <v>1823910</v>
      </c>
      <c r="C86" s="128" t="s">
        <v>644</v>
      </c>
      <c r="D86" s="127">
        <v>103425</v>
      </c>
      <c r="E86" s="128" t="s">
        <v>648</v>
      </c>
      <c r="F86" s="127" t="s">
        <v>89</v>
      </c>
      <c r="H86" s="117" t="str">
        <f t="shared" si="3"/>
        <v>SO</v>
      </c>
      <c r="I86" s="113" t="s">
        <v>100</v>
      </c>
      <c r="J86"/>
    </row>
    <row r="87" spans="1:10">
      <c r="A87" s="114" t="str">
        <f t="shared" si="2"/>
        <v>1823910ENVIR CST UNDR AMORT103426SILVER BELL MINE ENVIRONMENTAL REMEDSO</v>
      </c>
      <c r="B87" s="127">
        <v>1823910</v>
      </c>
      <c r="C87" s="128" t="s">
        <v>644</v>
      </c>
      <c r="D87" s="127">
        <v>103426</v>
      </c>
      <c r="E87" s="128" t="s">
        <v>648</v>
      </c>
      <c r="F87" s="127" t="s">
        <v>89</v>
      </c>
      <c r="H87" s="117" t="str">
        <f t="shared" si="3"/>
        <v>SO</v>
      </c>
      <c r="I87" s="113" t="s">
        <v>100</v>
      </c>
      <c r="J87"/>
    </row>
    <row r="88" spans="1:10">
      <c r="A88" s="114" t="str">
        <f t="shared" si="2"/>
        <v>1823910ENVIR CST UNDR AMORT103435WASHINGTON NON-DEFERRED COSTSSITUS</v>
      </c>
      <c r="B88" s="127">
        <v>1823910</v>
      </c>
      <c r="C88" s="128" t="s">
        <v>644</v>
      </c>
      <c r="D88" s="127">
        <v>103435</v>
      </c>
      <c r="E88" s="128" t="s">
        <v>649</v>
      </c>
      <c r="F88" s="127" t="s">
        <v>12</v>
      </c>
      <c r="H88" s="117" t="str">
        <f t="shared" si="3"/>
        <v>SITUS</v>
      </c>
      <c r="I88" s="113" t="s">
        <v>100</v>
      </c>
      <c r="J88"/>
    </row>
    <row r="89" spans="1:10">
      <c r="A89" s="114" t="str">
        <f t="shared" si="2"/>
        <v>1823910ENVIR CST UNDR AMORT103436WASHINGTON NON-DEFERRED COSTSSITUS</v>
      </c>
      <c r="B89" s="127">
        <v>1823910</v>
      </c>
      <c r="C89" s="128" t="s">
        <v>644</v>
      </c>
      <c r="D89" s="127">
        <v>103436</v>
      </c>
      <c r="E89" s="128" t="s">
        <v>649</v>
      </c>
      <c r="F89" s="127" t="s">
        <v>12</v>
      </c>
      <c r="H89" s="117" t="str">
        <f t="shared" si="3"/>
        <v>SITUS</v>
      </c>
      <c r="I89" s="113" t="s">
        <v>100</v>
      </c>
      <c r="J89"/>
    </row>
    <row r="90" spans="1:10">
      <c r="A90" s="114" t="str">
        <f t="shared" si="2"/>
        <v>1823910ENVIR CST UNDR AMORT103437WASHINGTON NON-DEFERRED COSTSSITUS</v>
      </c>
      <c r="B90" s="127">
        <v>1823910</v>
      </c>
      <c r="C90" s="128" t="s">
        <v>644</v>
      </c>
      <c r="D90" s="127">
        <v>103437</v>
      </c>
      <c r="E90" s="128" t="s">
        <v>649</v>
      </c>
      <c r="F90" s="127" t="s">
        <v>12</v>
      </c>
      <c r="H90" s="117" t="str">
        <f t="shared" si="3"/>
        <v>SITUS</v>
      </c>
      <c r="I90" s="113" t="s">
        <v>100</v>
      </c>
      <c r="J90"/>
    </row>
    <row r="91" spans="1:10">
      <c r="A91" s="114" t="str">
        <f t="shared" si="2"/>
        <v>1823910ENVIR CST UNDR AMORT103438WASHINGTON NON-DEFERRED COSTSSITUS</v>
      </c>
      <c r="B91" s="127">
        <v>1823910</v>
      </c>
      <c r="C91" s="128" t="s">
        <v>644</v>
      </c>
      <c r="D91" s="127">
        <v>103438</v>
      </c>
      <c r="E91" s="128" t="s">
        <v>649</v>
      </c>
      <c r="F91" s="127" t="s">
        <v>12</v>
      </c>
      <c r="H91" s="117" t="str">
        <f t="shared" si="3"/>
        <v>SITUS</v>
      </c>
      <c r="I91" s="113" t="s">
        <v>100</v>
      </c>
      <c r="J91"/>
    </row>
    <row r="92" spans="1:10">
      <c r="A92" s="114" t="str">
        <f t="shared" si="2"/>
        <v>1823910ENVIR CST UNDR AMORT103439WASHINGTON NON-DEFERRED COSTSSITUS</v>
      </c>
      <c r="B92" s="127">
        <v>1823910</v>
      </c>
      <c r="C92" s="128" t="s">
        <v>644</v>
      </c>
      <c r="D92" s="127">
        <v>103439</v>
      </c>
      <c r="E92" s="128" t="s">
        <v>649</v>
      </c>
      <c r="F92" s="127" t="s">
        <v>12</v>
      </c>
      <c r="H92" s="117" t="str">
        <f t="shared" si="3"/>
        <v>SITUS</v>
      </c>
      <c r="I92" s="113" t="s">
        <v>100</v>
      </c>
      <c r="J92"/>
    </row>
    <row r="93" spans="1:10">
      <c r="A93" s="114" t="str">
        <f t="shared" si="2"/>
        <v>1823910ENVIR CST UNDR AMORT103440WASHINGTON NON-DEFERRED COSTSSITUS</v>
      </c>
      <c r="B93" s="127">
        <v>1823910</v>
      </c>
      <c r="C93" s="128" t="s">
        <v>644</v>
      </c>
      <c r="D93" s="127">
        <v>103440</v>
      </c>
      <c r="E93" s="128" t="s">
        <v>649</v>
      </c>
      <c r="F93" s="127" t="s">
        <v>12</v>
      </c>
      <c r="H93" s="117" t="str">
        <f t="shared" si="3"/>
        <v>SITUS</v>
      </c>
      <c r="I93" s="113" t="s">
        <v>100</v>
      </c>
      <c r="J93"/>
    </row>
    <row r="94" spans="1:10">
      <c r="A94" s="114" t="str">
        <f t="shared" si="2"/>
        <v>1823910ENVIR CST UNDR AMORT103443SILVER BELL MINE ENVIRONMENTAL REMEDSO</v>
      </c>
      <c r="B94" s="127">
        <v>1823910</v>
      </c>
      <c r="C94" s="128" t="s">
        <v>644</v>
      </c>
      <c r="D94" s="127">
        <v>103443</v>
      </c>
      <c r="E94" s="128" t="s">
        <v>648</v>
      </c>
      <c r="F94" s="127" t="s">
        <v>89</v>
      </c>
      <c r="H94" s="117" t="str">
        <f t="shared" si="3"/>
        <v>SO</v>
      </c>
      <c r="I94" s="113" t="s">
        <v>100</v>
      </c>
      <c r="J94"/>
    </row>
    <row r="95" spans="1:10">
      <c r="A95" s="114" t="str">
        <f t="shared" si="2"/>
        <v>1823910ENVIR CST UNDR AMORT103445American Barrel (UT)SO</v>
      </c>
      <c r="B95" s="127">
        <v>1823910</v>
      </c>
      <c r="C95" s="128" t="s">
        <v>644</v>
      </c>
      <c r="D95" s="127">
        <v>103445</v>
      </c>
      <c r="E95" s="128" t="s">
        <v>650</v>
      </c>
      <c r="F95" s="127" t="s">
        <v>89</v>
      </c>
      <c r="H95" s="117" t="str">
        <f t="shared" si="3"/>
        <v>SO</v>
      </c>
      <c r="I95" s="113" t="s">
        <v>100</v>
      </c>
      <c r="J95"/>
    </row>
    <row r="96" spans="1:10">
      <c r="A96" s="114" t="str">
        <f t="shared" si="2"/>
        <v>1823910ENVIR CST UNDR AMORT103446Astoria/Unocal (Downtown)SO</v>
      </c>
      <c r="B96" s="127">
        <v>1823910</v>
      </c>
      <c r="C96" s="128" t="s">
        <v>644</v>
      </c>
      <c r="D96" s="127">
        <v>103446</v>
      </c>
      <c r="E96" s="128" t="s">
        <v>651</v>
      </c>
      <c r="F96" s="127" t="s">
        <v>89</v>
      </c>
      <c r="H96" s="117" t="str">
        <f t="shared" si="3"/>
        <v>SO</v>
      </c>
      <c r="I96" s="113" t="s">
        <v>100</v>
      </c>
      <c r="J96"/>
    </row>
    <row r="97" spans="1:10">
      <c r="A97" s="114" t="str">
        <f t="shared" si="2"/>
        <v>1823910ENVIR CST UNDR AMORT103447Big Fork Hydro Plant (MT)SO</v>
      </c>
      <c r="B97" s="127">
        <v>1823910</v>
      </c>
      <c r="C97" s="128" t="s">
        <v>644</v>
      </c>
      <c r="D97" s="127">
        <v>103447</v>
      </c>
      <c r="E97" s="128" t="s">
        <v>652</v>
      </c>
      <c r="F97" s="127" t="s">
        <v>89</v>
      </c>
      <c r="H97" s="117" t="str">
        <f t="shared" si="3"/>
        <v>SO</v>
      </c>
      <c r="I97" s="113" t="s">
        <v>100</v>
      </c>
      <c r="J97"/>
    </row>
    <row r="98" spans="1:10">
      <c r="A98" s="114" t="str">
        <f t="shared" si="2"/>
        <v>1823910ENVIR CST UNDR AMORT103448Bridger Coal Fuel Oil SpillSO</v>
      </c>
      <c r="B98" s="127">
        <v>1823910</v>
      </c>
      <c r="C98" s="128" t="s">
        <v>644</v>
      </c>
      <c r="D98" s="127">
        <v>103448</v>
      </c>
      <c r="E98" s="128" t="s">
        <v>653</v>
      </c>
      <c r="F98" s="127" t="s">
        <v>89</v>
      </c>
      <c r="H98" s="117" t="str">
        <f t="shared" si="3"/>
        <v>SO</v>
      </c>
      <c r="I98" s="113" t="s">
        <v>100</v>
      </c>
      <c r="J98"/>
    </row>
    <row r="99" spans="1:10">
      <c r="A99" s="114" t="str">
        <f t="shared" si="2"/>
        <v>1823910ENVIR CST UNDR AMORT103449Bridger FGD Pond 1 ClosureSO</v>
      </c>
      <c r="B99" s="127">
        <v>1823910</v>
      </c>
      <c r="C99" s="128" t="s">
        <v>644</v>
      </c>
      <c r="D99" s="127">
        <v>103449</v>
      </c>
      <c r="E99" s="128" t="s">
        <v>654</v>
      </c>
      <c r="F99" s="127" t="s">
        <v>89</v>
      </c>
      <c r="H99" s="117" t="str">
        <f t="shared" si="3"/>
        <v>SO</v>
      </c>
      <c r="I99" s="113" t="s">
        <v>100</v>
      </c>
      <c r="J99"/>
    </row>
    <row r="100" spans="1:10">
      <c r="A100" s="114" t="str">
        <f t="shared" si="2"/>
        <v>1823910ENVIR CST UNDR AMORT103450Bridger Plant Oil SpillsSO</v>
      </c>
      <c r="B100" s="127">
        <v>1823910</v>
      </c>
      <c r="C100" s="128" t="s">
        <v>644</v>
      </c>
      <c r="D100" s="127">
        <v>103450</v>
      </c>
      <c r="E100" s="128" t="s">
        <v>655</v>
      </c>
      <c r="F100" s="127" t="s">
        <v>89</v>
      </c>
      <c r="H100" s="117" t="str">
        <f t="shared" si="3"/>
        <v>SO</v>
      </c>
      <c r="I100" s="113" t="s">
        <v>100</v>
      </c>
      <c r="J100"/>
    </row>
    <row r="101" spans="1:10">
      <c r="A101" s="114" t="str">
        <f t="shared" si="2"/>
        <v>1823910ENVIR CST UNDR AMORT103451Cedar Stream Plant (UT)SO</v>
      </c>
      <c r="B101" s="127">
        <v>1823910</v>
      </c>
      <c r="C101" s="128" t="s">
        <v>644</v>
      </c>
      <c r="D101" s="127">
        <v>103451</v>
      </c>
      <c r="E101" s="128" t="s">
        <v>656</v>
      </c>
      <c r="F101" s="127" t="s">
        <v>89</v>
      </c>
      <c r="H101" s="117" t="str">
        <f t="shared" si="3"/>
        <v>SO</v>
      </c>
      <c r="I101" s="113" t="s">
        <v>100</v>
      </c>
      <c r="J101"/>
    </row>
    <row r="102" spans="1:10">
      <c r="A102" s="114" t="str">
        <f t="shared" si="2"/>
        <v>1823910ENVIR CST UNDR AMORT103452Dave Johnston Oil SpillSO</v>
      </c>
      <c r="B102" s="127">
        <v>1823910</v>
      </c>
      <c r="C102" s="128" t="s">
        <v>644</v>
      </c>
      <c r="D102" s="127">
        <v>103452</v>
      </c>
      <c r="E102" s="128" t="s">
        <v>657</v>
      </c>
      <c r="F102" s="127" t="s">
        <v>89</v>
      </c>
      <c r="H102" s="117" t="str">
        <f t="shared" si="3"/>
        <v>SO</v>
      </c>
      <c r="I102" s="113" t="s">
        <v>100</v>
      </c>
      <c r="J102"/>
    </row>
    <row r="103" spans="1:10">
      <c r="A103" s="114" t="str">
        <f t="shared" si="2"/>
        <v>1823910ENVIR CST UNDR AMORT103453Eugene MGP (50% PCRP)SO</v>
      </c>
      <c r="B103" s="127">
        <v>1823910</v>
      </c>
      <c r="C103" s="128" t="s">
        <v>644</v>
      </c>
      <c r="D103" s="127">
        <v>103453</v>
      </c>
      <c r="E103" s="128" t="s">
        <v>658</v>
      </c>
      <c r="F103" s="127" t="s">
        <v>89</v>
      </c>
      <c r="H103" s="117" t="str">
        <f t="shared" si="3"/>
        <v>SO</v>
      </c>
      <c r="I103" s="113" t="s">
        <v>100</v>
      </c>
      <c r="J103"/>
    </row>
    <row r="104" spans="1:10">
      <c r="A104" s="114" t="str">
        <f t="shared" si="2"/>
        <v>1823910ENVIR CST UNDR AMORT103454Everett MGP (2/3 PCRP)SO</v>
      </c>
      <c r="B104" s="127">
        <v>1823910</v>
      </c>
      <c r="C104" s="128" t="s">
        <v>644</v>
      </c>
      <c r="D104" s="127">
        <v>103454</v>
      </c>
      <c r="E104" s="128" t="s">
        <v>659</v>
      </c>
      <c r="F104" s="127" t="s">
        <v>89</v>
      </c>
      <c r="H104" s="117" t="str">
        <f t="shared" si="3"/>
        <v>SO</v>
      </c>
      <c r="I104" s="113" t="s">
        <v>100</v>
      </c>
      <c r="J104"/>
    </row>
    <row r="105" spans="1:10">
      <c r="A105" s="114" t="str">
        <f t="shared" si="2"/>
        <v>1823910ENVIR CST UNDR AMORT103455Hunter Fuel Oil SpillsSO</v>
      </c>
      <c r="B105" s="127">
        <v>1823910</v>
      </c>
      <c r="C105" s="128" t="s">
        <v>644</v>
      </c>
      <c r="D105" s="127">
        <v>103455</v>
      </c>
      <c r="E105" s="128" t="s">
        <v>660</v>
      </c>
      <c r="F105" s="127" t="s">
        <v>89</v>
      </c>
      <c r="H105" s="117" t="str">
        <f t="shared" si="3"/>
        <v>SO</v>
      </c>
      <c r="I105" s="113" t="s">
        <v>100</v>
      </c>
      <c r="J105"/>
    </row>
    <row r="106" spans="1:10">
      <c r="A106" s="114" t="str">
        <f t="shared" si="2"/>
        <v>1823910ENVIR CST UNDR AMORT103456Huntington Ash LandfillSO</v>
      </c>
      <c r="B106" s="127">
        <v>1823910</v>
      </c>
      <c r="C106" s="128" t="s">
        <v>644</v>
      </c>
      <c r="D106" s="127">
        <v>103456</v>
      </c>
      <c r="E106" s="128" t="s">
        <v>661</v>
      </c>
      <c r="F106" s="127" t="s">
        <v>89</v>
      </c>
      <c r="H106" s="117" t="str">
        <f t="shared" si="3"/>
        <v>SO</v>
      </c>
      <c r="I106" s="113" t="s">
        <v>100</v>
      </c>
      <c r="J106"/>
    </row>
    <row r="107" spans="1:10">
      <c r="A107" s="114" t="str">
        <f t="shared" si="2"/>
        <v>1823910ENVIR CST UNDR AMORT103457Idaho Falls Pole YardSO</v>
      </c>
      <c r="B107" s="127">
        <v>1823910</v>
      </c>
      <c r="C107" s="128" t="s">
        <v>644</v>
      </c>
      <c r="D107" s="127">
        <v>103457</v>
      </c>
      <c r="E107" s="128" t="s">
        <v>662</v>
      </c>
      <c r="F107" s="127" t="s">
        <v>89</v>
      </c>
      <c r="H107" s="117" t="str">
        <f t="shared" si="3"/>
        <v>SO</v>
      </c>
      <c r="I107" s="113" t="s">
        <v>100</v>
      </c>
      <c r="J107"/>
    </row>
    <row r="108" spans="1:10">
      <c r="A108" s="114" t="str">
        <f t="shared" si="2"/>
        <v>1823910ENVIR CST UNDR AMORT103458Jordan Plant SubstationSO</v>
      </c>
      <c r="B108" s="127">
        <v>1823910</v>
      </c>
      <c r="C108" s="128" t="s">
        <v>644</v>
      </c>
      <c r="D108" s="127">
        <v>103458</v>
      </c>
      <c r="E108" s="128" t="s">
        <v>663</v>
      </c>
      <c r="F108" s="127" t="s">
        <v>89</v>
      </c>
      <c r="H108" s="117" t="str">
        <f t="shared" si="3"/>
        <v>SO</v>
      </c>
      <c r="I108" s="113" t="s">
        <v>100</v>
      </c>
      <c r="J108"/>
    </row>
    <row r="109" spans="1:10">
      <c r="A109" s="114" t="str">
        <f t="shared" si="2"/>
        <v>1823910ENVIR CST UNDR AMORT103459Little Mountain Gas PlantSO</v>
      </c>
      <c r="B109" s="127">
        <v>1823910</v>
      </c>
      <c r="C109" s="128" t="s">
        <v>644</v>
      </c>
      <c r="D109" s="127">
        <v>103459</v>
      </c>
      <c r="E109" s="128" t="s">
        <v>664</v>
      </c>
      <c r="F109" s="127" t="s">
        <v>89</v>
      </c>
      <c r="H109" s="117" t="str">
        <f t="shared" si="3"/>
        <v>SO</v>
      </c>
      <c r="I109" s="113" t="s">
        <v>100</v>
      </c>
      <c r="J109"/>
    </row>
    <row r="110" spans="1:10">
      <c r="A110" s="114" t="str">
        <f t="shared" si="2"/>
        <v>1823910ENVIR CST UNDR AMORT103460Montague Ranch (CA)SO</v>
      </c>
      <c r="B110" s="127">
        <v>1823910</v>
      </c>
      <c r="C110" s="128" t="s">
        <v>644</v>
      </c>
      <c r="D110" s="127">
        <v>103460</v>
      </c>
      <c r="E110" s="128" t="s">
        <v>665</v>
      </c>
      <c r="F110" s="127" t="s">
        <v>89</v>
      </c>
      <c r="H110" s="117" t="str">
        <f t="shared" si="3"/>
        <v>SO</v>
      </c>
      <c r="I110" s="113" t="s">
        <v>100</v>
      </c>
      <c r="J110"/>
    </row>
    <row r="111" spans="1:10">
      <c r="A111" s="114" t="str">
        <f t="shared" si="2"/>
        <v>1823910ENVIR CST UNDR AMORT103461Naughton FGD Pond ClosureSO</v>
      </c>
      <c r="B111" s="127">
        <v>1823910</v>
      </c>
      <c r="C111" s="128" t="s">
        <v>644</v>
      </c>
      <c r="D111" s="127">
        <v>103461</v>
      </c>
      <c r="E111" s="128" t="s">
        <v>666</v>
      </c>
      <c r="F111" s="127" t="s">
        <v>89</v>
      </c>
      <c r="H111" s="117" t="str">
        <f t="shared" si="3"/>
        <v>SO</v>
      </c>
      <c r="I111" s="113" t="s">
        <v>100</v>
      </c>
      <c r="J111"/>
    </row>
    <row r="112" spans="1:10">
      <c r="A112" s="114" t="str">
        <f t="shared" si="2"/>
        <v>1823910ENVIR CST UNDR AMORT103462Ogden MGPSO</v>
      </c>
      <c r="B112" s="127">
        <v>1823910</v>
      </c>
      <c r="C112" s="128" t="s">
        <v>644</v>
      </c>
      <c r="D112" s="127">
        <v>103462</v>
      </c>
      <c r="E112" s="128" t="s">
        <v>667</v>
      </c>
      <c r="F112" s="127" t="s">
        <v>89</v>
      </c>
      <c r="H112" s="117" t="str">
        <f t="shared" si="3"/>
        <v>SO</v>
      </c>
      <c r="I112" s="113" t="s">
        <v>100</v>
      </c>
      <c r="J112"/>
    </row>
    <row r="113" spans="1:10">
      <c r="A113" s="114" t="str">
        <f t="shared" si="2"/>
        <v>1823910ENVIR CST UNDR AMORT103464Powerdale Hydro PlantSO</v>
      </c>
      <c r="B113" s="127">
        <v>1823910</v>
      </c>
      <c r="C113" s="128" t="s">
        <v>644</v>
      </c>
      <c r="D113" s="127">
        <v>103464</v>
      </c>
      <c r="E113" s="128" t="s">
        <v>668</v>
      </c>
      <c r="F113" s="127" t="s">
        <v>89</v>
      </c>
      <c r="H113" s="117" t="str">
        <f t="shared" si="3"/>
        <v>SO</v>
      </c>
      <c r="I113" s="113" t="s">
        <v>100</v>
      </c>
      <c r="J113"/>
    </row>
    <row r="114" spans="1:10">
      <c r="A114" s="114" t="str">
        <f t="shared" si="2"/>
        <v>1823910ENVIR CST UNDR AMORT103465Tacoma A St. (25% PCRP)SO</v>
      </c>
      <c r="B114" s="127">
        <v>1823910</v>
      </c>
      <c r="C114" s="128" t="s">
        <v>644</v>
      </c>
      <c r="D114" s="127">
        <v>103465</v>
      </c>
      <c r="E114" s="128" t="s">
        <v>669</v>
      </c>
      <c r="F114" s="127" t="s">
        <v>89</v>
      </c>
      <c r="H114" s="117" t="str">
        <f t="shared" si="3"/>
        <v>SO</v>
      </c>
      <c r="I114" s="113" t="s">
        <v>100</v>
      </c>
      <c r="J114"/>
    </row>
    <row r="115" spans="1:10">
      <c r="A115" s="114" t="str">
        <f t="shared" si="2"/>
        <v>1823910ENVIR CST UNDR AMORT103466Portland Harbor Service CtrSO</v>
      </c>
      <c r="B115" s="127">
        <v>1823910</v>
      </c>
      <c r="C115" s="128" t="s">
        <v>644</v>
      </c>
      <c r="D115" s="127">
        <v>103466</v>
      </c>
      <c r="E115" s="128" t="s">
        <v>670</v>
      </c>
      <c r="F115" s="127" t="s">
        <v>89</v>
      </c>
      <c r="H115" s="117" t="str">
        <f t="shared" si="3"/>
        <v>SO</v>
      </c>
      <c r="I115" s="113" t="s">
        <v>100</v>
      </c>
      <c r="J115"/>
    </row>
    <row r="116" spans="1:10">
      <c r="A116" s="114" t="str">
        <f t="shared" si="2"/>
        <v>1823910ENVIR CST UNDR AMORT103467Wyodak Fuel Oil SpillSO</v>
      </c>
      <c r="B116" s="127">
        <v>1823910</v>
      </c>
      <c r="C116" s="128" t="s">
        <v>644</v>
      </c>
      <c r="D116" s="127">
        <v>103467</v>
      </c>
      <c r="E116" s="128" t="s">
        <v>671</v>
      </c>
      <c r="F116" s="127" t="s">
        <v>89</v>
      </c>
      <c r="H116" s="117" t="str">
        <f t="shared" si="3"/>
        <v>SO</v>
      </c>
      <c r="I116" s="113" t="s">
        <v>100</v>
      </c>
      <c r="J116"/>
    </row>
    <row r="117" spans="1:10">
      <c r="A117" s="114" t="str">
        <f t="shared" si="2"/>
        <v>1823910ENVIR CST UNDR AMORT103585CLINE FALLS-HYDROSO</v>
      </c>
      <c r="B117" s="127">
        <v>1823910</v>
      </c>
      <c r="C117" s="128" t="s">
        <v>644</v>
      </c>
      <c r="D117" s="127">
        <v>103585</v>
      </c>
      <c r="E117" s="128" t="s">
        <v>672</v>
      </c>
      <c r="F117" s="127" t="s">
        <v>89</v>
      </c>
      <c r="H117" s="117" t="str">
        <f t="shared" si="3"/>
        <v>SO</v>
      </c>
      <c r="I117" s="113" t="s">
        <v>100</v>
      </c>
      <c r="J117"/>
    </row>
    <row r="118" spans="1:10">
      <c r="A118" s="114" t="str">
        <f t="shared" si="2"/>
        <v>1823910ENVIR CST UNDR AMORT103737Geneva Rock Bldg - Hunter PlantSO</v>
      </c>
      <c r="B118" s="127">
        <v>1823910</v>
      </c>
      <c r="C118" s="128" t="s">
        <v>644</v>
      </c>
      <c r="D118" s="127">
        <v>103737</v>
      </c>
      <c r="E118" s="128" t="s">
        <v>673</v>
      </c>
      <c r="F118" s="127" t="s">
        <v>89</v>
      </c>
      <c r="H118" s="117" t="str">
        <f t="shared" si="3"/>
        <v>SO</v>
      </c>
      <c r="I118" s="113" t="s">
        <v>100</v>
      </c>
      <c r="J118"/>
    </row>
    <row r="119" spans="1:10">
      <c r="A119" s="114" t="str">
        <f t="shared" si="2"/>
        <v>1823910ENVIR CST UNDR AMORT103851Alturas Service Center (CA)SO</v>
      </c>
      <c r="B119" s="127">
        <v>1823910</v>
      </c>
      <c r="C119" s="128" t="s">
        <v>644</v>
      </c>
      <c r="D119" s="127">
        <v>103851</v>
      </c>
      <c r="E119" s="128" t="s">
        <v>674</v>
      </c>
      <c r="F119" s="127" t="s">
        <v>89</v>
      </c>
      <c r="H119" s="117" t="str">
        <f t="shared" si="3"/>
        <v>SO</v>
      </c>
      <c r="I119" s="113" t="s">
        <v>100</v>
      </c>
      <c r="J119"/>
    </row>
    <row r="120" spans="1:10">
      <c r="A120" s="114" t="str">
        <f t="shared" si="2"/>
        <v>1823910ENVIR CST UNDR AMORT103852Pendleton Service Center  (OR)SO</v>
      </c>
      <c r="B120" s="127">
        <v>1823910</v>
      </c>
      <c r="C120" s="128" t="s">
        <v>644</v>
      </c>
      <c r="D120" s="127">
        <v>103852</v>
      </c>
      <c r="E120" s="128" t="s">
        <v>675</v>
      </c>
      <c r="F120" s="127" t="s">
        <v>89</v>
      </c>
      <c r="H120" s="117" t="str">
        <f t="shared" si="3"/>
        <v>SO</v>
      </c>
      <c r="I120" s="113" t="s">
        <v>100</v>
      </c>
      <c r="J120"/>
    </row>
    <row r="121" spans="1:10">
      <c r="A121" s="114" t="str">
        <f t="shared" si="2"/>
        <v>1823910ENVIR CST UNDR AMORT103853Sunnyside Service Center (WA)SO</v>
      </c>
      <c r="B121" s="127">
        <v>1823910</v>
      </c>
      <c r="C121" s="128" t="s">
        <v>644</v>
      </c>
      <c r="D121" s="127">
        <v>103853</v>
      </c>
      <c r="E121" s="128" t="s">
        <v>676</v>
      </c>
      <c r="F121" s="127" t="s">
        <v>89</v>
      </c>
      <c r="H121" s="117" t="str">
        <f t="shared" si="3"/>
        <v>SO</v>
      </c>
      <c r="I121" s="113" t="s">
        <v>100</v>
      </c>
      <c r="J121"/>
    </row>
    <row r="122" spans="1:10">
      <c r="A122" s="114" t="str">
        <f t="shared" si="2"/>
        <v>1823910ENVIR CST UNDR AMORT103940D-SM Retail Minor Sites - RMP - 2012SO</v>
      </c>
      <c r="B122" s="127">
        <v>1823910</v>
      </c>
      <c r="C122" s="128" t="s">
        <v>644</v>
      </c>
      <c r="D122" s="127">
        <v>103940</v>
      </c>
      <c r="E122" s="128" t="s">
        <v>677</v>
      </c>
      <c r="F122" s="127" t="s">
        <v>89</v>
      </c>
      <c r="H122" s="117" t="str">
        <f t="shared" si="3"/>
        <v>SO</v>
      </c>
      <c r="I122" s="113" t="s">
        <v>100</v>
      </c>
      <c r="J122"/>
    </row>
    <row r="123" spans="1:10">
      <c r="A123" s="114" t="str">
        <f t="shared" si="2"/>
        <v>1823910ENVIR CST UNDR AMORT103941D-SM Retail Minor Sites - RMP - 2013SO</v>
      </c>
      <c r="B123" s="127">
        <v>1823910</v>
      </c>
      <c r="C123" s="128" t="s">
        <v>644</v>
      </c>
      <c r="D123" s="127">
        <v>103941</v>
      </c>
      <c r="E123" s="128" t="s">
        <v>678</v>
      </c>
      <c r="F123" s="127" t="s">
        <v>89</v>
      </c>
      <c r="H123" s="117" t="str">
        <f t="shared" si="3"/>
        <v>SO</v>
      </c>
      <c r="I123" s="113" t="s">
        <v>100</v>
      </c>
      <c r="J123"/>
    </row>
    <row r="124" spans="1:10">
      <c r="A124" s="114" t="str">
        <f t="shared" si="2"/>
        <v>1823910ENVIR CST UNDR AMORT103942D-SM Retail Minor Sites - RMP - 2014SO</v>
      </c>
      <c r="B124" s="127">
        <v>1823910</v>
      </c>
      <c r="C124" s="128" t="s">
        <v>644</v>
      </c>
      <c r="D124" s="127">
        <v>103942</v>
      </c>
      <c r="E124" s="128" t="s">
        <v>679</v>
      </c>
      <c r="F124" s="127" t="s">
        <v>89</v>
      </c>
      <c r="H124" s="117" t="str">
        <f t="shared" si="3"/>
        <v>SO</v>
      </c>
      <c r="I124" s="113" t="s">
        <v>100</v>
      </c>
      <c r="J124"/>
    </row>
    <row r="125" spans="1:10">
      <c r="A125" s="114" t="str">
        <f t="shared" si="2"/>
        <v>1823910ENVIR CST UNDR AMORT103943D-SM Retail Minor Sites - RMP - 2007SO</v>
      </c>
      <c r="B125" s="127">
        <v>1823910</v>
      </c>
      <c r="C125" s="128" t="s">
        <v>644</v>
      </c>
      <c r="D125" s="127">
        <v>103943</v>
      </c>
      <c r="E125" s="128" t="s">
        <v>680</v>
      </c>
      <c r="F125" s="127" t="s">
        <v>89</v>
      </c>
      <c r="H125" s="117" t="str">
        <f t="shared" si="3"/>
        <v>SO</v>
      </c>
      <c r="I125" s="113" t="s">
        <v>100</v>
      </c>
      <c r="J125"/>
    </row>
    <row r="126" spans="1:10">
      <c r="A126" s="114" t="str">
        <f t="shared" si="2"/>
        <v>1823910ENVIR CST UNDR AMORT103944D-SM Retail Minor Sites - RMP - 2008SO</v>
      </c>
      <c r="B126" s="127">
        <v>1823910</v>
      </c>
      <c r="C126" s="128" t="s">
        <v>644</v>
      </c>
      <c r="D126" s="127">
        <v>103944</v>
      </c>
      <c r="E126" s="128" t="s">
        <v>681</v>
      </c>
      <c r="F126" s="127" t="s">
        <v>89</v>
      </c>
      <c r="H126" s="117" t="str">
        <f t="shared" si="3"/>
        <v>SO</v>
      </c>
      <c r="I126" s="113" t="s">
        <v>100</v>
      </c>
      <c r="J126"/>
    </row>
    <row r="127" spans="1:10">
      <c r="A127" s="114" t="str">
        <f t="shared" si="2"/>
        <v>1823910ENVIR CST UNDR AMORT103945D-SM Retail Minor Sites - RMP - 2009SO</v>
      </c>
      <c r="B127" s="127">
        <v>1823910</v>
      </c>
      <c r="C127" s="128" t="s">
        <v>644</v>
      </c>
      <c r="D127" s="127">
        <v>103945</v>
      </c>
      <c r="E127" s="128" t="s">
        <v>682</v>
      </c>
      <c r="F127" s="127" t="s">
        <v>89</v>
      </c>
      <c r="H127" s="117" t="str">
        <f t="shared" si="3"/>
        <v>SO</v>
      </c>
      <c r="I127" s="113" t="s">
        <v>100</v>
      </c>
      <c r="J127"/>
    </row>
    <row r="128" spans="1:10">
      <c r="A128" s="114" t="str">
        <f t="shared" si="2"/>
        <v>1823910ENVIR CST UNDR AMORT103946D-SM Retail Minor Sites - RMP - 2010SO</v>
      </c>
      <c r="B128" s="127">
        <v>1823910</v>
      </c>
      <c r="C128" s="128" t="s">
        <v>644</v>
      </c>
      <c r="D128" s="127">
        <v>103946</v>
      </c>
      <c r="E128" s="128" t="s">
        <v>683</v>
      </c>
      <c r="F128" s="127" t="s">
        <v>89</v>
      </c>
      <c r="H128" s="117" t="str">
        <f t="shared" si="3"/>
        <v>SO</v>
      </c>
      <c r="I128" s="113" t="s">
        <v>100</v>
      </c>
      <c r="J128"/>
    </row>
    <row r="129" spans="1:10">
      <c r="A129" s="114" t="str">
        <f t="shared" si="2"/>
        <v>1823910ENVIR CST UNDR AMORT103947D-SM Retail Minor Sites - RMP - 2011SO</v>
      </c>
      <c r="B129" s="127">
        <v>1823910</v>
      </c>
      <c r="C129" s="128" t="s">
        <v>644</v>
      </c>
      <c r="D129" s="127">
        <v>103947</v>
      </c>
      <c r="E129" s="128" t="s">
        <v>684</v>
      </c>
      <c r="F129" s="127" t="s">
        <v>89</v>
      </c>
      <c r="H129" s="117" t="str">
        <f t="shared" si="3"/>
        <v>SO</v>
      </c>
      <c r="I129" s="113" t="s">
        <v>100</v>
      </c>
      <c r="J129"/>
    </row>
    <row r="130" spans="1:10">
      <c r="A130" s="114" t="str">
        <f t="shared" si="2"/>
        <v>1823910ENVIR CST UNDR AMORT103948WASHINGTON NON-DEFERRED COSTS-SPPC PACIFSITUS</v>
      </c>
      <c r="B130" s="127">
        <v>1823910</v>
      </c>
      <c r="C130" s="128" t="s">
        <v>644</v>
      </c>
      <c r="D130" s="127">
        <v>103948</v>
      </c>
      <c r="E130" s="128" t="s">
        <v>685</v>
      </c>
      <c r="F130" s="127" t="s">
        <v>12</v>
      </c>
      <c r="H130" s="117" t="str">
        <f t="shared" si="3"/>
        <v>SITUS</v>
      </c>
      <c r="I130" s="113" t="s">
        <v>100</v>
      </c>
      <c r="J130"/>
    </row>
    <row r="131" spans="1:10">
      <c r="A131" s="114" t="str">
        <f t="shared" ref="A131:A194" si="4">CONCATENATE($B131,$C131,$D131,$E131,$H131)</f>
        <v>1823910ENVIR CST UNDR AMORT103949WASHINGTON NON-DEFERRED COSTS-SPPC ROCKYSITUS</v>
      </c>
      <c r="B131" s="127">
        <v>1823910</v>
      </c>
      <c r="C131" s="128" t="s">
        <v>644</v>
      </c>
      <c r="D131" s="127">
        <v>103949</v>
      </c>
      <c r="E131" s="128" t="s">
        <v>686</v>
      </c>
      <c r="F131" s="127" t="s">
        <v>12</v>
      </c>
      <c r="H131" s="117" t="str">
        <f t="shared" ref="H131:H194" si="5">IF(OR(F131="IDU",F131="OR",F131="UT",F131="WYU",F131="WYP",F131="CA",F131="WA"),"SITUS",F131)</f>
        <v>SITUS</v>
      </c>
      <c r="I131" s="113" t="s">
        <v>100</v>
      </c>
      <c r="J131"/>
    </row>
    <row r="132" spans="1:10">
      <c r="A132" s="114" t="str">
        <f t="shared" si="4"/>
        <v>1823910ENVIR CST UNDR AMORT103950WASHINGTON NON-DEFERRED COSTS-REMEDIATIOSITUS</v>
      </c>
      <c r="B132" s="127">
        <v>1823910</v>
      </c>
      <c r="C132" s="128" t="s">
        <v>644</v>
      </c>
      <c r="D132" s="127">
        <v>103950</v>
      </c>
      <c r="E132" s="128" t="s">
        <v>687</v>
      </c>
      <c r="F132" s="127" t="s">
        <v>12</v>
      </c>
      <c r="H132" s="117" t="str">
        <f t="shared" si="5"/>
        <v>SITUS</v>
      </c>
      <c r="I132" s="113" t="s">
        <v>100</v>
      </c>
      <c r="J132"/>
    </row>
    <row r="133" spans="1:10">
      <c r="A133" s="114" t="str">
        <f t="shared" si="4"/>
        <v>1823910ENVIR CST UNDR AMORT103951WASHINGTON NON-DEFERRED COSTS-REMEDIATIOSITUS</v>
      </c>
      <c r="B133" s="127">
        <v>1823910</v>
      </c>
      <c r="C133" s="128" t="s">
        <v>644</v>
      </c>
      <c r="D133" s="127">
        <v>103951</v>
      </c>
      <c r="E133" s="128" t="s">
        <v>687</v>
      </c>
      <c r="F133" s="127" t="s">
        <v>12</v>
      </c>
      <c r="H133" s="117" t="str">
        <f t="shared" si="5"/>
        <v>SITUS</v>
      </c>
      <c r="I133" s="113" t="s">
        <v>100</v>
      </c>
      <c r="J133"/>
    </row>
    <row r="134" spans="1:10">
      <c r="A134" s="114" t="str">
        <f t="shared" si="4"/>
        <v>1823910ENVIR CST UNDR AMORT103952WASHINGTON NON-DEFERRED COSTS-REMEDIATIOSITUS</v>
      </c>
      <c r="B134" s="127">
        <v>1823910</v>
      </c>
      <c r="C134" s="128" t="s">
        <v>644</v>
      </c>
      <c r="D134" s="127">
        <v>103952</v>
      </c>
      <c r="E134" s="128" t="s">
        <v>687</v>
      </c>
      <c r="F134" s="127" t="s">
        <v>12</v>
      </c>
      <c r="H134" s="117" t="str">
        <f t="shared" si="5"/>
        <v>SITUS</v>
      </c>
      <c r="I134" s="113" t="s">
        <v>100</v>
      </c>
      <c r="J134"/>
    </row>
    <row r="135" spans="1:10">
      <c r="A135" s="114" t="str">
        <f t="shared" si="4"/>
        <v>1823910ENVIR CST UNDR AMORT103953Wash Non-Def Costs - SPPC - RMP - 2012SITUS</v>
      </c>
      <c r="B135" s="127">
        <v>1823910</v>
      </c>
      <c r="C135" s="128" t="s">
        <v>644</v>
      </c>
      <c r="D135" s="127">
        <v>103953</v>
      </c>
      <c r="E135" s="128" t="s">
        <v>688</v>
      </c>
      <c r="F135" s="127" t="s">
        <v>12</v>
      </c>
      <c r="H135" s="117" t="str">
        <f t="shared" si="5"/>
        <v>SITUS</v>
      </c>
      <c r="I135" s="113" t="s">
        <v>100</v>
      </c>
      <c r="J135"/>
    </row>
    <row r="136" spans="1:10">
      <c r="A136" s="114" t="str">
        <f t="shared" si="4"/>
        <v>1823910ENVIR CST UNDR AMORT103954Wash Non-Def Costs - SPPC - RMP - 2013SITUS</v>
      </c>
      <c r="B136" s="127">
        <v>1823910</v>
      </c>
      <c r="C136" s="128" t="s">
        <v>644</v>
      </c>
      <c r="D136" s="127">
        <v>103954</v>
      </c>
      <c r="E136" s="128" t="s">
        <v>689</v>
      </c>
      <c r="F136" s="127" t="s">
        <v>12</v>
      </c>
      <c r="H136" s="117" t="str">
        <f t="shared" si="5"/>
        <v>SITUS</v>
      </c>
      <c r="I136" s="113" t="s">
        <v>100</v>
      </c>
      <c r="J136"/>
    </row>
    <row r="137" spans="1:10">
      <c r="A137" s="114" t="str">
        <f t="shared" si="4"/>
        <v>1823910ENVIR CST UNDR AMORT103955Wash Non-Def Costs - SPPC - RMP - 2014SITUS</v>
      </c>
      <c r="B137" s="127">
        <v>1823910</v>
      </c>
      <c r="C137" s="128" t="s">
        <v>644</v>
      </c>
      <c r="D137" s="127">
        <v>103955</v>
      </c>
      <c r="E137" s="128" t="s">
        <v>690</v>
      </c>
      <c r="F137" s="127" t="s">
        <v>12</v>
      </c>
      <c r="H137" s="117" t="str">
        <f t="shared" si="5"/>
        <v>SITUS</v>
      </c>
      <c r="I137" s="113" t="s">
        <v>100</v>
      </c>
      <c r="J137"/>
    </row>
    <row r="138" spans="1:10">
      <c r="A138" s="114" t="str">
        <f t="shared" si="4"/>
        <v>1823910ENVIR CST UNDR AMORT103961D-SM RETAIL MINOR SITES - RMPSO</v>
      </c>
      <c r="B138" s="127">
        <v>1823910</v>
      </c>
      <c r="C138" s="128" t="s">
        <v>644</v>
      </c>
      <c r="D138" s="127">
        <v>103961</v>
      </c>
      <c r="E138" s="128" t="s">
        <v>691</v>
      </c>
      <c r="F138" s="127" t="s">
        <v>89</v>
      </c>
      <c r="H138" s="117" t="str">
        <f t="shared" si="5"/>
        <v>SO</v>
      </c>
      <c r="I138" s="113" t="s">
        <v>100</v>
      </c>
      <c r="J138"/>
    </row>
    <row r="139" spans="1:10">
      <c r="A139" s="114" t="str">
        <f t="shared" si="4"/>
        <v>1823910ENVIR CST UNDR AMORT104072FREEPORT SUBSTATIONSO</v>
      </c>
      <c r="B139" s="127">
        <v>1823910</v>
      </c>
      <c r="C139" s="128" t="s">
        <v>644</v>
      </c>
      <c r="D139" s="127">
        <v>104072</v>
      </c>
      <c r="E139" s="128" t="s">
        <v>692</v>
      </c>
      <c r="F139" s="127" t="s">
        <v>89</v>
      </c>
      <c r="H139" s="117" t="str">
        <f t="shared" si="5"/>
        <v>SO</v>
      </c>
      <c r="I139" s="113" t="s">
        <v>100</v>
      </c>
      <c r="J139"/>
    </row>
    <row r="140" spans="1:10">
      <c r="A140" s="114" t="str">
        <f t="shared" si="4"/>
        <v>1823910ENVIR CST UNDR AMORT104108Bors Property  (OR) - 2016SO</v>
      </c>
      <c r="B140" s="127">
        <v>1823910</v>
      </c>
      <c r="C140" s="128" t="s">
        <v>644</v>
      </c>
      <c r="D140" s="127">
        <v>104108</v>
      </c>
      <c r="E140" s="128" t="s">
        <v>693</v>
      </c>
      <c r="F140" s="127" t="s">
        <v>89</v>
      </c>
      <c r="H140" s="117" t="str">
        <f t="shared" si="5"/>
        <v>SO</v>
      </c>
      <c r="I140" s="113" t="s">
        <v>100</v>
      </c>
      <c r="J140"/>
    </row>
    <row r="141" spans="1:10">
      <c r="A141" s="114" t="str">
        <f t="shared" si="4"/>
        <v>1823910ENVIR CST UNDR AMORT104112Carbon Ash Spill  (UT) - 2016SO</v>
      </c>
      <c r="B141" s="127">
        <v>1823910</v>
      </c>
      <c r="C141" s="128" t="s">
        <v>644</v>
      </c>
      <c r="D141" s="127">
        <v>104112</v>
      </c>
      <c r="E141" s="128" t="s">
        <v>694</v>
      </c>
      <c r="F141" s="127" t="s">
        <v>89</v>
      </c>
      <c r="H141" s="117" t="str">
        <f t="shared" si="5"/>
        <v>SO</v>
      </c>
      <c r="I141" s="113" t="s">
        <v>100</v>
      </c>
      <c r="J141"/>
    </row>
    <row r="142" spans="1:10">
      <c r="A142" s="114" t="str">
        <f t="shared" si="4"/>
        <v>1823920DSR COSTS AMORTIZED0DSR COST AMORTSITUS</v>
      </c>
      <c r="B142" s="127">
        <v>1823920</v>
      </c>
      <c r="C142" s="128" t="s">
        <v>695</v>
      </c>
      <c r="D142" s="127">
        <v>0</v>
      </c>
      <c r="E142" s="128" t="s">
        <v>696</v>
      </c>
      <c r="F142" s="127" t="s">
        <v>12</v>
      </c>
      <c r="H142" s="117" t="str">
        <f t="shared" si="5"/>
        <v>SITUS</v>
      </c>
      <c r="I142" s="113" t="s">
        <v>73</v>
      </c>
      <c r="J142"/>
    </row>
    <row r="143" spans="1:10">
      <c r="A143" s="114" t="str">
        <f t="shared" si="4"/>
        <v>1823920DSR COSTS AMORTIZED0DSR COST AMORTOTHER</v>
      </c>
      <c r="B143" s="127">
        <v>1823920</v>
      </c>
      <c r="C143" s="128" t="s">
        <v>695</v>
      </c>
      <c r="D143" s="127">
        <v>0</v>
      </c>
      <c r="E143" s="128" t="s">
        <v>696</v>
      </c>
      <c r="F143" s="127" t="s">
        <v>306</v>
      </c>
      <c r="H143" s="117" t="str">
        <f t="shared" si="5"/>
        <v>OTHER</v>
      </c>
      <c r="I143" s="113" t="s">
        <v>73</v>
      </c>
      <c r="J143"/>
    </row>
    <row r="144" spans="1:10">
      <c r="A144" s="114" t="str">
        <f t="shared" si="4"/>
        <v>1823920DSR COSTS AMORTIZED0DSR COST AMORTSITUS</v>
      </c>
      <c r="B144" s="127">
        <v>1823920</v>
      </c>
      <c r="C144" s="128" t="s">
        <v>695</v>
      </c>
      <c r="D144" s="127">
        <v>0</v>
      </c>
      <c r="E144" s="128" t="s">
        <v>696</v>
      </c>
      <c r="F144" s="127" t="s">
        <v>12</v>
      </c>
      <c r="H144" s="117" t="str">
        <f t="shared" si="5"/>
        <v>SITUS</v>
      </c>
      <c r="I144" s="113" t="s">
        <v>73</v>
      </c>
      <c r="J144"/>
    </row>
    <row r="145" spans="1:10">
      <c r="A145" s="114" t="str">
        <f t="shared" si="4"/>
        <v>1823920DSR COSTS AMORTIZED102030ENERGY FINANSWER - WASHINGTONOTHER</v>
      </c>
      <c r="B145" s="127">
        <v>1823920</v>
      </c>
      <c r="C145" s="128" t="s">
        <v>695</v>
      </c>
      <c r="D145" s="127">
        <v>102030</v>
      </c>
      <c r="E145" s="128" t="s">
        <v>697</v>
      </c>
      <c r="F145" s="127" t="s">
        <v>306</v>
      </c>
      <c r="H145" s="117" t="str">
        <f t="shared" si="5"/>
        <v>OTHER</v>
      </c>
      <c r="I145" s="113" t="s">
        <v>73</v>
      </c>
      <c r="J145"/>
    </row>
    <row r="146" spans="1:10">
      <c r="A146" s="114" t="str">
        <f t="shared" si="4"/>
        <v>1823920DSR COSTS AMORTIZED102032INDUSTRIAL FINANSWER - WASHINGTONOTHER</v>
      </c>
      <c r="B146" s="127">
        <v>1823920</v>
      </c>
      <c r="C146" s="128" t="s">
        <v>695</v>
      </c>
      <c r="D146" s="127">
        <v>102032</v>
      </c>
      <c r="E146" s="128" t="s">
        <v>698</v>
      </c>
      <c r="F146" s="127" t="s">
        <v>306</v>
      </c>
      <c r="H146" s="117" t="str">
        <f t="shared" si="5"/>
        <v>OTHER</v>
      </c>
      <c r="I146" s="113" t="s">
        <v>73</v>
      </c>
      <c r="J146"/>
    </row>
    <row r="147" spans="1:10">
      <c r="A147" s="114" t="str">
        <f t="shared" si="4"/>
        <v>1823920DSR COSTS AMORTIZED102033LOW INCOME - WASHINGTONOTHER</v>
      </c>
      <c r="B147" s="127">
        <v>1823920</v>
      </c>
      <c r="C147" s="128" t="s">
        <v>695</v>
      </c>
      <c r="D147" s="127">
        <v>102033</v>
      </c>
      <c r="E147" s="128" t="s">
        <v>699</v>
      </c>
      <c r="F147" s="127" t="s">
        <v>306</v>
      </c>
      <c r="H147" s="117" t="str">
        <f t="shared" si="5"/>
        <v>OTHER</v>
      </c>
      <c r="I147" s="113" t="s">
        <v>73</v>
      </c>
      <c r="J147"/>
    </row>
    <row r="148" spans="1:10">
      <c r="A148" s="114" t="str">
        <f t="shared" si="4"/>
        <v>1823920DSR COSTS AMORTIZED102034SELF AUDIT - WASHINGTONOTHER</v>
      </c>
      <c r="B148" s="127">
        <v>1823920</v>
      </c>
      <c r="C148" s="128" t="s">
        <v>695</v>
      </c>
      <c r="D148" s="127">
        <v>102034</v>
      </c>
      <c r="E148" s="128" t="s">
        <v>700</v>
      </c>
      <c r="F148" s="127" t="s">
        <v>306</v>
      </c>
      <c r="H148" s="117" t="str">
        <f t="shared" si="5"/>
        <v>OTHER</v>
      </c>
      <c r="I148" s="113" t="s">
        <v>73</v>
      </c>
      <c r="J148"/>
    </row>
    <row r="149" spans="1:10">
      <c r="A149" s="114" t="str">
        <f t="shared" si="4"/>
        <v>1823920DSR COSTS AMORTIZED102036COMMERCIAL SMALL RETROFIT - WASHINGTONOTHER</v>
      </c>
      <c r="B149" s="127">
        <v>1823920</v>
      </c>
      <c r="C149" s="128" t="s">
        <v>695</v>
      </c>
      <c r="D149" s="127">
        <v>102036</v>
      </c>
      <c r="E149" s="128" t="s">
        <v>701</v>
      </c>
      <c r="F149" s="127" t="s">
        <v>306</v>
      </c>
      <c r="H149" s="117" t="str">
        <f t="shared" si="5"/>
        <v>OTHER</v>
      </c>
      <c r="I149" s="113" t="s">
        <v>73</v>
      </c>
      <c r="J149"/>
    </row>
    <row r="150" spans="1:10">
      <c r="A150" s="114" t="str">
        <f t="shared" si="4"/>
        <v>1823920DSR COSTS AMORTIZED102037INDUSTRIAL SMALL RETROFIT - WASHINGTONOTHER</v>
      </c>
      <c r="B150" s="127">
        <v>1823920</v>
      </c>
      <c r="C150" s="128" t="s">
        <v>695</v>
      </c>
      <c r="D150" s="127">
        <v>102037</v>
      </c>
      <c r="E150" s="128" t="s">
        <v>702</v>
      </c>
      <c r="F150" s="127" t="s">
        <v>306</v>
      </c>
      <c r="H150" s="117" t="str">
        <f t="shared" si="5"/>
        <v>OTHER</v>
      </c>
      <c r="I150" s="113" t="s">
        <v>73</v>
      </c>
      <c r="J150"/>
    </row>
    <row r="151" spans="1:10">
      <c r="A151" s="114" t="str">
        <f t="shared" si="4"/>
        <v>1823920DSR COSTS AMORTIZED102038COMMERCIAL RETROFIT LIGHTING - WASHINGTOOTHER</v>
      </c>
      <c r="B151" s="127">
        <v>1823920</v>
      </c>
      <c r="C151" s="128" t="s">
        <v>695</v>
      </c>
      <c r="D151" s="127">
        <v>102038</v>
      </c>
      <c r="E151" s="128" t="s">
        <v>703</v>
      </c>
      <c r="F151" s="127" t="s">
        <v>306</v>
      </c>
      <c r="H151" s="117" t="str">
        <f t="shared" si="5"/>
        <v>OTHER</v>
      </c>
      <c r="I151" s="113" t="s">
        <v>73</v>
      </c>
      <c r="J151"/>
    </row>
    <row r="152" spans="1:10">
      <c r="A152" s="114" t="str">
        <f t="shared" si="4"/>
        <v>1823920DSR COSTS AMORTIZED102039INDUSTRIAL RETROFIT LIGHTING-WAOTHER</v>
      </c>
      <c r="B152" s="127">
        <v>1823920</v>
      </c>
      <c r="C152" s="128" t="s">
        <v>695</v>
      </c>
      <c r="D152" s="127">
        <v>102039</v>
      </c>
      <c r="E152" s="128" t="s">
        <v>704</v>
      </c>
      <c r="F152" s="127" t="s">
        <v>306</v>
      </c>
      <c r="H152" s="117" t="str">
        <f t="shared" si="5"/>
        <v>OTHER</v>
      </c>
      <c r="I152" s="113" t="s">
        <v>73</v>
      </c>
      <c r="J152"/>
    </row>
    <row r="153" spans="1:10">
      <c r="A153" s="114" t="str">
        <f t="shared" si="4"/>
        <v>1823920DSR COSTS AMORTIZED102040NEEA - WASHINGTONOTHER</v>
      </c>
      <c r="B153" s="127">
        <v>1823920</v>
      </c>
      <c r="C153" s="128" t="s">
        <v>695</v>
      </c>
      <c r="D153" s="127">
        <v>102040</v>
      </c>
      <c r="E153" s="128" t="s">
        <v>705</v>
      </c>
      <c r="F153" s="127" t="s">
        <v>306</v>
      </c>
      <c r="H153" s="117" t="str">
        <f t="shared" si="5"/>
        <v>OTHER</v>
      </c>
      <c r="I153" s="113" t="s">
        <v>73</v>
      </c>
      <c r="J153"/>
    </row>
    <row r="154" spans="1:10">
      <c r="A154" s="114" t="str">
        <f t="shared" si="4"/>
        <v>1823920DSR COSTS AMORTIZED102043ENERGY CODE DEVELOPMENTOTHER</v>
      </c>
      <c r="B154" s="127">
        <v>1823920</v>
      </c>
      <c r="C154" s="128" t="s">
        <v>695</v>
      </c>
      <c r="D154" s="127">
        <v>102043</v>
      </c>
      <c r="E154" s="128" t="s">
        <v>706</v>
      </c>
      <c r="F154" s="127" t="s">
        <v>306</v>
      </c>
      <c r="H154" s="117" t="str">
        <f t="shared" si="5"/>
        <v>OTHER</v>
      </c>
      <c r="I154" s="113" t="s">
        <v>73</v>
      </c>
      <c r="J154"/>
    </row>
    <row r="155" spans="1:10">
      <c r="A155" s="114" t="str">
        <f t="shared" si="4"/>
        <v>1823920DSR COSTS AMORTIZED102044HOME COMFORT - WASHINGTONOTHER</v>
      </c>
      <c r="B155" s="127">
        <v>1823920</v>
      </c>
      <c r="C155" s="128" t="s">
        <v>695</v>
      </c>
      <c r="D155" s="127">
        <v>102044</v>
      </c>
      <c r="E155" s="128" t="s">
        <v>707</v>
      </c>
      <c r="F155" s="127" t="s">
        <v>306</v>
      </c>
      <c r="H155" s="117" t="str">
        <f t="shared" si="5"/>
        <v>OTHER</v>
      </c>
      <c r="I155" s="113" t="s">
        <v>73</v>
      </c>
      <c r="J155"/>
    </row>
    <row r="156" spans="1:10">
      <c r="A156" s="114" t="str">
        <f t="shared" si="4"/>
        <v>1823920DSR COSTS AMORTIZED102045WEATHERIZATION - WASHINGTONOTHER</v>
      </c>
      <c r="B156" s="127">
        <v>1823920</v>
      </c>
      <c r="C156" s="128" t="s">
        <v>695</v>
      </c>
      <c r="D156" s="127">
        <v>102045</v>
      </c>
      <c r="E156" s="128" t="s">
        <v>708</v>
      </c>
      <c r="F156" s="127" t="s">
        <v>306</v>
      </c>
      <c r="H156" s="117" t="str">
        <f t="shared" si="5"/>
        <v>OTHER</v>
      </c>
      <c r="I156" s="113" t="s">
        <v>73</v>
      </c>
      <c r="J156"/>
    </row>
    <row r="157" spans="1:10">
      <c r="A157" s="114" t="str">
        <f t="shared" si="4"/>
        <v>1823920DSR COSTS AMORTIZED102046HASSLE FREEOTHER</v>
      </c>
      <c r="B157" s="127">
        <v>1823920</v>
      </c>
      <c r="C157" s="128" t="s">
        <v>695</v>
      </c>
      <c r="D157" s="127">
        <v>102046</v>
      </c>
      <c r="E157" s="128" t="s">
        <v>709</v>
      </c>
      <c r="F157" s="127" t="s">
        <v>306</v>
      </c>
      <c r="H157" s="117" t="str">
        <f t="shared" si="5"/>
        <v>OTHER</v>
      </c>
      <c r="I157" s="113" t="s">
        <v>73</v>
      </c>
      <c r="J157"/>
    </row>
    <row r="158" spans="1:10">
      <c r="A158" s="114" t="str">
        <f t="shared" si="4"/>
        <v>1823920DSR COSTS AMORTIZED102072COMPACT FLUORESCENT LAMPS - WASHINGTONOTHER</v>
      </c>
      <c r="B158" s="127">
        <v>1823920</v>
      </c>
      <c r="C158" s="128" t="s">
        <v>695</v>
      </c>
      <c r="D158" s="127">
        <v>102072</v>
      </c>
      <c r="E158" s="128" t="s">
        <v>710</v>
      </c>
      <c r="F158" s="127" t="s">
        <v>306</v>
      </c>
      <c r="H158" s="117" t="str">
        <f t="shared" si="5"/>
        <v>OTHER</v>
      </c>
      <c r="I158" s="113" t="s">
        <v>73</v>
      </c>
      <c r="J158"/>
    </row>
    <row r="159" spans="1:10">
      <c r="A159" s="114" t="str">
        <f t="shared" si="4"/>
        <v>1823920DSR COSTS AMORTIZED102127RESIDENTIAL PROGRAM RESEARCH - WAOTHER</v>
      </c>
      <c r="B159" s="127">
        <v>1823920</v>
      </c>
      <c r="C159" s="128" t="s">
        <v>695</v>
      </c>
      <c r="D159" s="127">
        <v>102127</v>
      </c>
      <c r="E159" s="128" t="s">
        <v>711</v>
      </c>
      <c r="F159" s="127" t="s">
        <v>306</v>
      </c>
      <c r="H159" s="117" t="str">
        <f t="shared" si="5"/>
        <v>OTHER</v>
      </c>
      <c r="I159" s="113" t="s">
        <v>73</v>
      </c>
      <c r="J159"/>
    </row>
    <row r="160" spans="1:10">
      <c r="A160" s="114" t="str">
        <f t="shared" si="4"/>
        <v>1823920DSR COSTS AMORTIZED102128WA REVENUE RECOVERY - SBC OFFSETOTHER</v>
      </c>
      <c r="B160" s="127">
        <v>1823920</v>
      </c>
      <c r="C160" s="128" t="s">
        <v>695</v>
      </c>
      <c r="D160" s="127">
        <v>102128</v>
      </c>
      <c r="E160" s="128" t="s">
        <v>712</v>
      </c>
      <c r="F160" s="127" t="s">
        <v>306</v>
      </c>
      <c r="H160" s="117" t="str">
        <f t="shared" si="5"/>
        <v>OTHER</v>
      </c>
      <c r="I160" s="113" t="s">
        <v>73</v>
      </c>
      <c r="J160"/>
    </row>
    <row r="161" spans="1:10">
      <c r="A161" s="114" t="str">
        <f t="shared" si="4"/>
        <v>1823920DSR COSTS AMORTIZED102131ENERGY FINANSWER - UTAH 2001/2002OTHER</v>
      </c>
      <c r="B161" s="127">
        <v>1823920</v>
      </c>
      <c r="C161" s="128" t="s">
        <v>695</v>
      </c>
      <c r="D161" s="127">
        <v>102131</v>
      </c>
      <c r="E161" s="128" t="s">
        <v>713</v>
      </c>
      <c r="F161" s="127" t="s">
        <v>306</v>
      </c>
      <c r="H161" s="117" t="str">
        <f t="shared" si="5"/>
        <v>OTHER</v>
      </c>
      <c r="I161" s="113" t="s">
        <v>73</v>
      </c>
      <c r="J161"/>
    </row>
    <row r="162" spans="1:10">
      <c r="A162" s="114" t="str">
        <f t="shared" si="4"/>
        <v>1823920DSR COSTS AMORTIZED102133INDUSTRIAL FINANSWER - UTAH 2001/2002OTHER</v>
      </c>
      <c r="B162" s="127">
        <v>1823920</v>
      </c>
      <c r="C162" s="128" t="s">
        <v>695</v>
      </c>
      <c r="D162" s="127">
        <v>102133</v>
      </c>
      <c r="E162" s="128" t="s">
        <v>714</v>
      </c>
      <c r="F162" s="127" t="s">
        <v>306</v>
      </c>
      <c r="H162" s="117" t="str">
        <f t="shared" si="5"/>
        <v>OTHER</v>
      </c>
      <c r="I162" s="113" t="s">
        <v>73</v>
      </c>
      <c r="J162"/>
    </row>
    <row r="163" spans="1:10">
      <c r="A163" s="114" t="str">
        <f t="shared" si="4"/>
        <v>1823920DSR COSTS AMORTIZED102138COMPACT FLUOR LAMPS (CFL) UT 2001/2002OTHER</v>
      </c>
      <c r="B163" s="127">
        <v>1823920</v>
      </c>
      <c r="C163" s="128" t="s">
        <v>695</v>
      </c>
      <c r="D163" s="127">
        <v>102138</v>
      </c>
      <c r="E163" s="128" t="s">
        <v>715</v>
      </c>
      <c r="F163" s="127" t="s">
        <v>306</v>
      </c>
      <c r="H163" s="117" t="str">
        <f t="shared" si="5"/>
        <v>OTHER</v>
      </c>
      <c r="I163" s="113" t="s">
        <v>73</v>
      </c>
      <c r="J163"/>
    </row>
    <row r="164" spans="1:10">
      <c r="A164" s="114" t="str">
        <f t="shared" si="4"/>
        <v>1823920DSR COSTS AMORTIZED102147COMMERCIAL SMALL RETROFIT - UT 2001/2002OTHER</v>
      </c>
      <c r="B164" s="127">
        <v>1823920</v>
      </c>
      <c r="C164" s="128" t="s">
        <v>695</v>
      </c>
      <c r="D164" s="127">
        <v>102147</v>
      </c>
      <c r="E164" s="128" t="s">
        <v>716</v>
      </c>
      <c r="F164" s="127" t="s">
        <v>306</v>
      </c>
      <c r="H164" s="117" t="str">
        <f t="shared" si="5"/>
        <v>OTHER</v>
      </c>
      <c r="I164" s="113" t="s">
        <v>73</v>
      </c>
      <c r="J164"/>
    </row>
    <row r="165" spans="1:10">
      <c r="A165" s="114" t="str">
        <f t="shared" si="4"/>
        <v>1823920DSR COSTS AMORTIZED102148INDUSTRIAL SMALL RETROFIT - UT 2002OTHER</v>
      </c>
      <c r="B165" s="127">
        <v>1823920</v>
      </c>
      <c r="C165" s="128" t="s">
        <v>695</v>
      </c>
      <c r="D165" s="127">
        <v>102148</v>
      </c>
      <c r="E165" s="128" t="s">
        <v>717</v>
      </c>
      <c r="F165" s="127" t="s">
        <v>306</v>
      </c>
      <c r="H165" s="117" t="str">
        <f t="shared" si="5"/>
        <v>OTHER</v>
      </c>
      <c r="I165" s="113" t="s">
        <v>73</v>
      </c>
      <c r="J165"/>
    </row>
    <row r="166" spans="1:10">
      <c r="A166" s="114" t="str">
        <f t="shared" si="4"/>
        <v>1823920DSR COSTS AMORTIZED102149COMMERCIAL RETROFIT LIGHTING - UT 2001/2OTHER</v>
      </c>
      <c r="B166" s="127">
        <v>1823920</v>
      </c>
      <c r="C166" s="128" t="s">
        <v>695</v>
      </c>
      <c r="D166" s="127">
        <v>102149</v>
      </c>
      <c r="E166" s="128" t="s">
        <v>718</v>
      </c>
      <c r="F166" s="127" t="s">
        <v>306</v>
      </c>
      <c r="H166" s="117" t="str">
        <f t="shared" si="5"/>
        <v>OTHER</v>
      </c>
      <c r="I166" s="113" t="s">
        <v>73</v>
      </c>
      <c r="J166"/>
    </row>
    <row r="167" spans="1:10">
      <c r="A167" s="114" t="str">
        <f t="shared" si="4"/>
        <v>1823920DSR COSTS AMORTIZED102150INDUSTRIAL RETROFIT LIGHTING - UT 2001/2OTHER</v>
      </c>
      <c r="B167" s="127">
        <v>1823920</v>
      </c>
      <c r="C167" s="128" t="s">
        <v>695</v>
      </c>
      <c r="D167" s="127">
        <v>102150</v>
      </c>
      <c r="E167" s="128" t="s">
        <v>719</v>
      </c>
      <c r="F167" s="127" t="s">
        <v>306</v>
      </c>
      <c r="H167" s="117" t="str">
        <f t="shared" si="5"/>
        <v>OTHER</v>
      </c>
      <c r="I167" s="113" t="s">
        <v>73</v>
      </c>
      <c r="J167"/>
    </row>
    <row r="168" spans="1:10">
      <c r="A168" s="114" t="str">
        <f t="shared" si="4"/>
        <v>1823920DSR COSTS AMORTIZED102185WEB AUDIT PILOT - WAOTHER</v>
      </c>
      <c r="B168" s="127">
        <v>1823920</v>
      </c>
      <c r="C168" s="128" t="s">
        <v>695</v>
      </c>
      <c r="D168" s="127">
        <v>102185</v>
      </c>
      <c r="E168" s="128" t="s">
        <v>720</v>
      </c>
      <c r="F168" s="127" t="s">
        <v>306</v>
      </c>
      <c r="H168" s="117" t="str">
        <f t="shared" si="5"/>
        <v>OTHER</v>
      </c>
      <c r="I168" s="113" t="s">
        <v>73</v>
      </c>
      <c r="J168"/>
    </row>
    <row r="169" spans="1:10">
      <c r="A169" s="114" t="str">
        <f t="shared" si="4"/>
        <v>1823920DSR COSTS AMORTIZED102186APPLIANCE REBATE - WAOTHER</v>
      </c>
      <c r="B169" s="127">
        <v>1823920</v>
      </c>
      <c r="C169" s="128" t="s">
        <v>695</v>
      </c>
      <c r="D169" s="127">
        <v>102186</v>
      </c>
      <c r="E169" s="128" t="s">
        <v>721</v>
      </c>
      <c r="F169" s="127" t="s">
        <v>306</v>
      </c>
      <c r="H169" s="117" t="str">
        <f t="shared" si="5"/>
        <v>OTHER</v>
      </c>
      <c r="I169" s="113" t="s">
        <v>73</v>
      </c>
      <c r="J169"/>
    </row>
    <row r="170" spans="1:10">
      <c r="A170" s="114" t="str">
        <f t="shared" si="4"/>
        <v>1823920DSR COSTS AMORTIZED102195INDUSTRIAL RETROFIT LIGHTING - UT 2002OTHER</v>
      </c>
      <c r="B170" s="127">
        <v>1823920</v>
      </c>
      <c r="C170" s="128" t="s">
        <v>695</v>
      </c>
      <c r="D170" s="127">
        <v>102195</v>
      </c>
      <c r="E170" s="128" t="s">
        <v>722</v>
      </c>
      <c r="F170" s="127" t="s">
        <v>306</v>
      </c>
      <c r="H170" s="117" t="str">
        <f t="shared" si="5"/>
        <v>OTHER</v>
      </c>
      <c r="I170" s="113" t="s">
        <v>73</v>
      </c>
      <c r="J170"/>
    </row>
    <row r="171" spans="1:10">
      <c r="A171" s="114" t="str">
        <f t="shared" si="4"/>
        <v>1823920DSR COSTS AMORTIZED102196POWER FORWARD UT 2002OTHER</v>
      </c>
      <c r="B171" s="127">
        <v>1823920</v>
      </c>
      <c r="C171" s="128" t="s">
        <v>695</v>
      </c>
      <c r="D171" s="127">
        <v>102196</v>
      </c>
      <c r="E171" s="128" t="s">
        <v>723</v>
      </c>
      <c r="F171" s="127" t="s">
        <v>306</v>
      </c>
      <c r="H171" s="117" t="str">
        <f t="shared" si="5"/>
        <v>OTHER</v>
      </c>
      <c r="I171" s="113" t="s">
        <v>73</v>
      </c>
      <c r="J171"/>
    </row>
    <row r="172" spans="1:10">
      <c r="A172" s="114" t="str">
        <f t="shared" si="4"/>
        <v>1823920DSR COSTS AMORTIZED102205A/C LOAD CONTROL PGM - RESIDENTIAL - UTOTHER</v>
      </c>
      <c r="B172" s="127">
        <v>1823920</v>
      </c>
      <c r="C172" s="128" t="s">
        <v>695</v>
      </c>
      <c r="D172" s="127">
        <v>102205</v>
      </c>
      <c r="E172" s="128" t="s">
        <v>724</v>
      </c>
      <c r="F172" s="127" t="s">
        <v>306</v>
      </c>
      <c r="H172" s="117" t="str">
        <f t="shared" si="5"/>
        <v>OTHER</v>
      </c>
      <c r="I172" s="113" t="s">
        <v>73</v>
      </c>
      <c r="J172"/>
    </row>
    <row r="173" spans="1:10">
      <c r="A173" s="114" t="str">
        <f t="shared" si="4"/>
        <v>1823920DSR COSTS AMORTIZED102206SCHOOL ENERGY EDUCATION - WAOTHER</v>
      </c>
      <c r="B173" s="127">
        <v>1823920</v>
      </c>
      <c r="C173" s="128" t="s">
        <v>695</v>
      </c>
      <c r="D173" s="127">
        <v>102206</v>
      </c>
      <c r="E173" s="128" t="s">
        <v>725</v>
      </c>
      <c r="F173" s="127" t="s">
        <v>306</v>
      </c>
      <c r="H173" s="117" t="str">
        <f t="shared" si="5"/>
        <v>OTHER</v>
      </c>
      <c r="I173" s="113" t="s">
        <v>73</v>
      </c>
      <c r="J173"/>
    </row>
    <row r="174" spans="1:10">
      <c r="A174" s="114" t="str">
        <f t="shared" si="4"/>
        <v>1823920DSR COSTS AMORTIZED102209AIR CONDITIONING - UT 2002OTHER</v>
      </c>
      <c r="B174" s="127">
        <v>1823920</v>
      </c>
      <c r="C174" s="128" t="s">
        <v>695</v>
      </c>
      <c r="D174" s="127">
        <v>102209</v>
      </c>
      <c r="E174" s="128" t="s">
        <v>726</v>
      </c>
      <c r="F174" s="127" t="s">
        <v>306</v>
      </c>
      <c r="H174" s="117" t="str">
        <f t="shared" si="5"/>
        <v>OTHER</v>
      </c>
      <c r="I174" s="113" t="s">
        <v>73</v>
      </c>
      <c r="J174"/>
    </row>
    <row r="175" spans="1:10">
      <c r="A175" s="114" t="str">
        <f t="shared" si="4"/>
        <v>1823920DSR COSTS AMORTIZED102213REFRIGERATOR RECYCLING PGM - UT 2003OTHER</v>
      </c>
      <c r="B175" s="127">
        <v>1823920</v>
      </c>
      <c r="C175" s="128" t="s">
        <v>695</v>
      </c>
      <c r="D175" s="127">
        <v>102213</v>
      </c>
      <c r="E175" s="128" t="s">
        <v>727</v>
      </c>
      <c r="F175" s="127" t="s">
        <v>306</v>
      </c>
      <c r="H175" s="117" t="str">
        <f t="shared" si="5"/>
        <v>OTHER</v>
      </c>
      <c r="I175" s="113" t="s">
        <v>73</v>
      </c>
      <c r="J175"/>
    </row>
    <row r="176" spans="1:10">
      <c r="A176" s="114" t="str">
        <f t="shared" si="4"/>
        <v>1823920DSR COSTS AMORTIZED102214REFRIGERATOR RECYCLING PGM - WAOTHER</v>
      </c>
      <c r="B176" s="127">
        <v>1823920</v>
      </c>
      <c r="C176" s="128" t="s">
        <v>695</v>
      </c>
      <c r="D176" s="127">
        <v>102214</v>
      </c>
      <c r="E176" s="128" t="s">
        <v>728</v>
      </c>
      <c r="F176" s="127" t="s">
        <v>306</v>
      </c>
      <c r="H176" s="117" t="str">
        <f t="shared" si="5"/>
        <v>OTHER</v>
      </c>
      <c r="I176" s="113" t="s">
        <v>73</v>
      </c>
      <c r="J176"/>
    </row>
    <row r="177" spans="1:10">
      <c r="A177" s="114" t="str">
        <f t="shared" si="4"/>
        <v>1823920DSR COSTS AMORTIZED102223A/C LOAD CONTROL - RESIDENTIAL UT 2003OTHER</v>
      </c>
      <c r="B177" s="127">
        <v>1823920</v>
      </c>
      <c r="C177" s="128" t="s">
        <v>695</v>
      </c>
      <c r="D177" s="127">
        <v>102223</v>
      </c>
      <c r="E177" s="128" t="s">
        <v>729</v>
      </c>
      <c r="F177" s="127" t="s">
        <v>306</v>
      </c>
      <c r="H177" s="117" t="str">
        <f t="shared" si="5"/>
        <v>OTHER</v>
      </c>
      <c r="I177" s="113" t="s">
        <v>73</v>
      </c>
      <c r="J177"/>
    </row>
    <row r="178" spans="1:10">
      <c r="A178" s="114" t="str">
        <f t="shared" si="4"/>
        <v>1823920DSR COSTS AMORTIZED102225AIR CONDITIONING - UT 2003OTHER</v>
      </c>
      <c r="B178" s="127">
        <v>1823920</v>
      </c>
      <c r="C178" s="128" t="s">
        <v>695</v>
      </c>
      <c r="D178" s="127">
        <v>102225</v>
      </c>
      <c r="E178" s="128" t="s">
        <v>730</v>
      </c>
      <c r="F178" s="127" t="s">
        <v>306</v>
      </c>
      <c r="H178" s="117" t="str">
        <f t="shared" si="5"/>
        <v>OTHER</v>
      </c>
      <c r="I178" s="113" t="s">
        <v>73</v>
      </c>
      <c r="J178"/>
    </row>
    <row r="179" spans="1:10">
      <c r="A179" s="114" t="str">
        <f t="shared" si="4"/>
        <v>1823920DSR COSTS AMORTIZED102226COMMERCIAL RETROFIT LIGHTING - UT 2003OTHER</v>
      </c>
      <c r="B179" s="127">
        <v>1823920</v>
      </c>
      <c r="C179" s="128" t="s">
        <v>695</v>
      </c>
      <c r="D179" s="127">
        <v>102226</v>
      </c>
      <c r="E179" s="128" t="s">
        <v>731</v>
      </c>
      <c r="F179" s="127" t="s">
        <v>306</v>
      </c>
      <c r="H179" s="117" t="str">
        <f t="shared" si="5"/>
        <v>OTHER</v>
      </c>
      <c r="I179" s="113" t="s">
        <v>73</v>
      </c>
      <c r="J179"/>
    </row>
    <row r="180" spans="1:10">
      <c r="A180" s="114" t="str">
        <f t="shared" si="4"/>
        <v>1823920DSR COSTS AMORTIZED102227COMMERCIAL SMALL RETROFIT - UT 2003OTHER</v>
      </c>
      <c r="B180" s="127">
        <v>1823920</v>
      </c>
      <c r="C180" s="128" t="s">
        <v>695</v>
      </c>
      <c r="D180" s="127">
        <v>102227</v>
      </c>
      <c r="E180" s="128" t="s">
        <v>732</v>
      </c>
      <c r="F180" s="127" t="s">
        <v>306</v>
      </c>
      <c r="H180" s="117" t="str">
        <f t="shared" si="5"/>
        <v>OTHER</v>
      </c>
      <c r="I180" s="113" t="s">
        <v>73</v>
      </c>
      <c r="J180"/>
    </row>
    <row r="181" spans="1:10">
      <c r="A181" s="114" t="str">
        <f t="shared" si="4"/>
        <v>1823920DSR COSTS AMORTIZED102228COMPACT FLOURESCENT LAMP (CFL) - UT 2002OTHER</v>
      </c>
      <c r="B181" s="127">
        <v>1823920</v>
      </c>
      <c r="C181" s="128" t="s">
        <v>695</v>
      </c>
      <c r="D181" s="127">
        <v>102228</v>
      </c>
      <c r="E181" s="128" t="s">
        <v>733</v>
      </c>
      <c r="F181" s="127" t="s">
        <v>306</v>
      </c>
      <c r="H181" s="117" t="str">
        <f t="shared" si="5"/>
        <v>OTHER</v>
      </c>
      <c r="I181" s="113" t="s">
        <v>73</v>
      </c>
      <c r="J181"/>
    </row>
    <row r="182" spans="1:10">
      <c r="A182" s="114" t="str">
        <f t="shared" si="4"/>
        <v>1823920DSR COSTS AMORTIZED102229ENERGY FINANSWER - UT 2003OTHER</v>
      </c>
      <c r="B182" s="127">
        <v>1823920</v>
      </c>
      <c r="C182" s="128" t="s">
        <v>695</v>
      </c>
      <c r="D182" s="127">
        <v>102229</v>
      </c>
      <c r="E182" s="128" t="s">
        <v>734</v>
      </c>
      <c r="F182" s="127" t="s">
        <v>306</v>
      </c>
      <c r="H182" s="117" t="str">
        <f t="shared" si="5"/>
        <v>OTHER</v>
      </c>
      <c r="I182" s="113" t="s">
        <v>73</v>
      </c>
      <c r="J182"/>
    </row>
    <row r="183" spans="1:10">
      <c r="A183" s="114" t="str">
        <f t="shared" si="4"/>
        <v>1823920DSR COSTS AMORTIZED102230INDUSTRIAL FINANSWER - UT 2003OTHER</v>
      </c>
      <c r="B183" s="127">
        <v>1823920</v>
      </c>
      <c r="C183" s="128" t="s">
        <v>695</v>
      </c>
      <c r="D183" s="127">
        <v>102230</v>
      </c>
      <c r="E183" s="128" t="s">
        <v>735</v>
      </c>
      <c r="F183" s="127" t="s">
        <v>306</v>
      </c>
      <c r="H183" s="117" t="str">
        <f t="shared" si="5"/>
        <v>OTHER</v>
      </c>
      <c r="I183" s="113" t="s">
        <v>73</v>
      </c>
      <c r="J183"/>
    </row>
    <row r="184" spans="1:10">
      <c r="A184" s="114" t="str">
        <f t="shared" si="4"/>
        <v>1823920DSR COSTS AMORTIZED102231INDUSTRIAL RETROFIT LIGHTING - UT 2003OTHER</v>
      </c>
      <c r="B184" s="127">
        <v>1823920</v>
      </c>
      <c r="C184" s="128" t="s">
        <v>695</v>
      </c>
      <c r="D184" s="127">
        <v>102231</v>
      </c>
      <c r="E184" s="128" t="s">
        <v>736</v>
      </c>
      <c r="F184" s="127" t="s">
        <v>306</v>
      </c>
      <c r="H184" s="117" t="str">
        <f t="shared" si="5"/>
        <v>OTHER</v>
      </c>
      <c r="I184" s="113" t="s">
        <v>73</v>
      </c>
      <c r="J184"/>
    </row>
    <row r="185" spans="1:10">
      <c r="A185" s="114" t="str">
        <f t="shared" si="4"/>
        <v>1823920DSR COSTS AMORTIZED102232INDUSTRIAL SMALL RETROFIT - UTAH - 2003OTHER</v>
      </c>
      <c r="B185" s="127">
        <v>1823920</v>
      </c>
      <c r="C185" s="128" t="s">
        <v>695</v>
      </c>
      <c r="D185" s="127">
        <v>102232</v>
      </c>
      <c r="E185" s="128" t="s">
        <v>737</v>
      </c>
      <c r="F185" s="127" t="s">
        <v>306</v>
      </c>
      <c r="H185" s="117" t="str">
        <f t="shared" si="5"/>
        <v>OTHER</v>
      </c>
      <c r="I185" s="113" t="s">
        <v>73</v>
      </c>
      <c r="J185"/>
    </row>
    <row r="186" spans="1:10">
      <c r="A186" s="114" t="str">
        <f t="shared" si="4"/>
        <v>1823920DSR COSTS AMORTIZED102233POWER FORWARD - UT 2003OTHER</v>
      </c>
      <c r="B186" s="127">
        <v>1823920</v>
      </c>
      <c r="C186" s="128" t="s">
        <v>695</v>
      </c>
      <c r="D186" s="127">
        <v>102233</v>
      </c>
      <c r="E186" s="128" t="s">
        <v>738</v>
      </c>
      <c r="F186" s="127" t="s">
        <v>306</v>
      </c>
      <c r="H186" s="117" t="str">
        <f t="shared" si="5"/>
        <v>OTHER</v>
      </c>
      <c r="I186" s="113" t="s">
        <v>73</v>
      </c>
      <c r="J186"/>
    </row>
    <row r="187" spans="1:10">
      <c r="A187" s="114" t="str">
        <f t="shared" si="4"/>
        <v>1823920DSR COSTS AMORTIZED102245CA REVENUE RECOVERY - BALANCING ACCTOTHER</v>
      </c>
      <c r="B187" s="127">
        <v>1823920</v>
      </c>
      <c r="C187" s="128" t="s">
        <v>695</v>
      </c>
      <c r="D187" s="127">
        <v>102245</v>
      </c>
      <c r="E187" s="128" t="s">
        <v>739</v>
      </c>
      <c r="F187" s="127" t="s">
        <v>306</v>
      </c>
      <c r="H187" s="117" t="str">
        <f t="shared" si="5"/>
        <v>OTHER</v>
      </c>
      <c r="I187" s="113" t="s">
        <v>73</v>
      </c>
      <c r="J187"/>
    </row>
    <row r="188" spans="1:10">
      <c r="A188" s="114" t="str">
        <f t="shared" si="4"/>
        <v>1823920DSR COSTS AMORTIZED102327COMMERCIAL SELF-DIRECT UT 2003OTHER</v>
      </c>
      <c r="B188" s="127">
        <v>1823920</v>
      </c>
      <c r="C188" s="128" t="s">
        <v>695</v>
      </c>
      <c r="D188" s="127">
        <v>102327</v>
      </c>
      <c r="E188" s="128" t="s">
        <v>740</v>
      </c>
      <c r="F188" s="127" t="s">
        <v>306</v>
      </c>
      <c r="H188" s="117" t="str">
        <f t="shared" si="5"/>
        <v>OTHER</v>
      </c>
      <c r="I188" s="113" t="s">
        <v>73</v>
      </c>
      <c r="J188"/>
    </row>
    <row r="189" spans="1:10">
      <c r="A189" s="114" t="str">
        <f t="shared" si="4"/>
        <v>1823920DSR COSTS AMORTIZED102328INDUSTRIAL SELF-DIRECT UT 2003OTHER</v>
      </c>
      <c r="B189" s="127">
        <v>1823920</v>
      </c>
      <c r="C189" s="128" t="s">
        <v>695</v>
      </c>
      <c r="D189" s="127">
        <v>102328</v>
      </c>
      <c r="E189" s="128" t="s">
        <v>741</v>
      </c>
      <c r="F189" s="127" t="s">
        <v>306</v>
      </c>
      <c r="H189" s="117" t="str">
        <f t="shared" si="5"/>
        <v>OTHER</v>
      </c>
      <c r="I189" s="113" t="s">
        <v>73</v>
      </c>
      <c r="J189"/>
    </row>
    <row r="190" spans="1:10">
      <c r="A190" s="114" t="str">
        <f t="shared" si="4"/>
        <v>1823920DSR COSTS AMORTIZED102336LOW INCOME - UTAH - 2004OTHER</v>
      </c>
      <c r="B190" s="127">
        <v>1823920</v>
      </c>
      <c r="C190" s="128" t="s">
        <v>695</v>
      </c>
      <c r="D190" s="127">
        <v>102336</v>
      </c>
      <c r="E190" s="128" t="s">
        <v>742</v>
      </c>
      <c r="F190" s="127" t="s">
        <v>306</v>
      </c>
      <c r="H190" s="117" t="str">
        <f t="shared" si="5"/>
        <v>OTHER</v>
      </c>
      <c r="I190" s="113" t="s">
        <v>73</v>
      </c>
      <c r="J190"/>
    </row>
    <row r="191" spans="1:10">
      <c r="A191" s="114" t="str">
        <f t="shared" si="4"/>
        <v>1823920DSR COSTS AMORTIZED102337REFRIGERATOR RECYCLING PGM - UT 2004OTHER</v>
      </c>
      <c r="B191" s="127">
        <v>1823920</v>
      </c>
      <c r="C191" s="128" t="s">
        <v>695</v>
      </c>
      <c r="D191" s="127">
        <v>102337</v>
      </c>
      <c r="E191" s="128" t="s">
        <v>743</v>
      </c>
      <c r="F191" s="127" t="s">
        <v>306</v>
      </c>
      <c r="H191" s="117" t="str">
        <f t="shared" si="5"/>
        <v>OTHER</v>
      </c>
      <c r="I191" s="113" t="s">
        <v>73</v>
      </c>
      <c r="J191"/>
    </row>
    <row r="192" spans="1:10">
      <c r="A192" s="114" t="str">
        <f t="shared" si="4"/>
        <v>1823920DSR COSTS AMORTIZED102338AC LOAD CONTROL - RESIDENTIAL UT 2004OTHER</v>
      </c>
      <c r="B192" s="127">
        <v>1823920</v>
      </c>
      <c r="C192" s="128" t="s">
        <v>695</v>
      </c>
      <c r="D192" s="127">
        <v>102338</v>
      </c>
      <c r="E192" s="128" t="s">
        <v>744</v>
      </c>
      <c r="F192" s="127" t="s">
        <v>306</v>
      </c>
      <c r="H192" s="117" t="str">
        <f t="shared" si="5"/>
        <v>OTHER</v>
      </c>
      <c r="I192" s="113" t="s">
        <v>73</v>
      </c>
      <c r="J192"/>
    </row>
    <row r="193" spans="1:10">
      <c r="A193" s="114" t="str">
        <f t="shared" si="4"/>
        <v>1823920DSR COSTS AMORTIZED102339AIR CONDITIONING - UT 2004OTHER</v>
      </c>
      <c r="B193" s="127">
        <v>1823920</v>
      </c>
      <c r="C193" s="128" t="s">
        <v>695</v>
      </c>
      <c r="D193" s="127">
        <v>102339</v>
      </c>
      <c r="E193" s="128" t="s">
        <v>745</v>
      </c>
      <c r="F193" s="127" t="s">
        <v>306</v>
      </c>
      <c r="H193" s="117" t="str">
        <f t="shared" si="5"/>
        <v>OTHER</v>
      </c>
      <c r="I193" s="113" t="s">
        <v>73</v>
      </c>
      <c r="J193"/>
    </row>
    <row r="194" spans="1:10">
      <c r="A194" s="114" t="str">
        <f t="shared" si="4"/>
        <v>1823920DSR COSTS AMORTIZED102340COMMERCIAL RETROFIT LIGHTING - UT 2004OTHER</v>
      </c>
      <c r="B194" s="127">
        <v>1823920</v>
      </c>
      <c r="C194" s="128" t="s">
        <v>695</v>
      </c>
      <c r="D194" s="127">
        <v>102340</v>
      </c>
      <c r="E194" s="128" t="s">
        <v>746</v>
      </c>
      <c r="F194" s="127" t="s">
        <v>306</v>
      </c>
      <c r="H194" s="117" t="str">
        <f t="shared" si="5"/>
        <v>OTHER</v>
      </c>
      <c r="I194" s="113" t="s">
        <v>73</v>
      </c>
      <c r="J194"/>
    </row>
    <row r="195" spans="1:10">
      <c r="A195" s="114" t="str">
        <f t="shared" ref="A195:A258" si="6">CONCATENATE($B195,$C195,$D195,$E195,$H195)</f>
        <v>1823920DSR COSTS AMORTIZED102341COMMERCIAL SMALL RETROFIT - UT 2004OTHER</v>
      </c>
      <c r="B195" s="127">
        <v>1823920</v>
      </c>
      <c r="C195" s="128" t="s">
        <v>695</v>
      </c>
      <c r="D195" s="127">
        <v>102341</v>
      </c>
      <c r="E195" s="128" t="s">
        <v>747</v>
      </c>
      <c r="F195" s="127" t="s">
        <v>306</v>
      </c>
      <c r="H195" s="117" t="str">
        <f t="shared" ref="H195:H258" si="7">IF(OR(F195="IDU",F195="OR",F195="UT",F195="WYU",F195="WYP",F195="CA",F195="WA"),"SITUS",F195)</f>
        <v>OTHER</v>
      </c>
      <c r="I195" s="113" t="s">
        <v>73</v>
      </c>
      <c r="J195"/>
    </row>
    <row r="196" spans="1:10">
      <c r="A196" s="114" t="str">
        <f t="shared" si="6"/>
        <v>1823920DSR COSTS AMORTIZED102342COMPACT FLOURESCENT LAMPS (CFL) UT 2004OTHER</v>
      </c>
      <c r="B196" s="127">
        <v>1823920</v>
      </c>
      <c r="C196" s="128" t="s">
        <v>695</v>
      </c>
      <c r="D196" s="127">
        <v>102342</v>
      </c>
      <c r="E196" s="128" t="s">
        <v>748</v>
      </c>
      <c r="F196" s="127" t="s">
        <v>306</v>
      </c>
      <c r="H196" s="117" t="str">
        <f t="shared" si="7"/>
        <v>OTHER</v>
      </c>
      <c r="I196" s="113" t="s">
        <v>73</v>
      </c>
      <c r="J196"/>
    </row>
    <row r="197" spans="1:10">
      <c r="A197" s="114" t="str">
        <f t="shared" si="6"/>
        <v>1823920DSR COSTS AMORTIZED102343ENERGY FINANSWER - UT 2004OTHER</v>
      </c>
      <c r="B197" s="127">
        <v>1823920</v>
      </c>
      <c r="C197" s="128" t="s">
        <v>695</v>
      </c>
      <c r="D197" s="127">
        <v>102343</v>
      </c>
      <c r="E197" s="128" t="s">
        <v>749</v>
      </c>
      <c r="F197" s="127" t="s">
        <v>306</v>
      </c>
      <c r="H197" s="117" t="str">
        <f t="shared" si="7"/>
        <v>OTHER</v>
      </c>
      <c r="I197" s="113" t="s">
        <v>73</v>
      </c>
      <c r="J197"/>
    </row>
    <row r="198" spans="1:10">
      <c r="A198" s="114" t="str">
        <f t="shared" si="6"/>
        <v>1823920DSR COSTS AMORTIZED102344INDUSTRIAL FINANSWER - UT 2004OTHER</v>
      </c>
      <c r="B198" s="127">
        <v>1823920</v>
      </c>
      <c r="C198" s="128" t="s">
        <v>695</v>
      </c>
      <c r="D198" s="127">
        <v>102344</v>
      </c>
      <c r="E198" s="128" t="s">
        <v>750</v>
      </c>
      <c r="F198" s="127" t="s">
        <v>306</v>
      </c>
      <c r="H198" s="117" t="str">
        <f t="shared" si="7"/>
        <v>OTHER</v>
      </c>
      <c r="I198" s="113" t="s">
        <v>73</v>
      </c>
      <c r="J198"/>
    </row>
    <row r="199" spans="1:10">
      <c r="A199" s="114" t="str">
        <f t="shared" si="6"/>
        <v>1823920DSR COSTS AMORTIZED102345INDUSTRIAL RETROFIT - UT 2004OTHER</v>
      </c>
      <c r="B199" s="127">
        <v>1823920</v>
      </c>
      <c r="C199" s="128" t="s">
        <v>695</v>
      </c>
      <c r="D199" s="127">
        <v>102345</v>
      </c>
      <c r="E199" s="128" t="s">
        <v>751</v>
      </c>
      <c r="F199" s="127" t="s">
        <v>306</v>
      </c>
      <c r="H199" s="117" t="str">
        <f t="shared" si="7"/>
        <v>OTHER</v>
      </c>
      <c r="I199" s="113" t="s">
        <v>73</v>
      </c>
      <c r="J199"/>
    </row>
    <row r="200" spans="1:10">
      <c r="A200" s="114" t="str">
        <f t="shared" si="6"/>
        <v>1823920DSR COSTS AMORTIZED102346INDUSTRIAL SMALL RETROFIT - UT 2004OTHER</v>
      </c>
      <c r="B200" s="127">
        <v>1823920</v>
      </c>
      <c r="C200" s="128" t="s">
        <v>695</v>
      </c>
      <c r="D200" s="127">
        <v>102346</v>
      </c>
      <c r="E200" s="128" t="s">
        <v>752</v>
      </c>
      <c r="F200" s="127" t="s">
        <v>306</v>
      </c>
      <c r="H200" s="117" t="str">
        <f t="shared" si="7"/>
        <v>OTHER</v>
      </c>
      <c r="I200" s="113" t="s">
        <v>73</v>
      </c>
      <c r="J200"/>
    </row>
    <row r="201" spans="1:10">
      <c r="A201" s="114" t="str">
        <f t="shared" si="6"/>
        <v>1823920DSR COSTS AMORTIZED102347POWER FORWARD - UT 2004OTHER</v>
      </c>
      <c r="B201" s="127">
        <v>1823920</v>
      </c>
      <c r="C201" s="128" t="s">
        <v>695</v>
      </c>
      <c r="D201" s="127">
        <v>102347</v>
      </c>
      <c r="E201" s="128" t="s">
        <v>753</v>
      </c>
      <c r="F201" s="127" t="s">
        <v>306</v>
      </c>
      <c r="H201" s="117" t="str">
        <f t="shared" si="7"/>
        <v>OTHER</v>
      </c>
      <c r="I201" s="113" t="s">
        <v>73</v>
      </c>
      <c r="J201"/>
    </row>
    <row r="202" spans="1:10">
      <c r="A202" s="114" t="str">
        <f t="shared" si="6"/>
        <v>1823920DSR COSTS AMORTIZED102348COMMERCIAL SELF-DIRECT - UT 2004OTHER</v>
      </c>
      <c r="B202" s="127">
        <v>1823920</v>
      </c>
      <c r="C202" s="128" t="s">
        <v>695</v>
      </c>
      <c r="D202" s="127">
        <v>102348</v>
      </c>
      <c r="E202" s="128" t="s">
        <v>754</v>
      </c>
      <c r="F202" s="127" t="s">
        <v>306</v>
      </c>
      <c r="H202" s="117" t="str">
        <f t="shared" si="7"/>
        <v>OTHER</v>
      </c>
      <c r="I202" s="113" t="s">
        <v>73</v>
      </c>
      <c r="J202"/>
    </row>
    <row r="203" spans="1:10">
      <c r="A203" s="114" t="str">
        <f t="shared" si="6"/>
        <v>1823920DSR COSTS AMORTIZED102349INDUSTRIAL SELF-DIRECT - UT 2004OTHER</v>
      </c>
      <c r="B203" s="127">
        <v>1823920</v>
      </c>
      <c r="C203" s="128" t="s">
        <v>695</v>
      </c>
      <c r="D203" s="127">
        <v>102349</v>
      </c>
      <c r="E203" s="128" t="s">
        <v>755</v>
      </c>
      <c r="F203" s="127" t="s">
        <v>306</v>
      </c>
      <c r="H203" s="117" t="str">
        <f t="shared" si="7"/>
        <v>OTHER</v>
      </c>
      <c r="I203" s="113" t="s">
        <v>73</v>
      </c>
      <c r="J203"/>
    </row>
    <row r="204" spans="1:10">
      <c r="A204" s="114" t="str">
        <f t="shared" si="6"/>
        <v>1823920DSR COSTS AMORTIZED102443ESIDENTIAL NEW CONSTRUCTION - WASHINGTONOTHER</v>
      </c>
      <c r="B204" s="127">
        <v>1823920</v>
      </c>
      <c r="C204" s="128" t="s">
        <v>695</v>
      </c>
      <c r="D204" s="127">
        <v>102443</v>
      </c>
      <c r="E204" s="128" t="s">
        <v>756</v>
      </c>
      <c r="F204" s="127" t="s">
        <v>306</v>
      </c>
      <c r="H204" s="117" t="str">
        <f t="shared" si="7"/>
        <v>OTHER</v>
      </c>
      <c r="I204" s="113" t="s">
        <v>73</v>
      </c>
      <c r="J204"/>
    </row>
    <row r="205" spans="1:10">
      <c r="A205" s="114" t="str">
        <f t="shared" si="6"/>
        <v>1823920DSR COSTS AMORTIZED102444RESIDENTIAL NEW CONSTRUCTION - UTAH - 20OTHER</v>
      </c>
      <c r="B205" s="127">
        <v>1823920</v>
      </c>
      <c r="C205" s="128" t="s">
        <v>695</v>
      </c>
      <c r="D205" s="127">
        <v>102444</v>
      </c>
      <c r="E205" s="128" t="s">
        <v>757</v>
      </c>
      <c r="F205" s="127" t="s">
        <v>306</v>
      </c>
      <c r="H205" s="117" t="str">
        <f t="shared" si="7"/>
        <v>OTHER</v>
      </c>
      <c r="I205" s="113" t="s">
        <v>73</v>
      </c>
      <c r="J205"/>
    </row>
    <row r="206" spans="1:10">
      <c r="A206" s="114" t="str">
        <f t="shared" si="6"/>
        <v>1823920DSR COSTS AMORTIZED102458COMMERCIAL FINANSWER EXPRESS - WASHINGTOOTHER</v>
      </c>
      <c r="B206" s="127">
        <v>1823920</v>
      </c>
      <c r="C206" s="128" t="s">
        <v>695</v>
      </c>
      <c r="D206" s="127">
        <v>102458</v>
      </c>
      <c r="E206" s="128" t="s">
        <v>758</v>
      </c>
      <c r="F206" s="127" t="s">
        <v>306</v>
      </c>
      <c r="H206" s="117" t="str">
        <f t="shared" si="7"/>
        <v>OTHER</v>
      </c>
      <c r="I206" s="113" t="s">
        <v>73</v>
      </c>
      <c r="J206"/>
    </row>
    <row r="207" spans="1:10">
      <c r="A207" s="114" t="str">
        <f t="shared" si="6"/>
        <v>1823920DSR COSTS AMORTIZED102459INDUSTRIAL FINANSWER EXPRESS - WASHINGTOOTHER</v>
      </c>
      <c r="B207" s="127">
        <v>1823920</v>
      </c>
      <c r="C207" s="128" t="s">
        <v>695</v>
      </c>
      <c r="D207" s="127">
        <v>102459</v>
      </c>
      <c r="E207" s="128" t="s">
        <v>759</v>
      </c>
      <c r="F207" s="127" t="s">
        <v>306</v>
      </c>
      <c r="H207" s="117" t="str">
        <f t="shared" si="7"/>
        <v>OTHER</v>
      </c>
      <c r="I207" s="113" t="s">
        <v>73</v>
      </c>
      <c r="J207"/>
    </row>
    <row r="208" spans="1:10">
      <c r="A208" s="114" t="str">
        <f t="shared" si="6"/>
        <v>1823920DSR COSTS AMORTIZED102460COMMERCIAL FINANSWER EXPRESS - UTAH - 20OTHER</v>
      </c>
      <c r="B208" s="127">
        <v>1823920</v>
      </c>
      <c r="C208" s="128" t="s">
        <v>695</v>
      </c>
      <c r="D208" s="127">
        <v>102460</v>
      </c>
      <c r="E208" s="128" t="s">
        <v>760</v>
      </c>
      <c r="F208" s="127" t="s">
        <v>306</v>
      </c>
      <c r="H208" s="117" t="str">
        <f t="shared" si="7"/>
        <v>OTHER</v>
      </c>
      <c r="I208" s="113" t="s">
        <v>73</v>
      </c>
      <c r="J208"/>
    </row>
    <row r="209" spans="1:10">
      <c r="A209" s="114" t="str">
        <f t="shared" si="6"/>
        <v>1823920DSR COSTS AMORTIZED102461INDUSTRIAL FINANSWER EXPRESS - UTAH - 20OTHER</v>
      </c>
      <c r="B209" s="127">
        <v>1823920</v>
      </c>
      <c r="C209" s="128" t="s">
        <v>695</v>
      </c>
      <c r="D209" s="127">
        <v>102461</v>
      </c>
      <c r="E209" s="128" t="s">
        <v>761</v>
      </c>
      <c r="F209" s="127" t="s">
        <v>306</v>
      </c>
      <c r="H209" s="117" t="str">
        <f t="shared" si="7"/>
        <v>OTHER</v>
      </c>
      <c r="I209" s="113" t="s">
        <v>73</v>
      </c>
      <c r="J209"/>
    </row>
    <row r="210" spans="1:10">
      <c r="A210" s="114" t="str">
        <f t="shared" si="6"/>
        <v>1823920DSR COSTS AMORTIZED102462UTAH REVENUE RECOVERY - SBC OFFSETOTHER</v>
      </c>
      <c r="B210" s="127">
        <v>1823920</v>
      </c>
      <c r="C210" s="128" t="s">
        <v>695</v>
      </c>
      <c r="D210" s="127">
        <v>102462</v>
      </c>
      <c r="E210" s="128" t="s">
        <v>762</v>
      </c>
      <c r="F210" s="127" t="s">
        <v>306</v>
      </c>
      <c r="H210" s="117" t="str">
        <f t="shared" si="7"/>
        <v>OTHER</v>
      </c>
      <c r="I210" s="113" t="s">
        <v>73</v>
      </c>
      <c r="J210"/>
    </row>
    <row r="211" spans="1:10">
      <c r="A211" s="114" t="str">
        <f t="shared" si="6"/>
        <v>1823920DSR COSTS AMORTIZED102502RETROFIT COMMISSIONING PROGRAM  - UTAHOTHER</v>
      </c>
      <c r="B211" s="127">
        <v>1823920</v>
      </c>
      <c r="C211" s="128" t="s">
        <v>695</v>
      </c>
      <c r="D211" s="127">
        <v>102502</v>
      </c>
      <c r="E211" s="128" t="s">
        <v>763</v>
      </c>
      <c r="F211" s="127" t="s">
        <v>306</v>
      </c>
      <c r="H211" s="117" t="str">
        <f t="shared" si="7"/>
        <v>OTHER</v>
      </c>
      <c r="I211" s="113" t="s">
        <v>73</v>
      </c>
      <c r="J211"/>
    </row>
    <row r="212" spans="1:10">
      <c r="A212" s="114" t="str">
        <f t="shared" si="6"/>
        <v>1823920DSR COSTS AMORTIZED102503C&amp;I LIGHTING LOAD CONTROL  - UTAH - 2004OTHER</v>
      </c>
      <c r="B212" s="127">
        <v>1823920</v>
      </c>
      <c r="C212" s="128" t="s">
        <v>695</v>
      </c>
      <c r="D212" s="127">
        <v>102503</v>
      </c>
      <c r="E212" s="128" t="s">
        <v>764</v>
      </c>
      <c r="F212" s="127" t="s">
        <v>306</v>
      </c>
      <c r="H212" s="117" t="str">
        <f t="shared" si="7"/>
        <v>OTHER</v>
      </c>
      <c r="I212" s="113" t="s">
        <v>73</v>
      </c>
      <c r="J212"/>
    </row>
    <row r="213" spans="1:10">
      <c r="A213" s="114" t="str">
        <f t="shared" si="6"/>
        <v>1823920DSR COSTS AMORTIZED102518ENERGY FINANSWER - ID/UT 2005SITUS</v>
      </c>
      <c r="B213" s="127">
        <v>1823920</v>
      </c>
      <c r="C213" s="128" t="s">
        <v>695</v>
      </c>
      <c r="D213" s="127">
        <v>102518</v>
      </c>
      <c r="E213" s="128" t="s">
        <v>765</v>
      </c>
      <c r="F213" s="127" t="s">
        <v>12</v>
      </c>
      <c r="H213" s="117" t="str">
        <f t="shared" si="7"/>
        <v>SITUS</v>
      </c>
      <c r="I213" s="113" t="s">
        <v>73</v>
      </c>
      <c r="J213"/>
    </row>
    <row r="214" spans="1:10">
      <c r="A214" s="114" t="str">
        <f t="shared" si="6"/>
        <v>1823920DSR COSTS AMORTIZED102525REFRIGERATOR RECYCLING PGM - IDAHO - 200SITUS</v>
      </c>
      <c r="B214" s="127">
        <v>1823920</v>
      </c>
      <c r="C214" s="128" t="s">
        <v>695</v>
      </c>
      <c r="D214" s="127">
        <v>102525</v>
      </c>
      <c r="E214" s="128" t="s">
        <v>766</v>
      </c>
      <c r="F214" s="127" t="s">
        <v>12</v>
      </c>
      <c r="H214" s="117" t="str">
        <f t="shared" si="7"/>
        <v>SITUS</v>
      </c>
      <c r="I214" s="113" t="s">
        <v>73</v>
      </c>
      <c r="J214"/>
    </row>
    <row r="215" spans="1:10">
      <c r="A215" s="114" t="str">
        <f t="shared" si="6"/>
        <v>1823920DSR COSTS AMORTIZED102528COMMERCIAL FINANSWER EXPRESS - IDAHO - 2SITUS</v>
      </c>
      <c r="B215" s="127">
        <v>1823920</v>
      </c>
      <c r="C215" s="128" t="s">
        <v>695</v>
      </c>
      <c r="D215" s="127">
        <v>102528</v>
      </c>
      <c r="E215" s="128" t="s">
        <v>767</v>
      </c>
      <c r="F215" s="127" t="s">
        <v>12</v>
      </c>
      <c r="H215" s="117" t="str">
        <f t="shared" si="7"/>
        <v>SITUS</v>
      </c>
      <c r="I215" s="113" t="s">
        <v>73</v>
      </c>
      <c r="J215"/>
    </row>
    <row r="216" spans="1:10">
      <c r="A216" s="114" t="str">
        <f t="shared" si="6"/>
        <v>1823920DSR COSTS AMORTIZED102529INDUSTRIAL FINANSWER EXPRESS - IDAHO - 2SITUS</v>
      </c>
      <c r="B216" s="127">
        <v>1823920</v>
      </c>
      <c r="C216" s="128" t="s">
        <v>695</v>
      </c>
      <c r="D216" s="127">
        <v>102529</v>
      </c>
      <c r="E216" s="128" t="s">
        <v>768</v>
      </c>
      <c r="F216" s="127" t="s">
        <v>12</v>
      </c>
      <c r="H216" s="117" t="str">
        <f t="shared" si="7"/>
        <v>SITUS</v>
      </c>
      <c r="I216" s="113" t="s">
        <v>73</v>
      </c>
      <c r="J216"/>
    </row>
    <row r="217" spans="1:10">
      <c r="A217" s="114" t="str">
        <f t="shared" si="6"/>
        <v>1823920DSR COSTS AMORTIZED102530IRRIGATION EFFICIENCY PROGRAM - IDAHO -SITUS</v>
      </c>
      <c r="B217" s="127">
        <v>1823920</v>
      </c>
      <c r="C217" s="128" t="s">
        <v>695</v>
      </c>
      <c r="D217" s="127">
        <v>102530</v>
      </c>
      <c r="E217" s="128" t="s">
        <v>769</v>
      </c>
      <c r="F217" s="127" t="s">
        <v>12</v>
      </c>
      <c r="H217" s="117" t="str">
        <f t="shared" si="7"/>
        <v>SITUS</v>
      </c>
      <c r="I217" s="113" t="s">
        <v>73</v>
      </c>
      <c r="J217"/>
    </row>
    <row r="218" spans="1:10">
      <c r="A218" s="114" t="str">
        <f t="shared" si="6"/>
        <v>1823920DSR COSTS AMORTIZED102532LOW INCOME - UTAH - 2005OTHER</v>
      </c>
      <c r="B218" s="127">
        <v>1823920</v>
      </c>
      <c r="C218" s="128" t="s">
        <v>695</v>
      </c>
      <c r="D218" s="127">
        <v>102532</v>
      </c>
      <c r="E218" s="128" t="s">
        <v>770</v>
      </c>
      <c r="F218" s="127" t="s">
        <v>306</v>
      </c>
      <c r="H218" s="117" t="str">
        <f t="shared" si="7"/>
        <v>OTHER</v>
      </c>
      <c r="I218" s="113" t="s">
        <v>73</v>
      </c>
      <c r="J218"/>
    </row>
    <row r="219" spans="1:10">
      <c r="A219" s="114" t="str">
        <f t="shared" si="6"/>
        <v>1823920DSR COSTS AMORTIZED102533REFRIGERATOR RECYCLING PGM- UTAH - 2005OTHER</v>
      </c>
      <c r="B219" s="127">
        <v>1823920</v>
      </c>
      <c r="C219" s="128" t="s">
        <v>695</v>
      </c>
      <c r="D219" s="127">
        <v>102533</v>
      </c>
      <c r="E219" s="128" t="s">
        <v>771</v>
      </c>
      <c r="F219" s="127" t="s">
        <v>306</v>
      </c>
      <c r="H219" s="117" t="str">
        <f t="shared" si="7"/>
        <v>OTHER</v>
      </c>
      <c r="I219" s="113" t="s">
        <v>73</v>
      </c>
      <c r="J219"/>
    </row>
    <row r="220" spans="1:10">
      <c r="A220" s="114" t="str">
        <f t="shared" si="6"/>
        <v>1823920DSR COSTS AMORTIZED102534A/C LOAD CONTROL - RESIDENTIAL/UTAH - 20OTHER</v>
      </c>
      <c r="B220" s="127">
        <v>1823920</v>
      </c>
      <c r="C220" s="128" t="s">
        <v>695</v>
      </c>
      <c r="D220" s="127">
        <v>102534</v>
      </c>
      <c r="E220" s="128" t="s">
        <v>772</v>
      </c>
      <c r="F220" s="127" t="s">
        <v>306</v>
      </c>
      <c r="H220" s="117" t="str">
        <f t="shared" si="7"/>
        <v>OTHER</v>
      </c>
      <c r="I220" s="113" t="s">
        <v>73</v>
      </c>
      <c r="J220"/>
    </row>
    <row r="221" spans="1:10">
      <c r="A221" s="114" t="str">
        <f t="shared" si="6"/>
        <v>1823920DSR COSTS AMORTIZED102535AIR CONDITIONING - UTAH - 2005OTHER</v>
      </c>
      <c r="B221" s="127">
        <v>1823920</v>
      </c>
      <c r="C221" s="128" t="s">
        <v>695</v>
      </c>
      <c r="D221" s="127">
        <v>102535</v>
      </c>
      <c r="E221" s="128" t="s">
        <v>773</v>
      </c>
      <c r="F221" s="127" t="s">
        <v>306</v>
      </c>
      <c r="H221" s="117" t="str">
        <f t="shared" si="7"/>
        <v>OTHER</v>
      </c>
      <c r="I221" s="113" t="s">
        <v>73</v>
      </c>
      <c r="J221"/>
    </row>
    <row r="222" spans="1:10">
      <c r="A222" s="114" t="str">
        <f t="shared" si="6"/>
        <v>1823920DSR COSTS AMORTIZED102536COMMERCIAL RETROFIT LIGHTING - UTAH - 20OTHER</v>
      </c>
      <c r="B222" s="127">
        <v>1823920</v>
      </c>
      <c r="C222" s="128" t="s">
        <v>695</v>
      </c>
      <c r="D222" s="127">
        <v>102536</v>
      </c>
      <c r="E222" s="128" t="s">
        <v>774</v>
      </c>
      <c r="F222" s="127" t="s">
        <v>306</v>
      </c>
      <c r="H222" s="117" t="str">
        <f t="shared" si="7"/>
        <v>OTHER</v>
      </c>
      <c r="I222" s="113" t="s">
        <v>73</v>
      </c>
      <c r="J222"/>
    </row>
    <row r="223" spans="1:10">
      <c r="A223" s="114" t="str">
        <f t="shared" si="6"/>
        <v>1823920DSR COSTS AMORTIZED102537COMMERCIAL SMALL RETROFIT - UTAH - 2005OTHER</v>
      </c>
      <c r="B223" s="127">
        <v>1823920</v>
      </c>
      <c r="C223" s="128" t="s">
        <v>695</v>
      </c>
      <c r="D223" s="127">
        <v>102537</v>
      </c>
      <c r="E223" s="128" t="s">
        <v>775</v>
      </c>
      <c r="F223" s="127" t="s">
        <v>306</v>
      </c>
      <c r="H223" s="117" t="str">
        <f t="shared" si="7"/>
        <v>OTHER</v>
      </c>
      <c r="I223" s="113" t="s">
        <v>73</v>
      </c>
      <c r="J223"/>
    </row>
    <row r="224" spans="1:10">
      <c r="A224" s="114" t="str">
        <f t="shared" si="6"/>
        <v>1823920DSR COSTS AMORTIZED102539ENERGY FINANSWER - UTAH - 2005OTHER</v>
      </c>
      <c r="B224" s="127">
        <v>1823920</v>
      </c>
      <c r="C224" s="128" t="s">
        <v>695</v>
      </c>
      <c r="D224" s="127">
        <v>102539</v>
      </c>
      <c r="E224" s="128" t="s">
        <v>776</v>
      </c>
      <c r="F224" s="127" t="s">
        <v>306</v>
      </c>
      <c r="H224" s="117" t="str">
        <f t="shared" si="7"/>
        <v>OTHER</v>
      </c>
      <c r="I224" s="113" t="s">
        <v>73</v>
      </c>
      <c r="J224"/>
    </row>
    <row r="225" spans="1:10">
      <c r="A225" s="114" t="str">
        <f t="shared" si="6"/>
        <v>1823920DSR COSTS AMORTIZED102540INDUSTRIAL FINANSWER - UTAH - 2005OTHER</v>
      </c>
      <c r="B225" s="127">
        <v>1823920</v>
      </c>
      <c r="C225" s="128" t="s">
        <v>695</v>
      </c>
      <c r="D225" s="127">
        <v>102540</v>
      </c>
      <c r="E225" s="128" t="s">
        <v>777</v>
      </c>
      <c r="F225" s="127" t="s">
        <v>306</v>
      </c>
      <c r="H225" s="117" t="str">
        <f t="shared" si="7"/>
        <v>OTHER</v>
      </c>
      <c r="I225" s="113" t="s">
        <v>73</v>
      </c>
      <c r="J225"/>
    </row>
    <row r="226" spans="1:10">
      <c r="A226" s="114" t="str">
        <f t="shared" si="6"/>
        <v>1823920DSR COSTS AMORTIZED102541INDUSTRIAL RETROFIT LIGHTING - UTAH - 20OTHER</v>
      </c>
      <c r="B226" s="127">
        <v>1823920</v>
      </c>
      <c r="C226" s="128" t="s">
        <v>695</v>
      </c>
      <c r="D226" s="127">
        <v>102541</v>
      </c>
      <c r="E226" s="128" t="s">
        <v>778</v>
      </c>
      <c r="F226" s="127" t="s">
        <v>306</v>
      </c>
      <c r="H226" s="117" t="str">
        <f t="shared" si="7"/>
        <v>OTHER</v>
      </c>
      <c r="I226" s="113" t="s">
        <v>73</v>
      </c>
      <c r="J226"/>
    </row>
    <row r="227" spans="1:10">
      <c r="A227" s="114" t="str">
        <f t="shared" si="6"/>
        <v>1823920DSR COSTS AMORTIZED102543POWER FORWARD - UTAH - 2005OTHER</v>
      </c>
      <c r="B227" s="127">
        <v>1823920</v>
      </c>
      <c r="C227" s="128" t="s">
        <v>695</v>
      </c>
      <c r="D227" s="127">
        <v>102543</v>
      </c>
      <c r="E227" s="128" t="s">
        <v>779</v>
      </c>
      <c r="F227" s="127" t="s">
        <v>306</v>
      </c>
      <c r="H227" s="117" t="str">
        <f t="shared" si="7"/>
        <v>OTHER</v>
      </c>
      <c r="I227" s="113" t="s">
        <v>73</v>
      </c>
      <c r="J227"/>
    </row>
    <row r="228" spans="1:10">
      <c r="A228" s="114" t="str">
        <f t="shared" si="6"/>
        <v>1823920DSR COSTS AMORTIZED102544COMMERCIAL SELF-DIRECT - UTAH - 2005OTHER</v>
      </c>
      <c r="B228" s="127">
        <v>1823920</v>
      </c>
      <c r="C228" s="128" t="s">
        <v>695</v>
      </c>
      <c r="D228" s="127">
        <v>102544</v>
      </c>
      <c r="E228" s="128" t="s">
        <v>780</v>
      </c>
      <c r="F228" s="127" t="s">
        <v>306</v>
      </c>
      <c r="H228" s="117" t="str">
        <f t="shared" si="7"/>
        <v>OTHER</v>
      </c>
      <c r="I228" s="113" t="s">
        <v>73</v>
      </c>
      <c r="J228"/>
    </row>
    <row r="229" spans="1:10">
      <c r="A229" s="114" t="str">
        <f t="shared" si="6"/>
        <v>1823920DSR COSTS AMORTIZED102545INDUSTRIAL SELF-DIRECT - UTAH - 2005OTHER</v>
      </c>
      <c r="B229" s="127">
        <v>1823920</v>
      </c>
      <c r="C229" s="128" t="s">
        <v>695</v>
      </c>
      <c r="D229" s="127">
        <v>102545</v>
      </c>
      <c r="E229" s="128" t="s">
        <v>781</v>
      </c>
      <c r="F229" s="127" t="s">
        <v>306</v>
      </c>
      <c r="H229" s="117" t="str">
        <f t="shared" si="7"/>
        <v>OTHER</v>
      </c>
      <c r="I229" s="113" t="s">
        <v>73</v>
      </c>
      <c r="J229"/>
    </row>
    <row r="230" spans="1:10">
      <c r="A230" s="114" t="str">
        <f t="shared" si="6"/>
        <v>1823920DSR COSTS AMORTIZED102546RESIDENTIAL NEW CONSTRUCTION - UTAH - 20OTHER</v>
      </c>
      <c r="B230" s="127">
        <v>1823920</v>
      </c>
      <c r="C230" s="128" t="s">
        <v>695</v>
      </c>
      <c r="D230" s="127">
        <v>102546</v>
      </c>
      <c r="E230" s="128" t="s">
        <v>757</v>
      </c>
      <c r="F230" s="127" t="s">
        <v>306</v>
      </c>
      <c r="H230" s="117" t="str">
        <f t="shared" si="7"/>
        <v>OTHER</v>
      </c>
      <c r="I230" s="113" t="s">
        <v>73</v>
      </c>
      <c r="J230"/>
    </row>
    <row r="231" spans="1:10">
      <c r="A231" s="114" t="str">
        <f t="shared" si="6"/>
        <v>1823920DSR COSTS AMORTIZED102547COMMERCIAL FINANSWER EXPRESS - UTAH - 20OTHER</v>
      </c>
      <c r="B231" s="127">
        <v>1823920</v>
      </c>
      <c r="C231" s="128" t="s">
        <v>695</v>
      </c>
      <c r="D231" s="127">
        <v>102547</v>
      </c>
      <c r="E231" s="128" t="s">
        <v>760</v>
      </c>
      <c r="F231" s="127" t="s">
        <v>306</v>
      </c>
      <c r="H231" s="117" t="str">
        <f t="shared" si="7"/>
        <v>OTHER</v>
      </c>
      <c r="I231" s="113" t="s">
        <v>73</v>
      </c>
      <c r="J231"/>
    </row>
    <row r="232" spans="1:10">
      <c r="A232" s="114" t="str">
        <f t="shared" si="6"/>
        <v>1823920DSR COSTS AMORTIZED102548INDUSTRIAL FINANSWER EXPRESS - UTAH - 20OTHER</v>
      </c>
      <c r="B232" s="127">
        <v>1823920</v>
      </c>
      <c r="C232" s="128" t="s">
        <v>695</v>
      </c>
      <c r="D232" s="127">
        <v>102548</v>
      </c>
      <c r="E232" s="128" t="s">
        <v>761</v>
      </c>
      <c r="F232" s="127" t="s">
        <v>306</v>
      </c>
      <c r="H232" s="117" t="str">
        <f t="shared" si="7"/>
        <v>OTHER</v>
      </c>
      <c r="I232" s="113" t="s">
        <v>73</v>
      </c>
      <c r="J232"/>
    </row>
    <row r="233" spans="1:10">
      <c r="A233" s="114" t="str">
        <f t="shared" si="6"/>
        <v>1823920DSR COSTS AMORTIZED102549RETROFIT COMMISSIONING PROGRAM  - UTAH -OTHER</v>
      </c>
      <c r="B233" s="127">
        <v>1823920</v>
      </c>
      <c r="C233" s="128" t="s">
        <v>695</v>
      </c>
      <c r="D233" s="127">
        <v>102549</v>
      </c>
      <c r="E233" s="128" t="s">
        <v>782</v>
      </c>
      <c r="F233" s="127" t="s">
        <v>306</v>
      </c>
      <c r="H233" s="117" t="str">
        <f t="shared" si="7"/>
        <v>OTHER</v>
      </c>
      <c r="I233" s="113" t="s">
        <v>73</v>
      </c>
      <c r="J233"/>
    </row>
    <row r="234" spans="1:10">
      <c r="A234" s="114" t="str">
        <f t="shared" si="6"/>
        <v>1823920DSR COSTS AMORTIZED102550C&amp;I LIGHTING LOAD CONTROL  - UTAH - 2005OTHER</v>
      </c>
      <c r="B234" s="127">
        <v>1823920</v>
      </c>
      <c r="C234" s="128" t="s">
        <v>695</v>
      </c>
      <c r="D234" s="127">
        <v>102550</v>
      </c>
      <c r="E234" s="128" t="s">
        <v>783</v>
      </c>
      <c r="F234" s="127" t="s">
        <v>306</v>
      </c>
      <c r="H234" s="117" t="str">
        <f t="shared" si="7"/>
        <v>OTHER</v>
      </c>
      <c r="I234" s="113" t="s">
        <v>73</v>
      </c>
      <c r="J234"/>
    </row>
    <row r="235" spans="1:10">
      <c r="A235" s="114" t="str">
        <f t="shared" si="6"/>
        <v>1823920DSR COSTS AMORTIZED1025561823920/102556OTHER</v>
      </c>
      <c r="B235" s="127">
        <v>1823920</v>
      </c>
      <c r="C235" s="128" t="s">
        <v>695</v>
      </c>
      <c r="D235" s="127">
        <v>102556</v>
      </c>
      <c r="E235" s="128" t="s">
        <v>784</v>
      </c>
      <c r="F235" s="127" t="s">
        <v>306</v>
      </c>
      <c r="H235" s="117" t="str">
        <f t="shared" si="7"/>
        <v>OTHER</v>
      </c>
      <c r="I235" s="113" t="s">
        <v>73</v>
      </c>
      <c r="J235"/>
    </row>
    <row r="236" spans="1:10">
      <c r="A236" s="114" t="str">
        <f t="shared" si="6"/>
        <v>1823920DSR COSTS AMORTIZED102562APPLIANCE INCENTIVE - WASHWISE - WASHINGOTHER</v>
      </c>
      <c r="B236" s="127">
        <v>1823920</v>
      </c>
      <c r="C236" s="128" t="s">
        <v>695</v>
      </c>
      <c r="D236" s="127">
        <v>102562</v>
      </c>
      <c r="E236" s="128" t="s">
        <v>785</v>
      </c>
      <c r="F236" s="127" t="s">
        <v>306</v>
      </c>
      <c r="H236" s="117" t="str">
        <f t="shared" si="7"/>
        <v>OTHER</v>
      </c>
      <c r="I236" s="113" t="s">
        <v>73</v>
      </c>
      <c r="J236"/>
    </row>
    <row r="237" spans="1:10">
      <c r="A237" s="114" t="str">
        <f t="shared" si="6"/>
        <v>1823920DSR COSTS AMORTIZED102586IRRIGATION LOAD CONTROL - UTAH - 2005OTHER</v>
      </c>
      <c r="B237" s="127">
        <v>1823920</v>
      </c>
      <c r="C237" s="128" t="s">
        <v>695</v>
      </c>
      <c r="D237" s="127">
        <v>102586</v>
      </c>
      <c r="E237" s="128" t="s">
        <v>786</v>
      </c>
      <c r="F237" s="127" t="s">
        <v>306</v>
      </c>
      <c r="H237" s="117" t="str">
        <f t="shared" si="7"/>
        <v>OTHER</v>
      </c>
      <c r="I237" s="113" t="s">
        <v>73</v>
      </c>
      <c r="J237"/>
    </row>
    <row r="238" spans="1:10">
      <c r="A238" s="114" t="str">
        <f t="shared" si="6"/>
        <v>1823920DSR COSTS AMORTIZED102706LOW INCOME-UTAH-2006OTHER</v>
      </c>
      <c r="B238" s="127">
        <v>1823920</v>
      </c>
      <c r="C238" s="128" t="s">
        <v>695</v>
      </c>
      <c r="D238" s="127">
        <v>102706</v>
      </c>
      <c r="E238" s="128" t="s">
        <v>787</v>
      </c>
      <c r="F238" s="127" t="s">
        <v>306</v>
      </c>
      <c r="H238" s="117" t="str">
        <f t="shared" si="7"/>
        <v>OTHER</v>
      </c>
      <c r="I238" s="113" t="s">
        <v>73</v>
      </c>
      <c r="J238"/>
    </row>
    <row r="239" spans="1:10">
      <c r="A239" s="114" t="str">
        <f t="shared" si="6"/>
        <v>1823920DSR COSTS AMORTIZED102707REFRIGERATOR RECYCLING PGM-UTAH-2006OTHER</v>
      </c>
      <c r="B239" s="127">
        <v>1823920</v>
      </c>
      <c r="C239" s="128" t="s">
        <v>695</v>
      </c>
      <c r="D239" s="127">
        <v>102707</v>
      </c>
      <c r="E239" s="128" t="s">
        <v>788</v>
      </c>
      <c r="F239" s="127" t="s">
        <v>306</v>
      </c>
      <c r="H239" s="117" t="str">
        <f t="shared" si="7"/>
        <v>OTHER</v>
      </c>
      <c r="I239" s="113" t="s">
        <v>73</v>
      </c>
      <c r="J239"/>
    </row>
    <row r="240" spans="1:10">
      <c r="A240" s="114" t="str">
        <f t="shared" si="6"/>
        <v>1823920DSR COSTS AMORTIZED102708A/C LOAD CONTROL-RESIDENTIAL/UTAH-2006OTHER</v>
      </c>
      <c r="B240" s="127">
        <v>1823920</v>
      </c>
      <c r="C240" s="128" t="s">
        <v>695</v>
      </c>
      <c r="D240" s="127">
        <v>102708</v>
      </c>
      <c r="E240" s="128" t="s">
        <v>789</v>
      </c>
      <c r="F240" s="127" t="s">
        <v>306</v>
      </c>
      <c r="H240" s="117" t="str">
        <f t="shared" si="7"/>
        <v>OTHER</v>
      </c>
      <c r="I240" s="113" t="s">
        <v>73</v>
      </c>
      <c r="J240"/>
    </row>
    <row r="241" spans="1:10">
      <c r="A241" s="114" t="str">
        <f t="shared" si="6"/>
        <v>1823920DSR COSTS AMORTIZED102709AIR CONDITIONING-UTAH-2006OTHER</v>
      </c>
      <c r="B241" s="127">
        <v>1823920</v>
      </c>
      <c r="C241" s="128" t="s">
        <v>695</v>
      </c>
      <c r="D241" s="127">
        <v>102709</v>
      </c>
      <c r="E241" s="128" t="s">
        <v>790</v>
      </c>
      <c r="F241" s="127" t="s">
        <v>306</v>
      </c>
      <c r="H241" s="117" t="str">
        <f t="shared" si="7"/>
        <v>OTHER</v>
      </c>
      <c r="I241" s="113" t="s">
        <v>73</v>
      </c>
      <c r="J241"/>
    </row>
    <row r="242" spans="1:10">
      <c r="A242" s="114" t="str">
        <f t="shared" si="6"/>
        <v>1823920DSR COSTS AMORTIZED102712ENERGY FINANSWER-UTAH-2006OTHER</v>
      </c>
      <c r="B242" s="127">
        <v>1823920</v>
      </c>
      <c r="C242" s="128" t="s">
        <v>695</v>
      </c>
      <c r="D242" s="127">
        <v>102712</v>
      </c>
      <c r="E242" s="128" t="s">
        <v>791</v>
      </c>
      <c r="F242" s="127" t="s">
        <v>306</v>
      </c>
      <c r="H242" s="117" t="str">
        <f t="shared" si="7"/>
        <v>OTHER</v>
      </c>
      <c r="I242" s="113" t="s">
        <v>73</v>
      </c>
      <c r="J242"/>
    </row>
    <row r="243" spans="1:10">
      <c r="A243" s="114" t="str">
        <f t="shared" si="6"/>
        <v>1823920DSR COSTS AMORTIZED102713INDUSTRIAL FINANSWER-WYOMING-UTAH-2006OTHER</v>
      </c>
      <c r="B243" s="127">
        <v>1823920</v>
      </c>
      <c r="C243" s="128" t="s">
        <v>695</v>
      </c>
      <c r="D243" s="127">
        <v>102713</v>
      </c>
      <c r="E243" s="128" t="s">
        <v>792</v>
      </c>
      <c r="F243" s="127" t="s">
        <v>306</v>
      </c>
      <c r="H243" s="117" t="str">
        <f t="shared" si="7"/>
        <v>OTHER</v>
      </c>
      <c r="I243" s="113" t="s">
        <v>73</v>
      </c>
      <c r="J243"/>
    </row>
    <row r="244" spans="1:10">
      <c r="A244" s="114" t="str">
        <f t="shared" si="6"/>
        <v>1823920DSR COSTS AMORTIZED102717COMMERCIAL SELF-DIRECT-UTAH-2006OTHER</v>
      </c>
      <c r="B244" s="127">
        <v>1823920</v>
      </c>
      <c r="C244" s="128" t="s">
        <v>695</v>
      </c>
      <c r="D244" s="127">
        <v>102717</v>
      </c>
      <c r="E244" s="128" t="s">
        <v>793</v>
      </c>
      <c r="F244" s="127" t="s">
        <v>306</v>
      </c>
      <c r="H244" s="117" t="str">
        <f t="shared" si="7"/>
        <v>OTHER</v>
      </c>
      <c r="I244" s="113" t="s">
        <v>73</v>
      </c>
      <c r="J244"/>
    </row>
    <row r="245" spans="1:10">
      <c r="A245" s="114" t="str">
        <f t="shared" si="6"/>
        <v>1823920DSR COSTS AMORTIZED102718INDUSTRIAL SELF-DIRECT-UTAH-2006OTHER</v>
      </c>
      <c r="B245" s="127">
        <v>1823920</v>
      </c>
      <c r="C245" s="128" t="s">
        <v>695</v>
      </c>
      <c r="D245" s="127">
        <v>102718</v>
      </c>
      <c r="E245" s="128" t="s">
        <v>794</v>
      </c>
      <c r="F245" s="127" t="s">
        <v>306</v>
      </c>
      <c r="H245" s="117" t="str">
        <f t="shared" si="7"/>
        <v>OTHER</v>
      </c>
      <c r="I245" s="113" t="s">
        <v>73</v>
      </c>
      <c r="J245"/>
    </row>
    <row r="246" spans="1:10">
      <c r="A246" s="114" t="str">
        <f t="shared" si="6"/>
        <v>1823920DSR COSTS AMORTIZED102719RESIDENTIAL NEW CONSTRUCTION-UTAH-2006OTHER</v>
      </c>
      <c r="B246" s="127">
        <v>1823920</v>
      </c>
      <c r="C246" s="128" t="s">
        <v>695</v>
      </c>
      <c r="D246" s="127">
        <v>102719</v>
      </c>
      <c r="E246" s="128" t="s">
        <v>795</v>
      </c>
      <c r="F246" s="127" t="s">
        <v>306</v>
      </c>
      <c r="H246" s="117" t="str">
        <f t="shared" si="7"/>
        <v>OTHER</v>
      </c>
      <c r="I246" s="113" t="s">
        <v>73</v>
      </c>
      <c r="J246"/>
    </row>
    <row r="247" spans="1:10">
      <c r="A247" s="114" t="str">
        <f t="shared" si="6"/>
        <v>1823920DSR COSTS AMORTIZED102720COMMERCIAL FINANSWER EXPRESS-UTAH-2006OTHER</v>
      </c>
      <c r="B247" s="127">
        <v>1823920</v>
      </c>
      <c r="C247" s="128" t="s">
        <v>695</v>
      </c>
      <c r="D247" s="127">
        <v>102720</v>
      </c>
      <c r="E247" s="128" t="s">
        <v>796</v>
      </c>
      <c r="F247" s="127" t="s">
        <v>306</v>
      </c>
      <c r="H247" s="117" t="str">
        <f t="shared" si="7"/>
        <v>OTHER</v>
      </c>
      <c r="I247" s="113" t="s">
        <v>73</v>
      </c>
      <c r="J247"/>
    </row>
    <row r="248" spans="1:10">
      <c r="A248" s="114" t="str">
        <f t="shared" si="6"/>
        <v>1823920DSR COSTS AMORTIZED102721INDUSTRIAL FINANSWER-UTAH-2006OTHER</v>
      </c>
      <c r="B248" s="127">
        <v>1823920</v>
      </c>
      <c r="C248" s="128" t="s">
        <v>695</v>
      </c>
      <c r="D248" s="127">
        <v>102721</v>
      </c>
      <c r="E248" s="128" t="s">
        <v>797</v>
      </c>
      <c r="F248" s="127" t="s">
        <v>306</v>
      </c>
      <c r="H248" s="117" t="str">
        <f t="shared" si="7"/>
        <v>OTHER</v>
      </c>
      <c r="I248" s="113" t="s">
        <v>73</v>
      </c>
      <c r="J248"/>
    </row>
    <row r="249" spans="1:10">
      <c r="A249" s="114" t="str">
        <f t="shared" si="6"/>
        <v>1823920DSR COSTS AMORTIZED102722RETROFIT COMMISSIONING PROGRAM -UTAH-200OTHER</v>
      </c>
      <c r="B249" s="127">
        <v>1823920</v>
      </c>
      <c r="C249" s="128" t="s">
        <v>695</v>
      </c>
      <c r="D249" s="127">
        <v>102722</v>
      </c>
      <c r="E249" s="128" t="s">
        <v>798</v>
      </c>
      <c r="F249" s="127" t="s">
        <v>306</v>
      </c>
      <c r="H249" s="117" t="str">
        <f t="shared" si="7"/>
        <v>OTHER</v>
      </c>
      <c r="I249" s="113" t="s">
        <v>73</v>
      </c>
      <c r="J249"/>
    </row>
    <row r="250" spans="1:10">
      <c r="A250" s="114" t="str">
        <f t="shared" si="6"/>
        <v>1823920DSR COSTS AMORTIZED102723C&amp;I LIGHTING LOAD CONTROL -UTAH-2006OTHER</v>
      </c>
      <c r="B250" s="127">
        <v>1823920</v>
      </c>
      <c r="C250" s="128" t="s">
        <v>695</v>
      </c>
      <c r="D250" s="127">
        <v>102723</v>
      </c>
      <c r="E250" s="128" t="s">
        <v>799</v>
      </c>
      <c r="F250" s="127" t="s">
        <v>306</v>
      </c>
      <c r="H250" s="117" t="str">
        <f t="shared" si="7"/>
        <v>OTHER</v>
      </c>
      <c r="I250" s="113" t="s">
        <v>73</v>
      </c>
      <c r="J250"/>
    </row>
    <row r="251" spans="1:10">
      <c r="A251" s="114" t="str">
        <f t="shared" si="6"/>
        <v>1823920DSR COSTS AMORTIZED102725CALIFORNIA DSM EXPENSE-2006OTHER</v>
      </c>
      <c r="B251" s="127">
        <v>1823920</v>
      </c>
      <c r="C251" s="128" t="s">
        <v>695</v>
      </c>
      <c r="D251" s="127">
        <v>102725</v>
      </c>
      <c r="E251" s="128" t="s">
        <v>800</v>
      </c>
      <c r="F251" s="127" t="s">
        <v>306</v>
      </c>
      <c r="H251" s="117" t="str">
        <f t="shared" si="7"/>
        <v>OTHER</v>
      </c>
      <c r="I251" s="113" t="s">
        <v>73</v>
      </c>
      <c r="J251"/>
    </row>
    <row r="252" spans="1:10">
      <c r="A252" s="114" t="str">
        <f t="shared" si="6"/>
        <v>1823920DSR COSTS AMORTIZED102759HOME ENERGY EFF INCENTIVE PROG-UTAH-2006OTHER</v>
      </c>
      <c r="B252" s="127">
        <v>1823920</v>
      </c>
      <c r="C252" s="128" t="s">
        <v>695</v>
      </c>
      <c r="D252" s="127">
        <v>102759</v>
      </c>
      <c r="E252" s="128" t="s">
        <v>801</v>
      </c>
      <c r="F252" s="127" t="s">
        <v>306</v>
      </c>
      <c r="H252" s="117" t="str">
        <f t="shared" si="7"/>
        <v>OTHER</v>
      </c>
      <c r="I252" s="113" t="s">
        <v>73</v>
      </c>
      <c r="J252"/>
    </row>
    <row r="253" spans="1:10">
      <c r="A253" s="114" t="str">
        <f t="shared" si="6"/>
        <v>1823920DSR COSTS AMORTIZED102760HOME ENERGY EFF INCENTIVE PROG-WA-2006OTHER</v>
      </c>
      <c r="B253" s="127">
        <v>1823920</v>
      </c>
      <c r="C253" s="128" t="s">
        <v>695</v>
      </c>
      <c r="D253" s="127">
        <v>102760</v>
      </c>
      <c r="E253" s="128" t="s">
        <v>802</v>
      </c>
      <c r="F253" s="127" t="s">
        <v>306</v>
      </c>
      <c r="H253" s="117" t="str">
        <f t="shared" si="7"/>
        <v>OTHER</v>
      </c>
      <c r="I253" s="113" t="s">
        <v>73</v>
      </c>
      <c r="J253"/>
    </row>
    <row r="254" spans="1:10">
      <c r="A254" s="114" t="str">
        <f t="shared" si="6"/>
        <v>1823920DSR COSTS AMORTIZED102767DSR COSTS BEING AMORTIZEDOTHER</v>
      </c>
      <c r="B254" s="127">
        <v>1823920</v>
      </c>
      <c r="C254" s="128" t="s">
        <v>695</v>
      </c>
      <c r="D254" s="127">
        <v>102767</v>
      </c>
      <c r="E254" s="128" t="s">
        <v>803</v>
      </c>
      <c r="F254" s="127" t="s">
        <v>306</v>
      </c>
      <c r="H254" s="117" t="str">
        <f t="shared" si="7"/>
        <v>OTHER</v>
      </c>
      <c r="I254" s="113" t="s">
        <v>73</v>
      </c>
      <c r="J254"/>
    </row>
    <row r="255" spans="1:10">
      <c r="A255" s="114" t="str">
        <f t="shared" si="6"/>
        <v>1823920DSR COSTS AMORTIZED102788DSR COSTS BEING AMORTIZEDSITUS</v>
      </c>
      <c r="B255" s="127">
        <v>1823920</v>
      </c>
      <c r="C255" s="128" t="s">
        <v>695</v>
      </c>
      <c r="D255" s="127">
        <v>102788</v>
      </c>
      <c r="E255" s="128" t="s">
        <v>803</v>
      </c>
      <c r="F255" s="127" t="s">
        <v>12</v>
      </c>
      <c r="H255" s="117" t="str">
        <f t="shared" si="7"/>
        <v>SITUS</v>
      </c>
      <c r="I255" s="113" t="s">
        <v>73</v>
      </c>
      <c r="J255"/>
    </row>
    <row r="256" spans="1:10">
      <c r="A256" s="114" t="str">
        <f t="shared" si="6"/>
        <v>1823920DSR COSTS AMORTIZED102796DSR COSTS BEING AMORTIZEDOTHER</v>
      </c>
      <c r="B256" s="127">
        <v>1823920</v>
      </c>
      <c r="C256" s="128" t="s">
        <v>695</v>
      </c>
      <c r="D256" s="127">
        <v>102796</v>
      </c>
      <c r="E256" s="128" t="s">
        <v>803</v>
      </c>
      <c r="F256" s="127" t="s">
        <v>306</v>
      </c>
      <c r="H256" s="117" t="str">
        <f t="shared" si="7"/>
        <v>OTHER</v>
      </c>
      <c r="I256" s="113" t="s">
        <v>73</v>
      </c>
      <c r="J256"/>
    </row>
    <row r="257" spans="1:10">
      <c r="A257" s="114" t="str">
        <f t="shared" si="6"/>
        <v>1823920DSR COSTS AMORTIZED102798ENERGY FINANSWER - WYOMING PPL - 2007SITUS</v>
      </c>
      <c r="B257" s="127">
        <v>1823920</v>
      </c>
      <c r="C257" s="128" t="s">
        <v>695</v>
      </c>
      <c r="D257" s="127">
        <v>102798</v>
      </c>
      <c r="E257" s="128" t="s">
        <v>804</v>
      </c>
      <c r="F257" s="127" t="s">
        <v>12</v>
      </c>
      <c r="H257" s="117" t="str">
        <f t="shared" si="7"/>
        <v>SITUS</v>
      </c>
      <c r="I257" s="113" t="s">
        <v>73</v>
      </c>
      <c r="J257"/>
    </row>
    <row r="258" spans="1:10">
      <c r="A258" s="114" t="str">
        <f t="shared" si="6"/>
        <v>1823920DSR COSTS AMORTIZED102799MAJOR CUSTOMER  99SITUS</v>
      </c>
      <c r="B258" s="127">
        <v>1823920</v>
      </c>
      <c r="C258" s="128" t="s">
        <v>695</v>
      </c>
      <c r="D258" s="127">
        <v>102799</v>
      </c>
      <c r="E258" s="128" t="s">
        <v>805</v>
      </c>
      <c r="F258" s="127" t="s">
        <v>12</v>
      </c>
      <c r="H258" s="117" t="str">
        <f t="shared" si="7"/>
        <v>SITUS</v>
      </c>
      <c r="I258" s="113" t="s">
        <v>73</v>
      </c>
      <c r="J258"/>
    </row>
    <row r="259" spans="1:10">
      <c r="A259" s="114" t="str">
        <f t="shared" ref="A259:A322" si="8">CONCATENATE($B259,$C259,$D259,$E259,$H259)</f>
        <v>1823920DSR COSTS AMORTIZED102802HOME ENERGY EFF INCENTIVE PRO - PPL WYOMSITUS</v>
      </c>
      <c r="B259" s="127">
        <v>1823920</v>
      </c>
      <c r="C259" s="128" t="s">
        <v>695</v>
      </c>
      <c r="D259" s="127">
        <v>102802</v>
      </c>
      <c r="E259" s="128" t="s">
        <v>806</v>
      </c>
      <c r="F259" s="127" t="s">
        <v>12</v>
      </c>
      <c r="H259" s="117" t="str">
        <f t="shared" ref="H259:H322" si="9">IF(OR(F259="IDU",F259="OR",F259="UT",F259="WYU",F259="WYP",F259="CA",F259="WA"),"SITUS",F259)</f>
        <v>SITUS</v>
      </c>
      <c r="I259" s="113" t="s">
        <v>73</v>
      </c>
      <c r="J259"/>
    </row>
    <row r="260" spans="1:10">
      <c r="A260" s="114" t="str">
        <f t="shared" si="8"/>
        <v>1823920DSR COSTS AMORTIZED102803LOW-INCOME WEATHERIZATION - WYOMING PPL-SITUS</v>
      </c>
      <c r="B260" s="127">
        <v>1823920</v>
      </c>
      <c r="C260" s="128" t="s">
        <v>695</v>
      </c>
      <c r="D260" s="127">
        <v>102803</v>
      </c>
      <c r="E260" s="128" t="s">
        <v>807</v>
      </c>
      <c r="F260" s="127" t="s">
        <v>12</v>
      </c>
      <c r="H260" s="117" t="str">
        <f t="shared" si="9"/>
        <v>SITUS</v>
      </c>
      <c r="I260" s="113" t="s">
        <v>73</v>
      </c>
      <c r="J260"/>
    </row>
    <row r="261" spans="1:10">
      <c r="A261" s="114" t="str">
        <f t="shared" si="8"/>
        <v>1823920DSR COSTS AMORTIZED102804COMMERCIAL FINANSWER EXPRESS - WY - 2007SITUS</v>
      </c>
      <c r="B261" s="127">
        <v>1823920</v>
      </c>
      <c r="C261" s="128" t="s">
        <v>695</v>
      </c>
      <c r="D261" s="127">
        <v>102804</v>
      </c>
      <c r="E261" s="128" t="s">
        <v>808</v>
      </c>
      <c r="F261" s="127" t="s">
        <v>12</v>
      </c>
      <c r="H261" s="117" t="str">
        <f t="shared" si="9"/>
        <v>SITUS</v>
      </c>
      <c r="I261" s="113" t="s">
        <v>73</v>
      </c>
      <c r="J261"/>
    </row>
    <row r="262" spans="1:10">
      <c r="A262" s="114" t="str">
        <f t="shared" si="8"/>
        <v>1823920DSR COSTS AMORTIZED102805INDUSTRIAL FINANSWER EXPRESS - WY - 2007SITUS</v>
      </c>
      <c r="B262" s="127">
        <v>1823920</v>
      </c>
      <c r="C262" s="128" t="s">
        <v>695</v>
      </c>
      <c r="D262" s="127">
        <v>102805</v>
      </c>
      <c r="E262" s="128" t="s">
        <v>809</v>
      </c>
      <c r="F262" s="127" t="s">
        <v>12</v>
      </c>
      <c r="H262" s="117" t="str">
        <f t="shared" si="9"/>
        <v>SITUS</v>
      </c>
      <c r="I262" s="113" t="s">
        <v>73</v>
      </c>
      <c r="J262"/>
    </row>
    <row r="263" spans="1:10">
      <c r="A263" s="114" t="str">
        <f t="shared" si="8"/>
        <v>1823920DSR COSTS AMORTIZED102806SELF DIRECT - COMMERCIAL - WY - 2007SITUS</v>
      </c>
      <c r="B263" s="127">
        <v>1823920</v>
      </c>
      <c r="C263" s="128" t="s">
        <v>695</v>
      </c>
      <c r="D263" s="127">
        <v>102806</v>
      </c>
      <c r="E263" s="128" t="s">
        <v>810</v>
      </c>
      <c r="F263" s="127" t="s">
        <v>12</v>
      </c>
      <c r="H263" s="117" t="str">
        <f t="shared" si="9"/>
        <v>SITUS</v>
      </c>
      <c r="I263" s="113" t="s">
        <v>73</v>
      </c>
      <c r="J263"/>
    </row>
    <row r="264" spans="1:10">
      <c r="A264" s="114" t="str">
        <f t="shared" si="8"/>
        <v>1823920DSR COSTS AMORTIZED102807SELF DIRECT - INDUSTRIAL - WY - 2007SITUS</v>
      </c>
      <c r="B264" s="127">
        <v>1823920</v>
      </c>
      <c r="C264" s="128" t="s">
        <v>695</v>
      </c>
      <c r="D264" s="127">
        <v>102807</v>
      </c>
      <c r="E264" s="128" t="s">
        <v>811</v>
      </c>
      <c r="F264" s="127" t="s">
        <v>12</v>
      </c>
      <c r="H264" s="117" t="str">
        <f t="shared" si="9"/>
        <v>SITUS</v>
      </c>
      <c r="I264" s="113" t="s">
        <v>73</v>
      </c>
      <c r="J264"/>
    </row>
    <row r="265" spans="1:10">
      <c r="A265" s="114" t="str">
        <f t="shared" si="8"/>
        <v>1823920DSR COSTS AMORTIZED102819A/C LOAD CONTROL - RESIDENTIAL/UTAH - 20OTHER</v>
      </c>
      <c r="B265" s="127">
        <v>1823920</v>
      </c>
      <c r="C265" s="128" t="s">
        <v>695</v>
      </c>
      <c r="D265" s="127">
        <v>102819</v>
      </c>
      <c r="E265" s="128" t="s">
        <v>772</v>
      </c>
      <c r="F265" s="127" t="s">
        <v>306</v>
      </c>
      <c r="H265" s="117" t="str">
        <f t="shared" si="9"/>
        <v>OTHER</v>
      </c>
      <c r="I265" s="113" t="s">
        <v>73</v>
      </c>
      <c r="J265"/>
    </row>
    <row r="266" spans="1:10">
      <c r="A266" s="114" t="str">
        <f t="shared" si="8"/>
        <v>1823920DSR COSTS AMORTIZED102820AIR CONDITIONING - UTAH - 2007OTHER</v>
      </c>
      <c r="B266" s="127">
        <v>1823920</v>
      </c>
      <c r="C266" s="128" t="s">
        <v>695</v>
      </c>
      <c r="D266" s="127">
        <v>102820</v>
      </c>
      <c r="E266" s="128" t="s">
        <v>812</v>
      </c>
      <c r="F266" s="127" t="s">
        <v>306</v>
      </c>
      <c r="H266" s="117" t="str">
        <f t="shared" si="9"/>
        <v>OTHER</v>
      </c>
      <c r="I266" s="113" t="s">
        <v>73</v>
      </c>
      <c r="J266"/>
    </row>
    <row r="267" spans="1:10">
      <c r="A267" s="114" t="str">
        <f t="shared" si="8"/>
        <v>1823920DSR COSTS AMORTIZED102821ENERGY FINANSWER - UTAH - 2007OTHER</v>
      </c>
      <c r="B267" s="127">
        <v>1823920</v>
      </c>
      <c r="C267" s="128" t="s">
        <v>695</v>
      </c>
      <c r="D267" s="127">
        <v>102821</v>
      </c>
      <c r="E267" s="128" t="s">
        <v>813</v>
      </c>
      <c r="F267" s="127" t="s">
        <v>306</v>
      </c>
      <c r="H267" s="117" t="str">
        <f t="shared" si="9"/>
        <v>OTHER</v>
      </c>
      <c r="I267" s="113" t="s">
        <v>73</v>
      </c>
      <c r="J267"/>
    </row>
    <row r="268" spans="1:10">
      <c r="A268" s="114" t="str">
        <f t="shared" si="8"/>
        <v>1823920DSR COSTS AMORTIZED102822INDUSTRIAL FINANSWER - UTAH - 2007OTHER</v>
      </c>
      <c r="B268" s="127">
        <v>1823920</v>
      </c>
      <c r="C268" s="128" t="s">
        <v>695</v>
      </c>
      <c r="D268" s="127">
        <v>102822</v>
      </c>
      <c r="E268" s="128" t="s">
        <v>814</v>
      </c>
      <c r="F268" s="127" t="s">
        <v>306</v>
      </c>
      <c r="H268" s="117" t="str">
        <f t="shared" si="9"/>
        <v>OTHER</v>
      </c>
      <c r="I268" s="113" t="s">
        <v>73</v>
      </c>
      <c r="J268"/>
    </row>
    <row r="269" spans="1:10">
      <c r="A269" s="114" t="str">
        <f t="shared" si="8"/>
        <v>1823920DSR COSTS AMORTIZED102823LOW INCOME - UTAH - 2007OTHER</v>
      </c>
      <c r="B269" s="127">
        <v>1823920</v>
      </c>
      <c r="C269" s="128" t="s">
        <v>695</v>
      </c>
      <c r="D269" s="127">
        <v>102823</v>
      </c>
      <c r="E269" s="128" t="s">
        <v>815</v>
      </c>
      <c r="F269" s="127" t="s">
        <v>306</v>
      </c>
      <c r="H269" s="117" t="str">
        <f t="shared" si="9"/>
        <v>OTHER</v>
      </c>
      <c r="I269" s="113" t="s">
        <v>73</v>
      </c>
      <c r="J269"/>
    </row>
    <row r="270" spans="1:10">
      <c r="A270" s="114" t="str">
        <f t="shared" si="8"/>
        <v>1823920DSR COSTS AMORTIZED102824POWER FORWARD - UTAH - 2007OTHER</v>
      </c>
      <c r="B270" s="127">
        <v>1823920</v>
      </c>
      <c r="C270" s="128" t="s">
        <v>695</v>
      </c>
      <c r="D270" s="127">
        <v>102824</v>
      </c>
      <c r="E270" s="128" t="s">
        <v>816</v>
      </c>
      <c r="F270" s="127" t="s">
        <v>306</v>
      </c>
      <c r="H270" s="117" t="str">
        <f t="shared" si="9"/>
        <v>OTHER</v>
      </c>
      <c r="I270" s="113" t="s">
        <v>73</v>
      </c>
      <c r="J270"/>
    </row>
    <row r="271" spans="1:10">
      <c r="A271" s="114" t="str">
        <f t="shared" si="8"/>
        <v>1823920DSR COSTS AMORTIZED102825REFRIGERATOR RECYCLING PGM- UTAH - 2007OTHER</v>
      </c>
      <c r="B271" s="127">
        <v>1823920</v>
      </c>
      <c r="C271" s="128" t="s">
        <v>695</v>
      </c>
      <c r="D271" s="127">
        <v>102825</v>
      </c>
      <c r="E271" s="128" t="s">
        <v>817</v>
      </c>
      <c r="F271" s="127" t="s">
        <v>306</v>
      </c>
      <c r="H271" s="117" t="str">
        <f t="shared" si="9"/>
        <v>OTHER</v>
      </c>
      <c r="I271" s="113" t="s">
        <v>73</v>
      </c>
      <c r="J271"/>
    </row>
    <row r="272" spans="1:10">
      <c r="A272" s="114" t="str">
        <f t="shared" si="8"/>
        <v>1823920DSR COSTS AMORTIZED102826COMMERCIAL SELF-DIRECT - UTAH - 2007OTHER</v>
      </c>
      <c r="B272" s="127">
        <v>1823920</v>
      </c>
      <c r="C272" s="128" t="s">
        <v>695</v>
      </c>
      <c r="D272" s="127">
        <v>102826</v>
      </c>
      <c r="E272" s="128" t="s">
        <v>818</v>
      </c>
      <c r="F272" s="127" t="s">
        <v>306</v>
      </c>
      <c r="H272" s="117" t="str">
        <f t="shared" si="9"/>
        <v>OTHER</v>
      </c>
      <c r="I272" s="113" t="s">
        <v>73</v>
      </c>
      <c r="J272"/>
    </row>
    <row r="273" spans="1:10">
      <c r="A273" s="114" t="str">
        <f t="shared" si="8"/>
        <v>1823920DSR COSTS AMORTIZED102827INDUSTRIAL SELF-DIRECT - UTAH - 2007OTHER</v>
      </c>
      <c r="B273" s="127">
        <v>1823920</v>
      </c>
      <c r="C273" s="128" t="s">
        <v>695</v>
      </c>
      <c r="D273" s="127">
        <v>102827</v>
      </c>
      <c r="E273" s="128" t="s">
        <v>819</v>
      </c>
      <c r="F273" s="127" t="s">
        <v>306</v>
      </c>
      <c r="H273" s="117" t="str">
        <f t="shared" si="9"/>
        <v>OTHER</v>
      </c>
      <c r="I273" s="113" t="s">
        <v>73</v>
      </c>
      <c r="J273"/>
    </row>
    <row r="274" spans="1:10">
      <c r="A274" s="114" t="str">
        <f t="shared" si="8"/>
        <v>1823920DSR COSTS AMORTIZED102828RESIDENTIAL NEW CONSTRUCTION - UTAH - 20OTHER</v>
      </c>
      <c r="B274" s="127">
        <v>1823920</v>
      </c>
      <c r="C274" s="128" t="s">
        <v>695</v>
      </c>
      <c r="D274" s="127">
        <v>102828</v>
      </c>
      <c r="E274" s="128" t="s">
        <v>757</v>
      </c>
      <c r="F274" s="127" t="s">
        <v>306</v>
      </c>
      <c r="H274" s="117" t="str">
        <f t="shared" si="9"/>
        <v>OTHER</v>
      </c>
      <c r="I274" s="113" t="s">
        <v>73</v>
      </c>
      <c r="J274"/>
    </row>
    <row r="275" spans="1:10">
      <c r="A275" s="114" t="str">
        <f t="shared" si="8"/>
        <v>1823920DSR COSTS AMORTIZED102829COMMERCIAL FINANSWER EXPRESS - UTAH - 20OTHER</v>
      </c>
      <c r="B275" s="127">
        <v>1823920</v>
      </c>
      <c r="C275" s="128" t="s">
        <v>695</v>
      </c>
      <c r="D275" s="127">
        <v>102829</v>
      </c>
      <c r="E275" s="128" t="s">
        <v>760</v>
      </c>
      <c r="F275" s="127" t="s">
        <v>306</v>
      </c>
      <c r="H275" s="117" t="str">
        <f t="shared" si="9"/>
        <v>OTHER</v>
      </c>
      <c r="I275" s="113" t="s">
        <v>73</v>
      </c>
      <c r="J275"/>
    </row>
    <row r="276" spans="1:10">
      <c r="A276" s="114" t="str">
        <f t="shared" si="8"/>
        <v>1823920DSR COSTS AMORTIZED102830INDUSTRIAL FINANSWER EXPRESS - UTAH - 20OTHER</v>
      </c>
      <c r="B276" s="127">
        <v>1823920</v>
      </c>
      <c r="C276" s="128" t="s">
        <v>695</v>
      </c>
      <c r="D276" s="127">
        <v>102830</v>
      </c>
      <c r="E276" s="128" t="s">
        <v>761</v>
      </c>
      <c r="F276" s="127" t="s">
        <v>306</v>
      </c>
      <c r="H276" s="117" t="str">
        <f t="shared" si="9"/>
        <v>OTHER</v>
      </c>
      <c r="I276" s="113" t="s">
        <v>73</v>
      </c>
      <c r="J276"/>
    </row>
    <row r="277" spans="1:10">
      <c r="A277" s="114" t="str">
        <f t="shared" si="8"/>
        <v>1823920DSR COSTS AMORTIZED102831RETROFIT COMMISSIONING PROGRAM - UTAH -OTHER</v>
      </c>
      <c r="B277" s="127">
        <v>1823920</v>
      </c>
      <c r="C277" s="128" t="s">
        <v>695</v>
      </c>
      <c r="D277" s="127">
        <v>102831</v>
      </c>
      <c r="E277" s="128" t="s">
        <v>820</v>
      </c>
      <c r="F277" s="127" t="s">
        <v>306</v>
      </c>
      <c r="H277" s="117" t="str">
        <f t="shared" si="9"/>
        <v>OTHER</v>
      </c>
      <c r="I277" s="113" t="s">
        <v>73</v>
      </c>
      <c r="J277"/>
    </row>
    <row r="278" spans="1:10">
      <c r="A278" s="114" t="str">
        <f t="shared" si="8"/>
        <v>1823920DSR COSTS AMORTIZED102833IRRIGATION LOAD CONTROL  - UTAH - 2007OTHER</v>
      </c>
      <c r="B278" s="127">
        <v>1823920</v>
      </c>
      <c r="C278" s="128" t="s">
        <v>695</v>
      </c>
      <c r="D278" s="127">
        <v>102833</v>
      </c>
      <c r="E278" s="128" t="s">
        <v>821</v>
      </c>
      <c r="F278" s="127" t="s">
        <v>306</v>
      </c>
      <c r="H278" s="117" t="str">
        <f t="shared" si="9"/>
        <v>OTHER</v>
      </c>
      <c r="I278" s="113" t="s">
        <v>73</v>
      </c>
      <c r="J278"/>
    </row>
    <row r="279" spans="1:10">
      <c r="A279" s="114" t="str">
        <f t="shared" si="8"/>
        <v>1823920DSR COSTS AMORTIZED102834HOME ENERGY EFF INCENTIVE PROG - UT 2007OTHER</v>
      </c>
      <c r="B279" s="127">
        <v>1823920</v>
      </c>
      <c r="C279" s="128" t="s">
        <v>695</v>
      </c>
      <c r="D279" s="127">
        <v>102834</v>
      </c>
      <c r="E279" s="128" t="s">
        <v>822</v>
      </c>
      <c r="F279" s="127" t="s">
        <v>306</v>
      </c>
      <c r="H279" s="117" t="str">
        <f t="shared" si="9"/>
        <v>OTHER</v>
      </c>
      <c r="I279" s="113" t="s">
        <v>73</v>
      </c>
      <c r="J279"/>
    </row>
    <row r="280" spans="1:10">
      <c r="A280" s="114" t="str">
        <f t="shared" si="8"/>
        <v>1823920DSR COSTS AMORTIZED102883CALIFORNIA DSM EXPENSE - 2008SITUS</v>
      </c>
      <c r="B280" s="127">
        <v>1823920</v>
      </c>
      <c r="C280" s="128" t="s">
        <v>695</v>
      </c>
      <c r="D280" s="127">
        <v>102883</v>
      </c>
      <c r="E280" s="128" t="s">
        <v>823</v>
      </c>
      <c r="F280" s="127" t="s">
        <v>12</v>
      </c>
      <c r="H280" s="117" t="str">
        <f t="shared" si="9"/>
        <v>SITUS</v>
      </c>
      <c r="I280" s="113" t="s">
        <v>73</v>
      </c>
      <c r="J280"/>
    </row>
    <row r="281" spans="1:10">
      <c r="A281" s="114" t="str">
        <f t="shared" si="8"/>
        <v>1823920DSR COSTS AMORTIZED102885ENERGY FINANSWER - WYOMING PPL - 2008SITUS</v>
      </c>
      <c r="B281" s="127">
        <v>1823920</v>
      </c>
      <c r="C281" s="128" t="s">
        <v>695</v>
      </c>
      <c r="D281" s="127">
        <v>102885</v>
      </c>
      <c r="E281" s="128" t="s">
        <v>824</v>
      </c>
      <c r="F281" s="127" t="s">
        <v>12</v>
      </c>
      <c r="H281" s="117" t="str">
        <f t="shared" si="9"/>
        <v>SITUS</v>
      </c>
      <c r="I281" s="113" t="s">
        <v>73</v>
      </c>
      <c r="J281"/>
    </row>
    <row r="282" spans="1:10">
      <c r="A282" s="114" t="str">
        <f t="shared" si="8"/>
        <v>1823920DSR COSTS AMORTIZED102886INDUSTRIAL FINANSWER - WYOMING PPL - 200SITUS</v>
      </c>
      <c r="B282" s="127">
        <v>1823920</v>
      </c>
      <c r="C282" s="128" t="s">
        <v>695</v>
      </c>
      <c r="D282" s="127">
        <v>102886</v>
      </c>
      <c r="E282" s="128" t="s">
        <v>825</v>
      </c>
      <c r="F282" s="127" t="s">
        <v>12</v>
      </c>
      <c r="H282" s="117" t="str">
        <f t="shared" si="9"/>
        <v>SITUS</v>
      </c>
      <c r="I282" s="113" t="s">
        <v>73</v>
      </c>
      <c r="J282"/>
    </row>
    <row r="283" spans="1:10">
      <c r="A283" s="114" t="str">
        <f t="shared" si="8"/>
        <v>1823920DSR COSTS AMORTIZED102888REFRIGERATOR RECYCLING - WYOMING 2008SITUS</v>
      </c>
      <c r="B283" s="127">
        <v>1823920</v>
      </c>
      <c r="C283" s="128" t="s">
        <v>695</v>
      </c>
      <c r="D283" s="127">
        <v>102888</v>
      </c>
      <c r="E283" s="128" t="s">
        <v>826</v>
      </c>
      <c r="F283" s="127" t="s">
        <v>12</v>
      </c>
      <c r="H283" s="117" t="str">
        <f t="shared" si="9"/>
        <v>SITUS</v>
      </c>
      <c r="I283" s="113" t="s">
        <v>73</v>
      </c>
      <c r="J283"/>
    </row>
    <row r="284" spans="1:10">
      <c r="A284" s="114" t="str">
        <f t="shared" si="8"/>
        <v>1823920DSR COSTS AMORTIZED102889HOME ENERGY EFF INCENTIVE PROGRAM - WYOMSITUS</v>
      </c>
      <c r="B284" s="127">
        <v>1823920</v>
      </c>
      <c r="C284" s="128" t="s">
        <v>695</v>
      </c>
      <c r="D284" s="127">
        <v>102889</v>
      </c>
      <c r="E284" s="128" t="s">
        <v>827</v>
      </c>
      <c r="F284" s="127" t="s">
        <v>12</v>
      </c>
      <c r="H284" s="117" t="str">
        <f t="shared" si="9"/>
        <v>SITUS</v>
      </c>
      <c r="I284" s="113" t="s">
        <v>73</v>
      </c>
      <c r="J284"/>
    </row>
    <row r="285" spans="1:10">
      <c r="A285" s="114" t="str">
        <f t="shared" si="8"/>
        <v>1823920DSR COSTS AMORTIZED102890LOW INCOME WEATHERIZATION - WYOMING 2008SITUS</v>
      </c>
      <c r="B285" s="127">
        <v>1823920</v>
      </c>
      <c r="C285" s="128" t="s">
        <v>695</v>
      </c>
      <c r="D285" s="127">
        <v>102890</v>
      </c>
      <c r="E285" s="128" t="s">
        <v>828</v>
      </c>
      <c r="F285" s="127" t="s">
        <v>12</v>
      </c>
      <c r="H285" s="117" t="str">
        <f t="shared" si="9"/>
        <v>SITUS</v>
      </c>
      <c r="I285" s="113" t="s">
        <v>73</v>
      </c>
      <c r="J285"/>
    </row>
    <row r="286" spans="1:10">
      <c r="A286" s="114" t="str">
        <f t="shared" si="8"/>
        <v>1823920DSR COSTS AMORTIZED102891COMMERCIAL FINANSWER EXPRESS - WYOMING 2SITUS</v>
      </c>
      <c r="B286" s="127">
        <v>1823920</v>
      </c>
      <c r="C286" s="128" t="s">
        <v>695</v>
      </c>
      <c r="D286" s="127">
        <v>102891</v>
      </c>
      <c r="E286" s="128" t="s">
        <v>829</v>
      </c>
      <c r="F286" s="127" t="s">
        <v>12</v>
      </c>
      <c r="H286" s="117" t="str">
        <f t="shared" si="9"/>
        <v>SITUS</v>
      </c>
      <c r="I286" s="113" t="s">
        <v>73</v>
      </c>
      <c r="J286"/>
    </row>
    <row r="287" spans="1:10">
      <c r="A287" s="114" t="str">
        <f t="shared" si="8"/>
        <v>1823920DSR COSTS AMORTIZED102892INDUSTRIAL FINANSWER EXPRESS - WY - 2008SITUS</v>
      </c>
      <c r="B287" s="127">
        <v>1823920</v>
      </c>
      <c r="C287" s="128" t="s">
        <v>695</v>
      </c>
      <c r="D287" s="127">
        <v>102892</v>
      </c>
      <c r="E287" s="128" t="s">
        <v>830</v>
      </c>
      <c r="F287" s="127" t="s">
        <v>12</v>
      </c>
      <c r="H287" s="117" t="str">
        <f t="shared" si="9"/>
        <v>SITUS</v>
      </c>
      <c r="I287" s="113" t="s">
        <v>73</v>
      </c>
      <c r="J287"/>
    </row>
    <row r="288" spans="1:10">
      <c r="A288" s="114" t="str">
        <f t="shared" si="8"/>
        <v>1823920DSR COSTS AMORTIZED102893SELF DIRECT COMMERCIAL - WYOMING 2008SITUS</v>
      </c>
      <c r="B288" s="127">
        <v>1823920</v>
      </c>
      <c r="C288" s="128" t="s">
        <v>695</v>
      </c>
      <c r="D288" s="127">
        <v>102893</v>
      </c>
      <c r="E288" s="128" t="s">
        <v>831</v>
      </c>
      <c r="F288" s="127" t="s">
        <v>12</v>
      </c>
      <c r="H288" s="117" t="str">
        <f t="shared" si="9"/>
        <v>SITUS</v>
      </c>
      <c r="I288" s="113" t="s">
        <v>73</v>
      </c>
      <c r="J288"/>
    </row>
    <row r="289" spans="1:10">
      <c r="A289" s="114" t="str">
        <f t="shared" si="8"/>
        <v>1823920DSR COSTS AMORTIZED102894SELF DIRECT INDUSTRIAL - WYOMING 2008SITUS</v>
      </c>
      <c r="B289" s="127">
        <v>1823920</v>
      </c>
      <c r="C289" s="128" t="s">
        <v>695</v>
      </c>
      <c r="D289" s="127">
        <v>102894</v>
      </c>
      <c r="E289" s="128" t="s">
        <v>832</v>
      </c>
      <c r="F289" s="127" t="s">
        <v>12</v>
      </c>
      <c r="H289" s="117" t="str">
        <f t="shared" si="9"/>
        <v>SITUS</v>
      </c>
      <c r="I289" s="113" t="s">
        <v>73</v>
      </c>
      <c r="J289"/>
    </row>
    <row r="290" spans="1:10">
      <c r="A290" s="114" t="str">
        <f t="shared" si="8"/>
        <v>1823920DSR COSTS AMORTIZED102906AC LOAD CONTROL - RESIDENTIAL - UTAH 200OTHER</v>
      </c>
      <c r="B290" s="127">
        <v>1823920</v>
      </c>
      <c r="C290" s="128" t="s">
        <v>695</v>
      </c>
      <c r="D290" s="127">
        <v>102906</v>
      </c>
      <c r="E290" s="128" t="s">
        <v>833</v>
      </c>
      <c r="F290" s="127" t="s">
        <v>306</v>
      </c>
      <c r="H290" s="117" t="str">
        <f t="shared" si="9"/>
        <v>OTHER</v>
      </c>
      <c r="I290" s="113" t="s">
        <v>73</v>
      </c>
      <c r="J290"/>
    </row>
    <row r="291" spans="1:10">
      <c r="A291" s="114" t="str">
        <f t="shared" si="8"/>
        <v>1823920DSR COSTS AMORTIZED102907AIR CONDITIONING - UTAH 2008OTHER</v>
      </c>
      <c r="B291" s="127">
        <v>1823920</v>
      </c>
      <c r="C291" s="128" t="s">
        <v>695</v>
      </c>
      <c r="D291" s="127">
        <v>102907</v>
      </c>
      <c r="E291" s="128" t="s">
        <v>834</v>
      </c>
      <c r="F291" s="127" t="s">
        <v>306</v>
      </c>
      <c r="H291" s="117" t="str">
        <f t="shared" si="9"/>
        <v>OTHER</v>
      </c>
      <c r="I291" s="113" t="s">
        <v>73</v>
      </c>
      <c r="J291"/>
    </row>
    <row r="292" spans="1:10">
      <c r="A292" s="114" t="str">
        <f t="shared" si="8"/>
        <v>1823920DSR COSTS AMORTIZED102908ENERGY FINANSWER - UTAH - 2008OTHER</v>
      </c>
      <c r="B292" s="127">
        <v>1823920</v>
      </c>
      <c r="C292" s="128" t="s">
        <v>695</v>
      </c>
      <c r="D292" s="127">
        <v>102908</v>
      </c>
      <c r="E292" s="128" t="s">
        <v>835</v>
      </c>
      <c r="F292" s="127" t="s">
        <v>306</v>
      </c>
      <c r="H292" s="117" t="str">
        <f t="shared" si="9"/>
        <v>OTHER</v>
      </c>
      <c r="I292" s="113" t="s">
        <v>73</v>
      </c>
      <c r="J292"/>
    </row>
    <row r="293" spans="1:10">
      <c r="A293" s="114" t="str">
        <f t="shared" si="8"/>
        <v>1823920DSR COSTS AMORTIZED102909INDUSTRIAL FINANSWER - UTAH - 2008OTHER</v>
      </c>
      <c r="B293" s="127">
        <v>1823920</v>
      </c>
      <c r="C293" s="128" t="s">
        <v>695</v>
      </c>
      <c r="D293" s="127">
        <v>102909</v>
      </c>
      <c r="E293" s="128" t="s">
        <v>836</v>
      </c>
      <c r="F293" s="127" t="s">
        <v>306</v>
      </c>
      <c r="H293" s="117" t="str">
        <f t="shared" si="9"/>
        <v>OTHER</v>
      </c>
      <c r="I293" s="113" t="s">
        <v>73</v>
      </c>
      <c r="J293"/>
    </row>
    <row r="294" spans="1:10">
      <c r="A294" s="114" t="str">
        <f t="shared" si="8"/>
        <v>1823920DSR COSTS AMORTIZED102910LOW INCOME - UTAH 2008OTHER</v>
      </c>
      <c r="B294" s="127">
        <v>1823920</v>
      </c>
      <c r="C294" s="128" t="s">
        <v>695</v>
      </c>
      <c r="D294" s="127">
        <v>102910</v>
      </c>
      <c r="E294" s="128" t="s">
        <v>837</v>
      </c>
      <c r="F294" s="127" t="s">
        <v>306</v>
      </c>
      <c r="H294" s="117" t="str">
        <f t="shared" si="9"/>
        <v>OTHER</v>
      </c>
      <c r="I294" s="113" t="s">
        <v>73</v>
      </c>
      <c r="J294"/>
    </row>
    <row r="295" spans="1:10">
      <c r="A295" s="114" t="str">
        <f t="shared" si="8"/>
        <v>1823920DSR COSTS AMORTIZED102911POWER FORWARD - UTAH - 2008OTHER</v>
      </c>
      <c r="B295" s="127">
        <v>1823920</v>
      </c>
      <c r="C295" s="128" t="s">
        <v>695</v>
      </c>
      <c r="D295" s="127">
        <v>102911</v>
      </c>
      <c r="E295" s="128" t="s">
        <v>838</v>
      </c>
      <c r="F295" s="127" t="s">
        <v>306</v>
      </c>
      <c r="H295" s="117" t="str">
        <f t="shared" si="9"/>
        <v>OTHER</v>
      </c>
      <c r="I295" s="113" t="s">
        <v>73</v>
      </c>
      <c r="J295"/>
    </row>
    <row r="296" spans="1:10">
      <c r="A296" s="114" t="str">
        <f t="shared" si="8"/>
        <v>1823920DSR COSTS AMORTIZED102912REFRIGERATOR RECYCLING - UTAH - 2008OTHER</v>
      </c>
      <c r="B296" s="127">
        <v>1823920</v>
      </c>
      <c r="C296" s="128" t="s">
        <v>695</v>
      </c>
      <c r="D296" s="127">
        <v>102912</v>
      </c>
      <c r="E296" s="128" t="s">
        <v>839</v>
      </c>
      <c r="F296" s="127" t="s">
        <v>306</v>
      </c>
      <c r="H296" s="117" t="str">
        <f t="shared" si="9"/>
        <v>OTHER</v>
      </c>
      <c r="I296" s="113" t="s">
        <v>73</v>
      </c>
      <c r="J296"/>
    </row>
    <row r="297" spans="1:10">
      <c r="A297" s="114" t="str">
        <f t="shared" si="8"/>
        <v>1823920DSR COSTS AMORTIZED102913COMMERCIAL SELF DIRECT - UTAH - 2008OTHER</v>
      </c>
      <c r="B297" s="127">
        <v>1823920</v>
      </c>
      <c r="C297" s="128" t="s">
        <v>695</v>
      </c>
      <c r="D297" s="127">
        <v>102913</v>
      </c>
      <c r="E297" s="128" t="s">
        <v>840</v>
      </c>
      <c r="F297" s="127" t="s">
        <v>306</v>
      </c>
      <c r="H297" s="117" t="str">
        <f t="shared" si="9"/>
        <v>OTHER</v>
      </c>
      <c r="I297" s="113" t="s">
        <v>73</v>
      </c>
      <c r="J297"/>
    </row>
    <row r="298" spans="1:10">
      <c r="A298" s="114" t="str">
        <f t="shared" si="8"/>
        <v>1823920DSR COSTS AMORTIZED102914INDUSTRIAL SELF DIRECT - UTAH - 2008OTHER</v>
      </c>
      <c r="B298" s="127">
        <v>1823920</v>
      </c>
      <c r="C298" s="128" t="s">
        <v>695</v>
      </c>
      <c r="D298" s="127">
        <v>102914</v>
      </c>
      <c r="E298" s="128" t="s">
        <v>841</v>
      </c>
      <c r="F298" s="127" t="s">
        <v>306</v>
      </c>
      <c r="H298" s="117" t="str">
        <f t="shared" si="9"/>
        <v>OTHER</v>
      </c>
      <c r="I298" s="113" t="s">
        <v>73</v>
      </c>
      <c r="J298"/>
    </row>
    <row r="299" spans="1:10">
      <c r="A299" s="114" t="str">
        <f t="shared" si="8"/>
        <v>1823920DSR COSTS AMORTIZED102915RESIDENTIAL NEW CONSTRUCTION - UTAH 2008OTHER</v>
      </c>
      <c r="B299" s="127">
        <v>1823920</v>
      </c>
      <c r="C299" s="128" t="s">
        <v>695</v>
      </c>
      <c r="D299" s="127">
        <v>102915</v>
      </c>
      <c r="E299" s="128" t="s">
        <v>842</v>
      </c>
      <c r="F299" s="127" t="s">
        <v>306</v>
      </c>
      <c r="H299" s="117" t="str">
        <f t="shared" si="9"/>
        <v>OTHER</v>
      </c>
      <c r="I299" s="113" t="s">
        <v>73</v>
      </c>
      <c r="J299"/>
    </row>
    <row r="300" spans="1:10">
      <c r="A300" s="114" t="str">
        <f t="shared" si="8"/>
        <v>1823920DSR COSTS AMORTIZED102916COMMERCIAL FINANSWER EXPRESS - UTAH 2008OTHER</v>
      </c>
      <c r="B300" s="127">
        <v>1823920</v>
      </c>
      <c r="C300" s="128" t="s">
        <v>695</v>
      </c>
      <c r="D300" s="127">
        <v>102916</v>
      </c>
      <c r="E300" s="128" t="s">
        <v>843</v>
      </c>
      <c r="F300" s="127" t="s">
        <v>306</v>
      </c>
      <c r="H300" s="117" t="str">
        <f t="shared" si="9"/>
        <v>OTHER</v>
      </c>
      <c r="I300" s="113" t="s">
        <v>73</v>
      </c>
      <c r="J300"/>
    </row>
    <row r="301" spans="1:10">
      <c r="A301" s="114" t="str">
        <f t="shared" si="8"/>
        <v>1823920DSR COSTS AMORTIZED102917INDUSTRIAL FINANSWER EXPRESS - UTAH 2008OTHER</v>
      </c>
      <c r="B301" s="127">
        <v>1823920</v>
      </c>
      <c r="C301" s="128" t="s">
        <v>695</v>
      </c>
      <c r="D301" s="127">
        <v>102917</v>
      </c>
      <c r="E301" s="128" t="s">
        <v>844</v>
      </c>
      <c r="F301" s="127" t="s">
        <v>306</v>
      </c>
      <c r="H301" s="117" t="str">
        <f t="shared" si="9"/>
        <v>OTHER</v>
      </c>
      <c r="I301" s="113" t="s">
        <v>73</v>
      </c>
      <c r="J301"/>
    </row>
    <row r="302" spans="1:10">
      <c r="A302" s="114" t="str">
        <f t="shared" si="8"/>
        <v>1823920DSR COSTS AMORTIZED102918RETROFIT COMMISSIONING PROGRAM - UTAH -OTHER</v>
      </c>
      <c r="B302" s="127">
        <v>1823920</v>
      </c>
      <c r="C302" s="128" t="s">
        <v>695</v>
      </c>
      <c r="D302" s="127">
        <v>102918</v>
      </c>
      <c r="E302" s="128" t="s">
        <v>820</v>
      </c>
      <c r="F302" s="127" t="s">
        <v>306</v>
      </c>
      <c r="H302" s="117" t="str">
        <f t="shared" si="9"/>
        <v>OTHER</v>
      </c>
      <c r="I302" s="113" t="s">
        <v>73</v>
      </c>
      <c r="J302"/>
    </row>
    <row r="303" spans="1:10">
      <c r="A303" s="114" t="str">
        <f t="shared" si="8"/>
        <v>1823920DSR COSTS AMORTIZED102919C&amp;I LIGHTING LOAD CONTROL  - UTAH - 2008OTHER</v>
      </c>
      <c r="B303" s="127">
        <v>1823920</v>
      </c>
      <c r="C303" s="128" t="s">
        <v>695</v>
      </c>
      <c r="D303" s="127">
        <v>102919</v>
      </c>
      <c r="E303" s="128" t="s">
        <v>845</v>
      </c>
      <c r="F303" s="127" t="s">
        <v>306</v>
      </c>
      <c r="H303" s="117" t="str">
        <f t="shared" si="9"/>
        <v>OTHER</v>
      </c>
      <c r="I303" s="113" t="s">
        <v>73</v>
      </c>
      <c r="J303"/>
    </row>
    <row r="304" spans="1:10">
      <c r="A304" s="114" t="str">
        <f t="shared" si="8"/>
        <v>1823920DSR COSTS AMORTIZED102920IRRIGATION LOAD CONTROL - UTAHOTHER</v>
      </c>
      <c r="B304" s="127">
        <v>1823920</v>
      </c>
      <c r="C304" s="128" t="s">
        <v>695</v>
      </c>
      <c r="D304" s="127">
        <v>102920</v>
      </c>
      <c r="E304" s="128" t="s">
        <v>846</v>
      </c>
      <c r="F304" s="127" t="s">
        <v>306</v>
      </c>
      <c r="H304" s="117" t="str">
        <f t="shared" si="9"/>
        <v>OTHER</v>
      </c>
      <c r="I304" s="113" t="s">
        <v>73</v>
      </c>
      <c r="J304"/>
    </row>
    <row r="305" spans="1:10">
      <c r="A305" s="114" t="str">
        <f t="shared" si="8"/>
        <v>1823920DSR COSTS AMORTIZED102921HOME ENERGY EFF INCENTIVE PROGRAM - UTAHOTHER</v>
      </c>
      <c r="B305" s="127">
        <v>1823920</v>
      </c>
      <c r="C305" s="128" t="s">
        <v>695</v>
      </c>
      <c r="D305" s="127">
        <v>102921</v>
      </c>
      <c r="E305" s="128" t="s">
        <v>847</v>
      </c>
      <c r="F305" s="127" t="s">
        <v>306</v>
      </c>
      <c r="H305" s="117" t="str">
        <f t="shared" si="9"/>
        <v>OTHER</v>
      </c>
      <c r="I305" s="113" t="s">
        <v>73</v>
      </c>
      <c r="J305"/>
    </row>
    <row r="306" spans="1:10">
      <c r="A306" s="114" t="str">
        <f t="shared" si="8"/>
        <v>1823920DSR COSTS AMORTIZED102964CALIFORNIA DSM EXPENSE - 2009OTHER</v>
      </c>
      <c r="B306" s="127">
        <v>1823920</v>
      </c>
      <c r="C306" s="128" t="s">
        <v>695</v>
      </c>
      <c r="D306" s="127">
        <v>102964</v>
      </c>
      <c r="E306" s="128" t="s">
        <v>848</v>
      </c>
      <c r="F306" s="127" t="s">
        <v>306</v>
      </c>
      <c r="H306" s="117" t="str">
        <f t="shared" si="9"/>
        <v>OTHER</v>
      </c>
      <c r="I306" s="113" t="s">
        <v>73</v>
      </c>
      <c r="J306"/>
    </row>
    <row r="307" spans="1:10">
      <c r="A307" s="114" t="str">
        <f t="shared" si="8"/>
        <v>1823920DSR COSTS AMORTIZED102976A/C LOAD CONTROL - RESIDENTIAL/UTAH - 20OTHER</v>
      </c>
      <c r="B307" s="127">
        <v>1823920</v>
      </c>
      <c r="C307" s="128" t="s">
        <v>695</v>
      </c>
      <c r="D307" s="127">
        <v>102976</v>
      </c>
      <c r="E307" s="128" t="s">
        <v>772</v>
      </c>
      <c r="F307" s="127" t="s">
        <v>306</v>
      </c>
      <c r="H307" s="117" t="str">
        <f t="shared" si="9"/>
        <v>OTHER</v>
      </c>
      <c r="I307" s="113" t="s">
        <v>73</v>
      </c>
      <c r="J307"/>
    </row>
    <row r="308" spans="1:10">
      <c r="A308" s="114" t="str">
        <f t="shared" si="8"/>
        <v>1823920DSR COSTS AMORTIZED102977AIR CONDITIONING - UTAH - 2009OTHER</v>
      </c>
      <c r="B308" s="127">
        <v>1823920</v>
      </c>
      <c r="C308" s="128" t="s">
        <v>695</v>
      </c>
      <c r="D308" s="127">
        <v>102977</v>
      </c>
      <c r="E308" s="128" t="s">
        <v>849</v>
      </c>
      <c r="F308" s="127" t="s">
        <v>306</v>
      </c>
      <c r="H308" s="117" t="str">
        <f t="shared" si="9"/>
        <v>OTHER</v>
      </c>
      <c r="I308" s="113" t="s">
        <v>73</v>
      </c>
      <c r="J308"/>
    </row>
    <row r="309" spans="1:10">
      <c r="A309" s="114" t="str">
        <f t="shared" si="8"/>
        <v>1823920DSR COSTS AMORTIZED102978ENERGY FINANSWER - UTAH - 2009OTHER</v>
      </c>
      <c r="B309" s="127">
        <v>1823920</v>
      </c>
      <c r="C309" s="128" t="s">
        <v>695</v>
      </c>
      <c r="D309" s="127">
        <v>102978</v>
      </c>
      <c r="E309" s="128" t="s">
        <v>850</v>
      </c>
      <c r="F309" s="127" t="s">
        <v>306</v>
      </c>
      <c r="H309" s="117" t="str">
        <f t="shared" si="9"/>
        <v>OTHER</v>
      </c>
      <c r="I309" s="113" t="s">
        <v>73</v>
      </c>
      <c r="J309"/>
    </row>
    <row r="310" spans="1:10">
      <c r="A310" s="114" t="str">
        <f t="shared" si="8"/>
        <v>1823920DSR COSTS AMORTIZED102979INDUSTRIAL FINANSWER - UTAH - 2009OTHER</v>
      </c>
      <c r="B310" s="127">
        <v>1823920</v>
      </c>
      <c r="C310" s="128" t="s">
        <v>695</v>
      </c>
      <c r="D310" s="127">
        <v>102979</v>
      </c>
      <c r="E310" s="128" t="s">
        <v>851</v>
      </c>
      <c r="F310" s="127" t="s">
        <v>306</v>
      </c>
      <c r="H310" s="117" t="str">
        <f t="shared" si="9"/>
        <v>OTHER</v>
      </c>
      <c r="I310" s="113" t="s">
        <v>73</v>
      </c>
      <c r="J310"/>
    </row>
    <row r="311" spans="1:10">
      <c r="A311" s="114" t="str">
        <f t="shared" si="8"/>
        <v>1823920DSR COSTS AMORTIZED102980LOW INCOME - UTAH - 2009OTHER</v>
      </c>
      <c r="B311" s="127">
        <v>1823920</v>
      </c>
      <c r="C311" s="128" t="s">
        <v>695</v>
      </c>
      <c r="D311" s="127">
        <v>102980</v>
      </c>
      <c r="E311" s="128" t="s">
        <v>852</v>
      </c>
      <c r="F311" s="127" t="s">
        <v>306</v>
      </c>
      <c r="H311" s="117" t="str">
        <f t="shared" si="9"/>
        <v>OTHER</v>
      </c>
      <c r="I311" s="113" t="s">
        <v>73</v>
      </c>
      <c r="J311"/>
    </row>
    <row r="312" spans="1:10">
      <c r="A312" s="114" t="str">
        <f t="shared" si="8"/>
        <v>1823920DSR COSTS AMORTIZED102981POWER FORWARD - UTAH - 2009OTHER</v>
      </c>
      <c r="B312" s="127">
        <v>1823920</v>
      </c>
      <c r="C312" s="128" t="s">
        <v>695</v>
      </c>
      <c r="D312" s="127">
        <v>102981</v>
      </c>
      <c r="E312" s="128" t="s">
        <v>853</v>
      </c>
      <c r="F312" s="127" t="s">
        <v>306</v>
      </c>
      <c r="H312" s="117" t="str">
        <f t="shared" si="9"/>
        <v>OTHER</v>
      </c>
      <c r="I312" s="113" t="s">
        <v>73</v>
      </c>
      <c r="J312"/>
    </row>
    <row r="313" spans="1:10">
      <c r="A313" s="114" t="str">
        <f t="shared" si="8"/>
        <v>1823920DSR COSTS AMORTIZED102982REFRIGERATOR RECYCLING PGM- UTAH - 2009OTHER</v>
      </c>
      <c r="B313" s="127">
        <v>1823920</v>
      </c>
      <c r="C313" s="128" t="s">
        <v>695</v>
      </c>
      <c r="D313" s="127">
        <v>102982</v>
      </c>
      <c r="E313" s="128" t="s">
        <v>854</v>
      </c>
      <c r="F313" s="127" t="s">
        <v>306</v>
      </c>
      <c r="H313" s="117" t="str">
        <f t="shared" si="9"/>
        <v>OTHER</v>
      </c>
      <c r="I313" s="113" t="s">
        <v>73</v>
      </c>
      <c r="J313"/>
    </row>
    <row r="314" spans="1:10">
      <c r="A314" s="114" t="str">
        <f t="shared" si="8"/>
        <v>1823920DSR COSTS AMORTIZED102983COMMERCIAL SELF-DIRECT - UTAH - 2009OTHER</v>
      </c>
      <c r="B314" s="127">
        <v>1823920</v>
      </c>
      <c r="C314" s="128" t="s">
        <v>695</v>
      </c>
      <c r="D314" s="127">
        <v>102983</v>
      </c>
      <c r="E314" s="128" t="s">
        <v>855</v>
      </c>
      <c r="F314" s="127" t="s">
        <v>306</v>
      </c>
      <c r="H314" s="117" t="str">
        <f t="shared" si="9"/>
        <v>OTHER</v>
      </c>
      <c r="I314" s="113" t="s">
        <v>73</v>
      </c>
      <c r="J314"/>
    </row>
    <row r="315" spans="1:10">
      <c r="A315" s="114" t="str">
        <f t="shared" si="8"/>
        <v>1823920DSR COSTS AMORTIZED102984INDUSTRIAL SELF-DIRECT - UTAH - 2009OTHER</v>
      </c>
      <c r="B315" s="127">
        <v>1823920</v>
      </c>
      <c r="C315" s="128" t="s">
        <v>695</v>
      </c>
      <c r="D315" s="127">
        <v>102984</v>
      </c>
      <c r="E315" s="128" t="s">
        <v>856</v>
      </c>
      <c r="F315" s="127" t="s">
        <v>306</v>
      </c>
      <c r="H315" s="117" t="str">
        <f t="shared" si="9"/>
        <v>OTHER</v>
      </c>
      <c r="I315" s="113" t="s">
        <v>73</v>
      </c>
      <c r="J315"/>
    </row>
    <row r="316" spans="1:10">
      <c r="A316" s="114" t="str">
        <f t="shared" si="8"/>
        <v>1823920DSR COSTS AMORTIZED102985RESIDENTIAL NEW CONSTRUCTION - UTAH - 20OTHER</v>
      </c>
      <c r="B316" s="127">
        <v>1823920</v>
      </c>
      <c r="C316" s="128" t="s">
        <v>695</v>
      </c>
      <c r="D316" s="127">
        <v>102985</v>
      </c>
      <c r="E316" s="128" t="s">
        <v>757</v>
      </c>
      <c r="F316" s="127" t="s">
        <v>306</v>
      </c>
      <c r="H316" s="117" t="str">
        <f t="shared" si="9"/>
        <v>OTHER</v>
      </c>
      <c r="I316" s="113" t="s">
        <v>73</v>
      </c>
      <c r="J316"/>
    </row>
    <row r="317" spans="1:10">
      <c r="A317" s="114" t="str">
        <f t="shared" si="8"/>
        <v>1823920DSR COSTS AMORTIZED102986COMMERCIAL FINANSWER EXPRESS - UTAH - 20OTHER</v>
      </c>
      <c r="B317" s="127">
        <v>1823920</v>
      </c>
      <c r="C317" s="128" t="s">
        <v>695</v>
      </c>
      <c r="D317" s="127">
        <v>102986</v>
      </c>
      <c r="E317" s="128" t="s">
        <v>760</v>
      </c>
      <c r="F317" s="127" t="s">
        <v>306</v>
      </c>
      <c r="H317" s="117" t="str">
        <f t="shared" si="9"/>
        <v>OTHER</v>
      </c>
      <c r="I317" s="113" t="s">
        <v>73</v>
      </c>
      <c r="J317"/>
    </row>
    <row r="318" spans="1:10">
      <c r="A318" s="114" t="str">
        <f t="shared" si="8"/>
        <v>1823920DSR COSTS AMORTIZED102987INDUSTRIAL FINANSWER EXPRESS - UTAH - 20OTHER</v>
      </c>
      <c r="B318" s="127">
        <v>1823920</v>
      </c>
      <c r="C318" s="128" t="s">
        <v>695</v>
      </c>
      <c r="D318" s="127">
        <v>102987</v>
      </c>
      <c r="E318" s="128" t="s">
        <v>761</v>
      </c>
      <c r="F318" s="127" t="s">
        <v>306</v>
      </c>
      <c r="H318" s="117" t="str">
        <f t="shared" si="9"/>
        <v>OTHER</v>
      </c>
      <c r="I318" s="113" t="s">
        <v>73</v>
      </c>
      <c r="J318"/>
    </row>
    <row r="319" spans="1:10">
      <c r="A319" s="114" t="str">
        <f t="shared" si="8"/>
        <v>1823920DSR COSTS AMORTIZED102988RETROFIT COMMISSIONING PROGRAM  - UTAH -OTHER</v>
      </c>
      <c r="B319" s="127">
        <v>1823920</v>
      </c>
      <c r="C319" s="128" t="s">
        <v>695</v>
      </c>
      <c r="D319" s="127">
        <v>102988</v>
      </c>
      <c r="E319" s="128" t="s">
        <v>782</v>
      </c>
      <c r="F319" s="127" t="s">
        <v>306</v>
      </c>
      <c r="H319" s="117" t="str">
        <f t="shared" si="9"/>
        <v>OTHER</v>
      </c>
      <c r="I319" s="113" t="s">
        <v>73</v>
      </c>
      <c r="J319"/>
    </row>
    <row r="320" spans="1:10">
      <c r="A320" s="114" t="str">
        <f t="shared" si="8"/>
        <v>1823920DSR COSTS AMORTIZED102990IRRIGATION LOAD CONTROL  - UTAH - 2009OTHER</v>
      </c>
      <c r="B320" s="127">
        <v>1823920</v>
      </c>
      <c r="C320" s="128" t="s">
        <v>695</v>
      </c>
      <c r="D320" s="127">
        <v>102990</v>
      </c>
      <c r="E320" s="128" t="s">
        <v>857</v>
      </c>
      <c r="F320" s="127" t="s">
        <v>306</v>
      </c>
      <c r="H320" s="117" t="str">
        <f t="shared" si="9"/>
        <v>OTHER</v>
      </c>
      <c r="I320" s="113" t="s">
        <v>73</v>
      </c>
      <c r="J320"/>
    </row>
    <row r="321" spans="1:10">
      <c r="A321" s="114" t="str">
        <f t="shared" si="8"/>
        <v>1823920DSR COSTS AMORTIZED102991HOME ENERGY EFF INCENTIVE PROG - UT 2009OTHER</v>
      </c>
      <c r="B321" s="127">
        <v>1823920</v>
      </c>
      <c r="C321" s="128" t="s">
        <v>695</v>
      </c>
      <c r="D321" s="127">
        <v>102991</v>
      </c>
      <c r="E321" s="128" t="s">
        <v>858</v>
      </c>
      <c r="F321" s="127" t="s">
        <v>306</v>
      </c>
      <c r="H321" s="117" t="str">
        <f t="shared" si="9"/>
        <v>OTHER</v>
      </c>
      <c r="I321" s="113" t="s">
        <v>73</v>
      </c>
      <c r="J321"/>
    </row>
    <row r="322" spans="1:10">
      <c r="A322" s="114" t="str">
        <f t="shared" si="8"/>
        <v>1823920DSR COSTS AMORTIZED102992ENERGY FINANSWER - WYOMING PPL - 2009OTHER</v>
      </c>
      <c r="B322" s="127">
        <v>1823920</v>
      </c>
      <c r="C322" s="128" t="s">
        <v>695</v>
      </c>
      <c r="D322" s="127">
        <v>102992</v>
      </c>
      <c r="E322" s="128" t="s">
        <v>859</v>
      </c>
      <c r="F322" s="127" t="s">
        <v>306</v>
      </c>
      <c r="H322" s="117" t="str">
        <f t="shared" si="9"/>
        <v>OTHER</v>
      </c>
      <c r="I322" s="113" t="s">
        <v>73</v>
      </c>
      <c r="J322"/>
    </row>
    <row r="323" spans="1:10">
      <c r="A323" s="114" t="str">
        <f t="shared" ref="A323:A386" si="10">CONCATENATE($B323,$C323,$D323,$E323,$H323)</f>
        <v>1823920DSR COSTS AMORTIZED102993INDUSTRIAL FINANSWER-WYOMING - PPL 2009OTHER</v>
      </c>
      <c r="B323" s="127">
        <v>1823920</v>
      </c>
      <c r="C323" s="128" t="s">
        <v>695</v>
      </c>
      <c r="D323" s="127">
        <v>102993</v>
      </c>
      <c r="E323" s="128" t="s">
        <v>860</v>
      </c>
      <c r="F323" s="127" t="s">
        <v>306</v>
      </c>
      <c r="H323" s="117" t="str">
        <f t="shared" ref="H323:H386" si="11">IF(OR(F323="IDU",F323="OR",F323="UT",F323="WYU",F323="WYP",F323="CA",F323="WA"),"SITUS",F323)</f>
        <v>OTHER</v>
      </c>
      <c r="I323" s="113" t="s">
        <v>73</v>
      </c>
      <c r="J323"/>
    </row>
    <row r="324" spans="1:10">
      <c r="A324" s="114" t="str">
        <f t="shared" si="10"/>
        <v>1823920DSR COSTS AMORTIZED102995REFRIGERATOR RECYCLING - PPL WYOMING - 2OTHER</v>
      </c>
      <c r="B324" s="127">
        <v>1823920</v>
      </c>
      <c r="C324" s="128" t="s">
        <v>695</v>
      </c>
      <c r="D324" s="127">
        <v>102995</v>
      </c>
      <c r="E324" s="128" t="s">
        <v>861</v>
      </c>
      <c r="F324" s="127" t="s">
        <v>306</v>
      </c>
      <c r="H324" s="117" t="str">
        <f t="shared" si="11"/>
        <v>OTHER</v>
      </c>
      <c r="I324" s="113" t="s">
        <v>73</v>
      </c>
      <c r="J324"/>
    </row>
    <row r="325" spans="1:10">
      <c r="A325" s="114" t="str">
        <f t="shared" si="10"/>
        <v>1823920DSR COSTS AMORTIZED102996HOME ENERGY EFF INCENTIVE PRO - PPL WYOMOTHER</v>
      </c>
      <c r="B325" s="127">
        <v>1823920</v>
      </c>
      <c r="C325" s="128" t="s">
        <v>695</v>
      </c>
      <c r="D325" s="127">
        <v>102996</v>
      </c>
      <c r="E325" s="128" t="s">
        <v>806</v>
      </c>
      <c r="F325" s="127" t="s">
        <v>306</v>
      </c>
      <c r="H325" s="117" t="str">
        <f t="shared" si="11"/>
        <v>OTHER</v>
      </c>
      <c r="I325" s="113" t="s">
        <v>73</v>
      </c>
      <c r="J325"/>
    </row>
    <row r="326" spans="1:10">
      <c r="A326" s="114" t="str">
        <f t="shared" si="10"/>
        <v>1823920DSR COSTS AMORTIZED102997LOW-INCOME WEATHERIZATION - WYOMING PPLOTHER</v>
      </c>
      <c r="B326" s="127">
        <v>1823920</v>
      </c>
      <c r="C326" s="128" t="s">
        <v>695</v>
      </c>
      <c r="D326" s="127">
        <v>102997</v>
      </c>
      <c r="E326" s="128" t="s">
        <v>862</v>
      </c>
      <c r="F326" s="127" t="s">
        <v>306</v>
      </c>
      <c r="H326" s="117" t="str">
        <f t="shared" si="11"/>
        <v>OTHER</v>
      </c>
      <c r="I326" s="113" t="s">
        <v>73</v>
      </c>
      <c r="J326"/>
    </row>
    <row r="327" spans="1:10">
      <c r="A327" s="114" t="str">
        <f t="shared" si="10"/>
        <v>1823920DSR COSTS AMORTIZED102998COMMERCIAL FINANSWER EXPRESS - WY - 2009OTHER</v>
      </c>
      <c r="B327" s="127">
        <v>1823920</v>
      </c>
      <c r="C327" s="128" t="s">
        <v>695</v>
      </c>
      <c r="D327" s="127">
        <v>102998</v>
      </c>
      <c r="E327" s="128" t="s">
        <v>863</v>
      </c>
      <c r="F327" s="127" t="s">
        <v>306</v>
      </c>
      <c r="H327" s="117" t="str">
        <f t="shared" si="11"/>
        <v>OTHER</v>
      </c>
      <c r="I327" s="113" t="s">
        <v>73</v>
      </c>
      <c r="J327"/>
    </row>
    <row r="328" spans="1:10">
      <c r="A328" s="114" t="str">
        <f t="shared" si="10"/>
        <v>1823920DSR COSTS AMORTIZED102999INDUSTRIAL FINANSWER EXPRESS - WY - 2009OTHER</v>
      </c>
      <c r="B328" s="127">
        <v>1823920</v>
      </c>
      <c r="C328" s="128" t="s">
        <v>695</v>
      </c>
      <c r="D328" s="127">
        <v>102999</v>
      </c>
      <c r="E328" s="128" t="s">
        <v>864</v>
      </c>
      <c r="F328" s="127" t="s">
        <v>306</v>
      </c>
      <c r="H328" s="117" t="str">
        <f t="shared" si="11"/>
        <v>OTHER</v>
      </c>
      <c r="I328" s="113" t="s">
        <v>73</v>
      </c>
      <c r="J328"/>
    </row>
    <row r="329" spans="1:10">
      <c r="A329" s="114" t="str">
        <f t="shared" si="10"/>
        <v>1823920DSR COSTS AMORTIZED103000SELF DIRECT - COMMERCIAL - WY - 2009OTHER</v>
      </c>
      <c r="B329" s="127">
        <v>1823920</v>
      </c>
      <c r="C329" s="128" t="s">
        <v>695</v>
      </c>
      <c r="D329" s="127">
        <v>103000</v>
      </c>
      <c r="E329" s="128" t="s">
        <v>865</v>
      </c>
      <c r="F329" s="127" t="s">
        <v>306</v>
      </c>
      <c r="H329" s="117" t="str">
        <f t="shared" si="11"/>
        <v>OTHER</v>
      </c>
      <c r="I329" s="113" t="s">
        <v>73</v>
      </c>
      <c r="J329"/>
    </row>
    <row r="330" spans="1:10">
      <c r="A330" s="114" t="str">
        <f t="shared" si="10"/>
        <v>1823920DSR COSTS AMORTIZED103001SELF DIRECT - INDUSTRIAL  - WY - 2009OTHER</v>
      </c>
      <c r="B330" s="127">
        <v>1823920</v>
      </c>
      <c r="C330" s="128" t="s">
        <v>695</v>
      </c>
      <c r="D330" s="127">
        <v>103001</v>
      </c>
      <c r="E330" s="128" t="s">
        <v>866</v>
      </c>
      <c r="F330" s="127" t="s">
        <v>306</v>
      </c>
      <c r="H330" s="117" t="str">
        <f t="shared" si="11"/>
        <v>OTHER</v>
      </c>
      <c r="I330" s="113" t="s">
        <v>73</v>
      </c>
      <c r="J330"/>
    </row>
    <row r="331" spans="1:10">
      <c r="A331" s="114" t="str">
        <f t="shared" si="10"/>
        <v>1823920DSR COSTS AMORTIZED103003MAIN CHECK DISB-WIRES/ACH IN CLEAR ACCTOTHER</v>
      </c>
      <c r="B331" s="127">
        <v>1823920</v>
      </c>
      <c r="C331" s="128" t="s">
        <v>695</v>
      </c>
      <c r="D331" s="127">
        <v>103003</v>
      </c>
      <c r="E331" s="128" t="s">
        <v>867</v>
      </c>
      <c r="F331" s="127" t="s">
        <v>306</v>
      </c>
      <c r="H331" s="117" t="str">
        <f t="shared" si="11"/>
        <v>OTHER</v>
      </c>
      <c r="I331" s="113" t="s">
        <v>73</v>
      </c>
      <c r="J331"/>
    </row>
    <row r="332" spans="1:10">
      <c r="A332" s="114" t="str">
        <f t="shared" si="10"/>
        <v>1823920DSR COSTS AMORTIZED103004MAIN CHECK DISB-WIRES/ACH OUT CLEAR ACCTOTHER</v>
      </c>
      <c r="B332" s="127">
        <v>1823920</v>
      </c>
      <c r="C332" s="128" t="s">
        <v>695</v>
      </c>
      <c r="D332" s="127">
        <v>103004</v>
      </c>
      <c r="E332" s="128" t="s">
        <v>868</v>
      </c>
      <c r="F332" s="127" t="s">
        <v>306</v>
      </c>
      <c r="H332" s="117" t="str">
        <f t="shared" si="11"/>
        <v>OTHER</v>
      </c>
      <c r="I332" s="113" t="s">
        <v>73</v>
      </c>
      <c r="J332"/>
    </row>
    <row r="333" spans="1:10">
      <c r="A333" s="114" t="str">
        <f t="shared" si="10"/>
        <v>1823920DSR COSTS AMORTIZED103005COMMERCIAL FINANSWER EXPRESS Cat 2- WY -OTHER</v>
      </c>
      <c r="B333" s="127">
        <v>1823920</v>
      </c>
      <c r="C333" s="128" t="s">
        <v>695</v>
      </c>
      <c r="D333" s="127">
        <v>103005</v>
      </c>
      <c r="E333" s="128" t="s">
        <v>869</v>
      </c>
      <c r="F333" s="127" t="s">
        <v>306</v>
      </c>
      <c r="H333" s="117" t="str">
        <f t="shared" si="11"/>
        <v>OTHER</v>
      </c>
      <c r="I333" s="113" t="s">
        <v>73</v>
      </c>
      <c r="J333"/>
    </row>
    <row r="334" spans="1:10">
      <c r="A334" s="114" t="str">
        <f t="shared" si="10"/>
        <v>1823920DSR COSTS AMORTIZED103006INDUSTRIAL FINANSWER EXPRESS Cat 2- WY -OTHER</v>
      </c>
      <c r="B334" s="127">
        <v>1823920</v>
      </c>
      <c r="C334" s="128" t="s">
        <v>695</v>
      </c>
      <c r="D334" s="127">
        <v>103006</v>
      </c>
      <c r="E334" s="128" t="s">
        <v>870</v>
      </c>
      <c r="F334" s="127" t="s">
        <v>306</v>
      </c>
      <c r="H334" s="117" t="str">
        <f t="shared" si="11"/>
        <v>OTHER</v>
      </c>
      <c r="I334" s="113" t="s">
        <v>73</v>
      </c>
      <c r="J334"/>
    </row>
    <row r="335" spans="1:10">
      <c r="A335" s="114" t="str">
        <f t="shared" si="10"/>
        <v>1823920DSR COSTS AMORTIZED103007ENERGY FINANSWER Cat 2 - WY 2009OTHER</v>
      </c>
      <c r="B335" s="127">
        <v>1823920</v>
      </c>
      <c r="C335" s="128" t="s">
        <v>695</v>
      </c>
      <c r="D335" s="127">
        <v>103007</v>
      </c>
      <c r="E335" s="128" t="s">
        <v>871</v>
      </c>
      <c r="F335" s="127" t="s">
        <v>306</v>
      </c>
      <c r="H335" s="117" t="str">
        <f t="shared" si="11"/>
        <v>OTHER</v>
      </c>
      <c r="I335" s="113" t="s">
        <v>73</v>
      </c>
      <c r="J335"/>
    </row>
    <row r="336" spans="1:10">
      <c r="A336" s="114" t="str">
        <f t="shared" si="10"/>
        <v>1823920DSR COSTS AMORTIZED103008INDUSTRIAL FINANSWER Cat 2 -WY 2009OTHER</v>
      </c>
      <c r="B336" s="127">
        <v>1823920</v>
      </c>
      <c r="C336" s="128" t="s">
        <v>695</v>
      </c>
      <c r="D336" s="127">
        <v>103008</v>
      </c>
      <c r="E336" s="128" t="s">
        <v>872</v>
      </c>
      <c r="F336" s="127" t="s">
        <v>306</v>
      </c>
      <c r="H336" s="117" t="str">
        <f t="shared" si="11"/>
        <v>OTHER</v>
      </c>
      <c r="I336" s="113" t="s">
        <v>73</v>
      </c>
      <c r="J336"/>
    </row>
    <row r="337" spans="1:10">
      <c r="A337" s="114" t="str">
        <f t="shared" si="10"/>
        <v>1823920DSR COSTS AMORTIZED103012WYOMING REV RECOVERY - SBC OFFSET CAT 1OTHER</v>
      </c>
      <c r="B337" s="127">
        <v>1823920</v>
      </c>
      <c r="C337" s="128" t="s">
        <v>695</v>
      </c>
      <c r="D337" s="127">
        <v>103012</v>
      </c>
      <c r="E337" s="128" t="s">
        <v>873</v>
      </c>
      <c r="F337" s="127" t="s">
        <v>306</v>
      </c>
      <c r="H337" s="117" t="str">
        <f t="shared" si="11"/>
        <v>OTHER</v>
      </c>
      <c r="I337" s="113" t="s">
        <v>73</v>
      </c>
      <c r="J337"/>
    </row>
    <row r="338" spans="1:10">
      <c r="A338" s="114" t="str">
        <f t="shared" si="10"/>
        <v>1823920DSR COSTS AMORTIZED103013WYOMING REV RECOVERY - SBC OFFSET CAT 2OTHER</v>
      </c>
      <c r="B338" s="127">
        <v>1823920</v>
      </c>
      <c r="C338" s="128" t="s">
        <v>695</v>
      </c>
      <c r="D338" s="127">
        <v>103013</v>
      </c>
      <c r="E338" s="128" t="s">
        <v>874</v>
      </c>
      <c r="F338" s="127" t="s">
        <v>306</v>
      </c>
      <c r="H338" s="117" t="str">
        <f t="shared" si="11"/>
        <v>OTHER</v>
      </c>
      <c r="I338" s="113" t="s">
        <v>73</v>
      </c>
      <c r="J338"/>
    </row>
    <row r="339" spans="1:10">
      <c r="A339" s="114" t="str">
        <f t="shared" si="10"/>
        <v>1823920DSR COSTS AMORTIZED103014WYOMING REV RECOVERY - SBC OFFSET CAT 3OTHER</v>
      </c>
      <c r="B339" s="127">
        <v>1823920</v>
      </c>
      <c r="C339" s="128" t="s">
        <v>695</v>
      </c>
      <c r="D339" s="127">
        <v>103014</v>
      </c>
      <c r="E339" s="128" t="s">
        <v>875</v>
      </c>
      <c r="F339" s="127" t="s">
        <v>306</v>
      </c>
      <c r="H339" s="117" t="str">
        <f t="shared" si="11"/>
        <v>OTHER</v>
      </c>
      <c r="I339" s="113" t="s">
        <v>73</v>
      </c>
      <c r="J339"/>
    </row>
    <row r="340" spans="1:10">
      <c r="A340" s="114" t="str">
        <f t="shared" si="10"/>
        <v>1823920DSR COSTS AMORTIZED103031OUTREACH and COMMUNICATIONS - UT 2009OTHER</v>
      </c>
      <c r="B340" s="127">
        <v>1823920</v>
      </c>
      <c r="C340" s="128" t="s">
        <v>695</v>
      </c>
      <c r="D340" s="127">
        <v>103031</v>
      </c>
      <c r="E340" s="128" t="s">
        <v>876</v>
      </c>
      <c r="F340" s="127" t="s">
        <v>306</v>
      </c>
      <c r="H340" s="117" t="str">
        <f t="shared" si="11"/>
        <v>OTHER</v>
      </c>
      <c r="I340" s="113" t="s">
        <v>73</v>
      </c>
      <c r="J340"/>
    </row>
    <row r="341" spans="1:10">
      <c r="A341" s="114" t="str">
        <f t="shared" si="10"/>
        <v>1823920DSR COSTS AMORTIZED103059CALIFORNIA DSM EXPENSE - 2010OTHER</v>
      </c>
      <c r="B341" s="127">
        <v>1823920</v>
      </c>
      <c r="C341" s="128" t="s">
        <v>695</v>
      </c>
      <c r="D341" s="127">
        <v>103059</v>
      </c>
      <c r="E341" s="128" t="s">
        <v>877</v>
      </c>
      <c r="F341" s="127" t="s">
        <v>306</v>
      </c>
      <c r="H341" s="117" t="str">
        <f t="shared" si="11"/>
        <v>OTHER</v>
      </c>
      <c r="I341" s="113" t="s">
        <v>73</v>
      </c>
      <c r="J341"/>
    </row>
    <row r="342" spans="1:10">
      <c r="A342" s="114" t="str">
        <f t="shared" si="10"/>
        <v>1823920DSR COSTS AMORTIZED103071A/C LOAD CONTROL - RESIDENTIAL/UTAH - 20OTHER</v>
      </c>
      <c r="B342" s="127">
        <v>1823920</v>
      </c>
      <c r="C342" s="128" t="s">
        <v>695</v>
      </c>
      <c r="D342" s="127">
        <v>103071</v>
      </c>
      <c r="E342" s="128" t="s">
        <v>772</v>
      </c>
      <c r="F342" s="127" t="s">
        <v>306</v>
      </c>
      <c r="H342" s="117" t="str">
        <f t="shared" si="11"/>
        <v>OTHER</v>
      </c>
      <c r="I342" s="113" t="s">
        <v>73</v>
      </c>
      <c r="J342"/>
    </row>
    <row r="343" spans="1:10">
      <c r="A343" s="114" t="str">
        <f t="shared" si="10"/>
        <v>1823920DSR COSTS AMORTIZED103072AIR CONDITIONING - UTAH - 2010OTHER</v>
      </c>
      <c r="B343" s="127">
        <v>1823920</v>
      </c>
      <c r="C343" s="128" t="s">
        <v>695</v>
      </c>
      <c r="D343" s="127">
        <v>103072</v>
      </c>
      <c r="E343" s="128" t="s">
        <v>878</v>
      </c>
      <c r="F343" s="127" t="s">
        <v>306</v>
      </c>
      <c r="H343" s="117" t="str">
        <f t="shared" si="11"/>
        <v>OTHER</v>
      </c>
      <c r="I343" s="113" t="s">
        <v>73</v>
      </c>
      <c r="J343"/>
    </row>
    <row r="344" spans="1:10">
      <c r="A344" s="114" t="str">
        <f t="shared" si="10"/>
        <v>1823920DSR COSTS AMORTIZED103073ENERGY FINANSWER - UTAH - 2010OTHER</v>
      </c>
      <c r="B344" s="127">
        <v>1823920</v>
      </c>
      <c r="C344" s="128" t="s">
        <v>695</v>
      </c>
      <c r="D344" s="127">
        <v>103073</v>
      </c>
      <c r="E344" s="128" t="s">
        <v>879</v>
      </c>
      <c r="F344" s="127" t="s">
        <v>306</v>
      </c>
      <c r="H344" s="117" t="str">
        <f t="shared" si="11"/>
        <v>OTHER</v>
      </c>
      <c r="I344" s="113" t="s">
        <v>73</v>
      </c>
      <c r="J344"/>
    </row>
    <row r="345" spans="1:10">
      <c r="A345" s="114" t="str">
        <f t="shared" si="10"/>
        <v>1823920DSR COSTS AMORTIZED103074INDUSTRIAL FINANSWER - UTAH - 2010OTHER</v>
      </c>
      <c r="B345" s="127">
        <v>1823920</v>
      </c>
      <c r="C345" s="128" t="s">
        <v>695</v>
      </c>
      <c r="D345" s="127">
        <v>103074</v>
      </c>
      <c r="E345" s="128" t="s">
        <v>880</v>
      </c>
      <c r="F345" s="127" t="s">
        <v>306</v>
      </c>
      <c r="H345" s="117" t="str">
        <f t="shared" si="11"/>
        <v>OTHER</v>
      </c>
      <c r="I345" s="113" t="s">
        <v>73</v>
      </c>
      <c r="J345"/>
    </row>
    <row r="346" spans="1:10">
      <c r="A346" s="114" t="str">
        <f t="shared" si="10"/>
        <v>1823920DSR COSTS AMORTIZED103075LOW INCOME - UTAH - 2010OTHER</v>
      </c>
      <c r="B346" s="127">
        <v>1823920</v>
      </c>
      <c r="C346" s="128" t="s">
        <v>695</v>
      </c>
      <c r="D346" s="127">
        <v>103075</v>
      </c>
      <c r="E346" s="128" t="s">
        <v>881</v>
      </c>
      <c r="F346" s="127" t="s">
        <v>306</v>
      </c>
      <c r="H346" s="117" t="str">
        <f t="shared" si="11"/>
        <v>OTHER</v>
      </c>
      <c r="I346" s="113" t="s">
        <v>73</v>
      </c>
      <c r="J346"/>
    </row>
    <row r="347" spans="1:10">
      <c r="A347" s="114" t="str">
        <f t="shared" si="10"/>
        <v>1823920DSR COSTS AMORTIZED103076POWER FORWARD - UTAH # 2010OTHER</v>
      </c>
      <c r="B347" s="127">
        <v>1823920</v>
      </c>
      <c r="C347" s="128" t="s">
        <v>695</v>
      </c>
      <c r="D347" s="127">
        <v>103076</v>
      </c>
      <c r="E347" s="128" t="s">
        <v>882</v>
      </c>
      <c r="F347" s="127" t="s">
        <v>306</v>
      </c>
      <c r="H347" s="117" t="str">
        <f t="shared" si="11"/>
        <v>OTHER</v>
      </c>
      <c r="I347" s="113" t="s">
        <v>73</v>
      </c>
      <c r="J347"/>
    </row>
    <row r="348" spans="1:10">
      <c r="A348" s="114" t="str">
        <f t="shared" si="10"/>
        <v>1823920DSR COSTS AMORTIZED103077REFRIGERATOR RECYCLING PGM- UTAH - 2010OTHER</v>
      </c>
      <c r="B348" s="127">
        <v>1823920</v>
      </c>
      <c r="C348" s="128" t="s">
        <v>695</v>
      </c>
      <c r="D348" s="127">
        <v>103077</v>
      </c>
      <c r="E348" s="128" t="s">
        <v>883</v>
      </c>
      <c r="F348" s="127" t="s">
        <v>306</v>
      </c>
      <c r="H348" s="117" t="str">
        <f t="shared" si="11"/>
        <v>OTHER</v>
      </c>
      <c r="I348" s="113" t="s">
        <v>73</v>
      </c>
      <c r="J348"/>
    </row>
    <row r="349" spans="1:10">
      <c r="A349" s="114" t="str">
        <f t="shared" si="10"/>
        <v>1823920DSR COSTS AMORTIZED103078COMMERCIAL SELF-DIRECT - UTAH - 2010OTHER</v>
      </c>
      <c r="B349" s="127">
        <v>1823920</v>
      </c>
      <c r="C349" s="128" t="s">
        <v>695</v>
      </c>
      <c r="D349" s="127">
        <v>103078</v>
      </c>
      <c r="E349" s="128" t="s">
        <v>884</v>
      </c>
      <c r="F349" s="127" t="s">
        <v>306</v>
      </c>
      <c r="H349" s="117" t="str">
        <f t="shared" si="11"/>
        <v>OTHER</v>
      </c>
      <c r="I349" s="113" t="s">
        <v>73</v>
      </c>
      <c r="J349"/>
    </row>
    <row r="350" spans="1:10">
      <c r="A350" s="114" t="str">
        <f t="shared" si="10"/>
        <v>1823920DSR COSTS AMORTIZED103079INDUSTRIAL SELF-DIRECT - UTAH - 2010OTHER</v>
      </c>
      <c r="B350" s="127">
        <v>1823920</v>
      </c>
      <c r="C350" s="128" t="s">
        <v>695</v>
      </c>
      <c r="D350" s="127">
        <v>103079</v>
      </c>
      <c r="E350" s="128" t="s">
        <v>885</v>
      </c>
      <c r="F350" s="127" t="s">
        <v>306</v>
      </c>
      <c r="H350" s="117" t="str">
        <f t="shared" si="11"/>
        <v>OTHER</v>
      </c>
      <c r="I350" s="113" t="s">
        <v>73</v>
      </c>
      <c r="J350"/>
    </row>
    <row r="351" spans="1:10">
      <c r="A351" s="114" t="str">
        <f t="shared" si="10"/>
        <v>1823920DSR COSTS AMORTIZED103080RESIDENTIAL NEW CONSTRUCTION - UTAH - 20OTHER</v>
      </c>
      <c r="B351" s="127">
        <v>1823920</v>
      </c>
      <c r="C351" s="128" t="s">
        <v>695</v>
      </c>
      <c r="D351" s="127">
        <v>103080</v>
      </c>
      <c r="E351" s="128" t="s">
        <v>757</v>
      </c>
      <c r="F351" s="127" t="s">
        <v>306</v>
      </c>
      <c r="H351" s="117" t="str">
        <f t="shared" si="11"/>
        <v>OTHER</v>
      </c>
      <c r="I351" s="113" t="s">
        <v>73</v>
      </c>
      <c r="J351"/>
    </row>
    <row r="352" spans="1:10">
      <c r="A352" s="114" t="str">
        <f t="shared" si="10"/>
        <v>1823920DSR COSTS AMORTIZED103081COMMERCIAL FINANSWER EXPRESS - UTAH - 20OTHER</v>
      </c>
      <c r="B352" s="127">
        <v>1823920</v>
      </c>
      <c r="C352" s="128" t="s">
        <v>695</v>
      </c>
      <c r="D352" s="127">
        <v>103081</v>
      </c>
      <c r="E352" s="128" t="s">
        <v>760</v>
      </c>
      <c r="F352" s="127" t="s">
        <v>306</v>
      </c>
      <c r="H352" s="117" t="str">
        <f t="shared" si="11"/>
        <v>OTHER</v>
      </c>
      <c r="I352" s="113" t="s">
        <v>73</v>
      </c>
      <c r="J352"/>
    </row>
    <row r="353" spans="1:10">
      <c r="A353" s="114" t="str">
        <f t="shared" si="10"/>
        <v>1823920DSR COSTS AMORTIZED103082INDUSTRIAL FINANSWER EXPRESS - UTAH - 20OTHER</v>
      </c>
      <c r="B353" s="127">
        <v>1823920</v>
      </c>
      <c r="C353" s="128" t="s">
        <v>695</v>
      </c>
      <c r="D353" s="127">
        <v>103082</v>
      </c>
      <c r="E353" s="128" t="s">
        <v>761</v>
      </c>
      <c r="F353" s="127" t="s">
        <v>306</v>
      </c>
      <c r="H353" s="117" t="str">
        <f t="shared" si="11"/>
        <v>OTHER</v>
      </c>
      <c r="I353" s="113" t="s">
        <v>73</v>
      </c>
      <c r="J353"/>
    </row>
    <row r="354" spans="1:10">
      <c r="A354" s="114" t="str">
        <f t="shared" si="10"/>
        <v>1823920DSR COSTS AMORTIZED103083RETROFIT COMMISSIONING PROGRAM  - UTAH -OTHER</v>
      </c>
      <c r="B354" s="127">
        <v>1823920</v>
      </c>
      <c r="C354" s="128" t="s">
        <v>695</v>
      </c>
      <c r="D354" s="127">
        <v>103083</v>
      </c>
      <c r="E354" s="128" t="s">
        <v>782</v>
      </c>
      <c r="F354" s="127" t="s">
        <v>306</v>
      </c>
      <c r="H354" s="117" t="str">
        <f t="shared" si="11"/>
        <v>OTHER</v>
      </c>
      <c r="I354" s="113" t="s">
        <v>73</v>
      </c>
      <c r="J354"/>
    </row>
    <row r="355" spans="1:10">
      <c r="A355" s="114" t="str">
        <f t="shared" si="10"/>
        <v>1823920DSR COSTS AMORTIZED103085IRRIGATION LOAD CONTROL  - UTAH - 2010OTHER</v>
      </c>
      <c r="B355" s="127">
        <v>1823920</v>
      </c>
      <c r="C355" s="128" t="s">
        <v>695</v>
      </c>
      <c r="D355" s="127">
        <v>103085</v>
      </c>
      <c r="E355" s="128" t="s">
        <v>886</v>
      </c>
      <c r="F355" s="127" t="s">
        <v>306</v>
      </c>
      <c r="H355" s="117" t="str">
        <f t="shared" si="11"/>
        <v>OTHER</v>
      </c>
      <c r="I355" s="113" t="s">
        <v>73</v>
      </c>
      <c r="J355"/>
    </row>
    <row r="356" spans="1:10">
      <c r="A356" s="114" t="str">
        <f t="shared" si="10"/>
        <v>1823920DSR COSTS AMORTIZED103086HOME ENERGY EFF INCENTIVE PROG - UT 2010OTHER</v>
      </c>
      <c r="B356" s="127">
        <v>1823920</v>
      </c>
      <c r="C356" s="128" t="s">
        <v>695</v>
      </c>
      <c r="D356" s="127">
        <v>103086</v>
      </c>
      <c r="E356" s="128" t="s">
        <v>887</v>
      </c>
      <c r="F356" s="127" t="s">
        <v>306</v>
      </c>
      <c r="H356" s="117" t="str">
        <f t="shared" si="11"/>
        <v>OTHER</v>
      </c>
      <c r="I356" s="113" t="s">
        <v>73</v>
      </c>
      <c r="J356"/>
    </row>
    <row r="357" spans="1:10">
      <c r="A357" s="114" t="str">
        <f t="shared" si="10"/>
        <v>1823920DSR COSTS AMORTIZED103087OUTREACH and COMMUNICATIONS - UT 2010OTHER</v>
      </c>
      <c r="B357" s="127">
        <v>1823920</v>
      </c>
      <c r="C357" s="128" t="s">
        <v>695</v>
      </c>
      <c r="D357" s="127">
        <v>103087</v>
      </c>
      <c r="E357" s="128" t="s">
        <v>888</v>
      </c>
      <c r="F357" s="127" t="s">
        <v>306</v>
      </c>
      <c r="H357" s="117" t="str">
        <f t="shared" si="11"/>
        <v>OTHER</v>
      </c>
      <c r="I357" s="113" t="s">
        <v>73</v>
      </c>
      <c r="J357"/>
    </row>
    <row r="358" spans="1:10">
      <c r="A358" s="114" t="str">
        <f t="shared" si="10"/>
        <v>1823920DSR COSTS AMORTIZED103089ENERGY FINANSWER-WY-2010 CAT3OTHER</v>
      </c>
      <c r="B358" s="127">
        <v>1823920</v>
      </c>
      <c r="C358" s="128" t="s">
        <v>695</v>
      </c>
      <c r="D358" s="127">
        <v>103089</v>
      </c>
      <c r="E358" s="128" t="s">
        <v>889</v>
      </c>
      <c r="F358" s="127" t="s">
        <v>306</v>
      </c>
      <c r="H358" s="117" t="str">
        <f t="shared" si="11"/>
        <v>OTHER</v>
      </c>
      <c r="I358" s="113" t="s">
        <v>73</v>
      </c>
      <c r="J358"/>
    </row>
    <row r="359" spans="1:10">
      <c r="A359" s="114" t="str">
        <f t="shared" si="10"/>
        <v>1823920DSR COSTS AMORTIZED103090INDUSTRIAL FINANSWER-WY-2010 CAT3OTHER</v>
      </c>
      <c r="B359" s="127">
        <v>1823920</v>
      </c>
      <c r="C359" s="128" t="s">
        <v>695</v>
      </c>
      <c r="D359" s="127">
        <v>103090</v>
      </c>
      <c r="E359" s="128" t="s">
        <v>890</v>
      </c>
      <c r="F359" s="127" t="s">
        <v>306</v>
      </c>
      <c r="H359" s="117" t="str">
        <f t="shared" si="11"/>
        <v>OTHER</v>
      </c>
      <c r="I359" s="113" t="s">
        <v>73</v>
      </c>
      <c r="J359"/>
    </row>
    <row r="360" spans="1:10">
      <c r="A360" s="114" t="str">
        <f t="shared" si="10"/>
        <v>1823920DSR COSTS AMORTIZED103092REFRIGERATOR RECYCLING-WY -2010 CAT1OTHER</v>
      </c>
      <c r="B360" s="127">
        <v>1823920</v>
      </c>
      <c r="C360" s="128" t="s">
        <v>695</v>
      </c>
      <c r="D360" s="127">
        <v>103092</v>
      </c>
      <c r="E360" s="128" t="s">
        <v>891</v>
      </c>
      <c r="F360" s="127" t="s">
        <v>306</v>
      </c>
      <c r="H360" s="117" t="str">
        <f t="shared" si="11"/>
        <v>OTHER</v>
      </c>
      <c r="I360" s="113" t="s">
        <v>73</v>
      </c>
      <c r="J360"/>
    </row>
    <row r="361" spans="1:10">
      <c r="A361" s="114" t="str">
        <f t="shared" si="10"/>
        <v>1823920DSR COSTS AMORTIZED103093HOME ENERGY EFF INCENT PROG Y-2010 CAT1OTHER</v>
      </c>
      <c r="B361" s="127">
        <v>1823920</v>
      </c>
      <c r="C361" s="128" t="s">
        <v>695</v>
      </c>
      <c r="D361" s="127">
        <v>103093</v>
      </c>
      <c r="E361" s="128" t="s">
        <v>892</v>
      </c>
      <c r="F361" s="127" t="s">
        <v>306</v>
      </c>
      <c r="H361" s="117" t="str">
        <f t="shared" si="11"/>
        <v>OTHER</v>
      </c>
      <c r="I361" s="113" t="s">
        <v>73</v>
      </c>
      <c r="J361"/>
    </row>
    <row r="362" spans="1:10">
      <c r="A362" s="114" t="str">
        <f t="shared" si="10"/>
        <v>1823920DSR COSTS AMORTIZED103094LOW-INCOME WEATHERZTN - WY 2010 CAT1OTHER</v>
      </c>
      <c r="B362" s="127">
        <v>1823920</v>
      </c>
      <c r="C362" s="128" t="s">
        <v>695</v>
      </c>
      <c r="D362" s="127">
        <v>103094</v>
      </c>
      <c r="E362" s="128" t="s">
        <v>893</v>
      </c>
      <c r="F362" s="127" t="s">
        <v>306</v>
      </c>
      <c r="H362" s="117" t="str">
        <f t="shared" si="11"/>
        <v>OTHER</v>
      </c>
      <c r="I362" s="113" t="s">
        <v>73</v>
      </c>
      <c r="J362"/>
    </row>
    <row r="363" spans="1:10">
      <c r="A363" s="114" t="str">
        <f t="shared" si="10"/>
        <v>1823920DSR COSTS AMORTIZED103095COMMERCIAL FINANSWER EXP WY-2010 CAT3OTHER</v>
      </c>
      <c r="B363" s="127">
        <v>1823920</v>
      </c>
      <c r="C363" s="128" t="s">
        <v>695</v>
      </c>
      <c r="D363" s="127">
        <v>103095</v>
      </c>
      <c r="E363" s="128" t="s">
        <v>894</v>
      </c>
      <c r="F363" s="127" t="s">
        <v>306</v>
      </c>
      <c r="H363" s="117" t="str">
        <f t="shared" si="11"/>
        <v>OTHER</v>
      </c>
      <c r="I363" s="113" t="s">
        <v>73</v>
      </c>
      <c r="J363"/>
    </row>
    <row r="364" spans="1:10">
      <c r="A364" s="114" t="str">
        <f t="shared" si="10"/>
        <v>1823920DSR COSTS AMORTIZED103096INDUSTRIAL FINANSWER EXP WY-2010 CAT3OTHER</v>
      </c>
      <c r="B364" s="127">
        <v>1823920</v>
      </c>
      <c r="C364" s="128" t="s">
        <v>695</v>
      </c>
      <c r="D364" s="127">
        <v>103096</v>
      </c>
      <c r="E364" s="128" t="s">
        <v>895</v>
      </c>
      <c r="F364" s="127" t="s">
        <v>306</v>
      </c>
      <c r="H364" s="117" t="str">
        <f t="shared" si="11"/>
        <v>OTHER</v>
      </c>
      <c r="I364" s="113" t="s">
        <v>73</v>
      </c>
      <c r="J364"/>
    </row>
    <row r="365" spans="1:10">
      <c r="A365" s="114" t="str">
        <f t="shared" si="10"/>
        <v>1823920DSR COSTS AMORTIZED103097SELF DIRECT - COMMERCIAL -WY-2010 CAT3OTHER</v>
      </c>
      <c r="B365" s="127">
        <v>1823920</v>
      </c>
      <c r="C365" s="128" t="s">
        <v>695</v>
      </c>
      <c r="D365" s="127">
        <v>103097</v>
      </c>
      <c r="E365" s="128" t="s">
        <v>896</v>
      </c>
      <c r="F365" s="127" t="s">
        <v>306</v>
      </c>
      <c r="H365" s="117" t="str">
        <f t="shared" si="11"/>
        <v>OTHER</v>
      </c>
      <c r="I365" s="113" t="s">
        <v>73</v>
      </c>
      <c r="J365"/>
    </row>
    <row r="366" spans="1:10">
      <c r="A366" s="114" t="str">
        <f t="shared" si="10"/>
        <v>1823920DSR COSTS AMORTIZED103098SELF DIRECT -INDUSTRIAL -WY-2010 CAT3OTHER</v>
      </c>
      <c r="B366" s="127">
        <v>1823920</v>
      </c>
      <c r="C366" s="128" t="s">
        <v>695</v>
      </c>
      <c r="D366" s="127">
        <v>103098</v>
      </c>
      <c r="E366" s="128" t="s">
        <v>897</v>
      </c>
      <c r="F366" s="127" t="s">
        <v>306</v>
      </c>
      <c r="H366" s="117" t="str">
        <f t="shared" si="11"/>
        <v>OTHER</v>
      </c>
      <c r="I366" s="113" t="s">
        <v>73</v>
      </c>
      <c r="J366"/>
    </row>
    <row r="367" spans="1:10">
      <c r="A367" s="114" t="str">
        <f t="shared" si="10"/>
        <v>1823920DSR COSTS AMORTIZED103099COMMERCIAL FINANSWER EXP- WY-2010 CAT2OTHER</v>
      </c>
      <c r="B367" s="127">
        <v>1823920</v>
      </c>
      <c r="C367" s="128" t="s">
        <v>695</v>
      </c>
      <c r="D367" s="127">
        <v>103099</v>
      </c>
      <c r="E367" s="128" t="s">
        <v>898</v>
      </c>
      <c r="F367" s="127" t="s">
        <v>306</v>
      </c>
      <c r="H367" s="117" t="str">
        <f t="shared" si="11"/>
        <v>OTHER</v>
      </c>
      <c r="I367" s="113" t="s">
        <v>73</v>
      </c>
      <c r="J367"/>
    </row>
    <row r="368" spans="1:10">
      <c r="A368" s="114" t="str">
        <f t="shared" si="10"/>
        <v>1823920DSR COSTS AMORTIZED103100INDUSTRIAL FINAN EXPRESS WY-2010 CAT2OTHER</v>
      </c>
      <c r="B368" s="127">
        <v>1823920</v>
      </c>
      <c r="C368" s="128" t="s">
        <v>695</v>
      </c>
      <c r="D368" s="127">
        <v>103100</v>
      </c>
      <c r="E368" s="128" t="s">
        <v>899</v>
      </c>
      <c r="F368" s="127" t="s">
        <v>306</v>
      </c>
      <c r="H368" s="117" t="str">
        <f t="shared" si="11"/>
        <v>OTHER</v>
      </c>
      <c r="I368" s="113" t="s">
        <v>73</v>
      </c>
      <c r="J368"/>
    </row>
    <row r="369" spans="1:10">
      <c r="A369" s="114" t="str">
        <f t="shared" si="10"/>
        <v>1823920DSR COSTS AMORTIZED103101ENERGY FINANSWER -WY 2010 CAT2OTHER</v>
      </c>
      <c r="B369" s="127">
        <v>1823920</v>
      </c>
      <c r="C369" s="128" t="s">
        <v>695</v>
      </c>
      <c r="D369" s="127">
        <v>103101</v>
      </c>
      <c r="E369" s="128" t="s">
        <v>900</v>
      </c>
      <c r="F369" s="127" t="s">
        <v>306</v>
      </c>
      <c r="H369" s="117" t="str">
        <f t="shared" si="11"/>
        <v>OTHER</v>
      </c>
      <c r="I369" s="113" t="s">
        <v>73</v>
      </c>
      <c r="J369"/>
    </row>
    <row r="370" spans="1:10">
      <c r="A370" s="114" t="str">
        <f t="shared" si="10"/>
        <v>1823920DSR COSTS AMORTIZED103102INDUSTRIAL FINANSWER -WY 2010 CAT2OTHER</v>
      </c>
      <c r="B370" s="127">
        <v>1823920</v>
      </c>
      <c r="C370" s="128" t="s">
        <v>695</v>
      </c>
      <c r="D370" s="127">
        <v>103102</v>
      </c>
      <c r="E370" s="128" t="s">
        <v>901</v>
      </c>
      <c r="F370" s="127" t="s">
        <v>306</v>
      </c>
      <c r="H370" s="117" t="str">
        <f t="shared" si="11"/>
        <v>OTHER</v>
      </c>
      <c r="I370" s="113" t="s">
        <v>73</v>
      </c>
      <c r="J370"/>
    </row>
    <row r="371" spans="1:10">
      <c r="A371" s="114" t="str">
        <f t="shared" si="10"/>
        <v>1823920DSR COSTS AMORTIZED103103Check Disb-Wires/ACH In Clearing - BTOTHER</v>
      </c>
      <c r="B371" s="127">
        <v>1823920</v>
      </c>
      <c r="C371" s="128" t="s">
        <v>695</v>
      </c>
      <c r="D371" s="127">
        <v>103103</v>
      </c>
      <c r="E371" s="128" t="s">
        <v>902</v>
      </c>
      <c r="F371" s="127" t="s">
        <v>306</v>
      </c>
      <c r="H371" s="117" t="str">
        <f t="shared" si="11"/>
        <v>OTHER</v>
      </c>
      <c r="I371" s="113" t="s">
        <v>73</v>
      </c>
      <c r="J371"/>
    </row>
    <row r="372" spans="1:10">
      <c r="A372" s="114" t="str">
        <f t="shared" si="10"/>
        <v>1823920DSR COSTS AMORTIZED103104Check Disb-Wires/ACH Out Clearing - BTOTHER</v>
      </c>
      <c r="B372" s="127">
        <v>1823920</v>
      </c>
      <c r="C372" s="128" t="s">
        <v>695</v>
      </c>
      <c r="D372" s="127">
        <v>103104</v>
      </c>
      <c r="E372" s="128" t="s">
        <v>903</v>
      </c>
      <c r="F372" s="127" t="s">
        <v>306</v>
      </c>
      <c r="H372" s="117" t="str">
        <f t="shared" si="11"/>
        <v>OTHER</v>
      </c>
      <c r="I372" s="113" t="s">
        <v>73</v>
      </c>
      <c r="J372"/>
    </row>
    <row r="373" spans="1:10">
      <c r="A373" s="114" t="str">
        <f t="shared" si="10"/>
        <v>1823920DSR COSTS AMORTIZED103137Company Initiatives DEI Study- WashingtoOTHER</v>
      </c>
      <c r="B373" s="127">
        <v>1823920</v>
      </c>
      <c r="C373" s="128" t="s">
        <v>695</v>
      </c>
      <c r="D373" s="127">
        <v>103137</v>
      </c>
      <c r="E373" s="128" t="s">
        <v>904</v>
      </c>
      <c r="F373" s="127" t="s">
        <v>306</v>
      </c>
      <c r="H373" s="117" t="str">
        <f t="shared" si="11"/>
        <v>OTHER</v>
      </c>
      <c r="I373" s="113" t="s">
        <v>73</v>
      </c>
      <c r="J373"/>
    </row>
    <row r="374" spans="1:10">
      <c r="A374" s="114" t="str">
        <f t="shared" si="10"/>
        <v>1823920DSR COSTS AMORTIZED103163Commercial Direct Install - Utah - 2011OTHER</v>
      </c>
      <c r="B374" s="127">
        <v>1823920</v>
      </c>
      <c r="C374" s="128" t="s">
        <v>695</v>
      </c>
      <c r="D374" s="127">
        <v>103163</v>
      </c>
      <c r="E374" s="128" t="s">
        <v>905</v>
      </c>
      <c r="F374" s="127" t="s">
        <v>306</v>
      </c>
      <c r="H374" s="117" t="str">
        <f t="shared" si="11"/>
        <v>OTHER</v>
      </c>
      <c r="I374" s="113" t="s">
        <v>73</v>
      </c>
      <c r="J374"/>
    </row>
    <row r="375" spans="1:10">
      <c r="A375" s="114" t="str">
        <f t="shared" si="10"/>
        <v>1823920DSR COSTS AMORTIZED103164Commercial Curtailment - Utah - 2011OTHER</v>
      </c>
      <c r="B375" s="127">
        <v>1823920</v>
      </c>
      <c r="C375" s="128" t="s">
        <v>695</v>
      </c>
      <c r="D375" s="127">
        <v>103164</v>
      </c>
      <c r="E375" s="128" t="s">
        <v>906</v>
      </c>
      <c r="F375" s="127" t="s">
        <v>306</v>
      </c>
      <c r="H375" s="117" t="str">
        <f t="shared" si="11"/>
        <v>OTHER</v>
      </c>
      <c r="I375" s="113" t="s">
        <v>73</v>
      </c>
      <c r="J375"/>
    </row>
    <row r="376" spans="1:10">
      <c r="A376" s="114" t="str">
        <f t="shared" si="10"/>
        <v>1823920DSR COSTS AMORTIZED103165Commercial Direct Install - WashingtonOTHER</v>
      </c>
      <c r="B376" s="127">
        <v>1823920</v>
      </c>
      <c r="C376" s="128" t="s">
        <v>695</v>
      </c>
      <c r="D376" s="127">
        <v>103165</v>
      </c>
      <c r="E376" s="128" t="s">
        <v>907</v>
      </c>
      <c r="F376" s="127" t="s">
        <v>306</v>
      </c>
      <c r="H376" s="117" t="str">
        <f t="shared" si="11"/>
        <v>OTHER</v>
      </c>
      <c r="I376" s="113" t="s">
        <v>73</v>
      </c>
      <c r="J376"/>
    </row>
    <row r="377" spans="1:10">
      <c r="A377" s="114" t="str">
        <f t="shared" si="10"/>
        <v>1823920DSR COSTS AMORTIZED103168CALIFORNIA DSM EXPENSE - 2011OTHER</v>
      </c>
      <c r="B377" s="127">
        <v>1823920</v>
      </c>
      <c r="C377" s="128" t="s">
        <v>695</v>
      </c>
      <c r="D377" s="127">
        <v>103168</v>
      </c>
      <c r="E377" s="128" t="s">
        <v>908</v>
      </c>
      <c r="F377" s="127" t="s">
        <v>306</v>
      </c>
      <c r="H377" s="117" t="str">
        <f t="shared" si="11"/>
        <v>OTHER</v>
      </c>
      <c r="I377" s="113" t="s">
        <v>73</v>
      </c>
      <c r="J377"/>
    </row>
    <row r="378" spans="1:10">
      <c r="A378" s="114" t="str">
        <f t="shared" si="10"/>
        <v>1823920DSR COSTS AMORTIZED103169Commercial Curtailment - OregonOTHER</v>
      </c>
      <c r="B378" s="127">
        <v>1823920</v>
      </c>
      <c r="C378" s="128" t="s">
        <v>695</v>
      </c>
      <c r="D378" s="127">
        <v>103169</v>
      </c>
      <c r="E378" s="128" t="s">
        <v>909</v>
      </c>
      <c r="F378" s="127" t="s">
        <v>306</v>
      </c>
      <c r="H378" s="117" t="str">
        <f t="shared" si="11"/>
        <v>OTHER</v>
      </c>
      <c r="I378" s="113" t="s">
        <v>73</v>
      </c>
      <c r="J378"/>
    </row>
    <row r="379" spans="1:10">
      <c r="A379" s="114" t="str">
        <f t="shared" si="10"/>
        <v>1823920DSR COSTS AMORTIZED103181A/C LOAD CONTROL - RESIDENTIAL/UTAH - 20OTHER</v>
      </c>
      <c r="B379" s="127">
        <v>1823920</v>
      </c>
      <c r="C379" s="128" t="s">
        <v>695</v>
      </c>
      <c r="D379" s="127">
        <v>103181</v>
      </c>
      <c r="E379" s="128" t="s">
        <v>772</v>
      </c>
      <c r="F379" s="127" t="s">
        <v>306</v>
      </c>
      <c r="H379" s="117" t="str">
        <f t="shared" si="11"/>
        <v>OTHER</v>
      </c>
      <c r="I379" s="113" t="s">
        <v>73</v>
      </c>
      <c r="J379"/>
    </row>
    <row r="380" spans="1:10">
      <c r="A380" s="114" t="str">
        <f t="shared" si="10"/>
        <v>1823920DSR COSTS AMORTIZED103182AIR CONDITIONING - UTAH - 2011OTHER</v>
      </c>
      <c r="B380" s="127">
        <v>1823920</v>
      </c>
      <c r="C380" s="128" t="s">
        <v>695</v>
      </c>
      <c r="D380" s="127">
        <v>103182</v>
      </c>
      <c r="E380" s="128" t="s">
        <v>910</v>
      </c>
      <c r="F380" s="127" t="s">
        <v>306</v>
      </c>
      <c r="H380" s="117" t="str">
        <f t="shared" si="11"/>
        <v>OTHER</v>
      </c>
      <c r="I380" s="113" t="s">
        <v>73</v>
      </c>
      <c r="J380"/>
    </row>
    <row r="381" spans="1:10">
      <c r="A381" s="114" t="str">
        <f t="shared" si="10"/>
        <v>1823920DSR COSTS AMORTIZED103183ENERGY FINANSWER - UTAH - 2011OTHER</v>
      </c>
      <c r="B381" s="127">
        <v>1823920</v>
      </c>
      <c r="C381" s="128" t="s">
        <v>695</v>
      </c>
      <c r="D381" s="127">
        <v>103183</v>
      </c>
      <c r="E381" s="128" t="s">
        <v>911</v>
      </c>
      <c r="F381" s="127" t="s">
        <v>306</v>
      </c>
      <c r="H381" s="117" t="str">
        <f t="shared" si="11"/>
        <v>OTHER</v>
      </c>
      <c r="I381" s="113" t="s">
        <v>73</v>
      </c>
      <c r="J381"/>
    </row>
    <row r="382" spans="1:10">
      <c r="A382" s="114" t="str">
        <f t="shared" si="10"/>
        <v>1823920DSR COSTS AMORTIZED103184INDUSTRIAL FINANSWER - UTAH - 2011OTHER</v>
      </c>
      <c r="B382" s="127">
        <v>1823920</v>
      </c>
      <c r="C382" s="128" t="s">
        <v>695</v>
      </c>
      <c r="D382" s="127">
        <v>103184</v>
      </c>
      <c r="E382" s="128" t="s">
        <v>912</v>
      </c>
      <c r="F382" s="127" t="s">
        <v>306</v>
      </c>
      <c r="H382" s="117" t="str">
        <f t="shared" si="11"/>
        <v>OTHER</v>
      </c>
      <c r="I382" s="113" t="s">
        <v>73</v>
      </c>
      <c r="J382"/>
    </row>
    <row r="383" spans="1:10">
      <c r="A383" s="114" t="str">
        <f t="shared" si="10"/>
        <v>1823920DSR COSTS AMORTIZED103185LOW INCOME - UTAH - 2011OTHER</v>
      </c>
      <c r="B383" s="127">
        <v>1823920</v>
      </c>
      <c r="C383" s="128" t="s">
        <v>695</v>
      </c>
      <c r="D383" s="127">
        <v>103185</v>
      </c>
      <c r="E383" s="128" t="s">
        <v>913</v>
      </c>
      <c r="F383" s="127" t="s">
        <v>306</v>
      </c>
      <c r="H383" s="117" t="str">
        <f t="shared" si="11"/>
        <v>OTHER</v>
      </c>
      <c r="I383" s="113" t="s">
        <v>73</v>
      </c>
      <c r="J383"/>
    </row>
    <row r="384" spans="1:10">
      <c r="A384" s="114" t="str">
        <f t="shared" si="10"/>
        <v>1823920DSR COSTS AMORTIZED103186Power Forward - Utah - 2011OTHER</v>
      </c>
      <c r="B384" s="127">
        <v>1823920</v>
      </c>
      <c r="C384" s="128" t="s">
        <v>695</v>
      </c>
      <c r="D384" s="127">
        <v>103186</v>
      </c>
      <c r="E384" s="128" t="s">
        <v>914</v>
      </c>
      <c r="F384" s="127" t="s">
        <v>306</v>
      </c>
      <c r="H384" s="117" t="str">
        <f t="shared" si="11"/>
        <v>OTHER</v>
      </c>
      <c r="I384" s="113" t="s">
        <v>73</v>
      </c>
      <c r="J384"/>
    </row>
    <row r="385" spans="1:10">
      <c r="A385" s="114" t="str">
        <f t="shared" si="10"/>
        <v>1823920DSR COSTS AMORTIZED103187REFRIGERATOR RECYCLING PGM- UTAH - 2011OTHER</v>
      </c>
      <c r="B385" s="127">
        <v>1823920</v>
      </c>
      <c r="C385" s="128" t="s">
        <v>695</v>
      </c>
      <c r="D385" s="127">
        <v>103187</v>
      </c>
      <c r="E385" s="128" t="s">
        <v>915</v>
      </c>
      <c r="F385" s="127" t="s">
        <v>306</v>
      </c>
      <c r="H385" s="117" t="str">
        <f t="shared" si="11"/>
        <v>OTHER</v>
      </c>
      <c r="I385" s="113" t="s">
        <v>73</v>
      </c>
      <c r="J385"/>
    </row>
    <row r="386" spans="1:10">
      <c r="A386" s="114" t="str">
        <f t="shared" si="10"/>
        <v>1823920DSR COSTS AMORTIZED103188COMMERCIAL SELF-DIRECT - UTAH - 2011OTHER</v>
      </c>
      <c r="B386" s="127">
        <v>1823920</v>
      </c>
      <c r="C386" s="128" t="s">
        <v>695</v>
      </c>
      <c r="D386" s="127">
        <v>103188</v>
      </c>
      <c r="E386" s="128" t="s">
        <v>916</v>
      </c>
      <c r="F386" s="127" t="s">
        <v>306</v>
      </c>
      <c r="H386" s="117" t="str">
        <f t="shared" si="11"/>
        <v>OTHER</v>
      </c>
      <c r="I386" s="113" t="s">
        <v>73</v>
      </c>
      <c r="J386"/>
    </row>
    <row r="387" spans="1:10">
      <c r="A387" s="114" t="str">
        <f t="shared" ref="A387:A450" si="12">CONCATENATE($B387,$C387,$D387,$E387,$H387)</f>
        <v>1823920DSR COSTS AMORTIZED103189INDUSTRIAL SELF-DIRECT - UTAH - 2011OTHER</v>
      </c>
      <c r="B387" s="127">
        <v>1823920</v>
      </c>
      <c r="C387" s="128" t="s">
        <v>695</v>
      </c>
      <c r="D387" s="127">
        <v>103189</v>
      </c>
      <c r="E387" s="128" t="s">
        <v>917</v>
      </c>
      <c r="F387" s="127" t="s">
        <v>306</v>
      </c>
      <c r="H387" s="117" t="str">
        <f t="shared" ref="H387:H450" si="13">IF(OR(F387="IDU",F387="OR",F387="UT",F387="WYU",F387="WYP",F387="CA",F387="WA"),"SITUS",F387)</f>
        <v>OTHER</v>
      </c>
      <c r="I387" s="113" t="s">
        <v>73</v>
      </c>
      <c r="J387"/>
    </row>
    <row r="388" spans="1:10">
      <c r="A388" s="114" t="str">
        <f t="shared" si="12"/>
        <v>1823920DSR COSTS AMORTIZED103190RESIDENTIAL NEW CONSTRUCTION - UTAH - 20OTHER</v>
      </c>
      <c r="B388" s="127">
        <v>1823920</v>
      </c>
      <c r="C388" s="128" t="s">
        <v>695</v>
      </c>
      <c r="D388" s="127">
        <v>103190</v>
      </c>
      <c r="E388" s="128" t="s">
        <v>757</v>
      </c>
      <c r="F388" s="127" t="s">
        <v>306</v>
      </c>
      <c r="H388" s="117" t="str">
        <f t="shared" si="13"/>
        <v>OTHER</v>
      </c>
      <c r="I388" s="113" t="s">
        <v>73</v>
      </c>
      <c r="J388"/>
    </row>
    <row r="389" spans="1:10">
      <c r="A389" s="114" t="str">
        <f t="shared" si="12"/>
        <v>1823920DSR COSTS AMORTIZED103191COMMERCIAL FINANSWER EXPRESS - UTAH - 20OTHER</v>
      </c>
      <c r="B389" s="127">
        <v>1823920</v>
      </c>
      <c r="C389" s="128" t="s">
        <v>695</v>
      </c>
      <c r="D389" s="127">
        <v>103191</v>
      </c>
      <c r="E389" s="128" t="s">
        <v>760</v>
      </c>
      <c r="F389" s="127" t="s">
        <v>306</v>
      </c>
      <c r="H389" s="117" t="str">
        <f t="shared" si="13"/>
        <v>OTHER</v>
      </c>
      <c r="I389" s="113" t="s">
        <v>73</v>
      </c>
      <c r="J389"/>
    </row>
    <row r="390" spans="1:10">
      <c r="A390" s="114" t="str">
        <f t="shared" si="12"/>
        <v>1823920DSR COSTS AMORTIZED103192INDUSTRIAL FINANSWER EXPRESS - UTAH - 20OTHER</v>
      </c>
      <c r="B390" s="127">
        <v>1823920</v>
      </c>
      <c r="C390" s="128" t="s">
        <v>695</v>
      </c>
      <c r="D390" s="127">
        <v>103192</v>
      </c>
      <c r="E390" s="128" t="s">
        <v>761</v>
      </c>
      <c r="F390" s="127" t="s">
        <v>306</v>
      </c>
      <c r="H390" s="117" t="str">
        <f t="shared" si="13"/>
        <v>OTHER</v>
      </c>
      <c r="I390" s="113" t="s">
        <v>73</v>
      </c>
      <c r="J390"/>
    </row>
    <row r="391" spans="1:10">
      <c r="A391" s="114" t="str">
        <f t="shared" si="12"/>
        <v>1823920DSR COSTS AMORTIZED103193RETROFIT COMMISSIONING PROGRAM  - UTAH -OTHER</v>
      </c>
      <c r="B391" s="127">
        <v>1823920</v>
      </c>
      <c r="C391" s="128" t="s">
        <v>695</v>
      </c>
      <c r="D391" s="127">
        <v>103193</v>
      </c>
      <c r="E391" s="128" t="s">
        <v>782</v>
      </c>
      <c r="F391" s="127" t="s">
        <v>306</v>
      </c>
      <c r="H391" s="117" t="str">
        <f t="shared" si="13"/>
        <v>OTHER</v>
      </c>
      <c r="I391" s="113" t="s">
        <v>73</v>
      </c>
      <c r="J391"/>
    </row>
    <row r="392" spans="1:10">
      <c r="A392" s="114" t="str">
        <f t="shared" si="12"/>
        <v>1823920DSR COSTS AMORTIZED103195IRRIGATION LOAD CONTROL  - UTAH - 2011OTHER</v>
      </c>
      <c r="B392" s="127">
        <v>1823920</v>
      </c>
      <c r="C392" s="128" t="s">
        <v>695</v>
      </c>
      <c r="D392" s="127">
        <v>103195</v>
      </c>
      <c r="E392" s="128" t="s">
        <v>918</v>
      </c>
      <c r="F392" s="127" t="s">
        <v>306</v>
      </c>
      <c r="H392" s="117" t="str">
        <f t="shared" si="13"/>
        <v>OTHER</v>
      </c>
      <c r="I392" s="113" t="s">
        <v>73</v>
      </c>
      <c r="J392"/>
    </row>
    <row r="393" spans="1:10">
      <c r="A393" s="114" t="str">
        <f t="shared" si="12"/>
        <v>1823920DSR COSTS AMORTIZED103196HOME ENERGY EFF INCENTIVE PROG - UT 2011OTHER</v>
      </c>
      <c r="B393" s="127">
        <v>1823920</v>
      </c>
      <c r="C393" s="128" t="s">
        <v>695</v>
      </c>
      <c r="D393" s="127">
        <v>103196</v>
      </c>
      <c r="E393" s="128" t="s">
        <v>919</v>
      </c>
      <c r="F393" s="127" t="s">
        <v>306</v>
      </c>
      <c r="H393" s="117" t="str">
        <f t="shared" si="13"/>
        <v>OTHER</v>
      </c>
      <c r="I393" s="113" t="s">
        <v>73</v>
      </c>
      <c r="J393"/>
    </row>
    <row r="394" spans="1:10">
      <c r="A394" s="114" t="str">
        <f t="shared" si="12"/>
        <v>1823920DSR COSTS AMORTIZED103197OUTREACH and COMMUNICATIONS - UT 2011OTHER</v>
      </c>
      <c r="B394" s="127">
        <v>1823920</v>
      </c>
      <c r="C394" s="128" t="s">
        <v>695</v>
      </c>
      <c r="D394" s="127">
        <v>103197</v>
      </c>
      <c r="E394" s="128" t="s">
        <v>920</v>
      </c>
      <c r="F394" s="127" t="s">
        <v>306</v>
      </c>
      <c r="H394" s="117" t="str">
        <f t="shared" si="13"/>
        <v>OTHER</v>
      </c>
      <c r="I394" s="113" t="s">
        <v>73</v>
      </c>
      <c r="J394"/>
    </row>
    <row r="395" spans="1:10">
      <c r="A395" s="114" t="str">
        <f t="shared" si="12"/>
        <v>1823920DSR COSTS AMORTIZED103199ENERGY FINANSWER-WY-2011 CAT3OTHER</v>
      </c>
      <c r="B395" s="127">
        <v>1823920</v>
      </c>
      <c r="C395" s="128" t="s">
        <v>695</v>
      </c>
      <c r="D395" s="127">
        <v>103199</v>
      </c>
      <c r="E395" s="128" t="s">
        <v>921</v>
      </c>
      <c r="F395" s="127" t="s">
        <v>306</v>
      </c>
      <c r="H395" s="117" t="str">
        <f t="shared" si="13"/>
        <v>OTHER</v>
      </c>
      <c r="I395" s="113" t="s">
        <v>73</v>
      </c>
      <c r="J395"/>
    </row>
    <row r="396" spans="1:10">
      <c r="A396" s="114" t="str">
        <f t="shared" si="12"/>
        <v>1823920DSR COSTS AMORTIZED103200INDUSTRIAL FINANSWER-WY-2011 CAT3OTHER</v>
      </c>
      <c r="B396" s="127">
        <v>1823920</v>
      </c>
      <c r="C396" s="128" t="s">
        <v>695</v>
      </c>
      <c r="D396" s="127">
        <v>103200</v>
      </c>
      <c r="E396" s="128" t="s">
        <v>922</v>
      </c>
      <c r="F396" s="127" t="s">
        <v>306</v>
      </c>
      <c r="H396" s="117" t="str">
        <f t="shared" si="13"/>
        <v>OTHER</v>
      </c>
      <c r="I396" s="113" t="s">
        <v>73</v>
      </c>
      <c r="J396"/>
    </row>
    <row r="397" spans="1:10">
      <c r="A397" s="114" t="str">
        <f t="shared" si="12"/>
        <v>1823920DSR COSTS AMORTIZED103202REFRIGERATOR RECYCLING-WY -2011 CAT1OTHER</v>
      </c>
      <c r="B397" s="127">
        <v>1823920</v>
      </c>
      <c r="C397" s="128" t="s">
        <v>695</v>
      </c>
      <c r="D397" s="127">
        <v>103202</v>
      </c>
      <c r="E397" s="128" t="s">
        <v>923</v>
      </c>
      <c r="F397" s="127" t="s">
        <v>306</v>
      </c>
      <c r="H397" s="117" t="str">
        <f t="shared" si="13"/>
        <v>OTHER</v>
      </c>
      <c r="I397" s="113" t="s">
        <v>73</v>
      </c>
      <c r="J397"/>
    </row>
    <row r="398" spans="1:10">
      <c r="A398" s="114" t="str">
        <f t="shared" si="12"/>
        <v>1823920DSR COSTS AMORTIZED103203HOME ENERGY EFF INCENT PROG Y-2011 CAT1OTHER</v>
      </c>
      <c r="B398" s="127">
        <v>1823920</v>
      </c>
      <c r="C398" s="128" t="s">
        <v>695</v>
      </c>
      <c r="D398" s="127">
        <v>103203</v>
      </c>
      <c r="E398" s="128" t="s">
        <v>924</v>
      </c>
      <c r="F398" s="127" t="s">
        <v>306</v>
      </c>
      <c r="H398" s="117" t="str">
        <f t="shared" si="13"/>
        <v>OTHER</v>
      </c>
      <c r="I398" s="113" t="s">
        <v>73</v>
      </c>
      <c r="J398"/>
    </row>
    <row r="399" spans="1:10">
      <c r="A399" s="114" t="str">
        <f t="shared" si="12"/>
        <v>1823920DSR COSTS AMORTIZED103204Low-Income Weatherztn - Wy 2011 CAT1OTHER</v>
      </c>
      <c r="B399" s="127">
        <v>1823920</v>
      </c>
      <c r="C399" s="128" t="s">
        <v>695</v>
      </c>
      <c r="D399" s="127">
        <v>103204</v>
      </c>
      <c r="E399" s="128" t="s">
        <v>925</v>
      </c>
      <c r="F399" s="127" t="s">
        <v>306</v>
      </c>
      <c r="H399" s="117" t="str">
        <f t="shared" si="13"/>
        <v>OTHER</v>
      </c>
      <c r="I399" s="113" t="s">
        <v>73</v>
      </c>
      <c r="J399"/>
    </row>
    <row r="400" spans="1:10">
      <c r="A400" s="114" t="str">
        <f t="shared" si="12"/>
        <v>1823920DSR COSTS AMORTIZED103205COMMERCIAL FINANSWER EXP WY-2011 CAT3OTHER</v>
      </c>
      <c r="B400" s="127">
        <v>1823920</v>
      </c>
      <c r="C400" s="128" t="s">
        <v>695</v>
      </c>
      <c r="D400" s="127">
        <v>103205</v>
      </c>
      <c r="E400" s="128" t="s">
        <v>926</v>
      </c>
      <c r="F400" s="127" t="s">
        <v>306</v>
      </c>
      <c r="H400" s="117" t="str">
        <f t="shared" si="13"/>
        <v>OTHER</v>
      </c>
      <c r="I400" s="113" t="s">
        <v>73</v>
      </c>
      <c r="J400"/>
    </row>
    <row r="401" spans="1:10">
      <c r="A401" s="114" t="str">
        <f t="shared" si="12"/>
        <v>1823920DSR COSTS AMORTIZED103206INDUSTRIAL FINANSWER EXP WY-2011 CAT3OTHER</v>
      </c>
      <c r="B401" s="127">
        <v>1823920</v>
      </c>
      <c r="C401" s="128" t="s">
        <v>695</v>
      </c>
      <c r="D401" s="127">
        <v>103206</v>
      </c>
      <c r="E401" s="128" t="s">
        <v>927</v>
      </c>
      <c r="F401" s="127" t="s">
        <v>306</v>
      </c>
      <c r="H401" s="117" t="str">
        <f t="shared" si="13"/>
        <v>OTHER</v>
      </c>
      <c r="I401" s="113" t="s">
        <v>73</v>
      </c>
      <c r="J401"/>
    </row>
    <row r="402" spans="1:10">
      <c r="A402" s="114" t="str">
        <f t="shared" si="12"/>
        <v>1823920DSR COSTS AMORTIZED103207Self Direct - Commercial -Wy-2011 CAT3OTHER</v>
      </c>
      <c r="B402" s="127">
        <v>1823920</v>
      </c>
      <c r="C402" s="128" t="s">
        <v>695</v>
      </c>
      <c r="D402" s="127">
        <v>103207</v>
      </c>
      <c r="E402" s="128" t="s">
        <v>928</v>
      </c>
      <c r="F402" s="127" t="s">
        <v>306</v>
      </c>
      <c r="H402" s="117" t="str">
        <f t="shared" si="13"/>
        <v>OTHER</v>
      </c>
      <c r="I402" s="113" t="s">
        <v>73</v>
      </c>
      <c r="J402"/>
    </row>
    <row r="403" spans="1:10">
      <c r="A403" s="114" t="str">
        <f t="shared" si="12"/>
        <v>1823920DSR COSTS AMORTIZED103208Self Direct -Industrial -Wy-2011 CAT3OTHER</v>
      </c>
      <c r="B403" s="127">
        <v>1823920</v>
      </c>
      <c r="C403" s="128" t="s">
        <v>695</v>
      </c>
      <c r="D403" s="127">
        <v>103208</v>
      </c>
      <c r="E403" s="128" t="s">
        <v>929</v>
      </c>
      <c r="F403" s="127" t="s">
        <v>306</v>
      </c>
      <c r="H403" s="117" t="str">
        <f t="shared" si="13"/>
        <v>OTHER</v>
      </c>
      <c r="I403" s="113" t="s">
        <v>73</v>
      </c>
      <c r="J403"/>
    </row>
    <row r="404" spans="1:10">
      <c r="A404" s="114" t="str">
        <f t="shared" si="12"/>
        <v>1823920DSR COSTS AMORTIZED103209COMMERCIAL FINANSWER EXP- WY-2011 CAT2OTHER</v>
      </c>
      <c r="B404" s="127">
        <v>1823920</v>
      </c>
      <c r="C404" s="128" t="s">
        <v>695</v>
      </c>
      <c r="D404" s="127">
        <v>103209</v>
      </c>
      <c r="E404" s="128" t="s">
        <v>930</v>
      </c>
      <c r="F404" s="127" t="s">
        <v>306</v>
      </c>
      <c r="H404" s="117" t="str">
        <f t="shared" si="13"/>
        <v>OTHER</v>
      </c>
      <c r="I404" s="113" t="s">
        <v>73</v>
      </c>
      <c r="J404"/>
    </row>
    <row r="405" spans="1:10">
      <c r="A405" s="114" t="str">
        <f t="shared" si="12"/>
        <v>1823920DSR COSTS AMORTIZED103210INDUSTRIAL FINAN EXPRESS WY-2011 CAT2OTHER</v>
      </c>
      <c r="B405" s="127">
        <v>1823920</v>
      </c>
      <c r="C405" s="128" t="s">
        <v>695</v>
      </c>
      <c r="D405" s="127">
        <v>103210</v>
      </c>
      <c r="E405" s="128" t="s">
        <v>931</v>
      </c>
      <c r="F405" s="127" t="s">
        <v>306</v>
      </c>
      <c r="H405" s="117" t="str">
        <f t="shared" si="13"/>
        <v>OTHER</v>
      </c>
      <c r="I405" s="113" t="s">
        <v>73</v>
      </c>
      <c r="J405"/>
    </row>
    <row r="406" spans="1:10">
      <c r="A406" s="114" t="str">
        <f t="shared" si="12"/>
        <v>1823920DSR COSTS AMORTIZED103211ENERGY FINANSWER -WY 2011 CAT2OTHER</v>
      </c>
      <c r="B406" s="127">
        <v>1823920</v>
      </c>
      <c r="C406" s="128" t="s">
        <v>695</v>
      </c>
      <c r="D406" s="127">
        <v>103211</v>
      </c>
      <c r="E406" s="128" t="s">
        <v>932</v>
      </c>
      <c r="F406" s="127" t="s">
        <v>306</v>
      </c>
      <c r="H406" s="117" t="str">
        <f t="shared" si="13"/>
        <v>OTHER</v>
      </c>
      <c r="I406" s="113" t="s">
        <v>73</v>
      </c>
      <c r="J406"/>
    </row>
    <row r="407" spans="1:10">
      <c r="A407" s="114" t="str">
        <f t="shared" si="12"/>
        <v>1823920DSR COSTS AMORTIZED103212INDUSTRIAL FINANSWER -WY 2011 CAT2OTHER</v>
      </c>
      <c r="B407" s="127">
        <v>1823920</v>
      </c>
      <c r="C407" s="128" t="s">
        <v>695</v>
      </c>
      <c r="D407" s="127">
        <v>103212</v>
      </c>
      <c r="E407" s="128" t="s">
        <v>933</v>
      </c>
      <c r="F407" s="127" t="s">
        <v>306</v>
      </c>
      <c r="H407" s="117" t="str">
        <f t="shared" si="13"/>
        <v>OTHER</v>
      </c>
      <c r="I407" s="113" t="s">
        <v>73</v>
      </c>
      <c r="J407"/>
    </row>
    <row r="408" spans="1:10">
      <c r="A408" s="114" t="str">
        <f t="shared" si="12"/>
        <v>1823920DSR COSTS AMORTIZED103213Self Direct - Commercial Wy-2011 CAT2OTHER</v>
      </c>
      <c r="B408" s="127">
        <v>1823920</v>
      </c>
      <c r="C408" s="128" t="s">
        <v>695</v>
      </c>
      <c r="D408" s="127">
        <v>103213</v>
      </c>
      <c r="E408" s="128" t="s">
        <v>934</v>
      </c>
      <c r="F408" s="127" t="s">
        <v>306</v>
      </c>
      <c r="H408" s="117" t="str">
        <f t="shared" si="13"/>
        <v>OTHER</v>
      </c>
      <c r="I408" s="113" t="s">
        <v>73</v>
      </c>
      <c r="J408"/>
    </row>
    <row r="409" spans="1:10">
      <c r="A409" s="114" t="str">
        <f t="shared" si="12"/>
        <v>1823920DSR COSTS AMORTIZED103214Self Direct- Industrial Wy-2011 CAT2OTHER</v>
      </c>
      <c r="B409" s="127">
        <v>1823920</v>
      </c>
      <c r="C409" s="128" t="s">
        <v>695</v>
      </c>
      <c r="D409" s="127">
        <v>103214</v>
      </c>
      <c r="E409" s="128" t="s">
        <v>935</v>
      </c>
      <c r="F409" s="127" t="s">
        <v>306</v>
      </c>
      <c r="H409" s="117" t="str">
        <f t="shared" si="13"/>
        <v>OTHER</v>
      </c>
      <c r="I409" s="113" t="s">
        <v>73</v>
      </c>
      <c r="J409"/>
    </row>
    <row r="410" spans="1:10">
      <c r="A410" s="114" t="str">
        <f t="shared" si="12"/>
        <v>1823920DSR COSTS AMORTIZED103277OUTREACH &amp; COMM- WATTSMART - EVALUATIONOTHER</v>
      </c>
      <c r="B410" s="127">
        <v>1823920</v>
      </c>
      <c r="C410" s="128" t="s">
        <v>695</v>
      </c>
      <c r="D410" s="127">
        <v>103277</v>
      </c>
      <c r="E410" s="128" t="s">
        <v>936</v>
      </c>
      <c r="F410" s="127" t="s">
        <v>306</v>
      </c>
      <c r="H410" s="117" t="str">
        <f t="shared" si="13"/>
        <v>OTHER</v>
      </c>
      <c r="I410" s="113" t="s">
        <v>73</v>
      </c>
      <c r="J410"/>
    </row>
    <row r="411" spans="1:10">
      <c r="A411" s="114" t="str">
        <f t="shared" si="12"/>
        <v>1823920DSR COSTS AMORTIZED103280COMPANY INITIATIVES -PRODUCTION EFFICIENOTHER</v>
      </c>
      <c r="B411" s="127">
        <v>1823920</v>
      </c>
      <c r="C411" s="128" t="s">
        <v>695</v>
      </c>
      <c r="D411" s="127">
        <v>103280</v>
      </c>
      <c r="E411" s="128" t="s">
        <v>937</v>
      </c>
      <c r="F411" s="127" t="s">
        <v>306</v>
      </c>
      <c r="H411" s="117" t="str">
        <f t="shared" si="13"/>
        <v>OTHER</v>
      </c>
      <c r="I411" s="113" t="s">
        <v>73</v>
      </c>
      <c r="J411"/>
    </row>
    <row r="412" spans="1:10">
      <c r="A412" s="114" t="str">
        <f t="shared" si="12"/>
        <v>1823920DSR COSTS AMORTIZED103291Portfolio -WY-2011   Cat4OTHER</v>
      </c>
      <c r="B412" s="127">
        <v>1823920</v>
      </c>
      <c r="C412" s="128" t="s">
        <v>695</v>
      </c>
      <c r="D412" s="127">
        <v>103291</v>
      </c>
      <c r="E412" s="128" t="s">
        <v>938</v>
      </c>
      <c r="F412" s="127" t="s">
        <v>306</v>
      </c>
      <c r="H412" s="117" t="str">
        <f t="shared" si="13"/>
        <v>OTHER</v>
      </c>
      <c r="I412" s="113" t="s">
        <v>73</v>
      </c>
      <c r="J412"/>
    </row>
    <row r="413" spans="1:10">
      <c r="A413" s="114" t="str">
        <f t="shared" si="12"/>
        <v>1823920DSR COSTS AMORTIZED103292Portfolio - WashingtonOTHER</v>
      </c>
      <c r="B413" s="127">
        <v>1823920</v>
      </c>
      <c r="C413" s="128" t="s">
        <v>695</v>
      </c>
      <c r="D413" s="127">
        <v>103292</v>
      </c>
      <c r="E413" s="128" t="s">
        <v>939</v>
      </c>
      <c r="F413" s="127" t="s">
        <v>306</v>
      </c>
      <c r="H413" s="117" t="str">
        <f t="shared" si="13"/>
        <v>OTHER</v>
      </c>
      <c r="I413" s="113" t="s">
        <v>73</v>
      </c>
      <c r="J413"/>
    </row>
    <row r="414" spans="1:10">
      <c r="A414" s="114" t="str">
        <f t="shared" si="12"/>
        <v>1823920DSR COSTS AMORTIZED103293Energy Storage Demonstration Project -UTOTHER</v>
      </c>
      <c r="B414" s="127">
        <v>1823920</v>
      </c>
      <c r="C414" s="128" t="s">
        <v>695</v>
      </c>
      <c r="D414" s="127">
        <v>103293</v>
      </c>
      <c r="E414" s="128" t="s">
        <v>940</v>
      </c>
      <c r="F414" s="127" t="s">
        <v>306</v>
      </c>
      <c r="H414" s="117" t="str">
        <f t="shared" si="13"/>
        <v>OTHER</v>
      </c>
      <c r="I414" s="113" t="s">
        <v>73</v>
      </c>
      <c r="J414"/>
    </row>
    <row r="415" spans="1:10">
      <c r="A415" s="114" t="str">
        <f t="shared" si="12"/>
        <v>1823920DSR COSTS AMORTIZED103295Outreach And Communication-WY-2011OTHER</v>
      </c>
      <c r="B415" s="127">
        <v>1823920</v>
      </c>
      <c r="C415" s="128" t="s">
        <v>695</v>
      </c>
      <c r="D415" s="127">
        <v>103295</v>
      </c>
      <c r="E415" s="128" t="s">
        <v>941</v>
      </c>
      <c r="F415" s="127" t="s">
        <v>306</v>
      </c>
      <c r="H415" s="117" t="str">
        <f t="shared" si="13"/>
        <v>OTHER</v>
      </c>
      <c r="I415" s="113" t="s">
        <v>73</v>
      </c>
      <c r="J415"/>
    </row>
    <row r="416" spans="1:10">
      <c r="A416" s="114" t="str">
        <f t="shared" si="12"/>
        <v>1823920DSR COSTS AMORTIZED103299AGRICULURAL FINANSWER EXPRESS - UTAH - 2OTHER</v>
      </c>
      <c r="B416" s="127">
        <v>1823920</v>
      </c>
      <c r="C416" s="128" t="s">
        <v>695</v>
      </c>
      <c r="D416" s="127">
        <v>103299</v>
      </c>
      <c r="E416" s="128" t="s">
        <v>942</v>
      </c>
      <c r="F416" s="127" t="s">
        <v>306</v>
      </c>
      <c r="H416" s="117" t="str">
        <f t="shared" si="13"/>
        <v>OTHER</v>
      </c>
      <c r="I416" s="113" t="s">
        <v>73</v>
      </c>
      <c r="J416"/>
    </row>
    <row r="417" spans="1:10">
      <c r="A417" s="114" t="str">
        <f t="shared" si="12"/>
        <v>1823920DSR COSTS AMORTIZED103300AGRICULTURAL FINANSWER EXPRESS - WASHINGOTHER</v>
      </c>
      <c r="B417" s="127">
        <v>1823920</v>
      </c>
      <c r="C417" s="128" t="s">
        <v>695</v>
      </c>
      <c r="D417" s="127">
        <v>103300</v>
      </c>
      <c r="E417" s="128" t="s">
        <v>943</v>
      </c>
      <c r="F417" s="127" t="s">
        <v>306</v>
      </c>
      <c r="H417" s="117" t="str">
        <f t="shared" si="13"/>
        <v>OTHER</v>
      </c>
      <c r="I417" s="113" t="s">
        <v>73</v>
      </c>
      <c r="J417"/>
    </row>
    <row r="418" spans="1:10">
      <c r="A418" s="114" t="str">
        <f t="shared" si="12"/>
        <v>1823920DSR COSTS AMORTIZED103301PORTFOLIO -WY-2011   CAT2OTHER</v>
      </c>
      <c r="B418" s="127">
        <v>1823920</v>
      </c>
      <c r="C418" s="128" t="s">
        <v>695</v>
      </c>
      <c r="D418" s="127">
        <v>103301</v>
      </c>
      <c r="E418" s="128" t="s">
        <v>944</v>
      </c>
      <c r="F418" s="127" t="s">
        <v>306</v>
      </c>
      <c r="H418" s="117" t="str">
        <f t="shared" si="13"/>
        <v>OTHER</v>
      </c>
      <c r="I418" s="113" t="s">
        <v>73</v>
      </c>
      <c r="J418"/>
    </row>
    <row r="419" spans="1:10">
      <c r="A419" s="114" t="str">
        <f t="shared" si="12"/>
        <v>1823920DSR COSTS AMORTIZED103302PORTFOLIO -WY-2011   CAT3OTHER</v>
      </c>
      <c r="B419" s="127">
        <v>1823920</v>
      </c>
      <c r="C419" s="128" t="s">
        <v>695</v>
      </c>
      <c r="D419" s="127">
        <v>103302</v>
      </c>
      <c r="E419" s="128" t="s">
        <v>945</v>
      </c>
      <c r="F419" s="127" t="s">
        <v>306</v>
      </c>
      <c r="H419" s="117" t="str">
        <f t="shared" si="13"/>
        <v>OTHER</v>
      </c>
      <c r="I419" s="113" t="s">
        <v>73</v>
      </c>
      <c r="J419"/>
    </row>
    <row r="420" spans="1:10">
      <c r="A420" s="114" t="str">
        <f t="shared" si="12"/>
        <v>1823920DSR COSTS AMORTIZED103308Home Energy Reporting -OPower -WA 2011OTHER</v>
      </c>
      <c r="B420" s="127">
        <v>1823920</v>
      </c>
      <c r="C420" s="128" t="s">
        <v>695</v>
      </c>
      <c r="D420" s="127">
        <v>103308</v>
      </c>
      <c r="E420" s="128" t="s">
        <v>946</v>
      </c>
      <c r="F420" s="127" t="s">
        <v>306</v>
      </c>
      <c r="H420" s="117" t="str">
        <f t="shared" si="13"/>
        <v>OTHER</v>
      </c>
      <c r="I420" s="113" t="s">
        <v>73</v>
      </c>
      <c r="J420"/>
    </row>
    <row r="421" spans="1:10">
      <c r="A421" s="114" t="str">
        <f t="shared" si="12"/>
        <v>1823920DSR COSTS AMORTIZED103311CALIFORNIA DSM EXPENSE - 2012OTHER</v>
      </c>
      <c r="B421" s="127">
        <v>1823920</v>
      </c>
      <c r="C421" s="128" t="s">
        <v>695</v>
      </c>
      <c r="D421" s="127">
        <v>103311</v>
      </c>
      <c r="E421" s="128" t="s">
        <v>947</v>
      </c>
      <c r="F421" s="127" t="s">
        <v>306</v>
      </c>
      <c r="H421" s="117" t="str">
        <f t="shared" si="13"/>
        <v>OTHER</v>
      </c>
      <c r="I421" s="113" t="s">
        <v>73</v>
      </c>
      <c r="J421"/>
    </row>
    <row r="422" spans="1:10">
      <c r="A422" s="114" t="str">
        <f t="shared" si="12"/>
        <v>1823920DSR COSTS AMORTIZED103324A/C LOAD CONTROL - RESIDENTIAL/UTAH - 20OTHER</v>
      </c>
      <c r="B422" s="127">
        <v>1823920</v>
      </c>
      <c r="C422" s="128" t="s">
        <v>695</v>
      </c>
      <c r="D422" s="127">
        <v>103324</v>
      </c>
      <c r="E422" s="128" t="s">
        <v>772</v>
      </c>
      <c r="F422" s="127" t="s">
        <v>306</v>
      </c>
      <c r="H422" s="117" t="str">
        <f t="shared" si="13"/>
        <v>OTHER</v>
      </c>
      <c r="I422" s="113" t="s">
        <v>73</v>
      </c>
      <c r="J422"/>
    </row>
    <row r="423" spans="1:10">
      <c r="A423" s="114" t="str">
        <f t="shared" si="12"/>
        <v>1823920DSR COSTS AMORTIZED103325AIR CONDITIONING - UTAH - 2012OTHER</v>
      </c>
      <c r="B423" s="127">
        <v>1823920</v>
      </c>
      <c r="C423" s="128" t="s">
        <v>695</v>
      </c>
      <c r="D423" s="127">
        <v>103325</v>
      </c>
      <c r="E423" s="128" t="s">
        <v>948</v>
      </c>
      <c r="F423" s="127" t="s">
        <v>306</v>
      </c>
      <c r="H423" s="117" t="str">
        <f t="shared" si="13"/>
        <v>OTHER</v>
      </c>
      <c r="I423" s="113" t="s">
        <v>73</v>
      </c>
      <c r="J423"/>
    </row>
    <row r="424" spans="1:10">
      <c r="A424" s="114" t="str">
        <f t="shared" si="12"/>
        <v>1823920DSR COSTS AMORTIZED103326ENERGY FINANSWER - UTAH - 2012OTHER</v>
      </c>
      <c r="B424" s="127">
        <v>1823920</v>
      </c>
      <c r="C424" s="128" t="s">
        <v>695</v>
      </c>
      <c r="D424" s="127">
        <v>103326</v>
      </c>
      <c r="E424" s="128" t="s">
        <v>949</v>
      </c>
      <c r="F424" s="127" t="s">
        <v>306</v>
      </c>
      <c r="H424" s="117" t="str">
        <f t="shared" si="13"/>
        <v>OTHER</v>
      </c>
      <c r="I424" s="113" t="s">
        <v>73</v>
      </c>
      <c r="J424"/>
    </row>
    <row r="425" spans="1:10">
      <c r="A425" s="114" t="str">
        <f t="shared" si="12"/>
        <v>1823920DSR COSTS AMORTIZED103327INDUSTRIAL FINANSWER - UTAH - 2012OTHER</v>
      </c>
      <c r="B425" s="127">
        <v>1823920</v>
      </c>
      <c r="C425" s="128" t="s">
        <v>695</v>
      </c>
      <c r="D425" s="127">
        <v>103327</v>
      </c>
      <c r="E425" s="128" t="s">
        <v>950</v>
      </c>
      <c r="F425" s="127" t="s">
        <v>306</v>
      </c>
      <c r="H425" s="117" t="str">
        <f t="shared" si="13"/>
        <v>OTHER</v>
      </c>
      <c r="I425" s="113" t="s">
        <v>73</v>
      </c>
      <c r="J425"/>
    </row>
    <row r="426" spans="1:10">
      <c r="A426" s="114" t="str">
        <f t="shared" si="12"/>
        <v>1823920DSR COSTS AMORTIZED103328LOW INCOME - UTAH - 2012OTHER</v>
      </c>
      <c r="B426" s="127">
        <v>1823920</v>
      </c>
      <c r="C426" s="128" t="s">
        <v>695</v>
      </c>
      <c r="D426" s="127">
        <v>103328</v>
      </c>
      <c r="E426" s="128" t="s">
        <v>951</v>
      </c>
      <c r="F426" s="127" t="s">
        <v>306</v>
      </c>
      <c r="H426" s="117" t="str">
        <f t="shared" si="13"/>
        <v>OTHER</v>
      </c>
      <c r="I426" s="113" t="s">
        <v>73</v>
      </c>
      <c r="J426"/>
    </row>
    <row r="427" spans="1:10">
      <c r="A427" s="114" t="str">
        <f t="shared" si="12"/>
        <v>1823920DSR COSTS AMORTIZED103330REFRIGERATOR RECYCLING PGM- UTAH - 2012OTHER</v>
      </c>
      <c r="B427" s="127">
        <v>1823920</v>
      </c>
      <c r="C427" s="128" t="s">
        <v>695</v>
      </c>
      <c r="D427" s="127">
        <v>103330</v>
      </c>
      <c r="E427" s="128" t="s">
        <v>952</v>
      </c>
      <c r="F427" s="127" t="s">
        <v>306</v>
      </c>
      <c r="H427" s="117" t="str">
        <f t="shared" si="13"/>
        <v>OTHER</v>
      </c>
      <c r="I427" s="113" t="s">
        <v>73</v>
      </c>
      <c r="J427"/>
    </row>
    <row r="428" spans="1:10">
      <c r="A428" s="114" t="str">
        <f t="shared" si="12"/>
        <v>1823920DSR COSTS AMORTIZED103331COMMERCIAL SELF-DIRECT - UTAH - 2012OTHER</v>
      </c>
      <c r="B428" s="127">
        <v>1823920</v>
      </c>
      <c r="C428" s="128" t="s">
        <v>695</v>
      </c>
      <c r="D428" s="127">
        <v>103331</v>
      </c>
      <c r="E428" s="128" t="s">
        <v>953</v>
      </c>
      <c r="F428" s="127" t="s">
        <v>306</v>
      </c>
      <c r="H428" s="117" t="str">
        <f t="shared" si="13"/>
        <v>OTHER</v>
      </c>
      <c r="I428" s="113" t="s">
        <v>73</v>
      </c>
      <c r="J428"/>
    </row>
    <row r="429" spans="1:10">
      <c r="A429" s="114" t="str">
        <f t="shared" si="12"/>
        <v>1823920DSR COSTS AMORTIZED103332INDUSTRIAL SELF-DIRECT - UTAH - 2012OTHER</v>
      </c>
      <c r="B429" s="127">
        <v>1823920</v>
      </c>
      <c r="C429" s="128" t="s">
        <v>695</v>
      </c>
      <c r="D429" s="127">
        <v>103332</v>
      </c>
      <c r="E429" s="128" t="s">
        <v>954</v>
      </c>
      <c r="F429" s="127" t="s">
        <v>306</v>
      </c>
      <c r="H429" s="117" t="str">
        <f t="shared" si="13"/>
        <v>OTHER</v>
      </c>
      <c r="I429" s="113" t="s">
        <v>73</v>
      </c>
      <c r="J429"/>
    </row>
    <row r="430" spans="1:10">
      <c r="A430" s="114" t="str">
        <f t="shared" si="12"/>
        <v>1823920DSR COSTS AMORTIZED103333RESIDENTIAL NEW CONSTRUCTION - UTAH - 20OTHER</v>
      </c>
      <c r="B430" s="127">
        <v>1823920</v>
      </c>
      <c r="C430" s="128" t="s">
        <v>695</v>
      </c>
      <c r="D430" s="127">
        <v>103333</v>
      </c>
      <c r="E430" s="128" t="s">
        <v>757</v>
      </c>
      <c r="F430" s="127" t="s">
        <v>306</v>
      </c>
      <c r="H430" s="117" t="str">
        <f t="shared" si="13"/>
        <v>OTHER</v>
      </c>
      <c r="I430" s="113" t="s">
        <v>73</v>
      </c>
      <c r="J430"/>
    </row>
    <row r="431" spans="1:10">
      <c r="A431" s="114" t="str">
        <f t="shared" si="12"/>
        <v>1823920DSR COSTS AMORTIZED103334COMMERCIAL FINANSWER EXPRESS - UTAH - 20OTHER</v>
      </c>
      <c r="B431" s="127">
        <v>1823920</v>
      </c>
      <c r="C431" s="128" t="s">
        <v>695</v>
      </c>
      <c r="D431" s="127">
        <v>103334</v>
      </c>
      <c r="E431" s="128" t="s">
        <v>760</v>
      </c>
      <c r="F431" s="127" t="s">
        <v>306</v>
      </c>
      <c r="H431" s="117" t="str">
        <f t="shared" si="13"/>
        <v>OTHER</v>
      </c>
      <c r="I431" s="113" t="s">
        <v>73</v>
      </c>
      <c r="J431"/>
    </row>
    <row r="432" spans="1:10">
      <c r="A432" s="114" t="str">
        <f t="shared" si="12"/>
        <v>1823920DSR COSTS AMORTIZED103335INDUSTRIAL FINANSWER EXPRESS - UTAH - 20OTHER</v>
      </c>
      <c r="B432" s="127">
        <v>1823920</v>
      </c>
      <c r="C432" s="128" t="s">
        <v>695</v>
      </c>
      <c r="D432" s="127">
        <v>103335</v>
      </c>
      <c r="E432" s="128" t="s">
        <v>761</v>
      </c>
      <c r="F432" s="127" t="s">
        <v>306</v>
      </c>
      <c r="H432" s="117" t="str">
        <f t="shared" si="13"/>
        <v>OTHER</v>
      </c>
      <c r="I432" s="113" t="s">
        <v>73</v>
      </c>
      <c r="J432"/>
    </row>
    <row r="433" spans="1:10">
      <c r="A433" s="114" t="str">
        <f t="shared" si="12"/>
        <v>1823920DSR COSTS AMORTIZED103336RETROFIT COMMISSIONING PROGRAM  - UTAH -OTHER</v>
      </c>
      <c r="B433" s="127">
        <v>1823920</v>
      </c>
      <c r="C433" s="128" t="s">
        <v>695</v>
      </c>
      <c r="D433" s="127">
        <v>103336</v>
      </c>
      <c r="E433" s="128" t="s">
        <v>782</v>
      </c>
      <c r="F433" s="127" t="s">
        <v>306</v>
      </c>
      <c r="H433" s="117" t="str">
        <f t="shared" si="13"/>
        <v>OTHER</v>
      </c>
      <c r="I433" s="113" t="s">
        <v>73</v>
      </c>
      <c r="J433"/>
    </row>
    <row r="434" spans="1:10">
      <c r="A434" s="114" t="str">
        <f t="shared" si="12"/>
        <v>1823920DSR COSTS AMORTIZED103337IRRIGATION LOAD CONTROL  - UTAH - 2012OTHER</v>
      </c>
      <c r="B434" s="127">
        <v>1823920</v>
      </c>
      <c r="C434" s="128" t="s">
        <v>695</v>
      </c>
      <c r="D434" s="127">
        <v>103337</v>
      </c>
      <c r="E434" s="128" t="s">
        <v>955</v>
      </c>
      <c r="F434" s="127" t="s">
        <v>306</v>
      </c>
      <c r="H434" s="117" t="str">
        <f t="shared" si="13"/>
        <v>OTHER</v>
      </c>
      <c r="I434" s="113" t="s">
        <v>73</v>
      </c>
      <c r="J434"/>
    </row>
    <row r="435" spans="1:10">
      <c r="A435" s="114" t="str">
        <f t="shared" si="12"/>
        <v>1823920DSR COSTS AMORTIZED103338HOME ENERGY EFF INCENTIVE PROG - UT 2012OTHER</v>
      </c>
      <c r="B435" s="127">
        <v>1823920</v>
      </c>
      <c r="C435" s="128" t="s">
        <v>695</v>
      </c>
      <c r="D435" s="127">
        <v>103338</v>
      </c>
      <c r="E435" s="128" t="s">
        <v>956</v>
      </c>
      <c r="F435" s="127" t="s">
        <v>306</v>
      </c>
      <c r="H435" s="117" t="str">
        <f t="shared" si="13"/>
        <v>OTHER</v>
      </c>
      <c r="I435" s="113" t="s">
        <v>73</v>
      </c>
      <c r="J435"/>
    </row>
    <row r="436" spans="1:10">
      <c r="A436" s="114" t="str">
        <f t="shared" si="12"/>
        <v>1823920DSR COSTS AMORTIZED103339OUTREACH and COMMUNICATIONS - UT 2012OTHER</v>
      </c>
      <c r="B436" s="127">
        <v>1823920</v>
      </c>
      <c r="C436" s="128" t="s">
        <v>695</v>
      </c>
      <c r="D436" s="127">
        <v>103339</v>
      </c>
      <c r="E436" s="128" t="s">
        <v>957</v>
      </c>
      <c r="F436" s="127" t="s">
        <v>306</v>
      </c>
      <c r="H436" s="117" t="str">
        <f t="shared" si="13"/>
        <v>OTHER</v>
      </c>
      <c r="I436" s="113" t="s">
        <v>73</v>
      </c>
      <c r="J436"/>
    </row>
    <row r="437" spans="1:10">
      <c r="A437" s="114" t="str">
        <f t="shared" si="12"/>
        <v>1823920DSR COSTS AMORTIZED103340COMMERCIAL DIRECT INSTALL - UT 2012OTHER</v>
      </c>
      <c r="B437" s="127">
        <v>1823920</v>
      </c>
      <c r="C437" s="128" t="s">
        <v>695</v>
      </c>
      <c r="D437" s="127">
        <v>103340</v>
      </c>
      <c r="E437" s="128" t="s">
        <v>958</v>
      </c>
      <c r="F437" s="127" t="s">
        <v>306</v>
      </c>
      <c r="H437" s="117" t="str">
        <f t="shared" si="13"/>
        <v>OTHER</v>
      </c>
      <c r="I437" s="113" t="s">
        <v>73</v>
      </c>
      <c r="J437"/>
    </row>
    <row r="438" spans="1:10">
      <c r="A438" s="114" t="str">
        <f t="shared" si="12"/>
        <v>1823920DSR COSTS AMORTIZED103341COMMERCIAL CURTAILMENT - UT 2012OTHER</v>
      </c>
      <c r="B438" s="127">
        <v>1823920</v>
      </c>
      <c r="C438" s="128" t="s">
        <v>695</v>
      </c>
      <c r="D438" s="127">
        <v>103341</v>
      </c>
      <c r="E438" s="128" t="s">
        <v>959</v>
      </c>
      <c r="F438" s="127" t="s">
        <v>306</v>
      </c>
      <c r="H438" s="117" t="str">
        <f t="shared" si="13"/>
        <v>OTHER</v>
      </c>
      <c r="I438" s="113" t="s">
        <v>73</v>
      </c>
      <c r="J438"/>
    </row>
    <row r="439" spans="1:10">
      <c r="A439" s="114" t="str">
        <f t="shared" si="12"/>
        <v>1823920DSR COSTS AMORTIZED103342ENERGY STORAGE DEMO PROJECT - UT 2012OTHER</v>
      </c>
      <c r="B439" s="127">
        <v>1823920</v>
      </c>
      <c r="C439" s="128" t="s">
        <v>695</v>
      </c>
      <c r="D439" s="127">
        <v>103342</v>
      </c>
      <c r="E439" s="128" t="s">
        <v>960</v>
      </c>
      <c r="F439" s="127" t="s">
        <v>306</v>
      </c>
      <c r="H439" s="117" t="str">
        <f t="shared" si="13"/>
        <v>OTHER</v>
      </c>
      <c r="I439" s="113" t="s">
        <v>73</v>
      </c>
      <c r="J439"/>
    </row>
    <row r="440" spans="1:10">
      <c r="A440" s="114" t="str">
        <f t="shared" si="12"/>
        <v>1823920DSR COSTS AMORTIZED103343AGRICULTURAL FINANSWER EXPRESS - UTAH -OTHER</v>
      </c>
      <c r="B440" s="127">
        <v>1823920</v>
      </c>
      <c r="C440" s="128" t="s">
        <v>695</v>
      </c>
      <c r="D440" s="127">
        <v>103343</v>
      </c>
      <c r="E440" s="128" t="s">
        <v>961</v>
      </c>
      <c r="F440" s="127" t="s">
        <v>306</v>
      </c>
      <c r="H440" s="117" t="str">
        <f t="shared" si="13"/>
        <v>OTHER</v>
      </c>
      <c r="I440" s="113" t="s">
        <v>73</v>
      </c>
      <c r="J440"/>
    </row>
    <row r="441" spans="1:10">
      <c r="A441" s="114" t="str">
        <f t="shared" si="12"/>
        <v>1823920DSR COSTS AMORTIZED103346HOME ENERGY REPORTING - UT 2012OTHER</v>
      </c>
      <c r="B441" s="127">
        <v>1823920</v>
      </c>
      <c r="C441" s="128" t="s">
        <v>695</v>
      </c>
      <c r="D441" s="127">
        <v>103346</v>
      </c>
      <c r="E441" s="128" t="s">
        <v>962</v>
      </c>
      <c r="F441" s="127" t="s">
        <v>306</v>
      </c>
      <c r="H441" s="117" t="str">
        <f t="shared" si="13"/>
        <v>OTHER</v>
      </c>
      <c r="I441" s="113" t="s">
        <v>73</v>
      </c>
      <c r="J441"/>
    </row>
    <row r="442" spans="1:10">
      <c r="A442" s="114" t="str">
        <f t="shared" si="12"/>
        <v>1823920DSR COSTS AMORTIZED103347ENERGY FINANSWER-WY-2012 CAT3OTHER</v>
      </c>
      <c r="B442" s="127">
        <v>1823920</v>
      </c>
      <c r="C442" s="128" t="s">
        <v>695</v>
      </c>
      <c r="D442" s="127">
        <v>103347</v>
      </c>
      <c r="E442" s="128" t="s">
        <v>963</v>
      </c>
      <c r="F442" s="127" t="s">
        <v>306</v>
      </c>
      <c r="H442" s="117" t="str">
        <f t="shared" si="13"/>
        <v>OTHER</v>
      </c>
      <c r="I442" s="113" t="s">
        <v>73</v>
      </c>
      <c r="J442"/>
    </row>
    <row r="443" spans="1:10">
      <c r="A443" s="114" t="str">
        <f t="shared" si="12"/>
        <v>1823920DSR COSTS AMORTIZED103348INDUSTRIAL FINANSWER-WY-2012 CAT3OTHER</v>
      </c>
      <c r="B443" s="127">
        <v>1823920</v>
      </c>
      <c r="C443" s="128" t="s">
        <v>695</v>
      </c>
      <c r="D443" s="127">
        <v>103348</v>
      </c>
      <c r="E443" s="128" t="s">
        <v>964</v>
      </c>
      <c r="F443" s="127" t="s">
        <v>306</v>
      </c>
      <c r="H443" s="117" t="str">
        <f t="shared" si="13"/>
        <v>OTHER</v>
      </c>
      <c r="I443" s="113" t="s">
        <v>73</v>
      </c>
      <c r="J443"/>
    </row>
    <row r="444" spans="1:10">
      <c r="A444" s="114" t="str">
        <f t="shared" si="12"/>
        <v>1823920DSR COSTS AMORTIZED103349REFRIGERATOR RECYCLING-WY -2012 CAT1OTHER</v>
      </c>
      <c r="B444" s="127">
        <v>1823920</v>
      </c>
      <c r="C444" s="128" t="s">
        <v>695</v>
      </c>
      <c r="D444" s="127">
        <v>103349</v>
      </c>
      <c r="E444" s="128" t="s">
        <v>965</v>
      </c>
      <c r="F444" s="127" t="s">
        <v>306</v>
      </c>
      <c r="H444" s="117" t="str">
        <f t="shared" si="13"/>
        <v>OTHER</v>
      </c>
      <c r="I444" s="113" t="s">
        <v>73</v>
      </c>
      <c r="J444"/>
    </row>
    <row r="445" spans="1:10">
      <c r="A445" s="114" t="str">
        <f t="shared" si="12"/>
        <v>1823920DSR COSTS AMORTIZED103350HOME ENERGY EFF INCENT PROG Y-2012 CAT1OTHER</v>
      </c>
      <c r="B445" s="127">
        <v>1823920</v>
      </c>
      <c r="C445" s="128" t="s">
        <v>695</v>
      </c>
      <c r="D445" s="127">
        <v>103350</v>
      </c>
      <c r="E445" s="128" t="s">
        <v>966</v>
      </c>
      <c r="F445" s="127" t="s">
        <v>306</v>
      </c>
      <c r="H445" s="117" t="str">
        <f t="shared" si="13"/>
        <v>OTHER</v>
      </c>
      <c r="I445" s="113" t="s">
        <v>73</v>
      </c>
      <c r="J445"/>
    </row>
    <row r="446" spans="1:10">
      <c r="A446" s="114" t="str">
        <f t="shared" si="12"/>
        <v>1823920DSR COSTS AMORTIZED103351LOW-INCOME WEATHERZTN - WY 2012 CAT1OTHER</v>
      </c>
      <c r="B446" s="127">
        <v>1823920</v>
      </c>
      <c r="C446" s="128" t="s">
        <v>695</v>
      </c>
      <c r="D446" s="127">
        <v>103351</v>
      </c>
      <c r="E446" s="128" t="s">
        <v>967</v>
      </c>
      <c r="F446" s="127" t="s">
        <v>306</v>
      </c>
      <c r="H446" s="117" t="str">
        <f t="shared" si="13"/>
        <v>OTHER</v>
      </c>
      <c r="I446" s="113" t="s">
        <v>73</v>
      </c>
      <c r="J446"/>
    </row>
    <row r="447" spans="1:10">
      <c r="A447" s="114" t="str">
        <f t="shared" si="12"/>
        <v>1823920DSR COSTS AMORTIZED103352COMMERCIAL FINANSWER EXP WY-2012 CAT3OTHER</v>
      </c>
      <c r="B447" s="127">
        <v>1823920</v>
      </c>
      <c r="C447" s="128" t="s">
        <v>695</v>
      </c>
      <c r="D447" s="127">
        <v>103352</v>
      </c>
      <c r="E447" s="128" t="s">
        <v>968</v>
      </c>
      <c r="F447" s="127" t="s">
        <v>306</v>
      </c>
      <c r="H447" s="117" t="str">
        <f t="shared" si="13"/>
        <v>OTHER</v>
      </c>
      <c r="I447" s="113" t="s">
        <v>73</v>
      </c>
      <c r="J447"/>
    </row>
    <row r="448" spans="1:10">
      <c r="A448" s="114" t="str">
        <f t="shared" si="12"/>
        <v>1823920DSR COSTS AMORTIZED103353INDUSTRIAL FINANSWER EXP WY-2012 CAT3OTHER</v>
      </c>
      <c r="B448" s="127">
        <v>1823920</v>
      </c>
      <c r="C448" s="128" t="s">
        <v>695</v>
      </c>
      <c r="D448" s="127">
        <v>103353</v>
      </c>
      <c r="E448" s="128" t="s">
        <v>969</v>
      </c>
      <c r="F448" s="127" t="s">
        <v>306</v>
      </c>
      <c r="H448" s="117" t="str">
        <f t="shared" si="13"/>
        <v>OTHER</v>
      </c>
      <c r="I448" s="113" t="s">
        <v>73</v>
      </c>
      <c r="J448"/>
    </row>
    <row r="449" spans="1:10">
      <c r="A449" s="114" t="str">
        <f t="shared" si="12"/>
        <v>1823920DSR COSTS AMORTIZED103354SELF DIRECT - COMMERCIAL -WY-2012 CAT3OTHER</v>
      </c>
      <c r="B449" s="127">
        <v>1823920</v>
      </c>
      <c r="C449" s="128" t="s">
        <v>695</v>
      </c>
      <c r="D449" s="127">
        <v>103354</v>
      </c>
      <c r="E449" s="128" t="s">
        <v>970</v>
      </c>
      <c r="F449" s="127" t="s">
        <v>306</v>
      </c>
      <c r="H449" s="117" t="str">
        <f t="shared" si="13"/>
        <v>OTHER</v>
      </c>
      <c r="I449" s="113" t="s">
        <v>73</v>
      </c>
      <c r="J449"/>
    </row>
    <row r="450" spans="1:10">
      <c r="A450" s="114" t="str">
        <f t="shared" si="12"/>
        <v>1823920DSR COSTS AMORTIZED103355SELF DIRECT -INDUSTRIAL -WY-2012 CAT3OTHER</v>
      </c>
      <c r="B450" s="127">
        <v>1823920</v>
      </c>
      <c r="C450" s="128" t="s">
        <v>695</v>
      </c>
      <c r="D450" s="127">
        <v>103355</v>
      </c>
      <c r="E450" s="128" t="s">
        <v>971</v>
      </c>
      <c r="F450" s="127" t="s">
        <v>306</v>
      </c>
      <c r="H450" s="117" t="str">
        <f t="shared" si="13"/>
        <v>OTHER</v>
      </c>
      <c r="I450" s="113" t="s">
        <v>73</v>
      </c>
      <c r="J450"/>
    </row>
    <row r="451" spans="1:10">
      <c r="A451" s="114" t="str">
        <f t="shared" ref="A451:A514" si="14">CONCATENATE($B451,$C451,$D451,$E451,$H451)</f>
        <v>1823920DSR COSTS AMORTIZED103356COMMERCIAL FINANSWER EXP- WY-2012 CAT2OTHER</v>
      </c>
      <c r="B451" s="127">
        <v>1823920</v>
      </c>
      <c r="C451" s="128" t="s">
        <v>695</v>
      </c>
      <c r="D451" s="127">
        <v>103356</v>
      </c>
      <c r="E451" s="128" t="s">
        <v>972</v>
      </c>
      <c r="F451" s="127" t="s">
        <v>306</v>
      </c>
      <c r="H451" s="117" t="str">
        <f t="shared" ref="H451:H514" si="15">IF(OR(F451="IDU",F451="OR",F451="UT",F451="WYU",F451="WYP",F451="CA",F451="WA"),"SITUS",F451)</f>
        <v>OTHER</v>
      </c>
      <c r="I451" s="113" t="s">
        <v>73</v>
      </c>
      <c r="J451"/>
    </row>
    <row r="452" spans="1:10">
      <c r="A452" s="114" t="str">
        <f t="shared" si="14"/>
        <v>1823920DSR COSTS AMORTIZED103357INDUSTRIAL FINAN EXPRESS WY-2012 CAT2OTHER</v>
      </c>
      <c r="B452" s="127">
        <v>1823920</v>
      </c>
      <c r="C452" s="128" t="s">
        <v>695</v>
      </c>
      <c r="D452" s="127">
        <v>103357</v>
      </c>
      <c r="E452" s="128" t="s">
        <v>973</v>
      </c>
      <c r="F452" s="127" t="s">
        <v>306</v>
      </c>
      <c r="H452" s="117" t="str">
        <f t="shared" si="15"/>
        <v>OTHER</v>
      </c>
      <c r="I452" s="113" t="s">
        <v>73</v>
      </c>
      <c r="J452"/>
    </row>
    <row r="453" spans="1:10">
      <c r="A453" s="114" t="str">
        <f t="shared" si="14"/>
        <v>1823920DSR COSTS AMORTIZED103358ENERGY FINANSWER -WY 2012 CAT2OTHER</v>
      </c>
      <c r="B453" s="127">
        <v>1823920</v>
      </c>
      <c r="C453" s="128" t="s">
        <v>695</v>
      </c>
      <c r="D453" s="127">
        <v>103358</v>
      </c>
      <c r="E453" s="128" t="s">
        <v>974</v>
      </c>
      <c r="F453" s="127" t="s">
        <v>306</v>
      </c>
      <c r="H453" s="117" t="str">
        <f t="shared" si="15"/>
        <v>OTHER</v>
      </c>
      <c r="I453" s="113" t="s">
        <v>73</v>
      </c>
      <c r="J453"/>
    </row>
    <row r="454" spans="1:10">
      <c r="A454" s="114" t="str">
        <f t="shared" si="14"/>
        <v>1823920DSR COSTS AMORTIZED103359INDUSTRIAL FINANSWER -WY 2012 CAT2OTHER</v>
      </c>
      <c r="B454" s="127">
        <v>1823920</v>
      </c>
      <c r="C454" s="128" t="s">
        <v>695</v>
      </c>
      <c r="D454" s="127">
        <v>103359</v>
      </c>
      <c r="E454" s="128" t="s">
        <v>975</v>
      </c>
      <c r="F454" s="127" t="s">
        <v>306</v>
      </c>
      <c r="H454" s="117" t="str">
        <f t="shared" si="15"/>
        <v>OTHER</v>
      </c>
      <c r="I454" s="113" t="s">
        <v>73</v>
      </c>
      <c r="J454"/>
    </row>
    <row r="455" spans="1:10">
      <c r="A455" s="114" t="str">
        <f t="shared" si="14"/>
        <v>1823920DSR COSTS AMORTIZED103360SELF DIRECT - COMMERCIAL WY-2012 CAT2OTHER</v>
      </c>
      <c r="B455" s="127">
        <v>1823920</v>
      </c>
      <c r="C455" s="128" t="s">
        <v>695</v>
      </c>
      <c r="D455" s="127">
        <v>103360</v>
      </c>
      <c r="E455" s="128" t="s">
        <v>976</v>
      </c>
      <c r="F455" s="127" t="s">
        <v>306</v>
      </c>
      <c r="H455" s="117" t="str">
        <f t="shared" si="15"/>
        <v>OTHER</v>
      </c>
      <c r="I455" s="113" t="s">
        <v>73</v>
      </c>
      <c r="J455"/>
    </row>
    <row r="456" spans="1:10">
      <c r="A456" s="114" t="str">
        <f t="shared" si="14"/>
        <v>1823920DSR COSTS AMORTIZED103361SELF DIRECT- INDUSTRIAL WY-2012 CAT2OTHER</v>
      </c>
      <c r="B456" s="127">
        <v>1823920</v>
      </c>
      <c r="C456" s="128" t="s">
        <v>695</v>
      </c>
      <c r="D456" s="127">
        <v>103361</v>
      </c>
      <c r="E456" s="128" t="s">
        <v>977</v>
      </c>
      <c r="F456" s="127" t="s">
        <v>306</v>
      </c>
      <c r="H456" s="117" t="str">
        <f t="shared" si="15"/>
        <v>OTHER</v>
      </c>
      <c r="I456" s="113" t="s">
        <v>73</v>
      </c>
      <c r="J456"/>
    </row>
    <row r="457" spans="1:10">
      <c r="A457" s="114" t="str">
        <f t="shared" si="14"/>
        <v>1823920DSR COSTS AMORTIZED103363PORTFOLIO WY-2012 CAT1OTHER</v>
      </c>
      <c r="B457" s="127">
        <v>1823920</v>
      </c>
      <c r="C457" s="128" t="s">
        <v>695</v>
      </c>
      <c r="D457" s="127">
        <v>103363</v>
      </c>
      <c r="E457" s="128" t="s">
        <v>978</v>
      </c>
      <c r="F457" s="127" t="s">
        <v>306</v>
      </c>
      <c r="H457" s="117" t="str">
        <f t="shared" si="15"/>
        <v>OTHER</v>
      </c>
      <c r="I457" s="113" t="s">
        <v>73</v>
      </c>
      <c r="J457"/>
    </row>
    <row r="458" spans="1:10">
      <c r="A458" s="114" t="str">
        <f t="shared" si="14"/>
        <v>1823920DSR COSTS AMORTIZED103364OUTREACH AND COMMUNICATION WATTSMT  WY-2OTHER</v>
      </c>
      <c r="B458" s="127">
        <v>1823920</v>
      </c>
      <c r="C458" s="128" t="s">
        <v>695</v>
      </c>
      <c r="D458" s="127">
        <v>103364</v>
      </c>
      <c r="E458" s="128" t="s">
        <v>979</v>
      </c>
      <c r="F458" s="127" t="s">
        <v>306</v>
      </c>
      <c r="H458" s="117" t="str">
        <f t="shared" si="15"/>
        <v>OTHER</v>
      </c>
      <c r="I458" s="113" t="s">
        <v>73</v>
      </c>
      <c r="J458"/>
    </row>
    <row r="459" spans="1:10">
      <c r="A459" s="114" t="str">
        <f t="shared" si="14"/>
        <v>1823920DSR COSTS AMORTIZED103365AGRICULURAL FINANSWER EXP WY-2012 CAT2OTHER</v>
      </c>
      <c r="B459" s="127">
        <v>1823920</v>
      </c>
      <c r="C459" s="128" t="s">
        <v>695</v>
      </c>
      <c r="D459" s="127">
        <v>103365</v>
      </c>
      <c r="E459" s="128" t="s">
        <v>980</v>
      </c>
      <c r="F459" s="127" t="s">
        <v>306</v>
      </c>
      <c r="H459" s="117" t="str">
        <f t="shared" si="15"/>
        <v>OTHER</v>
      </c>
      <c r="I459" s="113" t="s">
        <v>73</v>
      </c>
      <c r="J459"/>
    </row>
    <row r="460" spans="1:10">
      <c r="A460" s="114" t="str">
        <f t="shared" si="14"/>
        <v>1823920DSR COSTS AMORTIZED103366AGRICULURAL FINANSWER EXP WY-2012 CAT3OTHER</v>
      </c>
      <c r="B460" s="127">
        <v>1823920</v>
      </c>
      <c r="C460" s="128" t="s">
        <v>695</v>
      </c>
      <c r="D460" s="127">
        <v>103366</v>
      </c>
      <c r="E460" s="128" t="s">
        <v>981</v>
      </c>
      <c r="F460" s="127" t="s">
        <v>306</v>
      </c>
      <c r="H460" s="117" t="str">
        <f t="shared" si="15"/>
        <v>OTHER</v>
      </c>
      <c r="I460" s="113" t="s">
        <v>73</v>
      </c>
      <c r="J460"/>
    </row>
    <row r="461" spans="1:10">
      <c r="A461" s="114" t="str">
        <f t="shared" si="14"/>
        <v>1823920DSR COSTS AMORTIZED103367PORTFOLIO WY-2012 CAT2OTHER</v>
      </c>
      <c r="B461" s="127">
        <v>1823920</v>
      </c>
      <c r="C461" s="128" t="s">
        <v>695</v>
      </c>
      <c r="D461" s="127">
        <v>103367</v>
      </c>
      <c r="E461" s="128" t="s">
        <v>982</v>
      </c>
      <c r="F461" s="127" t="s">
        <v>306</v>
      </c>
      <c r="H461" s="117" t="str">
        <f t="shared" si="15"/>
        <v>OTHER</v>
      </c>
      <c r="I461" s="113" t="s">
        <v>73</v>
      </c>
      <c r="J461"/>
    </row>
    <row r="462" spans="1:10">
      <c r="A462" s="114" t="str">
        <f t="shared" si="14"/>
        <v>1823920DSR COSTS AMORTIZED103368PORTFOLIO WY-2012 CAT3OTHER</v>
      </c>
      <c r="B462" s="127">
        <v>1823920</v>
      </c>
      <c r="C462" s="128" t="s">
        <v>695</v>
      </c>
      <c r="D462" s="127">
        <v>103368</v>
      </c>
      <c r="E462" s="128" t="s">
        <v>983</v>
      </c>
      <c r="F462" s="127" t="s">
        <v>306</v>
      </c>
      <c r="H462" s="117" t="str">
        <f t="shared" si="15"/>
        <v>OTHER</v>
      </c>
      <c r="I462" s="113" t="s">
        <v>73</v>
      </c>
      <c r="J462"/>
    </row>
    <row r="463" spans="1:10">
      <c r="A463" s="114" t="str">
        <f t="shared" si="14"/>
        <v>1823920DSR COSTS AMORTIZED103369COMMERCIAL CURTAILMENT - OR 2012OTHER</v>
      </c>
      <c r="B463" s="127">
        <v>1823920</v>
      </c>
      <c r="C463" s="128" t="s">
        <v>695</v>
      </c>
      <c r="D463" s="127">
        <v>103369</v>
      </c>
      <c r="E463" s="128" t="s">
        <v>984</v>
      </c>
      <c r="F463" s="127" t="s">
        <v>306</v>
      </c>
      <c r="H463" s="117" t="str">
        <f t="shared" si="15"/>
        <v>OTHER</v>
      </c>
      <c r="I463" s="113" t="s">
        <v>73</v>
      </c>
      <c r="J463"/>
    </row>
    <row r="464" spans="1:10">
      <c r="A464" s="114" t="str">
        <f t="shared" si="14"/>
        <v>1823920DSR COSTS AMORTIZED103493U.of Utah Student Energy Sponsorship- UTOTHER</v>
      </c>
      <c r="B464" s="127">
        <v>1823920</v>
      </c>
      <c r="C464" s="128" t="s">
        <v>695</v>
      </c>
      <c r="D464" s="127">
        <v>103493</v>
      </c>
      <c r="E464" s="128" t="s">
        <v>985</v>
      </c>
      <c r="F464" s="127" t="s">
        <v>306</v>
      </c>
      <c r="H464" s="117" t="str">
        <f t="shared" si="15"/>
        <v>OTHER</v>
      </c>
      <c r="I464" s="113" t="s">
        <v>73</v>
      </c>
      <c r="J464"/>
    </row>
    <row r="465" spans="1:10">
      <c r="A465" s="114" t="str">
        <f t="shared" si="14"/>
        <v>1823920DSR COSTS AMORTIZED103496PORTFOLIO - IDAHOOTHER</v>
      </c>
      <c r="B465" s="127">
        <v>1823920</v>
      </c>
      <c r="C465" s="128" t="s">
        <v>695</v>
      </c>
      <c r="D465" s="127">
        <v>103496</v>
      </c>
      <c r="E465" s="128" t="s">
        <v>986</v>
      </c>
      <c r="F465" s="127" t="s">
        <v>306</v>
      </c>
      <c r="H465" s="117" t="str">
        <f t="shared" si="15"/>
        <v>OTHER</v>
      </c>
      <c r="I465" s="113" t="s">
        <v>73</v>
      </c>
      <c r="J465"/>
    </row>
    <row r="466" spans="1:10">
      <c r="A466" s="114" t="str">
        <f t="shared" si="14"/>
        <v>1823920DSR COSTS AMORTIZED103497PORTFOLIO - UTAHOTHER</v>
      </c>
      <c r="B466" s="127">
        <v>1823920</v>
      </c>
      <c r="C466" s="128" t="s">
        <v>695</v>
      </c>
      <c r="D466" s="127">
        <v>103497</v>
      </c>
      <c r="E466" s="128" t="s">
        <v>987</v>
      </c>
      <c r="F466" s="127" t="s">
        <v>306</v>
      </c>
      <c r="H466" s="117" t="str">
        <f t="shared" si="15"/>
        <v>OTHER</v>
      </c>
      <c r="I466" s="113" t="s">
        <v>73</v>
      </c>
      <c r="J466"/>
    </row>
    <row r="467" spans="1:10">
      <c r="A467" s="114" t="str">
        <f t="shared" si="14"/>
        <v>1823920DSR COSTS AMORTIZED103623CALIFORNIA DSM EXPENSE - 2013OTHER</v>
      </c>
      <c r="B467" s="127">
        <v>1823920</v>
      </c>
      <c r="C467" s="128" t="s">
        <v>695</v>
      </c>
      <c r="D467" s="127">
        <v>103623</v>
      </c>
      <c r="E467" s="128" t="s">
        <v>988</v>
      </c>
      <c r="F467" s="127" t="s">
        <v>306</v>
      </c>
      <c r="H467" s="117" t="str">
        <f t="shared" si="15"/>
        <v>OTHER</v>
      </c>
      <c r="I467" s="113" t="s">
        <v>73</v>
      </c>
      <c r="J467"/>
    </row>
    <row r="468" spans="1:10">
      <c r="A468" s="114" t="str">
        <f t="shared" si="14"/>
        <v>1823920DSR COSTS AMORTIZED103646PORTFOLIO - IDAHO 2013OTHER</v>
      </c>
      <c r="B468" s="127">
        <v>1823920</v>
      </c>
      <c r="C468" s="128" t="s">
        <v>695</v>
      </c>
      <c r="D468" s="127">
        <v>103646</v>
      </c>
      <c r="E468" s="128" t="s">
        <v>989</v>
      </c>
      <c r="F468" s="127" t="s">
        <v>306</v>
      </c>
      <c r="H468" s="117" t="str">
        <f t="shared" si="15"/>
        <v>OTHER</v>
      </c>
      <c r="I468" s="113" t="s">
        <v>73</v>
      </c>
      <c r="J468"/>
    </row>
    <row r="469" spans="1:10">
      <c r="A469" s="114" t="str">
        <f t="shared" si="14"/>
        <v>1823920DSR COSTS AMORTIZED103647A/C LOAD CONTROL - RESIDENTIAL/UTAH - 20OTHER</v>
      </c>
      <c r="B469" s="127">
        <v>1823920</v>
      </c>
      <c r="C469" s="128" t="s">
        <v>695</v>
      </c>
      <c r="D469" s="127">
        <v>103647</v>
      </c>
      <c r="E469" s="128" t="s">
        <v>772</v>
      </c>
      <c r="F469" s="127" t="s">
        <v>306</v>
      </c>
      <c r="H469" s="117" t="str">
        <f t="shared" si="15"/>
        <v>OTHER</v>
      </c>
      <c r="I469" s="113" t="s">
        <v>73</v>
      </c>
      <c r="J469"/>
    </row>
    <row r="470" spans="1:10">
      <c r="A470" s="114" t="str">
        <f t="shared" si="14"/>
        <v>1823920DSR COSTS AMORTIZED103648AIR CONDITIONING - UTAH - 2013OTHER</v>
      </c>
      <c r="B470" s="127">
        <v>1823920</v>
      </c>
      <c r="C470" s="128" t="s">
        <v>695</v>
      </c>
      <c r="D470" s="127">
        <v>103648</v>
      </c>
      <c r="E470" s="128" t="s">
        <v>990</v>
      </c>
      <c r="F470" s="127" t="s">
        <v>306</v>
      </c>
      <c r="H470" s="117" t="str">
        <f t="shared" si="15"/>
        <v>OTHER</v>
      </c>
      <c r="I470" s="113" t="s">
        <v>73</v>
      </c>
      <c r="J470"/>
    </row>
    <row r="471" spans="1:10">
      <c r="A471" s="114" t="str">
        <f t="shared" si="14"/>
        <v>1823920DSR COSTS AMORTIZED103649ENERGY FINANSWER - UTAH - 2013OTHER</v>
      </c>
      <c r="B471" s="127">
        <v>1823920</v>
      </c>
      <c r="C471" s="128" t="s">
        <v>695</v>
      </c>
      <c r="D471" s="127">
        <v>103649</v>
      </c>
      <c r="E471" s="128" t="s">
        <v>991</v>
      </c>
      <c r="F471" s="127" t="s">
        <v>306</v>
      </c>
      <c r="H471" s="117" t="str">
        <f t="shared" si="15"/>
        <v>OTHER</v>
      </c>
      <c r="I471" s="113" t="s">
        <v>73</v>
      </c>
      <c r="J471"/>
    </row>
    <row r="472" spans="1:10">
      <c r="A472" s="114" t="str">
        <f t="shared" si="14"/>
        <v>1823920DSR COSTS AMORTIZED103650INDUSTRIAL FINANSWER - UTAH - 2013OTHER</v>
      </c>
      <c r="B472" s="127">
        <v>1823920</v>
      </c>
      <c r="C472" s="128" t="s">
        <v>695</v>
      </c>
      <c r="D472" s="127">
        <v>103650</v>
      </c>
      <c r="E472" s="128" t="s">
        <v>992</v>
      </c>
      <c r="F472" s="127" t="s">
        <v>306</v>
      </c>
      <c r="H472" s="117" t="str">
        <f t="shared" si="15"/>
        <v>OTHER</v>
      </c>
      <c r="I472" s="113" t="s">
        <v>73</v>
      </c>
      <c r="J472"/>
    </row>
    <row r="473" spans="1:10">
      <c r="A473" s="114" t="str">
        <f t="shared" si="14"/>
        <v>1823920DSR COSTS AMORTIZED103651LOW INCOME - UTAH - 2013OTHER</v>
      </c>
      <c r="B473" s="127">
        <v>1823920</v>
      </c>
      <c r="C473" s="128" t="s">
        <v>695</v>
      </c>
      <c r="D473" s="127">
        <v>103651</v>
      </c>
      <c r="E473" s="128" t="s">
        <v>993</v>
      </c>
      <c r="F473" s="127" t="s">
        <v>306</v>
      </c>
      <c r="H473" s="117" t="str">
        <f t="shared" si="15"/>
        <v>OTHER</v>
      </c>
      <c r="I473" s="113" t="s">
        <v>73</v>
      </c>
      <c r="J473"/>
    </row>
    <row r="474" spans="1:10">
      <c r="A474" s="114" t="str">
        <f t="shared" si="14"/>
        <v>1823920DSR COSTS AMORTIZED103653REFRIGERATOR RECYCLING PGM- UTAH - 2013OTHER</v>
      </c>
      <c r="B474" s="127">
        <v>1823920</v>
      </c>
      <c r="C474" s="128" t="s">
        <v>695</v>
      </c>
      <c r="D474" s="127">
        <v>103653</v>
      </c>
      <c r="E474" s="128" t="s">
        <v>994</v>
      </c>
      <c r="F474" s="127" t="s">
        <v>306</v>
      </c>
      <c r="H474" s="117" t="str">
        <f t="shared" si="15"/>
        <v>OTHER</v>
      </c>
      <c r="I474" s="113" t="s">
        <v>73</v>
      </c>
      <c r="J474"/>
    </row>
    <row r="475" spans="1:10">
      <c r="A475" s="114" t="str">
        <f t="shared" si="14"/>
        <v>1823920DSR COSTS AMORTIZED103654COMMERCIAL SELF-DIRECT - UTAH - 2013OTHER</v>
      </c>
      <c r="B475" s="127">
        <v>1823920</v>
      </c>
      <c r="C475" s="128" t="s">
        <v>695</v>
      </c>
      <c r="D475" s="127">
        <v>103654</v>
      </c>
      <c r="E475" s="128" t="s">
        <v>995</v>
      </c>
      <c r="F475" s="127" t="s">
        <v>306</v>
      </c>
      <c r="H475" s="117" t="str">
        <f t="shared" si="15"/>
        <v>OTHER</v>
      </c>
      <c r="I475" s="113" t="s">
        <v>73</v>
      </c>
      <c r="J475"/>
    </row>
    <row r="476" spans="1:10">
      <c r="A476" s="114" t="str">
        <f t="shared" si="14"/>
        <v>1823920DSR COSTS AMORTIZED103655INDUSTRIAL SELF-DIRECT - UTAH - 2013OTHER</v>
      </c>
      <c r="B476" s="127">
        <v>1823920</v>
      </c>
      <c r="C476" s="128" t="s">
        <v>695</v>
      </c>
      <c r="D476" s="127">
        <v>103655</v>
      </c>
      <c r="E476" s="128" t="s">
        <v>996</v>
      </c>
      <c r="F476" s="127" t="s">
        <v>306</v>
      </c>
      <c r="H476" s="117" t="str">
        <f t="shared" si="15"/>
        <v>OTHER</v>
      </c>
      <c r="I476" s="113" t="s">
        <v>73</v>
      </c>
      <c r="J476"/>
    </row>
    <row r="477" spans="1:10">
      <c r="A477" s="114" t="str">
        <f t="shared" si="14"/>
        <v>1823920DSR COSTS AMORTIZED103656RESIDENTIAL NEW CONSTRUCTION - UTAH - 20OTHER</v>
      </c>
      <c r="B477" s="127">
        <v>1823920</v>
      </c>
      <c r="C477" s="128" t="s">
        <v>695</v>
      </c>
      <c r="D477" s="127">
        <v>103656</v>
      </c>
      <c r="E477" s="128" t="s">
        <v>757</v>
      </c>
      <c r="F477" s="127" t="s">
        <v>306</v>
      </c>
      <c r="H477" s="117" t="str">
        <f t="shared" si="15"/>
        <v>OTHER</v>
      </c>
      <c r="I477" s="113" t="s">
        <v>73</v>
      </c>
      <c r="J477"/>
    </row>
    <row r="478" spans="1:10">
      <c r="A478" s="114" t="str">
        <f t="shared" si="14"/>
        <v>1823920DSR COSTS AMORTIZED103657COMMERCIAL FINANSWER EXPRESS - UTAH - 20OTHER</v>
      </c>
      <c r="B478" s="127">
        <v>1823920</v>
      </c>
      <c r="C478" s="128" t="s">
        <v>695</v>
      </c>
      <c r="D478" s="127">
        <v>103657</v>
      </c>
      <c r="E478" s="128" t="s">
        <v>760</v>
      </c>
      <c r="F478" s="127" t="s">
        <v>306</v>
      </c>
      <c r="H478" s="117" t="str">
        <f t="shared" si="15"/>
        <v>OTHER</v>
      </c>
      <c r="I478" s="113" t="s">
        <v>73</v>
      </c>
      <c r="J478"/>
    </row>
    <row r="479" spans="1:10">
      <c r="A479" s="114" t="str">
        <f t="shared" si="14"/>
        <v>1823920DSR COSTS AMORTIZED103658INDUSTRIAL FINANSWER EXPRESS - UTAH - 20OTHER</v>
      </c>
      <c r="B479" s="127">
        <v>1823920</v>
      </c>
      <c r="C479" s="128" t="s">
        <v>695</v>
      </c>
      <c r="D479" s="127">
        <v>103658</v>
      </c>
      <c r="E479" s="128" t="s">
        <v>761</v>
      </c>
      <c r="F479" s="127" t="s">
        <v>306</v>
      </c>
      <c r="H479" s="117" t="str">
        <f t="shared" si="15"/>
        <v>OTHER</v>
      </c>
      <c r="I479" s="113" t="s">
        <v>73</v>
      </c>
      <c r="J479"/>
    </row>
    <row r="480" spans="1:10">
      <c r="A480" s="114" t="str">
        <f t="shared" si="14"/>
        <v>1823920DSR COSTS AMORTIZED103660IRRIGATION LOAD CONTROL  - UTAH - 2013OTHER</v>
      </c>
      <c r="B480" s="127">
        <v>1823920</v>
      </c>
      <c r="C480" s="128" t="s">
        <v>695</v>
      </c>
      <c r="D480" s="127">
        <v>103660</v>
      </c>
      <c r="E480" s="128" t="s">
        <v>997</v>
      </c>
      <c r="F480" s="127" t="s">
        <v>306</v>
      </c>
      <c r="H480" s="117" t="str">
        <f t="shared" si="15"/>
        <v>OTHER</v>
      </c>
      <c r="I480" s="113" t="s">
        <v>73</v>
      </c>
      <c r="J480"/>
    </row>
    <row r="481" spans="1:10">
      <c r="A481" s="114" t="str">
        <f t="shared" si="14"/>
        <v>1823920DSR COSTS AMORTIZED103661HOME ENERGY EFF INCENTIVE PROG - UT 2013OTHER</v>
      </c>
      <c r="B481" s="127">
        <v>1823920</v>
      </c>
      <c r="C481" s="128" t="s">
        <v>695</v>
      </c>
      <c r="D481" s="127">
        <v>103661</v>
      </c>
      <c r="E481" s="128" t="s">
        <v>998</v>
      </c>
      <c r="F481" s="127" t="s">
        <v>306</v>
      </c>
      <c r="H481" s="117" t="str">
        <f t="shared" si="15"/>
        <v>OTHER</v>
      </c>
      <c r="I481" s="113" t="s">
        <v>73</v>
      </c>
      <c r="J481"/>
    </row>
    <row r="482" spans="1:10">
      <c r="A482" s="114" t="str">
        <f t="shared" si="14"/>
        <v>1823920DSR COSTS AMORTIZED103662OUTREACH and COMMUNICATIONS - UT 2013OTHER</v>
      </c>
      <c r="B482" s="127">
        <v>1823920</v>
      </c>
      <c r="C482" s="128" t="s">
        <v>695</v>
      </c>
      <c r="D482" s="127">
        <v>103662</v>
      </c>
      <c r="E482" s="128" t="s">
        <v>999</v>
      </c>
      <c r="F482" s="127" t="s">
        <v>306</v>
      </c>
      <c r="H482" s="117" t="str">
        <f t="shared" si="15"/>
        <v>OTHER</v>
      </c>
      <c r="I482" s="113" t="s">
        <v>73</v>
      </c>
      <c r="J482"/>
    </row>
    <row r="483" spans="1:10">
      <c r="A483" s="114" t="str">
        <f t="shared" si="14"/>
        <v>1823920DSR COSTS AMORTIZED103666AGRICULTURAL FINANSWER EXPRESS - UTAH -OTHER</v>
      </c>
      <c r="B483" s="127">
        <v>1823920</v>
      </c>
      <c r="C483" s="128" t="s">
        <v>695</v>
      </c>
      <c r="D483" s="127">
        <v>103666</v>
      </c>
      <c r="E483" s="128" t="s">
        <v>961</v>
      </c>
      <c r="F483" s="127" t="s">
        <v>306</v>
      </c>
      <c r="H483" s="117" t="str">
        <f t="shared" si="15"/>
        <v>OTHER</v>
      </c>
      <c r="I483" s="113" t="s">
        <v>73</v>
      </c>
      <c r="J483"/>
    </row>
    <row r="484" spans="1:10">
      <c r="A484" s="114" t="str">
        <f t="shared" si="14"/>
        <v>1823920DSR COSTS AMORTIZED103671HOME ENERGY REPORTING - UT 2013OTHER</v>
      </c>
      <c r="B484" s="127">
        <v>1823920</v>
      </c>
      <c r="C484" s="128" t="s">
        <v>695</v>
      </c>
      <c r="D484" s="127">
        <v>103671</v>
      </c>
      <c r="E484" s="128" t="s">
        <v>1000</v>
      </c>
      <c r="F484" s="127" t="s">
        <v>306</v>
      </c>
      <c r="H484" s="117" t="str">
        <f t="shared" si="15"/>
        <v>OTHER</v>
      </c>
      <c r="I484" s="113" t="s">
        <v>73</v>
      </c>
      <c r="J484"/>
    </row>
    <row r="485" spans="1:10">
      <c r="A485" s="114" t="str">
        <f t="shared" si="14"/>
        <v>1823920DSR COSTS AMORTIZED103673RETROFIT COMMISSIONING PROGRAM  - UTAH -OTHER</v>
      </c>
      <c r="B485" s="127">
        <v>1823920</v>
      </c>
      <c r="C485" s="128" t="s">
        <v>695</v>
      </c>
      <c r="D485" s="127">
        <v>103673</v>
      </c>
      <c r="E485" s="128" t="s">
        <v>782</v>
      </c>
      <c r="F485" s="127" t="s">
        <v>306</v>
      </c>
      <c r="H485" s="117" t="str">
        <f t="shared" si="15"/>
        <v>OTHER</v>
      </c>
      <c r="I485" s="113" t="s">
        <v>73</v>
      </c>
      <c r="J485"/>
    </row>
    <row r="486" spans="1:10">
      <c r="A486" s="114" t="str">
        <f t="shared" si="14"/>
        <v>1823920DSR COSTS AMORTIZED103675ENERGY FINANSWER-WY-2013 CAT3OTHER</v>
      </c>
      <c r="B486" s="127">
        <v>1823920</v>
      </c>
      <c r="C486" s="128" t="s">
        <v>695</v>
      </c>
      <c r="D486" s="127">
        <v>103675</v>
      </c>
      <c r="E486" s="128" t="s">
        <v>1001</v>
      </c>
      <c r="F486" s="127" t="s">
        <v>306</v>
      </c>
      <c r="H486" s="117" t="str">
        <f t="shared" si="15"/>
        <v>OTHER</v>
      </c>
      <c r="I486" s="113" t="s">
        <v>73</v>
      </c>
      <c r="J486"/>
    </row>
    <row r="487" spans="1:10">
      <c r="A487" s="114" t="str">
        <f t="shared" si="14"/>
        <v>1823920DSR COSTS AMORTIZED103676INDUSTRIAL FINANSWER-WY-2013 CAT3OTHER</v>
      </c>
      <c r="B487" s="127">
        <v>1823920</v>
      </c>
      <c r="C487" s="128" t="s">
        <v>695</v>
      </c>
      <c r="D487" s="127">
        <v>103676</v>
      </c>
      <c r="E487" s="128" t="s">
        <v>1002</v>
      </c>
      <c r="F487" s="127" t="s">
        <v>306</v>
      </c>
      <c r="H487" s="117" t="str">
        <f t="shared" si="15"/>
        <v>OTHER</v>
      </c>
      <c r="I487" s="113" t="s">
        <v>73</v>
      </c>
      <c r="J487"/>
    </row>
    <row r="488" spans="1:10">
      <c r="A488" s="114" t="str">
        <f t="shared" si="14"/>
        <v>1823920DSR COSTS AMORTIZED103677REFRIGERATOR RECYCLING-WY -2013 CAT1OTHER</v>
      </c>
      <c r="B488" s="127">
        <v>1823920</v>
      </c>
      <c r="C488" s="128" t="s">
        <v>695</v>
      </c>
      <c r="D488" s="127">
        <v>103677</v>
      </c>
      <c r="E488" s="128" t="s">
        <v>1003</v>
      </c>
      <c r="F488" s="127" t="s">
        <v>306</v>
      </c>
      <c r="H488" s="117" t="str">
        <f t="shared" si="15"/>
        <v>OTHER</v>
      </c>
      <c r="I488" s="113" t="s">
        <v>73</v>
      </c>
      <c r="J488"/>
    </row>
    <row r="489" spans="1:10">
      <c r="A489" s="114" t="str">
        <f t="shared" si="14"/>
        <v>1823920DSR COSTS AMORTIZED103678HOME ENERGY EFF INCENT PROG Y-2013 CAT1OTHER</v>
      </c>
      <c r="B489" s="127">
        <v>1823920</v>
      </c>
      <c r="C489" s="128" t="s">
        <v>695</v>
      </c>
      <c r="D489" s="127">
        <v>103678</v>
      </c>
      <c r="E489" s="128" t="s">
        <v>1004</v>
      </c>
      <c r="F489" s="127" t="s">
        <v>306</v>
      </c>
      <c r="H489" s="117" t="str">
        <f t="shared" si="15"/>
        <v>OTHER</v>
      </c>
      <c r="I489" s="113" t="s">
        <v>73</v>
      </c>
      <c r="J489"/>
    </row>
    <row r="490" spans="1:10">
      <c r="A490" s="114" t="str">
        <f t="shared" si="14"/>
        <v>1823920DSR COSTS AMORTIZED103679LOW-INCOME WEATHERZTN - WY 2013 CAT1OTHER</v>
      </c>
      <c r="B490" s="127">
        <v>1823920</v>
      </c>
      <c r="C490" s="128" t="s">
        <v>695</v>
      </c>
      <c r="D490" s="127">
        <v>103679</v>
      </c>
      <c r="E490" s="128" t="s">
        <v>1005</v>
      </c>
      <c r="F490" s="127" t="s">
        <v>306</v>
      </c>
      <c r="H490" s="117" t="str">
        <f t="shared" si="15"/>
        <v>OTHER</v>
      </c>
      <c r="I490" s="113" t="s">
        <v>73</v>
      </c>
      <c r="J490"/>
    </row>
    <row r="491" spans="1:10">
      <c r="A491" s="114" t="str">
        <f t="shared" si="14"/>
        <v>1823920DSR COSTS AMORTIZED103680COMMERCIAL FINANSWER EXP WY-2013 CAT3OTHER</v>
      </c>
      <c r="B491" s="127">
        <v>1823920</v>
      </c>
      <c r="C491" s="128" t="s">
        <v>695</v>
      </c>
      <c r="D491" s="127">
        <v>103680</v>
      </c>
      <c r="E491" s="128" t="s">
        <v>1006</v>
      </c>
      <c r="F491" s="127" t="s">
        <v>306</v>
      </c>
      <c r="H491" s="117" t="str">
        <f t="shared" si="15"/>
        <v>OTHER</v>
      </c>
      <c r="I491" s="113" t="s">
        <v>73</v>
      </c>
      <c r="J491"/>
    </row>
    <row r="492" spans="1:10">
      <c r="A492" s="114" t="str">
        <f t="shared" si="14"/>
        <v>1823920DSR COSTS AMORTIZED103681INDUSTRIAL FINANSWER EXP WY-2013 CAT3OTHER</v>
      </c>
      <c r="B492" s="127">
        <v>1823920</v>
      </c>
      <c r="C492" s="128" t="s">
        <v>695</v>
      </c>
      <c r="D492" s="127">
        <v>103681</v>
      </c>
      <c r="E492" s="128" t="s">
        <v>1007</v>
      </c>
      <c r="F492" s="127" t="s">
        <v>306</v>
      </c>
      <c r="H492" s="117" t="str">
        <f t="shared" si="15"/>
        <v>OTHER</v>
      </c>
      <c r="I492" s="113" t="s">
        <v>73</v>
      </c>
      <c r="J492"/>
    </row>
    <row r="493" spans="1:10">
      <c r="A493" s="114" t="str">
        <f t="shared" si="14"/>
        <v>1823920DSR COSTS AMORTIZED103682SELF DIRECT - COMMERCIAL -WY-2013 CAT3OTHER</v>
      </c>
      <c r="B493" s="127">
        <v>1823920</v>
      </c>
      <c r="C493" s="128" t="s">
        <v>695</v>
      </c>
      <c r="D493" s="127">
        <v>103682</v>
      </c>
      <c r="E493" s="128" t="s">
        <v>1008</v>
      </c>
      <c r="F493" s="127" t="s">
        <v>306</v>
      </c>
      <c r="H493" s="117" t="str">
        <f t="shared" si="15"/>
        <v>OTHER</v>
      </c>
      <c r="I493" s="113" t="s">
        <v>73</v>
      </c>
      <c r="J493"/>
    </row>
    <row r="494" spans="1:10">
      <c r="A494" s="114" t="str">
        <f t="shared" si="14"/>
        <v>1823920DSR COSTS AMORTIZED103683SELF DIRECT -INDUSTRIAL -WY-2013 CAT3OTHER</v>
      </c>
      <c r="B494" s="127">
        <v>1823920</v>
      </c>
      <c r="C494" s="128" t="s">
        <v>695</v>
      </c>
      <c r="D494" s="127">
        <v>103683</v>
      </c>
      <c r="E494" s="128" t="s">
        <v>1009</v>
      </c>
      <c r="F494" s="127" t="s">
        <v>306</v>
      </c>
      <c r="H494" s="117" t="str">
        <f t="shared" si="15"/>
        <v>OTHER</v>
      </c>
      <c r="I494" s="113" t="s">
        <v>73</v>
      </c>
      <c r="J494"/>
    </row>
    <row r="495" spans="1:10">
      <c r="A495" s="114" t="str">
        <f t="shared" si="14"/>
        <v>1823920DSR COSTS AMORTIZED103684COMMERCIAL FINANSWER EXP- WY-2013 CAT2OTHER</v>
      </c>
      <c r="B495" s="127">
        <v>1823920</v>
      </c>
      <c r="C495" s="128" t="s">
        <v>695</v>
      </c>
      <c r="D495" s="127">
        <v>103684</v>
      </c>
      <c r="E495" s="128" t="s">
        <v>1010</v>
      </c>
      <c r="F495" s="127" t="s">
        <v>306</v>
      </c>
      <c r="H495" s="117" t="str">
        <f t="shared" si="15"/>
        <v>OTHER</v>
      </c>
      <c r="I495" s="113" t="s">
        <v>73</v>
      </c>
      <c r="J495"/>
    </row>
    <row r="496" spans="1:10">
      <c r="A496" s="114" t="str">
        <f t="shared" si="14"/>
        <v>1823920DSR COSTS AMORTIZED103685INDUSTRIAL FINAN EXPRESS WY-2013 CAT2OTHER</v>
      </c>
      <c r="B496" s="127">
        <v>1823920</v>
      </c>
      <c r="C496" s="128" t="s">
        <v>695</v>
      </c>
      <c r="D496" s="127">
        <v>103685</v>
      </c>
      <c r="E496" s="128" t="s">
        <v>1011</v>
      </c>
      <c r="F496" s="127" t="s">
        <v>306</v>
      </c>
      <c r="H496" s="117" t="str">
        <f t="shared" si="15"/>
        <v>OTHER</v>
      </c>
      <c r="I496" s="113" t="s">
        <v>73</v>
      </c>
      <c r="J496"/>
    </row>
    <row r="497" spans="1:10">
      <c r="A497" s="114" t="str">
        <f t="shared" si="14"/>
        <v>1823920DSR COSTS AMORTIZED103686ENERGY FINANSWER -WY 2013 CAT2OTHER</v>
      </c>
      <c r="B497" s="127">
        <v>1823920</v>
      </c>
      <c r="C497" s="128" t="s">
        <v>695</v>
      </c>
      <c r="D497" s="127">
        <v>103686</v>
      </c>
      <c r="E497" s="128" t="s">
        <v>1012</v>
      </c>
      <c r="F497" s="127" t="s">
        <v>306</v>
      </c>
      <c r="H497" s="117" t="str">
        <f t="shared" si="15"/>
        <v>OTHER</v>
      </c>
      <c r="I497" s="113" t="s">
        <v>73</v>
      </c>
      <c r="J497"/>
    </row>
    <row r="498" spans="1:10">
      <c r="A498" s="114" t="str">
        <f t="shared" si="14"/>
        <v>1823920DSR COSTS AMORTIZED103687INDUSTRIAL FINANSWER -WY 2013 CAT2OTHER</v>
      </c>
      <c r="B498" s="127">
        <v>1823920</v>
      </c>
      <c r="C498" s="128" t="s">
        <v>695</v>
      </c>
      <c r="D498" s="127">
        <v>103687</v>
      </c>
      <c r="E498" s="128" t="s">
        <v>1013</v>
      </c>
      <c r="F498" s="127" t="s">
        <v>306</v>
      </c>
      <c r="H498" s="117" t="str">
        <f t="shared" si="15"/>
        <v>OTHER</v>
      </c>
      <c r="I498" s="113" t="s">
        <v>73</v>
      </c>
      <c r="J498"/>
    </row>
    <row r="499" spans="1:10">
      <c r="A499" s="114" t="str">
        <f t="shared" si="14"/>
        <v>1823920DSR COSTS AMORTIZED103688SELF DIRECT - COMMERCIAL WY-2013 CAT2OTHER</v>
      </c>
      <c r="B499" s="127">
        <v>1823920</v>
      </c>
      <c r="C499" s="128" t="s">
        <v>695</v>
      </c>
      <c r="D499" s="127">
        <v>103688</v>
      </c>
      <c r="E499" s="128" t="s">
        <v>1014</v>
      </c>
      <c r="F499" s="127" t="s">
        <v>306</v>
      </c>
      <c r="H499" s="117" t="str">
        <f t="shared" si="15"/>
        <v>OTHER</v>
      </c>
      <c r="I499" s="113" t="s">
        <v>73</v>
      </c>
      <c r="J499"/>
    </row>
    <row r="500" spans="1:10">
      <c r="A500" s="114" t="str">
        <f t="shared" si="14"/>
        <v>1823920DSR COSTS AMORTIZED103689SELF DIRECT- INDUSTRIAL WY-2013 CAT2OTHER</v>
      </c>
      <c r="B500" s="127">
        <v>1823920</v>
      </c>
      <c r="C500" s="128" t="s">
        <v>695</v>
      </c>
      <c r="D500" s="127">
        <v>103689</v>
      </c>
      <c r="E500" s="128" t="s">
        <v>1015</v>
      </c>
      <c r="F500" s="127" t="s">
        <v>306</v>
      </c>
      <c r="H500" s="117" t="str">
        <f t="shared" si="15"/>
        <v>OTHER</v>
      </c>
      <c r="I500" s="113" t="s">
        <v>73</v>
      </c>
      <c r="J500"/>
    </row>
    <row r="501" spans="1:10">
      <c r="A501" s="114" t="str">
        <f t="shared" si="14"/>
        <v>1823920DSR COSTS AMORTIZED103690PORTFOLIO WY-2013 CAT1OTHER</v>
      </c>
      <c r="B501" s="127">
        <v>1823920</v>
      </c>
      <c r="C501" s="128" t="s">
        <v>695</v>
      </c>
      <c r="D501" s="127">
        <v>103690</v>
      </c>
      <c r="E501" s="128" t="s">
        <v>1016</v>
      </c>
      <c r="F501" s="127" t="s">
        <v>306</v>
      </c>
      <c r="H501" s="117" t="str">
        <f t="shared" si="15"/>
        <v>OTHER</v>
      </c>
      <c r="I501" s="113" t="s">
        <v>73</v>
      </c>
      <c r="J501"/>
    </row>
    <row r="502" spans="1:10">
      <c r="A502" s="114" t="str">
        <f t="shared" si="14"/>
        <v>1823920DSR COSTS AMORTIZED103691OUTREACH AND COMMUNICATION WATTSMT  WY-2OTHER</v>
      </c>
      <c r="B502" s="127">
        <v>1823920</v>
      </c>
      <c r="C502" s="128" t="s">
        <v>695</v>
      </c>
      <c r="D502" s="127">
        <v>103691</v>
      </c>
      <c r="E502" s="128" t="s">
        <v>979</v>
      </c>
      <c r="F502" s="127" t="s">
        <v>306</v>
      </c>
      <c r="H502" s="117" t="str">
        <f t="shared" si="15"/>
        <v>OTHER</v>
      </c>
      <c r="I502" s="113" t="s">
        <v>73</v>
      </c>
      <c r="J502"/>
    </row>
    <row r="503" spans="1:10">
      <c r="A503" s="114" t="str">
        <f t="shared" si="14"/>
        <v>1823920DSR COSTS AMORTIZED103692AGRICULTURAL FINANSWER EXP WY-2013 CAT2OTHER</v>
      </c>
      <c r="B503" s="127">
        <v>1823920</v>
      </c>
      <c r="C503" s="128" t="s">
        <v>695</v>
      </c>
      <c r="D503" s="127">
        <v>103692</v>
      </c>
      <c r="E503" s="128" t="s">
        <v>1017</v>
      </c>
      <c r="F503" s="127" t="s">
        <v>306</v>
      </c>
      <c r="H503" s="117" t="str">
        <f t="shared" si="15"/>
        <v>OTHER</v>
      </c>
      <c r="I503" s="113" t="s">
        <v>73</v>
      </c>
      <c r="J503"/>
    </row>
    <row r="504" spans="1:10">
      <c r="A504" s="114" t="str">
        <f t="shared" si="14"/>
        <v>1823920DSR COSTS AMORTIZED103693AGRICULURAL FINANSWER EXP WY-2013 CAT3OTHER</v>
      </c>
      <c r="B504" s="127">
        <v>1823920</v>
      </c>
      <c r="C504" s="128" t="s">
        <v>695</v>
      </c>
      <c r="D504" s="127">
        <v>103693</v>
      </c>
      <c r="E504" s="128" t="s">
        <v>1018</v>
      </c>
      <c r="F504" s="127" t="s">
        <v>306</v>
      </c>
      <c r="H504" s="117" t="str">
        <f t="shared" si="15"/>
        <v>OTHER</v>
      </c>
      <c r="I504" s="113" t="s">
        <v>73</v>
      </c>
      <c r="J504"/>
    </row>
    <row r="505" spans="1:10">
      <c r="A505" s="114" t="str">
        <f t="shared" si="14"/>
        <v>1823920DSR COSTS AMORTIZED103694PORTFOLIO WY-2013 CAT2OTHER</v>
      </c>
      <c r="B505" s="127">
        <v>1823920</v>
      </c>
      <c r="C505" s="128" t="s">
        <v>695</v>
      </c>
      <c r="D505" s="127">
        <v>103694</v>
      </c>
      <c r="E505" s="128" t="s">
        <v>1019</v>
      </c>
      <c r="F505" s="127" t="s">
        <v>306</v>
      </c>
      <c r="H505" s="117" t="str">
        <f t="shared" si="15"/>
        <v>OTHER</v>
      </c>
      <c r="I505" s="113" t="s">
        <v>73</v>
      </c>
      <c r="J505"/>
    </row>
    <row r="506" spans="1:10">
      <c r="A506" s="114" t="str">
        <f t="shared" si="14"/>
        <v>1823920DSR COSTS AMORTIZED103695PORTFOLIO WY-2013 CAT3OTHER</v>
      </c>
      <c r="B506" s="127">
        <v>1823920</v>
      </c>
      <c r="C506" s="128" t="s">
        <v>695</v>
      </c>
      <c r="D506" s="127">
        <v>103695</v>
      </c>
      <c r="E506" s="128" t="s">
        <v>1020</v>
      </c>
      <c r="F506" s="127" t="s">
        <v>306</v>
      </c>
      <c r="H506" s="117" t="str">
        <f t="shared" si="15"/>
        <v>OTHER</v>
      </c>
      <c r="I506" s="113" t="s">
        <v>73</v>
      </c>
      <c r="J506"/>
    </row>
    <row r="507" spans="1:10">
      <c r="A507" s="114" t="str">
        <f t="shared" si="14"/>
        <v>1823920DSR COSTS AMORTIZED103700PORTFOLIO - UTAH 2013OTHER</v>
      </c>
      <c r="B507" s="127">
        <v>1823920</v>
      </c>
      <c r="C507" s="128" t="s">
        <v>695</v>
      </c>
      <c r="D507" s="127">
        <v>103700</v>
      </c>
      <c r="E507" s="128" t="s">
        <v>1021</v>
      </c>
      <c r="F507" s="127" t="s">
        <v>306</v>
      </c>
      <c r="H507" s="117" t="str">
        <f t="shared" si="15"/>
        <v>OTHER</v>
      </c>
      <c r="I507" s="113" t="s">
        <v>73</v>
      </c>
      <c r="J507"/>
    </row>
    <row r="508" spans="1:10">
      <c r="A508" s="114" t="str">
        <f t="shared" si="14"/>
        <v>1823920DSR COSTS AMORTIZED103701U.of Utah Student Energy Sponsorship- UTOTHER</v>
      </c>
      <c r="B508" s="127">
        <v>1823920</v>
      </c>
      <c r="C508" s="128" t="s">
        <v>695</v>
      </c>
      <c r="D508" s="127">
        <v>103701</v>
      </c>
      <c r="E508" s="128" t="s">
        <v>985</v>
      </c>
      <c r="F508" s="127" t="s">
        <v>306</v>
      </c>
      <c r="H508" s="117" t="str">
        <f t="shared" si="15"/>
        <v>OTHER</v>
      </c>
      <c r="I508" s="113" t="s">
        <v>73</v>
      </c>
      <c r="J508"/>
    </row>
    <row r="509" spans="1:10">
      <c r="A509" s="114" t="str">
        <f t="shared" si="14"/>
        <v>1823920DSR COSTS AMORTIZED103732COMMERCIAL (WSB) WATTSMART BUSINESS - UTOTHER</v>
      </c>
      <c r="B509" s="127">
        <v>1823920</v>
      </c>
      <c r="C509" s="128" t="s">
        <v>695</v>
      </c>
      <c r="D509" s="127">
        <v>103732</v>
      </c>
      <c r="E509" s="128" t="s">
        <v>1022</v>
      </c>
      <c r="F509" s="127" t="s">
        <v>306</v>
      </c>
      <c r="H509" s="117" t="str">
        <f t="shared" si="15"/>
        <v>OTHER</v>
      </c>
      <c r="I509" s="113" t="s">
        <v>73</v>
      </c>
      <c r="J509"/>
    </row>
    <row r="510" spans="1:10">
      <c r="A510" s="114" t="str">
        <f t="shared" si="14"/>
        <v>1823920DSR COSTS AMORTIZED103734INDUSTRIAL (WSB) WATTSMART BUSINESS - UTOTHER</v>
      </c>
      <c r="B510" s="127">
        <v>1823920</v>
      </c>
      <c r="C510" s="128" t="s">
        <v>695</v>
      </c>
      <c r="D510" s="127">
        <v>103734</v>
      </c>
      <c r="E510" s="128" t="s">
        <v>1023</v>
      </c>
      <c r="F510" s="127" t="s">
        <v>306</v>
      </c>
      <c r="H510" s="117" t="str">
        <f t="shared" si="15"/>
        <v>OTHER</v>
      </c>
      <c r="I510" s="113" t="s">
        <v>73</v>
      </c>
      <c r="J510"/>
    </row>
    <row r="511" spans="1:10">
      <c r="A511" s="114" t="str">
        <f t="shared" si="14"/>
        <v>1823920DSR COSTS AMORTIZED103735WSB - WATTSMART BUSINESS - UT- 2013OTHER</v>
      </c>
      <c r="B511" s="127">
        <v>1823920</v>
      </c>
      <c r="C511" s="128" t="s">
        <v>695</v>
      </c>
      <c r="D511" s="127">
        <v>103735</v>
      </c>
      <c r="E511" s="128" t="s">
        <v>1024</v>
      </c>
      <c r="F511" s="127" t="s">
        <v>306</v>
      </c>
      <c r="H511" s="117" t="str">
        <f t="shared" si="15"/>
        <v>OTHER</v>
      </c>
      <c r="I511" s="113" t="s">
        <v>73</v>
      </c>
      <c r="J511"/>
    </row>
    <row r="512" spans="1:10">
      <c r="A512" s="114" t="str">
        <f t="shared" si="14"/>
        <v>1823920DSR COSTS AMORTIZED103740COMMERCIAL (WSB) WATTSMART BUSINESS - WAOTHER</v>
      </c>
      <c r="B512" s="127">
        <v>1823920</v>
      </c>
      <c r="C512" s="128" t="s">
        <v>695</v>
      </c>
      <c r="D512" s="127">
        <v>103740</v>
      </c>
      <c r="E512" s="128" t="s">
        <v>1025</v>
      </c>
      <c r="F512" s="127" t="s">
        <v>306</v>
      </c>
      <c r="H512" s="117" t="str">
        <f t="shared" si="15"/>
        <v>OTHER</v>
      </c>
      <c r="I512" s="113" t="s">
        <v>73</v>
      </c>
      <c r="J512"/>
    </row>
    <row r="513" spans="1:10">
      <c r="A513" s="114" t="str">
        <f t="shared" si="14"/>
        <v>1823920DSR COSTS AMORTIZED103741INDUSTRIAL WATTSMART BUSINESS - WA-2013OTHER</v>
      </c>
      <c r="B513" s="127">
        <v>1823920</v>
      </c>
      <c r="C513" s="128" t="s">
        <v>695</v>
      </c>
      <c r="D513" s="127">
        <v>103741</v>
      </c>
      <c r="E513" s="128" t="s">
        <v>1026</v>
      </c>
      <c r="F513" s="127" t="s">
        <v>306</v>
      </c>
      <c r="H513" s="117" t="str">
        <f t="shared" si="15"/>
        <v>OTHER</v>
      </c>
      <c r="I513" s="113" t="s">
        <v>73</v>
      </c>
      <c r="J513"/>
    </row>
    <row r="514" spans="1:10">
      <c r="A514" s="114" t="str">
        <f t="shared" si="14"/>
        <v>1823920DSR COSTS AMORTIZED103742WSB - WATTSMART BUSINESS - WA- 2013OTHER</v>
      </c>
      <c r="B514" s="127">
        <v>1823920</v>
      </c>
      <c r="C514" s="128" t="s">
        <v>695</v>
      </c>
      <c r="D514" s="127">
        <v>103742</v>
      </c>
      <c r="E514" s="128" t="s">
        <v>1027</v>
      </c>
      <c r="F514" s="127" t="s">
        <v>306</v>
      </c>
      <c r="H514" s="117" t="str">
        <f t="shared" si="15"/>
        <v>OTHER</v>
      </c>
      <c r="I514" s="113" t="s">
        <v>73</v>
      </c>
      <c r="J514"/>
    </row>
    <row r="515" spans="1:10">
      <c r="A515" s="114" t="str">
        <f t="shared" ref="A515:A578" si="16">CONCATENATE($B515,$C515,$D515,$E515,$H515)</f>
        <v>1823920DSR COSTS AMORTIZED103743AGRICULTURAL (WSB) WATTSMART BUSINESS -OTHER</v>
      </c>
      <c r="B515" s="127">
        <v>1823920</v>
      </c>
      <c r="C515" s="128" t="s">
        <v>695</v>
      </c>
      <c r="D515" s="127">
        <v>103743</v>
      </c>
      <c r="E515" s="128" t="s">
        <v>1028</v>
      </c>
      <c r="F515" s="127" t="s">
        <v>306</v>
      </c>
      <c r="H515" s="117" t="str">
        <f t="shared" ref="H515:H578" si="17">IF(OR(F515="IDU",F515="OR",F515="UT",F515="WYU",F515="WYP",F515="CA",F515="WA"),"SITUS",F515)</f>
        <v>OTHER</v>
      </c>
      <c r="I515" s="113" t="s">
        <v>73</v>
      </c>
      <c r="J515"/>
    </row>
    <row r="516" spans="1:10">
      <c r="A516" s="114" t="str">
        <f t="shared" si="16"/>
        <v>1823920DSR COSTS AMORTIZED103745CALIFORNIA DSM EXPENSE - 2014OTHER</v>
      </c>
      <c r="B516" s="127">
        <v>1823920</v>
      </c>
      <c r="C516" s="128" t="s">
        <v>695</v>
      </c>
      <c r="D516" s="127">
        <v>103745</v>
      </c>
      <c r="E516" s="128" t="s">
        <v>1029</v>
      </c>
      <c r="F516" s="127" t="s">
        <v>306</v>
      </c>
      <c r="H516" s="117" t="str">
        <f t="shared" si="17"/>
        <v>OTHER</v>
      </c>
      <c r="I516" s="113" t="s">
        <v>73</v>
      </c>
      <c r="J516"/>
    </row>
    <row r="517" spans="1:10">
      <c r="A517" s="114" t="str">
        <f t="shared" si="16"/>
        <v>1823920DSR COSTS AMORTIZED103754PORTFOLIO - IDAHO 2014OTHER</v>
      </c>
      <c r="B517" s="127">
        <v>1823920</v>
      </c>
      <c r="C517" s="128" t="s">
        <v>695</v>
      </c>
      <c r="D517" s="127">
        <v>103754</v>
      </c>
      <c r="E517" s="128" t="s">
        <v>1030</v>
      </c>
      <c r="F517" s="127" t="s">
        <v>306</v>
      </c>
      <c r="H517" s="117" t="str">
        <f t="shared" si="17"/>
        <v>OTHER</v>
      </c>
      <c r="I517" s="113" t="s">
        <v>73</v>
      </c>
      <c r="J517"/>
    </row>
    <row r="518" spans="1:10">
      <c r="A518" s="114" t="str">
        <f t="shared" si="16"/>
        <v>1823920DSR COSTS AMORTIZED103756A/C LOAD CONTROL - RESIDENTIAL/UTAH - 20OTHER</v>
      </c>
      <c r="B518" s="127">
        <v>1823920</v>
      </c>
      <c r="C518" s="128" t="s">
        <v>695</v>
      </c>
      <c r="D518" s="127">
        <v>103756</v>
      </c>
      <c r="E518" s="128" t="s">
        <v>772</v>
      </c>
      <c r="F518" s="127" t="s">
        <v>306</v>
      </c>
      <c r="H518" s="117" t="str">
        <f t="shared" si="17"/>
        <v>OTHER</v>
      </c>
      <c r="I518" s="113" t="s">
        <v>73</v>
      </c>
      <c r="J518"/>
    </row>
    <row r="519" spans="1:10">
      <c r="A519" s="114" t="str">
        <f t="shared" si="16"/>
        <v>1823920DSR COSTS AMORTIZED103757AGRICULURAL FINANSWER EXPRESS - UTAH - 2OTHER</v>
      </c>
      <c r="B519" s="127">
        <v>1823920</v>
      </c>
      <c r="C519" s="128" t="s">
        <v>695</v>
      </c>
      <c r="D519" s="127">
        <v>103757</v>
      </c>
      <c r="E519" s="128" t="s">
        <v>942</v>
      </c>
      <c r="F519" s="127" t="s">
        <v>306</v>
      </c>
      <c r="H519" s="117" t="str">
        <f t="shared" si="17"/>
        <v>OTHER</v>
      </c>
      <c r="I519" s="113" t="s">
        <v>73</v>
      </c>
      <c r="J519"/>
    </row>
    <row r="520" spans="1:10">
      <c r="A520" s="114" t="str">
        <f t="shared" si="16"/>
        <v>1823920DSR COSTS AMORTIZED103758AIR CONDITIONING - UTAH - 2014OTHER</v>
      </c>
      <c r="B520" s="127">
        <v>1823920</v>
      </c>
      <c r="C520" s="128" t="s">
        <v>695</v>
      </c>
      <c r="D520" s="127">
        <v>103758</v>
      </c>
      <c r="E520" s="128" t="s">
        <v>1031</v>
      </c>
      <c r="F520" s="127" t="s">
        <v>306</v>
      </c>
      <c r="H520" s="117" t="str">
        <f t="shared" si="17"/>
        <v>OTHER</v>
      </c>
      <c r="I520" s="113" t="s">
        <v>73</v>
      </c>
      <c r="J520"/>
    </row>
    <row r="521" spans="1:10">
      <c r="A521" s="114" t="str">
        <f t="shared" si="16"/>
        <v>1823920DSR COSTS AMORTIZED103759COMMERCIAL FINANSWER EXPRESS - UTAH - 20OTHER</v>
      </c>
      <c r="B521" s="127">
        <v>1823920</v>
      </c>
      <c r="C521" s="128" t="s">
        <v>695</v>
      </c>
      <c r="D521" s="127">
        <v>103759</v>
      </c>
      <c r="E521" s="128" t="s">
        <v>760</v>
      </c>
      <c r="F521" s="127" t="s">
        <v>306</v>
      </c>
      <c r="H521" s="117" t="str">
        <f t="shared" si="17"/>
        <v>OTHER</v>
      </c>
      <c r="I521" s="113" t="s">
        <v>73</v>
      </c>
      <c r="J521"/>
    </row>
    <row r="522" spans="1:10">
      <c r="A522" s="114" t="str">
        <f t="shared" si="16"/>
        <v>1823920DSR COSTS AMORTIZED103760ENERGY FINANSWER - UTAH - 2014OTHER</v>
      </c>
      <c r="B522" s="127">
        <v>1823920</v>
      </c>
      <c r="C522" s="128" t="s">
        <v>695</v>
      </c>
      <c r="D522" s="127">
        <v>103760</v>
      </c>
      <c r="E522" s="128" t="s">
        <v>1032</v>
      </c>
      <c r="F522" s="127" t="s">
        <v>306</v>
      </c>
      <c r="H522" s="117" t="str">
        <f t="shared" si="17"/>
        <v>OTHER</v>
      </c>
      <c r="I522" s="113" t="s">
        <v>73</v>
      </c>
      <c r="J522"/>
    </row>
    <row r="523" spans="1:10">
      <c r="A523" s="114" t="str">
        <f t="shared" si="16"/>
        <v>1823920DSR COSTS AMORTIZED103761HOME ENERGY EFF INCENTIVE PROG - UT 2014OTHER</v>
      </c>
      <c r="B523" s="127">
        <v>1823920</v>
      </c>
      <c r="C523" s="128" t="s">
        <v>695</v>
      </c>
      <c r="D523" s="127">
        <v>103761</v>
      </c>
      <c r="E523" s="128" t="s">
        <v>1033</v>
      </c>
      <c r="F523" s="127" t="s">
        <v>306</v>
      </c>
      <c r="H523" s="117" t="str">
        <f t="shared" si="17"/>
        <v>OTHER</v>
      </c>
      <c r="I523" s="113" t="s">
        <v>73</v>
      </c>
      <c r="J523"/>
    </row>
    <row r="524" spans="1:10">
      <c r="A524" s="114" t="str">
        <f t="shared" si="16"/>
        <v>1823920DSR COSTS AMORTIZED103762HOME ENERGY REPORTING - UT 2014OTHER</v>
      </c>
      <c r="B524" s="127">
        <v>1823920</v>
      </c>
      <c r="C524" s="128" t="s">
        <v>695</v>
      </c>
      <c r="D524" s="127">
        <v>103762</v>
      </c>
      <c r="E524" s="128" t="s">
        <v>1034</v>
      </c>
      <c r="F524" s="127" t="s">
        <v>306</v>
      </c>
      <c r="H524" s="117" t="str">
        <f t="shared" si="17"/>
        <v>OTHER</v>
      </c>
      <c r="I524" s="113" t="s">
        <v>73</v>
      </c>
      <c r="J524"/>
    </row>
    <row r="525" spans="1:10">
      <c r="A525" s="114" t="str">
        <f t="shared" si="16"/>
        <v>1823920DSR COSTS AMORTIZED103763INDUSTRIAL FINANSWER - UTAH - 2014OTHER</v>
      </c>
      <c r="B525" s="127">
        <v>1823920</v>
      </c>
      <c r="C525" s="128" t="s">
        <v>695</v>
      </c>
      <c r="D525" s="127">
        <v>103763</v>
      </c>
      <c r="E525" s="128" t="s">
        <v>1035</v>
      </c>
      <c r="F525" s="127" t="s">
        <v>306</v>
      </c>
      <c r="H525" s="117" t="str">
        <f t="shared" si="17"/>
        <v>OTHER</v>
      </c>
      <c r="I525" s="113" t="s">
        <v>73</v>
      </c>
      <c r="J525"/>
    </row>
    <row r="526" spans="1:10">
      <c r="A526" s="114" t="str">
        <f t="shared" si="16"/>
        <v>1823920DSR COSTS AMORTIZED103764INDUSTRIAL FINANSWER EXPRESS - UTAH - 20OTHER</v>
      </c>
      <c r="B526" s="127">
        <v>1823920</v>
      </c>
      <c r="C526" s="128" t="s">
        <v>695</v>
      </c>
      <c r="D526" s="127">
        <v>103764</v>
      </c>
      <c r="E526" s="128" t="s">
        <v>761</v>
      </c>
      <c r="F526" s="127" t="s">
        <v>306</v>
      </c>
      <c r="H526" s="117" t="str">
        <f t="shared" si="17"/>
        <v>OTHER</v>
      </c>
      <c r="I526" s="113" t="s">
        <v>73</v>
      </c>
      <c r="J526"/>
    </row>
    <row r="527" spans="1:10">
      <c r="A527" s="114" t="str">
        <f t="shared" si="16"/>
        <v>1823920DSR COSTS AMORTIZED103765IRRIGATION LOAD CONTROL  - UTAH - 2014OTHER</v>
      </c>
      <c r="B527" s="127">
        <v>1823920</v>
      </c>
      <c r="C527" s="128" t="s">
        <v>695</v>
      </c>
      <c r="D527" s="127">
        <v>103765</v>
      </c>
      <c r="E527" s="128" t="s">
        <v>1036</v>
      </c>
      <c r="F527" s="127" t="s">
        <v>306</v>
      </c>
      <c r="H527" s="117" t="str">
        <f t="shared" si="17"/>
        <v>OTHER</v>
      </c>
      <c r="I527" s="113" t="s">
        <v>73</v>
      </c>
      <c r="J527"/>
    </row>
    <row r="528" spans="1:10">
      <c r="A528" s="114" t="str">
        <f t="shared" si="16"/>
        <v>1823920DSR COSTS AMORTIZED103766LOW INCOME - UTAH - 2014OTHER</v>
      </c>
      <c r="B528" s="127">
        <v>1823920</v>
      </c>
      <c r="C528" s="128" t="s">
        <v>695</v>
      </c>
      <c r="D528" s="127">
        <v>103766</v>
      </c>
      <c r="E528" s="128" t="s">
        <v>1037</v>
      </c>
      <c r="F528" s="127" t="s">
        <v>306</v>
      </c>
      <c r="H528" s="117" t="str">
        <f t="shared" si="17"/>
        <v>OTHER</v>
      </c>
      <c r="I528" s="113" t="s">
        <v>73</v>
      </c>
      <c r="J528"/>
    </row>
    <row r="529" spans="1:10">
      <c r="A529" s="114" t="str">
        <f t="shared" si="16"/>
        <v>1823920DSR COSTS AMORTIZED103767OUTREACH and COMMUNICATIONS - UT 2014OTHER</v>
      </c>
      <c r="B529" s="127">
        <v>1823920</v>
      </c>
      <c r="C529" s="128" t="s">
        <v>695</v>
      </c>
      <c r="D529" s="127">
        <v>103767</v>
      </c>
      <c r="E529" s="128" t="s">
        <v>1038</v>
      </c>
      <c r="F529" s="127" t="s">
        <v>306</v>
      </c>
      <c r="H529" s="117" t="str">
        <f t="shared" si="17"/>
        <v>OTHER</v>
      </c>
      <c r="I529" s="113" t="s">
        <v>73</v>
      </c>
      <c r="J529"/>
    </row>
    <row r="530" spans="1:10">
      <c r="A530" s="114" t="str">
        <f t="shared" si="16"/>
        <v>1823920DSR COSTS AMORTIZED103768PORTFOLIO - UTAH 2014OTHER</v>
      </c>
      <c r="B530" s="127">
        <v>1823920</v>
      </c>
      <c r="C530" s="128" t="s">
        <v>695</v>
      </c>
      <c r="D530" s="127">
        <v>103768</v>
      </c>
      <c r="E530" s="128" t="s">
        <v>1039</v>
      </c>
      <c r="F530" s="127" t="s">
        <v>306</v>
      </c>
      <c r="H530" s="117" t="str">
        <f t="shared" si="17"/>
        <v>OTHER</v>
      </c>
      <c r="I530" s="113" t="s">
        <v>73</v>
      </c>
      <c r="J530"/>
    </row>
    <row r="531" spans="1:10">
      <c r="A531" s="114" t="str">
        <f t="shared" si="16"/>
        <v>1823920DSR COSTS AMORTIZED103769REFRIGERATOR RECYCLING PGM- UTAH - 2014OTHER</v>
      </c>
      <c r="B531" s="127">
        <v>1823920</v>
      </c>
      <c r="C531" s="128" t="s">
        <v>695</v>
      </c>
      <c r="D531" s="127">
        <v>103769</v>
      </c>
      <c r="E531" s="128" t="s">
        <v>1040</v>
      </c>
      <c r="F531" s="127" t="s">
        <v>306</v>
      </c>
      <c r="H531" s="117" t="str">
        <f t="shared" si="17"/>
        <v>OTHER</v>
      </c>
      <c r="I531" s="113" t="s">
        <v>73</v>
      </c>
      <c r="J531"/>
    </row>
    <row r="532" spans="1:10">
      <c r="A532" s="114" t="str">
        <f t="shared" si="16"/>
        <v>1823920DSR COSTS AMORTIZED103770RESIDENTIAL NEW CONSTRUCTION - UTAH - 20OTHER</v>
      </c>
      <c r="B532" s="127">
        <v>1823920</v>
      </c>
      <c r="C532" s="128" t="s">
        <v>695</v>
      </c>
      <c r="D532" s="127">
        <v>103770</v>
      </c>
      <c r="E532" s="128" t="s">
        <v>757</v>
      </c>
      <c r="F532" s="127" t="s">
        <v>306</v>
      </c>
      <c r="H532" s="117" t="str">
        <f t="shared" si="17"/>
        <v>OTHER</v>
      </c>
      <c r="I532" s="113" t="s">
        <v>73</v>
      </c>
      <c r="J532"/>
    </row>
    <row r="533" spans="1:10">
      <c r="A533" s="114" t="str">
        <f t="shared" si="16"/>
        <v>1823920DSR COSTS AMORTIZED103771RETROFIT COMMISSIONING PROGRAM  - UTAH -OTHER</v>
      </c>
      <c r="B533" s="127">
        <v>1823920</v>
      </c>
      <c r="C533" s="128" t="s">
        <v>695</v>
      </c>
      <c r="D533" s="127">
        <v>103771</v>
      </c>
      <c r="E533" s="128" t="s">
        <v>782</v>
      </c>
      <c r="F533" s="127" t="s">
        <v>306</v>
      </c>
      <c r="H533" s="117" t="str">
        <f t="shared" si="17"/>
        <v>OTHER</v>
      </c>
      <c r="I533" s="113" t="s">
        <v>73</v>
      </c>
      <c r="J533"/>
    </row>
    <row r="534" spans="1:10">
      <c r="A534" s="114" t="str">
        <f t="shared" si="16"/>
        <v>1823920DSR COSTS AMORTIZED103772COMMERCIAL SELF-DIRECT - UTAH - 2014OTHER</v>
      </c>
      <c r="B534" s="127">
        <v>1823920</v>
      </c>
      <c r="C534" s="128" t="s">
        <v>695</v>
      </c>
      <c r="D534" s="127">
        <v>103772</v>
      </c>
      <c r="E534" s="128" t="s">
        <v>1041</v>
      </c>
      <c r="F534" s="127" t="s">
        <v>306</v>
      </c>
      <c r="H534" s="117" t="str">
        <f t="shared" si="17"/>
        <v>OTHER</v>
      </c>
      <c r="I534" s="113" t="s">
        <v>73</v>
      </c>
      <c r="J534"/>
    </row>
    <row r="535" spans="1:10">
      <c r="A535" s="114" t="str">
        <f t="shared" si="16"/>
        <v>1823920DSR COSTS AMORTIZED103773INDUSTRIAL SELF-DIRECT - UTAH - 2014OTHER</v>
      </c>
      <c r="B535" s="127">
        <v>1823920</v>
      </c>
      <c r="C535" s="128" t="s">
        <v>695</v>
      </c>
      <c r="D535" s="127">
        <v>103773</v>
      </c>
      <c r="E535" s="128" t="s">
        <v>1042</v>
      </c>
      <c r="F535" s="127" t="s">
        <v>306</v>
      </c>
      <c r="H535" s="117" t="str">
        <f t="shared" si="17"/>
        <v>OTHER</v>
      </c>
      <c r="I535" s="113" t="s">
        <v>73</v>
      </c>
      <c r="J535"/>
    </row>
    <row r="536" spans="1:10">
      <c r="A536" s="114" t="str">
        <f t="shared" si="16"/>
        <v>1823920DSR COSTS AMORTIZED103774COMMERCIAL (WSB) WATTSMART BUS - UT- 201OTHER</v>
      </c>
      <c r="B536" s="127">
        <v>1823920</v>
      </c>
      <c r="C536" s="128" t="s">
        <v>695</v>
      </c>
      <c r="D536" s="127">
        <v>103774</v>
      </c>
      <c r="E536" s="128" t="s">
        <v>1043</v>
      </c>
      <c r="F536" s="127" t="s">
        <v>306</v>
      </c>
      <c r="H536" s="117" t="str">
        <f t="shared" si="17"/>
        <v>OTHER</v>
      </c>
      <c r="I536" s="113" t="s">
        <v>73</v>
      </c>
      <c r="J536"/>
    </row>
    <row r="537" spans="1:10">
      <c r="A537" s="114" t="str">
        <f t="shared" si="16"/>
        <v>1823920DSR COSTS AMORTIZED103775INDUSTRIAL (WSB) WATTSMART BUS- UT- 2014OTHER</v>
      </c>
      <c r="B537" s="127">
        <v>1823920</v>
      </c>
      <c r="C537" s="128" t="s">
        <v>695</v>
      </c>
      <c r="D537" s="127">
        <v>103775</v>
      </c>
      <c r="E537" s="128" t="s">
        <v>1044</v>
      </c>
      <c r="F537" s="127" t="s">
        <v>306</v>
      </c>
      <c r="H537" s="117" t="str">
        <f t="shared" si="17"/>
        <v>OTHER</v>
      </c>
      <c r="I537" s="113" t="s">
        <v>73</v>
      </c>
      <c r="J537"/>
    </row>
    <row r="538" spans="1:10">
      <c r="A538" s="114" t="str">
        <f t="shared" si="16"/>
        <v>1823920DSR COSTS AMORTIZED103776WSB - WATTSMART BUS- UT- 2014OTHER</v>
      </c>
      <c r="B538" s="127">
        <v>1823920</v>
      </c>
      <c r="C538" s="128" t="s">
        <v>695</v>
      </c>
      <c r="D538" s="127">
        <v>103776</v>
      </c>
      <c r="E538" s="128" t="s">
        <v>1045</v>
      </c>
      <c r="F538" s="127" t="s">
        <v>306</v>
      </c>
      <c r="H538" s="117" t="str">
        <f t="shared" si="17"/>
        <v>OTHER</v>
      </c>
      <c r="I538" s="113" t="s">
        <v>73</v>
      </c>
      <c r="J538"/>
    </row>
    <row r="539" spans="1:10">
      <c r="A539" s="114" t="str">
        <f t="shared" si="16"/>
        <v>1823920DSR COSTS AMORTIZED103777AGRICULTURAL (WSB) WATTSMART BUS- UT- 20OTHER</v>
      </c>
      <c r="B539" s="127">
        <v>1823920</v>
      </c>
      <c r="C539" s="128" t="s">
        <v>695</v>
      </c>
      <c r="D539" s="127">
        <v>103777</v>
      </c>
      <c r="E539" s="128" t="s">
        <v>1046</v>
      </c>
      <c r="F539" s="127" t="s">
        <v>306</v>
      </c>
      <c r="H539" s="117" t="str">
        <f t="shared" si="17"/>
        <v>OTHER</v>
      </c>
      <c r="I539" s="113" t="s">
        <v>73</v>
      </c>
      <c r="J539"/>
    </row>
    <row r="540" spans="1:10">
      <c r="A540" s="114" t="str">
        <f t="shared" si="16"/>
        <v>1823920DSR COSTS AMORTIZED103778U.of Utah Student Energy Sponsorship- UTOTHER</v>
      </c>
      <c r="B540" s="127">
        <v>1823920</v>
      </c>
      <c r="C540" s="128" t="s">
        <v>695</v>
      </c>
      <c r="D540" s="127">
        <v>103778</v>
      </c>
      <c r="E540" s="128" t="s">
        <v>985</v>
      </c>
      <c r="F540" s="127" t="s">
        <v>306</v>
      </c>
      <c r="H540" s="117" t="str">
        <f t="shared" si="17"/>
        <v>OTHER</v>
      </c>
      <c r="I540" s="113" t="s">
        <v>73</v>
      </c>
      <c r="J540"/>
    </row>
    <row r="541" spans="1:10">
      <c r="A541" s="114" t="str">
        <f t="shared" si="16"/>
        <v>1823920DSR COSTS AMORTIZED103779AGRICULURAL FINANSWER EXP WY-2014 CAT2OTHER</v>
      </c>
      <c r="B541" s="127">
        <v>1823920</v>
      </c>
      <c r="C541" s="128" t="s">
        <v>695</v>
      </c>
      <c r="D541" s="127">
        <v>103779</v>
      </c>
      <c r="E541" s="128" t="s">
        <v>1047</v>
      </c>
      <c r="F541" s="127" t="s">
        <v>306</v>
      </c>
      <c r="H541" s="117" t="str">
        <f t="shared" si="17"/>
        <v>OTHER</v>
      </c>
      <c r="I541" s="113" t="s">
        <v>73</v>
      </c>
      <c r="J541"/>
    </row>
    <row r="542" spans="1:10">
      <c r="A542" s="114" t="str">
        <f t="shared" si="16"/>
        <v>1823920DSR COSTS AMORTIZED103780AGRICULURAL FINANSWER EXP WY-2014 CAT3OTHER</v>
      </c>
      <c r="B542" s="127">
        <v>1823920</v>
      </c>
      <c r="C542" s="128" t="s">
        <v>695</v>
      </c>
      <c r="D542" s="127">
        <v>103780</v>
      </c>
      <c r="E542" s="128" t="s">
        <v>1048</v>
      </c>
      <c r="F542" s="127" t="s">
        <v>306</v>
      </c>
      <c r="H542" s="117" t="str">
        <f t="shared" si="17"/>
        <v>OTHER</v>
      </c>
      <c r="I542" s="113" t="s">
        <v>73</v>
      </c>
      <c r="J542"/>
    </row>
    <row r="543" spans="1:10">
      <c r="A543" s="114" t="str">
        <f t="shared" si="16"/>
        <v>1823920DSR COSTS AMORTIZED103781COMMERCIAL FINANSWER EXP- WY-2014 CAT2OTHER</v>
      </c>
      <c r="B543" s="127">
        <v>1823920</v>
      </c>
      <c r="C543" s="128" t="s">
        <v>695</v>
      </c>
      <c r="D543" s="127">
        <v>103781</v>
      </c>
      <c r="E543" s="128" t="s">
        <v>1049</v>
      </c>
      <c r="F543" s="127" t="s">
        <v>306</v>
      </c>
      <c r="H543" s="117" t="str">
        <f t="shared" si="17"/>
        <v>OTHER</v>
      </c>
      <c r="I543" s="113" t="s">
        <v>73</v>
      </c>
      <c r="J543"/>
    </row>
    <row r="544" spans="1:10">
      <c r="A544" s="114" t="str">
        <f t="shared" si="16"/>
        <v>1823920DSR COSTS AMORTIZED103782COMMERCIAL FINANSWER EXP WY-2014 CAT3OTHER</v>
      </c>
      <c r="B544" s="127">
        <v>1823920</v>
      </c>
      <c r="C544" s="128" t="s">
        <v>695</v>
      </c>
      <c r="D544" s="127">
        <v>103782</v>
      </c>
      <c r="E544" s="128" t="s">
        <v>1050</v>
      </c>
      <c r="F544" s="127" t="s">
        <v>306</v>
      </c>
      <c r="H544" s="117" t="str">
        <f t="shared" si="17"/>
        <v>OTHER</v>
      </c>
      <c r="I544" s="113" t="s">
        <v>73</v>
      </c>
      <c r="J544"/>
    </row>
    <row r="545" spans="1:10">
      <c r="A545" s="114" t="str">
        <f t="shared" si="16"/>
        <v>1823920DSR COSTS AMORTIZED103783ENERGY FINANSWER -WY 2014 CAT2OTHER</v>
      </c>
      <c r="B545" s="127">
        <v>1823920</v>
      </c>
      <c r="C545" s="128" t="s">
        <v>695</v>
      </c>
      <c r="D545" s="127">
        <v>103783</v>
      </c>
      <c r="E545" s="128" t="s">
        <v>1051</v>
      </c>
      <c r="F545" s="127" t="s">
        <v>306</v>
      </c>
      <c r="H545" s="117" t="str">
        <f t="shared" si="17"/>
        <v>OTHER</v>
      </c>
      <c r="I545" s="113" t="s">
        <v>73</v>
      </c>
      <c r="J545"/>
    </row>
    <row r="546" spans="1:10">
      <c r="A546" s="114" t="str">
        <f t="shared" si="16"/>
        <v>1823920DSR COSTS AMORTIZED103784ENERGY FINANSWER-WY-2014 CAT3OTHER</v>
      </c>
      <c r="B546" s="127">
        <v>1823920</v>
      </c>
      <c r="C546" s="128" t="s">
        <v>695</v>
      </c>
      <c r="D546" s="127">
        <v>103784</v>
      </c>
      <c r="E546" s="128" t="s">
        <v>1052</v>
      </c>
      <c r="F546" s="127" t="s">
        <v>306</v>
      </c>
      <c r="H546" s="117" t="str">
        <f t="shared" si="17"/>
        <v>OTHER</v>
      </c>
      <c r="I546" s="113" t="s">
        <v>73</v>
      </c>
      <c r="J546"/>
    </row>
    <row r="547" spans="1:10">
      <c r="A547" s="114" t="str">
        <f t="shared" si="16"/>
        <v>1823920DSR COSTS AMORTIZED103785HOME ENERGY EFF INCENT PROG Y-2014 CAT1OTHER</v>
      </c>
      <c r="B547" s="127">
        <v>1823920</v>
      </c>
      <c r="C547" s="128" t="s">
        <v>695</v>
      </c>
      <c r="D547" s="127">
        <v>103785</v>
      </c>
      <c r="E547" s="128" t="s">
        <v>1053</v>
      </c>
      <c r="F547" s="127" t="s">
        <v>306</v>
      </c>
      <c r="H547" s="117" t="str">
        <f t="shared" si="17"/>
        <v>OTHER</v>
      </c>
      <c r="I547" s="113" t="s">
        <v>73</v>
      </c>
      <c r="J547"/>
    </row>
    <row r="548" spans="1:10">
      <c r="A548" s="114" t="str">
        <f t="shared" si="16"/>
        <v>1823920DSR COSTS AMORTIZED103786INDUSTRIAL FINANSWER -WY 2014 CAT2OTHER</v>
      </c>
      <c r="B548" s="127">
        <v>1823920</v>
      </c>
      <c r="C548" s="128" t="s">
        <v>695</v>
      </c>
      <c r="D548" s="127">
        <v>103786</v>
      </c>
      <c r="E548" s="128" t="s">
        <v>1054</v>
      </c>
      <c r="F548" s="127" t="s">
        <v>306</v>
      </c>
      <c r="H548" s="117" t="str">
        <f t="shared" si="17"/>
        <v>OTHER</v>
      </c>
      <c r="I548" s="113" t="s">
        <v>73</v>
      </c>
      <c r="J548"/>
    </row>
    <row r="549" spans="1:10">
      <c r="A549" s="114" t="str">
        <f t="shared" si="16"/>
        <v>1823920DSR COSTS AMORTIZED103787INDUSTRIAL FINANSWER-WY-2014 CAT3OTHER</v>
      </c>
      <c r="B549" s="127">
        <v>1823920</v>
      </c>
      <c r="C549" s="128" t="s">
        <v>695</v>
      </c>
      <c r="D549" s="127">
        <v>103787</v>
      </c>
      <c r="E549" s="128" t="s">
        <v>1055</v>
      </c>
      <c r="F549" s="127" t="s">
        <v>306</v>
      </c>
      <c r="H549" s="117" t="str">
        <f t="shared" si="17"/>
        <v>OTHER</v>
      </c>
      <c r="I549" s="113" t="s">
        <v>73</v>
      </c>
      <c r="J549"/>
    </row>
    <row r="550" spans="1:10">
      <c r="A550" s="114" t="str">
        <f t="shared" si="16"/>
        <v>1823920DSR COSTS AMORTIZED103788INDUSTRIAL FINAN EXPRESS WY-2014 CAT2OTHER</v>
      </c>
      <c r="B550" s="127">
        <v>1823920</v>
      </c>
      <c r="C550" s="128" t="s">
        <v>695</v>
      </c>
      <c r="D550" s="127">
        <v>103788</v>
      </c>
      <c r="E550" s="128" t="s">
        <v>1056</v>
      </c>
      <c r="F550" s="127" t="s">
        <v>306</v>
      </c>
      <c r="H550" s="117" t="str">
        <f t="shared" si="17"/>
        <v>OTHER</v>
      </c>
      <c r="I550" s="113" t="s">
        <v>73</v>
      </c>
      <c r="J550"/>
    </row>
    <row r="551" spans="1:10">
      <c r="A551" s="114" t="str">
        <f t="shared" si="16"/>
        <v>1823920DSR COSTS AMORTIZED103789INDUSTRIAL FINANSWER EXP WY-2014 CAT3OTHER</v>
      </c>
      <c r="B551" s="127">
        <v>1823920</v>
      </c>
      <c r="C551" s="128" t="s">
        <v>695</v>
      </c>
      <c r="D551" s="127">
        <v>103789</v>
      </c>
      <c r="E551" s="128" t="s">
        <v>1057</v>
      </c>
      <c r="F551" s="127" t="s">
        <v>306</v>
      </c>
      <c r="H551" s="117" t="str">
        <f t="shared" si="17"/>
        <v>OTHER</v>
      </c>
      <c r="I551" s="113" t="s">
        <v>73</v>
      </c>
      <c r="J551"/>
    </row>
    <row r="552" spans="1:10">
      <c r="A552" s="114" t="str">
        <f t="shared" si="16"/>
        <v>1823920DSR COSTS AMORTIZED103790LOW-INCOME WEATHERZTN - WY 2014 CAT1OTHER</v>
      </c>
      <c r="B552" s="127">
        <v>1823920</v>
      </c>
      <c r="C552" s="128" t="s">
        <v>695</v>
      </c>
      <c r="D552" s="127">
        <v>103790</v>
      </c>
      <c r="E552" s="128" t="s">
        <v>1058</v>
      </c>
      <c r="F552" s="127" t="s">
        <v>306</v>
      </c>
      <c r="H552" s="117" t="str">
        <f t="shared" si="17"/>
        <v>OTHER</v>
      </c>
      <c r="I552" s="113" t="s">
        <v>73</v>
      </c>
      <c r="J552"/>
    </row>
    <row r="553" spans="1:10">
      <c r="A553" s="114" t="str">
        <f t="shared" si="16"/>
        <v>1823920DSR COSTS AMORTIZED103791OUTREACH AND COMMUNICATION WATTSMT  WY-2OTHER</v>
      </c>
      <c r="B553" s="127">
        <v>1823920</v>
      </c>
      <c r="C553" s="128" t="s">
        <v>695</v>
      </c>
      <c r="D553" s="127">
        <v>103791</v>
      </c>
      <c r="E553" s="128" t="s">
        <v>979</v>
      </c>
      <c r="F553" s="127" t="s">
        <v>306</v>
      </c>
      <c r="H553" s="117" t="str">
        <f t="shared" si="17"/>
        <v>OTHER</v>
      </c>
      <c r="I553" s="113" t="s">
        <v>73</v>
      </c>
      <c r="J553"/>
    </row>
    <row r="554" spans="1:10">
      <c r="A554" s="114" t="str">
        <f t="shared" si="16"/>
        <v>1823920DSR COSTS AMORTIZED103792PORTFOLIO WY-2014 CAT1OTHER</v>
      </c>
      <c r="B554" s="127">
        <v>1823920</v>
      </c>
      <c r="C554" s="128" t="s">
        <v>695</v>
      </c>
      <c r="D554" s="127">
        <v>103792</v>
      </c>
      <c r="E554" s="128" t="s">
        <v>1059</v>
      </c>
      <c r="F554" s="127" t="s">
        <v>306</v>
      </c>
      <c r="H554" s="117" t="str">
        <f t="shared" si="17"/>
        <v>OTHER</v>
      </c>
      <c r="I554" s="113" t="s">
        <v>73</v>
      </c>
      <c r="J554"/>
    </row>
    <row r="555" spans="1:10">
      <c r="A555" s="114" t="str">
        <f t="shared" si="16"/>
        <v>1823920DSR COSTS AMORTIZED103793PORTFOLIO WY-2014 CAT2OTHER</v>
      </c>
      <c r="B555" s="127">
        <v>1823920</v>
      </c>
      <c r="C555" s="128" t="s">
        <v>695</v>
      </c>
      <c r="D555" s="127">
        <v>103793</v>
      </c>
      <c r="E555" s="128" t="s">
        <v>1060</v>
      </c>
      <c r="F555" s="127" t="s">
        <v>306</v>
      </c>
      <c r="H555" s="117" t="str">
        <f t="shared" si="17"/>
        <v>OTHER</v>
      </c>
      <c r="I555" s="113" t="s">
        <v>73</v>
      </c>
      <c r="J555"/>
    </row>
    <row r="556" spans="1:10">
      <c r="A556" s="114" t="str">
        <f t="shared" si="16"/>
        <v>1823920DSR COSTS AMORTIZED103794PORTFOLIO WY-2014 CAT3OTHER</v>
      </c>
      <c r="B556" s="127">
        <v>1823920</v>
      </c>
      <c r="C556" s="128" t="s">
        <v>695</v>
      </c>
      <c r="D556" s="127">
        <v>103794</v>
      </c>
      <c r="E556" s="128" t="s">
        <v>1061</v>
      </c>
      <c r="F556" s="127" t="s">
        <v>306</v>
      </c>
      <c r="H556" s="117" t="str">
        <f t="shared" si="17"/>
        <v>OTHER</v>
      </c>
      <c r="I556" s="113" t="s">
        <v>73</v>
      </c>
      <c r="J556"/>
    </row>
    <row r="557" spans="1:10">
      <c r="A557" s="114" t="str">
        <f t="shared" si="16"/>
        <v>1823920DSR COSTS AMORTIZED103795REFRIGERATOR RECYCLING-WY -2014 CAT1OTHER</v>
      </c>
      <c r="B557" s="127">
        <v>1823920</v>
      </c>
      <c r="C557" s="128" t="s">
        <v>695</v>
      </c>
      <c r="D557" s="127">
        <v>103795</v>
      </c>
      <c r="E557" s="128" t="s">
        <v>1062</v>
      </c>
      <c r="F557" s="127" t="s">
        <v>306</v>
      </c>
      <c r="H557" s="117" t="str">
        <f t="shared" si="17"/>
        <v>OTHER</v>
      </c>
      <c r="I557" s="113" t="s">
        <v>73</v>
      </c>
      <c r="J557"/>
    </row>
    <row r="558" spans="1:10">
      <c r="A558" s="114" t="str">
        <f t="shared" si="16"/>
        <v>1823920DSR COSTS AMORTIZED103796SELF DIRECT - COMMERCIAL WY-2014 CAT2OTHER</v>
      </c>
      <c r="B558" s="127">
        <v>1823920</v>
      </c>
      <c r="C558" s="128" t="s">
        <v>695</v>
      </c>
      <c r="D558" s="127">
        <v>103796</v>
      </c>
      <c r="E558" s="128" t="s">
        <v>1063</v>
      </c>
      <c r="F558" s="127" t="s">
        <v>306</v>
      </c>
      <c r="H558" s="117" t="str">
        <f t="shared" si="17"/>
        <v>OTHER</v>
      </c>
      <c r="I558" s="113" t="s">
        <v>73</v>
      </c>
      <c r="J558"/>
    </row>
    <row r="559" spans="1:10">
      <c r="A559" s="114" t="str">
        <f t="shared" si="16"/>
        <v>1823920DSR COSTS AMORTIZED103797SELF DIRECT - COMMERCIAL -WY-2014 CAT3OTHER</v>
      </c>
      <c r="B559" s="127">
        <v>1823920</v>
      </c>
      <c r="C559" s="128" t="s">
        <v>695</v>
      </c>
      <c r="D559" s="127">
        <v>103797</v>
      </c>
      <c r="E559" s="128" t="s">
        <v>1064</v>
      </c>
      <c r="F559" s="127" t="s">
        <v>306</v>
      </c>
      <c r="H559" s="117" t="str">
        <f t="shared" si="17"/>
        <v>OTHER</v>
      </c>
      <c r="I559" s="113" t="s">
        <v>73</v>
      </c>
      <c r="J559"/>
    </row>
    <row r="560" spans="1:10">
      <c r="A560" s="114" t="str">
        <f t="shared" si="16"/>
        <v>1823920DSR COSTS AMORTIZED103798SELF DIRECT- INDUSTRIAL WY-2014 CAT2OTHER</v>
      </c>
      <c r="B560" s="127">
        <v>1823920</v>
      </c>
      <c r="C560" s="128" t="s">
        <v>695</v>
      </c>
      <c r="D560" s="127">
        <v>103798</v>
      </c>
      <c r="E560" s="128" t="s">
        <v>1065</v>
      </c>
      <c r="F560" s="127" t="s">
        <v>306</v>
      </c>
      <c r="H560" s="117" t="str">
        <f t="shared" si="17"/>
        <v>OTHER</v>
      </c>
      <c r="I560" s="113" t="s">
        <v>73</v>
      </c>
      <c r="J560"/>
    </row>
    <row r="561" spans="1:10">
      <c r="A561" s="114" t="str">
        <f t="shared" si="16"/>
        <v>1823920DSR COSTS AMORTIZED103799SELF DIRECT -INDUSTRIAL -WY-2014 CAT3OTHER</v>
      </c>
      <c r="B561" s="127">
        <v>1823920</v>
      </c>
      <c r="C561" s="128" t="s">
        <v>695</v>
      </c>
      <c r="D561" s="127">
        <v>103799</v>
      </c>
      <c r="E561" s="128" t="s">
        <v>1066</v>
      </c>
      <c r="F561" s="127" t="s">
        <v>306</v>
      </c>
      <c r="H561" s="117" t="str">
        <f t="shared" si="17"/>
        <v>OTHER</v>
      </c>
      <c r="I561" s="113" t="s">
        <v>73</v>
      </c>
      <c r="J561"/>
    </row>
    <row r="562" spans="1:10">
      <c r="A562" s="114" t="str">
        <f t="shared" si="16"/>
        <v>1823920DSR COSTS AMORTIZED103805WSB - WATTSMART BUSINESS - CA- 2014OTHER</v>
      </c>
      <c r="B562" s="127">
        <v>1823920</v>
      </c>
      <c r="C562" s="128" t="s">
        <v>695</v>
      </c>
      <c r="D562" s="127">
        <v>103805</v>
      </c>
      <c r="E562" s="128" t="s">
        <v>1067</v>
      </c>
      <c r="F562" s="127" t="s">
        <v>306</v>
      </c>
      <c r="H562" s="117" t="str">
        <f t="shared" si="17"/>
        <v>OTHER</v>
      </c>
      <c r="I562" s="113" t="s">
        <v>73</v>
      </c>
      <c r="J562"/>
    </row>
    <row r="563" spans="1:10">
      <c r="A563" s="114" t="str">
        <f t="shared" si="16"/>
        <v>1823920DSR COSTS AMORTIZED103808WSB - WATTSMART BUSINESS - ID- 2014OTHER</v>
      </c>
      <c r="B563" s="127">
        <v>1823920</v>
      </c>
      <c r="C563" s="128" t="s">
        <v>695</v>
      </c>
      <c r="D563" s="127">
        <v>103808</v>
      </c>
      <c r="E563" s="128" t="s">
        <v>1068</v>
      </c>
      <c r="F563" s="127" t="s">
        <v>306</v>
      </c>
      <c r="H563" s="117" t="str">
        <f t="shared" si="17"/>
        <v>OTHER</v>
      </c>
      <c r="I563" s="113" t="s">
        <v>73</v>
      </c>
      <c r="J563"/>
    </row>
    <row r="564" spans="1:10">
      <c r="A564" s="114" t="str">
        <f t="shared" si="16"/>
        <v>1823920DSR COSTS AMORTIZED103809WSB Small Business Comm - ID-2014OTHER</v>
      </c>
      <c r="B564" s="127">
        <v>1823920</v>
      </c>
      <c r="C564" s="128" t="s">
        <v>695</v>
      </c>
      <c r="D564" s="127">
        <v>103809</v>
      </c>
      <c r="E564" s="128" t="s">
        <v>1069</v>
      </c>
      <c r="F564" s="127" t="s">
        <v>306</v>
      </c>
      <c r="H564" s="117" t="str">
        <f t="shared" si="17"/>
        <v>OTHER</v>
      </c>
      <c r="I564" s="113" t="s">
        <v>73</v>
      </c>
      <c r="J564"/>
    </row>
    <row r="565" spans="1:10">
      <c r="A565" s="114" t="str">
        <f t="shared" si="16"/>
        <v>1823920DSR COSTS AMORTIZED103810WSB Small Business Ind - ID 2014OTHER</v>
      </c>
      <c r="B565" s="127">
        <v>1823920</v>
      </c>
      <c r="C565" s="128" t="s">
        <v>695</v>
      </c>
      <c r="D565" s="127">
        <v>103810</v>
      </c>
      <c r="E565" s="128" t="s">
        <v>1070</v>
      </c>
      <c r="F565" s="127" t="s">
        <v>306</v>
      </c>
      <c r="H565" s="117" t="str">
        <f t="shared" si="17"/>
        <v>OTHER</v>
      </c>
      <c r="I565" s="113" t="s">
        <v>73</v>
      </c>
      <c r="J565"/>
    </row>
    <row r="566" spans="1:10">
      <c r="A566" s="114" t="str">
        <f t="shared" si="16"/>
        <v>1823920DSR COSTS AMORTIZED103811WSB - Wattsmart Business - WY Cat 2- 201OTHER</v>
      </c>
      <c r="B566" s="127">
        <v>1823920</v>
      </c>
      <c r="C566" s="128" t="s">
        <v>695</v>
      </c>
      <c r="D566" s="127">
        <v>103811</v>
      </c>
      <c r="E566" s="128" t="s">
        <v>1071</v>
      </c>
      <c r="F566" s="127" t="s">
        <v>306</v>
      </c>
      <c r="H566" s="117" t="str">
        <f t="shared" si="17"/>
        <v>OTHER</v>
      </c>
      <c r="I566" s="113" t="s">
        <v>73</v>
      </c>
      <c r="J566"/>
    </row>
    <row r="567" spans="1:10">
      <c r="A567" s="114" t="str">
        <f t="shared" si="16"/>
        <v>1823920DSR COSTS AMORTIZED103812WSB - Small Business Comm - WY Cat2 -201OTHER</v>
      </c>
      <c r="B567" s="127">
        <v>1823920</v>
      </c>
      <c r="C567" s="128" t="s">
        <v>695</v>
      </c>
      <c r="D567" s="127">
        <v>103812</v>
      </c>
      <c r="E567" s="128" t="s">
        <v>1072</v>
      </c>
      <c r="F567" s="127" t="s">
        <v>306</v>
      </c>
      <c r="H567" s="117" t="str">
        <f t="shared" si="17"/>
        <v>OTHER</v>
      </c>
      <c r="I567" s="113" t="s">
        <v>73</v>
      </c>
      <c r="J567"/>
    </row>
    <row r="568" spans="1:10">
      <c r="A568" s="114" t="str">
        <f t="shared" si="16"/>
        <v>1823920DSR COSTS AMORTIZED103813WBS Small Business Ind - WY Cat2-2014OTHER</v>
      </c>
      <c r="B568" s="127">
        <v>1823920</v>
      </c>
      <c r="C568" s="128" t="s">
        <v>695</v>
      </c>
      <c r="D568" s="127">
        <v>103813</v>
      </c>
      <c r="E568" s="128" t="s">
        <v>1073</v>
      </c>
      <c r="F568" s="127" t="s">
        <v>306</v>
      </c>
      <c r="H568" s="117" t="str">
        <f t="shared" si="17"/>
        <v>OTHER</v>
      </c>
      <c r="I568" s="113" t="s">
        <v>73</v>
      </c>
      <c r="J568"/>
    </row>
    <row r="569" spans="1:10">
      <c r="A569" s="114" t="str">
        <f t="shared" si="16"/>
        <v>1823920DSR COSTS AMORTIZED103814WSB Small Business Comm- UT-2014OTHER</v>
      </c>
      <c r="B569" s="127">
        <v>1823920</v>
      </c>
      <c r="C569" s="128" t="s">
        <v>695</v>
      </c>
      <c r="D569" s="127">
        <v>103814</v>
      </c>
      <c r="E569" s="128" t="s">
        <v>1074</v>
      </c>
      <c r="F569" s="127" t="s">
        <v>306</v>
      </c>
      <c r="H569" s="117" t="str">
        <f t="shared" si="17"/>
        <v>OTHER</v>
      </c>
      <c r="I569" s="113" t="s">
        <v>73</v>
      </c>
      <c r="J569"/>
    </row>
    <row r="570" spans="1:10">
      <c r="A570" s="114" t="str">
        <f t="shared" si="16"/>
        <v>1823920DSR COSTS AMORTIZED103815WBS Small Business Ind- UT-2014OTHER</v>
      </c>
      <c r="B570" s="127">
        <v>1823920</v>
      </c>
      <c r="C570" s="128" t="s">
        <v>695</v>
      </c>
      <c r="D570" s="127">
        <v>103815</v>
      </c>
      <c r="E570" s="128" t="s">
        <v>1075</v>
      </c>
      <c r="F570" s="127" t="s">
        <v>306</v>
      </c>
      <c r="H570" s="117" t="str">
        <f t="shared" si="17"/>
        <v>OTHER</v>
      </c>
      <c r="I570" s="113" t="s">
        <v>73</v>
      </c>
      <c r="J570"/>
    </row>
    <row r="571" spans="1:10">
      <c r="A571" s="114" t="str">
        <f t="shared" si="16"/>
        <v>1823920DSR COSTS AMORTIZED103816WSB Small Business Comm- WA-2014OTHER</v>
      </c>
      <c r="B571" s="127">
        <v>1823920</v>
      </c>
      <c r="C571" s="128" t="s">
        <v>695</v>
      </c>
      <c r="D571" s="127">
        <v>103816</v>
      </c>
      <c r="E571" s="128" t="s">
        <v>1076</v>
      </c>
      <c r="F571" s="127" t="s">
        <v>306</v>
      </c>
      <c r="H571" s="117" t="str">
        <f t="shared" si="17"/>
        <v>OTHER</v>
      </c>
      <c r="I571" s="113" t="s">
        <v>73</v>
      </c>
      <c r="J571"/>
    </row>
    <row r="572" spans="1:10">
      <c r="A572" s="114" t="str">
        <f t="shared" si="16"/>
        <v>1823920DSR COSTS AMORTIZED103817WBS Small Business Ind- WA-2014OTHER</v>
      </c>
      <c r="B572" s="127">
        <v>1823920</v>
      </c>
      <c r="C572" s="128" t="s">
        <v>695</v>
      </c>
      <c r="D572" s="127">
        <v>103817</v>
      </c>
      <c r="E572" s="128" t="s">
        <v>1077</v>
      </c>
      <c r="F572" s="127" t="s">
        <v>306</v>
      </c>
      <c r="H572" s="117" t="str">
        <f t="shared" si="17"/>
        <v>OTHER</v>
      </c>
      <c r="I572" s="113" t="s">
        <v>73</v>
      </c>
      <c r="J572"/>
    </row>
    <row r="573" spans="1:10">
      <c r="A573" s="114" t="str">
        <f t="shared" si="16"/>
        <v>1823920DSR COSTS AMORTIZED103834HOME ENERGY REPORTING - ID 2014OTHER</v>
      </c>
      <c r="B573" s="127">
        <v>1823920</v>
      </c>
      <c r="C573" s="128" t="s">
        <v>695</v>
      </c>
      <c r="D573" s="127">
        <v>103834</v>
      </c>
      <c r="E573" s="128" t="s">
        <v>1078</v>
      </c>
      <c r="F573" s="127" t="s">
        <v>306</v>
      </c>
      <c r="H573" s="117" t="str">
        <f t="shared" si="17"/>
        <v>OTHER</v>
      </c>
      <c r="I573" s="113" t="s">
        <v>73</v>
      </c>
      <c r="J573"/>
    </row>
    <row r="574" spans="1:10">
      <c r="A574" s="114" t="str">
        <f t="shared" si="16"/>
        <v>1823920DSR COSTS AMORTIZED103835HOME ENERGY REPORTING - WY 2014OTHER</v>
      </c>
      <c r="B574" s="127">
        <v>1823920</v>
      </c>
      <c r="C574" s="128" t="s">
        <v>695</v>
      </c>
      <c r="D574" s="127">
        <v>103835</v>
      </c>
      <c r="E574" s="128" t="s">
        <v>1079</v>
      </c>
      <c r="F574" s="127" t="s">
        <v>306</v>
      </c>
      <c r="H574" s="117" t="str">
        <f t="shared" si="17"/>
        <v>OTHER</v>
      </c>
      <c r="I574" s="113" t="s">
        <v>73</v>
      </c>
      <c r="J574"/>
    </row>
    <row r="575" spans="1:10">
      <c r="A575" s="114" t="str">
        <f t="shared" si="16"/>
        <v>1823920DSR COSTS AMORTIZED103845REFRIGERATOR RECYCLING COMM - WASHINGTONOTHER</v>
      </c>
      <c r="B575" s="127">
        <v>1823920</v>
      </c>
      <c r="C575" s="128" t="s">
        <v>695</v>
      </c>
      <c r="D575" s="127">
        <v>103845</v>
      </c>
      <c r="E575" s="128" t="s">
        <v>1080</v>
      </c>
      <c r="F575" s="127" t="s">
        <v>306</v>
      </c>
      <c r="H575" s="117" t="str">
        <f t="shared" si="17"/>
        <v>OTHER</v>
      </c>
      <c r="I575" s="113" t="s">
        <v>73</v>
      </c>
      <c r="J575"/>
    </row>
    <row r="576" spans="1:10">
      <c r="A576" s="114" t="str">
        <f t="shared" si="16"/>
        <v>1823920DSR COSTS AMORTIZED103856WSB Wattsmart Business Agric - ID-2014OTHER</v>
      </c>
      <c r="B576" s="127">
        <v>1823920</v>
      </c>
      <c r="C576" s="128" t="s">
        <v>695</v>
      </c>
      <c r="D576" s="127">
        <v>103856</v>
      </c>
      <c r="E576" s="128" t="s">
        <v>1081</v>
      </c>
      <c r="F576" s="127" t="s">
        <v>306</v>
      </c>
      <c r="H576" s="117" t="str">
        <f t="shared" si="17"/>
        <v>OTHER</v>
      </c>
      <c r="I576" s="113" t="s">
        <v>73</v>
      </c>
      <c r="J576"/>
    </row>
    <row r="577" spans="1:10">
      <c r="A577" s="114" t="str">
        <f t="shared" si="16"/>
        <v>1823920DSR COSTS AMORTIZED103858WSB Wattsmart Business Comm- WY Cat3 -20OTHER</v>
      </c>
      <c r="B577" s="127">
        <v>1823920</v>
      </c>
      <c r="C577" s="128" t="s">
        <v>695</v>
      </c>
      <c r="D577" s="127">
        <v>103858</v>
      </c>
      <c r="E577" s="128" t="s">
        <v>1082</v>
      </c>
      <c r="F577" s="127" t="s">
        <v>306</v>
      </c>
      <c r="H577" s="117" t="str">
        <f t="shared" si="17"/>
        <v>OTHER</v>
      </c>
      <c r="I577" s="113" t="s">
        <v>73</v>
      </c>
      <c r="J577"/>
    </row>
    <row r="578" spans="1:10">
      <c r="A578" s="114" t="str">
        <f t="shared" si="16"/>
        <v>1823920DSR COSTS AMORTIZED103859WBS Wattsmart Business Ind- WY Cat2-2014OTHER</v>
      </c>
      <c r="B578" s="127">
        <v>1823920</v>
      </c>
      <c r="C578" s="128" t="s">
        <v>695</v>
      </c>
      <c r="D578" s="127">
        <v>103859</v>
      </c>
      <c r="E578" s="128" t="s">
        <v>1083</v>
      </c>
      <c r="F578" s="127" t="s">
        <v>306</v>
      </c>
      <c r="H578" s="117" t="str">
        <f t="shared" si="17"/>
        <v>OTHER</v>
      </c>
      <c r="I578" s="113" t="s">
        <v>73</v>
      </c>
      <c r="J578"/>
    </row>
    <row r="579" spans="1:10">
      <c r="A579" s="114" t="str">
        <f t="shared" ref="A579:A642" si="18">CONCATENATE($B579,$C579,$D579,$E579,$H579)</f>
        <v>1823920DSR COSTS AMORTIZED103860WSB- Wattsmart Business- WY Cat 3- 2014OTHER</v>
      </c>
      <c r="B579" s="127">
        <v>1823920</v>
      </c>
      <c r="C579" s="128" t="s">
        <v>695</v>
      </c>
      <c r="D579" s="127">
        <v>103860</v>
      </c>
      <c r="E579" s="128" t="s">
        <v>1084</v>
      </c>
      <c r="F579" s="127" t="s">
        <v>306</v>
      </c>
      <c r="H579" s="117" t="str">
        <f t="shared" ref="H579:H642" si="19">IF(OR(F579="IDU",F579="OR",F579="UT",F579="WYU",F579="WYP",F579="CA",F579="WA"),"SITUS",F579)</f>
        <v>OTHER</v>
      </c>
      <c r="I579" s="113" t="s">
        <v>73</v>
      </c>
      <c r="J579"/>
    </row>
    <row r="580" spans="1:10">
      <c r="A580" s="114" t="str">
        <f t="shared" si="18"/>
        <v>1823920DSR COSTS AMORTIZED103862OUTREACH AND COMMUNICATION  ID-2014OTHER</v>
      </c>
      <c r="B580" s="127">
        <v>1823920</v>
      </c>
      <c r="C580" s="128" t="s">
        <v>695</v>
      </c>
      <c r="D580" s="127">
        <v>103862</v>
      </c>
      <c r="E580" s="128" t="s">
        <v>1085</v>
      </c>
      <c r="F580" s="127" t="s">
        <v>306</v>
      </c>
      <c r="H580" s="117" t="str">
        <f t="shared" si="19"/>
        <v>OTHER</v>
      </c>
      <c r="I580" s="113" t="s">
        <v>73</v>
      </c>
      <c r="J580"/>
    </row>
    <row r="581" spans="1:10">
      <c r="A581" s="114" t="str">
        <f t="shared" si="18"/>
        <v>1823920DSR COSTS AMORTIZED103865CALIFORNIA DSM EXPENSE - 2015OTHER</v>
      </c>
      <c r="B581" s="127">
        <v>1823920</v>
      </c>
      <c r="C581" s="128" t="s">
        <v>695</v>
      </c>
      <c r="D581" s="127">
        <v>103865</v>
      </c>
      <c r="E581" s="128" t="s">
        <v>1086</v>
      </c>
      <c r="F581" s="127" t="s">
        <v>306</v>
      </c>
      <c r="H581" s="117" t="str">
        <f t="shared" si="19"/>
        <v>OTHER</v>
      </c>
      <c r="I581" s="113" t="s">
        <v>73</v>
      </c>
      <c r="J581"/>
    </row>
    <row r="582" spans="1:10">
      <c r="A582" s="114" t="str">
        <f t="shared" si="18"/>
        <v>1823920DSR COSTS AMORTIZED103874PORTFOLIO - IDAHO 2015OTHER</v>
      </c>
      <c r="B582" s="127">
        <v>1823920</v>
      </c>
      <c r="C582" s="128" t="s">
        <v>695</v>
      </c>
      <c r="D582" s="127">
        <v>103874</v>
      </c>
      <c r="E582" s="128" t="s">
        <v>1087</v>
      </c>
      <c r="F582" s="127" t="s">
        <v>306</v>
      </c>
      <c r="H582" s="117" t="str">
        <f t="shared" si="19"/>
        <v>OTHER</v>
      </c>
      <c r="I582" s="113" t="s">
        <v>73</v>
      </c>
      <c r="J582"/>
    </row>
    <row r="583" spans="1:10">
      <c r="A583" s="114" t="str">
        <f t="shared" si="18"/>
        <v>1823920DSR COSTS AMORTIZED103876WSB - WATTSMART BUSINESS - ID- 2015OTHER</v>
      </c>
      <c r="B583" s="127">
        <v>1823920</v>
      </c>
      <c r="C583" s="128" t="s">
        <v>695</v>
      </c>
      <c r="D583" s="127">
        <v>103876</v>
      </c>
      <c r="E583" s="128" t="s">
        <v>1088</v>
      </c>
      <c r="F583" s="127" t="s">
        <v>306</v>
      </c>
      <c r="H583" s="117" t="str">
        <f t="shared" si="19"/>
        <v>OTHER</v>
      </c>
      <c r="I583" s="113" t="s">
        <v>73</v>
      </c>
      <c r="J583"/>
    </row>
    <row r="584" spans="1:10">
      <c r="A584" s="114" t="str">
        <f t="shared" si="18"/>
        <v>1823920DSR COSTS AMORTIZED103877WSB Small Business Comm - ID-2015OTHER</v>
      </c>
      <c r="B584" s="127">
        <v>1823920</v>
      </c>
      <c r="C584" s="128" t="s">
        <v>695</v>
      </c>
      <c r="D584" s="127">
        <v>103877</v>
      </c>
      <c r="E584" s="128" t="s">
        <v>1089</v>
      </c>
      <c r="F584" s="127" t="s">
        <v>306</v>
      </c>
      <c r="H584" s="117" t="str">
        <f t="shared" si="19"/>
        <v>OTHER</v>
      </c>
      <c r="I584" s="113" t="s">
        <v>73</v>
      </c>
      <c r="J584"/>
    </row>
    <row r="585" spans="1:10">
      <c r="A585" s="114" t="str">
        <f t="shared" si="18"/>
        <v>1823920DSR COSTS AMORTIZED103878WSB Small Business Ind - ID 2015OTHER</v>
      </c>
      <c r="B585" s="127">
        <v>1823920</v>
      </c>
      <c r="C585" s="128" t="s">
        <v>695</v>
      </c>
      <c r="D585" s="127">
        <v>103878</v>
      </c>
      <c r="E585" s="128" t="s">
        <v>1090</v>
      </c>
      <c r="F585" s="127" t="s">
        <v>306</v>
      </c>
      <c r="H585" s="117" t="str">
        <f t="shared" si="19"/>
        <v>OTHER</v>
      </c>
      <c r="I585" s="113" t="s">
        <v>73</v>
      </c>
      <c r="J585"/>
    </row>
    <row r="586" spans="1:10">
      <c r="A586" s="114" t="str">
        <f t="shared" si="18"/>
        <v>1823920DSR COSTS AMORTIZED103879HOME ENERGY REPORTING - ID 2015OTHER</v>
      </c>
      <c r="B586" s="127">
        <v>1823920</v>
      </c>
      <c r="C586" s="128" t="s">
        <v>695</v>
      </c>
      <c r="D586" s="127">
        <v>103879</v>
      </c>
      <c r="E586" s="128" t="s">
        <v>1091</v>
      </c>
      <c r="F586" s="127" t="s">
        <v>306</v>
      </c>
      <c r="H586" s="117" t="str">
        <f t="shared" si="19"/>
        <v>OTHER</v>
      </c>
      <c r="I586" s="113" t="s">
        <v>73</v>
      </c>
      <c r="J586"/>
    </row>
    <row r="587" spans="1:10">
      <c r="A587" s="114" t="str">
        <f t="shared" si="18"/>
        <v>1823920DSR COSTS AMORTIZED103880WSB Wattsmart Business Agric - ID-2015OTHER</v>
      </c>
      <c r="B587" s="127">
        <v>1823920</v>
      </c>
      <c r="C587" s="128" t="s">
        <v>695</v>
      </c>
      <c r="D587" s="127">
        <v>103880</v>
      </c>
      <c r="E587" s="128" t="s">
        <v>1092</v>
      </c>
      <c r="F587" s="127" t="s">
        <v>306</v>
      </c>
      <c r="H587" s="117" t="str">
        <f t="shared" si="19"/>
        <v>OTHER</v>
      </c>
      <c r="I587" s="113" t="s">
        <v>73</v>
      </c>
      <c r="J587"/>
    </row>
    <row r="588" spans="1:10">
      <c r="A588" s="114" t="str">
        <f t="shared" si="18"/>
        <v>1823920DSR COSTS AMORTIZED103881OUTREACH AND COMMUNICATION  ID-2015OTHER</v>
      </c>
      <c r="B588" s="127">
        <v>1823920</v>
      </c>
      <c r="C588" s="128" t="s">
        <v>695</v>
      </c>
      <c r="D588" s="127">
        <v>103881</v>
      </c>
      <c r="E588" s="128" t="s">
        <v>1093</v>
      </c>
      <c r="F588" s="127" t="s">
        <v>306</v>
      </c>
      <c r="H588" s="117" t="str">
        <f t="shared" si="19"/>
        <v>OTHER</v>
      </c>
      <c r="I588" s="113" t="s">
        <v>73</v>
      </c>
      <c r="J588"/>
    </row>
    <row r="589" spans="1:10">
      <c r="A589" s="114" t="str">
        <f t="shared" si="18"/>
        <v>1823920DSR COSTS AMORTIZED103882A/C LOAD CONTROL - RESIDENTIAL/UTAH - 20OTHER</v>
      </c>
      <c r="B589" s="127">
        <v>1823920</v>
      </c>
      <c r="C589" s="128" t="s">
        <v>695</v>
      </c>
      <c r="D589" s="127">
        <v>103882</v>
      </c>
      <c r="E589" s="128" t="s">
        <v>772</v>
      </c>
      <c r="F589" s="127" t="s">
        <v>306</v>
      </c>
      <c r="H589" s="117" t="str">
        <f t="shared" si="19"/>
        <v>OTHER</v>
      </c>
      <c r="I589" s="113" t="s">
        <v>73</v>
      </c>
      <c r="J589"/>
    </row>
    <row r="590" spans="1:10">
      <c r="A590" s="114" t="str">
        <f t="shared" si="18"/>
        <v>1823920DSR COSTS AMORTIZED103887HOME ENERGY EFF INCENTIVE PROG - UT 2015OTHER</v>
      </c>
      <c r="B590" s="127">
        <v>1823920</v>
      </c>
      <c r="C590" s="128" t="s">
        <v>695</v>
      </c>
      <c r="D590" s="127">
        <v>103887</v>
      </c>
      <c r="E590" s="128" t="s">
        <v>1094</v>
      </c>
      <c r="F590" s="127" t="s">
        <v>306</v>
      </c>
      <c r="H590" s="117" t="str">
        <f t="shared" si="19"/>
        <v>OTHER</v>
      </c>
      <c r="I590" s="113" t="s">
        <v>73</v>
      </c>
      <c r="J590"/>
    </row>
    <row r="591" spans="1:10">
      <c r="A591" s="114" t="str">
        <f t="shared" si="18"/>
        <v>1823920DSR COSTS AMORTIZED103888HOME ENERGY REPORTING - UT 2015OTHER</v>
      </c>
      <c r="B591" s="127">
        <v>1823920</v>
      </c>
      <c r="C591" s="128" t="s">
        <v>695</v>
      </c>
      <c r="D591" s="127">
        <v>103888</v>
      </c>
      <c r="E591" s="128" t="s">
        <v>1095</v>
      </c>
      <c r="F591" s="127" t="s">
        <v>306</v>
      </c>
      <c r="H591" s="117" t="str">
        <f t="shared" si="19"/>
        <v>OTHER</v>
      </c>
      <c r="I591" s="113" t="s">
        <v>73</v>
      </c>
      <c r="J591"/>
    </row>
    <row r="592" spans="1:10">
      <c r="A592" s="114" t="str">
        <f t="shared" si="18"/>
        <v>1823920DSR COSTS AMORTIZED103891IRRIGATION LOAD CONTROL  - UTAH - 2015OTHER</v>
      </c>
      <c r="B592" s="127">
        <v>1823920</v>
      </c>
      <c r="C592" s="128" t="s">
        <v>695</v>
      </c>
      <c r="D592" s="127">
        <v>103891</v>
      </c>
      <c r="E592" s="128" t="s">
        <v>1096</v>
      </c>
      <c r="F592" s="127" t="s">
        <v>306</v>
      </c>
      <c r="H592" s="117" t="str">
        <f t="shared" si="19"/>
        <v>OTHER</v>
      </c>
      <c r="I592" s="113" t="s">
        <v>73</v>
      </c>
      <c r="J592"/>
    </row>
    <row r="593" spans="1:10">
      <c r="A593" s="114" t="str">
        <f t="shared" si="18"/>
        <v>1823920DSR COSTS AMORTIZED103892LOW INCOME - UTAH - 2015OTHER</v>
      </c>
      <c r="B593" s="127">
        <v>1823920</v>
      </c>
      <c r="C593" s="128" t="s">
        <v>695</v>
      </c>
      <c r="D593" s="127">
        <v>103892</v>
      </c>
      <c r="E593" s="128" t="s">
        <v>1097</v>
      </c>
      <c r="F593" s="127" t="s">
        <v>306</v>
      </c>
      <c r="H593" s="117" t="str">
        <f t="shared" si="19"/>
        <v>OTHER</v>
      </c>
      <c r="I593" s="113" t="s">
        <v>73</v>
      </c>
      <c r="J593"/>
    </row>
    <row r="594" spans="1:10">
      <c r="A594" s="114" t="str">
        <f t="shared" si="18"/>
        <v>1823920DSR COSTS AMORTIZED103893OUTREACH and COMMUNICATIONS - UT 2015OTHER</v>
      </c>
      <c r="B594" s="127">
        <v>1823920</v>
      </c>
      <c r="C594" s="128" t="s">
        <v>695</v>
      </c>
      <c r="D594" s="127">
        <v>103893</v>
      </c>
      <c r="E594" s="128" t="s">
        <v>1098</v>
      </c>
      <c r="F594" s="127" t="s">
        <v>306</v>
      </c>
      <c r="H594" s="117" t="str">
        <f t="shared" si="19"/>
        <v>OTHER</v>
      </c>
      <c r="I594" s="113" t="s">
        <v>73</v>
      </c>
      <c r="J594"/>
    </row>
    <row r="595" spans="1:10">
      <c r="A595" s="114" t="str">
        <f t="shared" si="18"/>
        <v>1823920DSR COSTS AMORTIZED103894PORTFOLIO - UTAH 2015OTHER</v>
      </c>
      <c r="B595" s="127">
        <v>1823920</v>
      </c>
      <c r="C595" s="128" t="s">
        <v>695</v>
      </c>
      <c r="D595" s="127">
        <v>103894</v>
      </c>
      <c r="E595" s="128" t="s">
        <v>1099</v>
      </c>
      <c r="F595" s="127" t="s">
        <v>306</v>
      </c>
      <c r="H595" s="117" t="str">
        <f t="shared" si="19"/>
        <v>OTHER</v>
      </c>
      <c r="I595" s="113" t="s">
        <v>73</v>
      </c>
      <c r="J595"/>
    </row>
    <row r="596" spans="1:10">
      <c r="A596" s="114" t="str">
        <f t="shared" si="18"/>
        <v>1823920DSR COSTS AMORTIZED103895REFRIGERATOR RECYCLING PGM- UTAH - 2015OTHER</v>
      </c>
      <c r="B596" s="127">
        <v>1823920</v>
      </c>
      <c r="C596" s="128" t="s">
        <v>695</v>
      </c>
      <c r="D596" s="127">
        <v>103895</v>
      </c>
      <c r="E596" s="128" t="s">
        <v>1100</v>
      </c>
      <c r="F596" s="127" t="s">
        <v>306</v>
      </c>
      <c r="H596" s="117" t="str">
        <f t="shared" si="19"/>
        <v>OTHER</v>
      </c>
      <c r="I596" s="113" t="s">
        <v>73</v>
      </c>
      <c r="J596"/>
    </row>
    <row r="597" spans="1:10">
      <c r="A597" s="114" t="str">
        <f t="shared" si="18"/>
        <v>1823920DSR COSTS AMORTIZED103896RESIDENTIAL NEW CONSTRUCTION - UTAH - 20OTHER</v>
      </c>
      <c r="B597" s="127">
        <v>1823920</v>
      </c>
      <c r="C597" s="128" t="s">
        <v>695</v>
      </c>
      <c r="D597" s="127">
        <v>103896</v>
      </c>
      <c r="E597" s="128" t="s">
        <v>757</v>
      </c>
      <c r="F597" s="127" t="s">
        <v>306</v>
      </c>
      <c r="H597" s="117" t="str">
        <f t="shared" si="19"/>
        <v>OTHER</v>
      </c>
      <c r="I597" s="113" t="s">
        <v>73</v>
      </c>
      <c r="J597"/>
    </row>
    <row r="598" spans="1:10">
      <c r="A598" s="114" t="str">
        <f t="shared" si="18"/>
        <v>1823920DSR COSTS AMORTIZED103900COMMERCIAL (WSB) WATTSMART BUS - UT- 201OTHER</v>
      </c>
      <c r="B598" s="127">
        <v>1823920</v>
      </c>
      <c r="C598" s="128" t="s">
        <v>695</v>
      </c>
      <c r="D598" s="127">
        <v>103900</v>
      </c>
      <c r="E598" s="128" t="s">
        <v>1043</v>
      </c>
      <c r="F598" s="127" t="s">
        <v>306</v>
      </c>
      <c r="H598" s="117" t="str">
        <f t="shared" si="19"/>
        <v>OTHER</v>
      </c>
      <c r="I598" s="113" t="s">
        <v>73</v>
      </c>
      <c r="J598"/>
    </row>
    <row r="599" spans="1:10">
      <c r="A599" s="114" t="str">
        <f t="shared" si="18"/>
        <v>1823920DSR COSTS AMORTIZED103901INDUSTRIAL (WSB) WATTSMART BUS- UT- 2015OTHER</v>
      </c>
      <c r="B599" s="127">
        <v>1823920</v>
      </c>
      <c r="C599" s="128" t="s">
        <v>695</v>
      </c>
      <c r="D599" s="127">
        <v>103901</v>
      </c>
      <c r="E599" s="128" t="s">
        <v>1101</v>
      </c>
      <c r="F599" s="127" t="s">
        <v>306</v>
      </c>
      <c r="H599" s="117" t="str">
        <f t="shared" si="19"/>
        <v>OTHER</v>
      </c>
      <c r="I599" s="113" t="s">
        <v>73</v>
      </c>
      <c r="J599"/>
    </row>
    <row r="600" spans="1:10">
      <c r="A600" s="114" t="str">
        <f t="shared" si="18"/>
        <v>1823920DSR COSTS AMORTIZED103902WSB - WATTSMART BUS- UT- 2015OTHER</v>
      </c>
      <c r="B600" s="127">
        <v>1823920</v>
      </c>
      <c r="C600" s="128" t="s">
        <v>695</v>
      </c>
      <c r="D600" s="127">
        <v>103902</v>
      </c>
      <c r="E600" s="128" t="s">
        <v>1102</v>
      </c>
      <c r="F600" s="127" t="s">
        <v>306</v>
      </c>
      <c r="H600" s="117" t="str">
        <f t="shared" si="19"/>
        <v>OTHER</v>
      </c>
      <c r="I600" s="113" t="s">
        <v>73</v>
      </c>
      <c r="J600"/>
    </row>
    <row r="601" spans="1:10">
      <c r="A601" s="114" t="str">
        <f t="shared" si="18"/>
        <v>1823920DSR COSTS AMORTIZED103903AGRICULTURAL (WSB) WATTSMART BUS- UT- 20OTHER</v>
      </c>
      <c r="B601" s="127">
        <v>1823920</v>
      </c>
      <c r="C601" s="128" t="s">
        <v>695</v>
      </c>
      <c r="D601" s="127">
        <v>103903</v>
      </c>
      <c r="E601" s="128" t="s">
        <v>1046</v>
      </c>
      <c r="F601" s="127" t="s">
        <v>306</v>
      </c>
      <c r="H601" s="117" t="str">
        <f t="shared" si="19"/>
        <v>OTHER</v>
      </c>
      <c r="I601" s="113" t="s">
        <v>73</v>
      </c>
      <c r="J601"/>
    </row>
    <row r="602" spans="1:10">
      <c r="A602" s="114" t="str">
        <f t="shared" si="18"/>
        <v>1823920DSR COSTS AMORTIZED103904U.of Utah Student Energy Sponsorship- UTOTHER</v>
      </c>
      <c r="B602" s="127">
        <v>1823920</v>
      </c>
      <c r="C602" s="128" t="s">
        <v>695</v>
      </c>
      <c r="D602" s="127">
        <v>103904</v>
      </c>
      <c r="E602" s="128" t="s">
        <v>985</v>
      </c>
      <c r="F602" s="127" t="s">
        <v>306</v>
      </c>
      <c r="H602" s="117" t="str">
        <f t="shared" si="19"/>
        <v>OTHER</v>
      </c>
      <c r="I602" s="113" t="s">
        <v>73</v>
      </c>
      <c r="J602"/>
    </row>
    <row r="603" spans="1:10">
      <c r="A603" s="114" t="str">
        <f t="shared" si="18"/>
        <v>1823920DSR COSTS AMORTIZED103905WSB Small Business Comm- UT-2015OTHER</v>
      </c>
      <c r="B603" s="127">
        <v>1823920</v>
      </c>
      <c r="C603" s="128" t="s">
        <v>695</v>
      </c>
      <c r="D603" s="127">
        <v>103905</v>
      </c>
      <c r="E603" s="128" t="s">
        <v>1103</v>
      </c>
      <c r="F603" s="127" t="s">
        <v>306</v>
      </c>
      <c r="H603" s="117" t="str">
        <f t="shared" si="19"/>
        <v>OTHER</v>
      </c>
      <c r="I603" s="113" t="s">
        <v>73</v>
      </c>
      <c r="J603"/>
    </row>
    <row r="604" spans="1:10">
      <c r="A604" s="114" t="str">
        <f t="shared" si="18"/>
        <v>1823920DSR COSTS AMORTIZED103906WBS Small Business Ind- UT-2015OTHER</v>
      </c>
      <c r="B604" s="127">
        <v>1823920</v>
      </c>
      <c r="C604" s="128" t="s">
        <v>695</v>
      </c>
      <c r="D604" s="127">
        <v>103906</v>
      </c>
      <c r="E604" s="128" t="s">
        <v>1104</v>
      </c>
      <c r="F604" s="127" t="s">
        <v>306</v>
      </c>
      <c r="H604" s="117" t="str">
        <f t="shared" si="19"/>
        <v>OTHER</v>
      </c>
      <c r="I604" s="113" t="s">
        <v>73</v>
      </c>
      <c r="J604"/>
    </row>
    <row r="605" spans="1:10">
      <c r="A605" s="114" t="str">
        <f t="shared" si="18"/>
        <v>1823920DSR COSTS AMORTIZED103907AGRICULURAL FINANSWER EXP WY-2015 CAT2OTHER</v>
      </c>
      <c r="B605" s="127">
        <v>1823920</v>
      </c>
      <c r="C605" s="128" t="s">
        <v>695</v>
      </c>
      <c r="D605" s="127">
        <v>103907</v>
      </c>
      <c r="E605" s="128" t="s">
        <v>1105</v>
      </c>
      <c r="F605" s="127" t="s">
        <v>306</v>
      </c>
      <c r="H605" s="117" t="str">
        <f t="shared" si="19"/>
        <v>OTHER</v>
      </c>
      <c r="I605" s="113" t="s">
        <v>73</v>
      </c>
      <c r="J605"/>
    </row>
    <row r="606" spans="1:10">
      <c r="A606" s="114" t="str">
        <f t="shared" si="18"/>
        <v>1823920DSR COSTS AMORTIZED103909COMMERCIAL FINANSWER EXP- WY-2015 CAT2OTHER</v>
      </c>
      <c r="B606" s="127">
        <v>1823920</v>
      </c>
      <c r="C606" s="128" t="s">
        <v>695</v>
      </c>
      <c r="D606" s="127">
        <v>103909</v>
      </c>
      <c r="E606" s="128" t="s">
        <v>1106</v>
      </c>
      <c r="F606" s="127" t="s">
        <v>306</v>
      </c>
      <c r="H606" s="117" t="str">
        <f t="shared" si="19"/>
        <v>OTHER</v>
      </c>
      <c r="I606" s="113" t="s">
        <v>73</v>
      </c>
      <c r="J606"/>
    </row>
    <row r="607" spans="1:10">
      <c r="A607" s="114" t="str">
        <f t="shared" si="18"/>
        <v>1823920DSR COSTS AMORTIZED103910COMMERCIAL FINANSWER EXP WY-2015 CAT3OTHER</v>
      </c>
      <c r="B607" s="127">
        <v>1823920</v>
      </c>
      <c r="C607" s="128" t="s">
        <v>695</v>
      </c>
      <c r="D607" s="127">
        <v>103910</v>
      </c>
      <c r="E607" s="128" t="s">
        <v>1107</v>
      </c>
      <c r="F607" s="127" t="s">
        <v>306</v>
      </c>
      <c r="H607" s="117" t="str">
        <f t="shared" si="19"/>
        <v>OTHER</v>
      </c>
      <c r="I607" s="113" t="s">
        <v>73</v>
      </c>
      <c r="J607"/>
    </row>
    <row r="608" spans="1:10">
      <c r="A608" s="114" t="str">
        <f t="shared" si="18"/>
        <v>1823920DSR COSTS AMORTIZED103911ENERGY FINANSWER -WY 2015 CAT2OTHER</v>
      </c>
      <c r="B608" s="127">
        <v>1823920</v>
      </c>
      <c r="C608" s="128" t="s">
        <v>695</v>
      </c>
      <c r="D608" s="127">
        <v>103911</v>
      </c>
      <c r="E608" s="128" t="s">
        <v>1108</v>
      </c>
      <c r="F608" s="127" t="s">
        <v>306</v>
      </c>
      <c r="H608" s="117" t="str">
        <f t="shared" si="19"/>
        <v>OTHER</v>
      </c>
      <c r="I608" s="113" t="s">
        <v>73</v>
      </c>
      <c r="J608"/>
    </row>
    <row r="609" spans="1:10">
      <c r="A609" s="114" t="str">
        <f t="shared" si="18"/>
        <v>1823920DSR COSTS AMORTIZED103912ENERGY FINANSWER-WY-2015 CAT3OTHER</v>
      </c>
      <c r="B609" s="127">
        <v>1823920</v>
      </c>
      <c r="C609" s="128" t="s">
        <v>695</v>
      </c>
      <c r="D609" s="127">
        <v>103912</v>
      </c>
      <c r="E609" s="128" t="s">
        <v>1109</v>
      </c>
      <c r="F609" s="127" t="s">
        <v>306</v>
      </c>
      <c r="H609" s="117" t="str">
        <f t="shared" si="19"/>
        <v>OTHER</v>
      </c>
      <c r="I609" s="113" t="s">
        <v>73</v>
      </c>
      <c r="J609"/>
    </row>
    <row r="610" spans="1:10">
      <c r="A610" s="114" t="str">
        <f t="shared" si="18"/>
        <v>1823920DSR COSTS AMORTIZED103913HOME ENERGY EFF INCENT PROG Y-2015 CAT1OTHER</v>
      </c>
      <c r="B610" s="127">
        <v>1823920</v>
      </c>
      <c r="C610" s="128" t="s">
        <v>695</v>
      </c>
      <c r="D610" s="127">
        <v>103913</v>
      </c>
      <c r="E610" s="128" t="s">
        <v>1110</v>
      </c>
      <c r="F610" s="127" t="s">
        <v>306</v>
      </c>
      <c r="H610" s="117" t="str">
        <f t="shared" si="19"/>
        <v>OTHER</v>
      </c>
      <c r="I610" s="113" t="s">
        <v>73</v>
      </c>
      <c r="J610"/>
    </row>
    <row r="611" spans="1:10">
      <c r="A611" s="114" t="str">
        <f t="shared" si="18"/>
        <v>1823920DSR COSTS AMORTIZED103914INDUSTRIAL FINANSWER -WY 2015 CAT2OTHER</v>
      </c>
      <c r="B611" s="127">
        <v>1823920</v>
      </c>
      <c r="C611" s="128" t="s">
        <v>695</v>
      </c>
      <c r="D611" s="127">
        <v>103914</v>
      </c>
      <c r="E611" s="128" t="s">
        <v>1111</v>
      </c>
      <c r="F611" s="127" t="s">
        <v>306</v>
      </c>
      <c r="H611" s="117" t="str">
        <f t="shared" si="19"/>
        <v>OTHER</v>
      </c>
      <c r="I611" s="113" t="s">
        <v>73</v>
      </c>
      <c r="J611"/>
    </row>
    <row r="612" spans="1:10">
      <c r="A612" s="114" t="str">
        <f t="shared" si="18"/>
        <v>1823920DSR COSTS AMORTIZED103915INDUSTRIAL FINANSWER-WY-2015 CAT3OTHER</v>
      </c>
      <c r="B612" s="127">
        <v>1823920</v>
      </c>
      <c r="C612" s="128" t="s">
        <v>695</v>
      </c>
      <c r="D612" s="127">
        <v>103915</v>
      </c>
      <c r="E612" s="128" t="s">
        <v>1112</v>
      </c>
      <c r="F612" s="127" t="s">
        <v>306</v>
      </c>
      <c r="H612" s="117" t="str">
        <f t="shared" si="19"/>
        <v>OTHER</v>
      </c>
      <c r="I612" s="113" t="s">
        <v>73</v>
      </c>
      <c r="J612"/>
    </row>
    <row r="613" spans="1:10">
      <c r="A613" s="114" t="str">
        <f t="shared" si="18"/>
        <v>1823920DSR COSTS AMORTIZED103916INDUSTRIAL FINAN EXPRESS WY-2015 CAT2OTHER</v>
      </c>
      <c r="B613" s="127">
        <v>1823920</v>
      </c>
      <c r="C613" s="128" t="s">
        <v>695</v>
      </c>
      <c r="D613" s="127">
        <v>103916</v>
      </c>
      <c r="E613" s="128" t="s">
        <v>1113</v>
      </c>
      <c r="F613" s="127" t="s">
        <v>306</v>
      </c>
      <c r="H613" s="117" t="str">
        <f t="shared" si="19"/>
        <v>OTHER</v>
      </c>
      <c r="I613" s="113" t="s">
        <v>73</v>
      </c>
      <c r="J613"/>
    </row>
    <row r="614" spans="1:10">
      <c r="A614" s="114" t="str">
        <f t="shared" si="18"/>
        <v>1823920DSR COSTS AMORTIZED103917INDUSTRIAL FINANSWER EXP WY-2015 CAT3OTHER</v>
      </c>
      <c r="B614" s="127">
        <v>1823920</v>
      </c>
      <c r="C614" s="128" t="s">
        <v>695</v>
      </c>
      <c r="D614" s="127">
        <v>103917</v>
      </c>
      <c r="E614" s="128" t="s">
        <v>1114</v>
      </c>
      <c r="F614" s="127" t="s">
        <v>306</v>
      </c>
      <c r="H614" s="117" t="str">
        <f t="shared" si="19"/>
        <v>OTHER</v>
      </c>
      <c r="I614" s="113" t="s">
        <v>73</v>
      </c>
      <c r="J614"/>
    </row>
    <row r="615" spans="1:10">
      <c r="A615" s="114" t="str">
        <f t="shared" si="18"/>
        <v>1823920DSR COSTS AMORTIZED103918LOW-INCOME WEATHERZTN - WY 2015 CAT1OTHER</v>
      </c>
      <c r="B615" s="127">
        <v>1823920</v>
      </c>
      <c r="C615" s="128" t="s">
        <v>695</v>
      </c>
      <c r="D615" s="127">
        <v>103918</v>
      </c>
      <c r="E615" s="128" t="s">
        <v>1115</v>
      </c>
      <c r="F615" s="127" t="s">
        <v>306</v>
      </c>
      <c r="H615" s="117" t="str">
        <f t="shared" si="19"/>
        <v>OTHER</v>
      </c>
      <c r="I615" s="113" t="s">
        <v>73</v>
      </c>
      <c r="J615"/>
    </row>
    <row r="616" spans="1:10">
      <c r="A616" s="114" t="str">
        <f t="shared" si="18"/>
        <v>1823920DSR COSTS AMORTIZED103919OUTREACH AND COMMUNICATION WATTSMT  WY-2OTHER</v>
      </c>
      <c r="B616" s="127">
        <v>1823920</v>
      </c>
      <c r="C616" s="128" t="s">
        <v>695</v>
      </c>
      <c r="D616" s="127">
        <v>103919</v>
      </c>
      <c r="E616" s="128" t="s">
        <v>979</v>
      </c>
      <c r="F616" s="127" t="s">
        <v>306</v>
      </c>
      <c r="H616" s="117" t="str">
        <f t="shared" si="19"/>
        <v>OTHER</v>
      </c>
      <c r="I616" s="113" t="s">
        <v>73</v>
      </c>
      <c r="J616"/>
    </row>
    <row r="617" spans="1:10">
      <c r="A617" s="114" t="str">
        <f t="shared" si="18"/>
        <v>1823920DSR COSTS AMORTIZED103920PORTFOLIO WY-2015 CAT1OTHER</v>
      </c>
      <c r="B617" s="127">
        <v>1823920</v>
      </c>
      <c r="C617" s="128" t="s">
        <v>695</v>
      </c>
      <c r="D617" s="127">
        <v>103920</v>
      </c>
      <c r="E617" s="128" t="s">
        <v>1116</v>
      </c>
      <c r="F617" s="127" t="s">
        <v>306</v>
      </c>
      <c r="H617" s="117" t="str">
        <f t="shared" si="19"/>
        <v>OTHER</v>
      </c>
      <c r="I617" s="113" t="s">
        <v>73</v>
      </c>
      <c r="J617"/>
    </row>
    <row r="618" spans="1:10">
      <c r="A618" s="114" t="str">
        <f t="shared" si="18"/>
        <v>1823920DSR COSTS AMORTIZED103921PORTFOLIO WY-2015 CAT2OTHER</v>
      </c>
      <c r="B618" s="127">
        <v>1823920</v>
      </c>
      <c r="C618" s="128" t="s">
        <v>695</v>
      </c>
      <c r="D618" s="127">
        <v>103921</v>
      </c>
      <c r="E618" s="128" t="s">
        <v>1117</v>
      </c>
      <c r="F618" s="127" t="s">
        <v>306</v>
      </c>
      <c r="H618" s="117" t="str">
        <f t="shared" si="19"/>
        <v>OTHER</v>
      </c>
      <c r="I618" s="113" t="s">
        <v>73</v>
      </c>
      <c r="J618"/>
    </row>
    <row r="619" spans="1:10">
      <c r="A619" s="114" t="str">
        <f t="shared" si="18"/>
        <v>1823920DSR COSTS AMORTIZED103922PORTFOLIO WY-2015 CAT3OTHER</v>
      </c>
      <c r="B619" s="127">
        <v>1823920</v>
      </c>
      <c r="C619" s="128" t="s">
        <v>695</v>
      </c>
      <c r="D619" s="127">
        <v>103922</v>
      </c>
      <c r="E619" s="128" t="s">
        <v>1118</v>
      </c>
      <c r="F619" s="127" t="s">
        <v>306</v>
      </c>
      <c r="H619" s="117" t="str">
        <f t="shared" si="19"/>
        <v>OTHER</v>
      </c>
      <c r="I619" s="113" t="s">
        <v>73</v>
      </c>
      <c r="J619"/>
    </row>
    <row r="620" spans="1:10">
      <c r="A620" s="114" t="str">
        <f t="shared" si="18"/>
        <v>1823920DSR COSTS AMORTIZED103923REFRIGERATOR RECYCLING-WY -2015 CAT1OTHER</v>
      </c>
      <c r="B620" s="127">
        <v>1823920</v>
      </c>
      <c r="C620" s="128" t="s">
        <v>695</v>
      </c>
      <c r="D620" s="127">
        <v>103923</v>
      </c>
      <c r="E620" s="128" t="s">
        <v>1119</v>
      </c>
      <c r="F620" s="127" t="s">
        <v>306</v>
      </c>
      <c r="H620" s="117" t="str">
        <f t="shared" si="19"/>
        <v>OTHER</v>
      </c>
      <c r="I620" s="113" t="s">
        <v>73</v>
      </c>
      <c r="J620"/>
    </row>
    <row r="621" spans="1:10">
      <c r="A621" s="114" t="str">
        <f t="shared" si="18"/>
        <v>1823920DSR COSTS AMORTIZED103925SELF DIRECT - COMMERCIAL -WY-2015 CAT3OTHER</v>
      </c>
      <c r="B621" s="127">
        <v>1823920</v>
      </c>
      <c r="C621" s="128" t="s">
        <v>695</v>
      </c>
      <c r="D621" s="127">
        <v>103925</v>
      </c>
      <c r="E621" s="128" t="s">
        <v>1120</v>
      </c>
      <c r="F621" s="127" t="s">
        <v>306</v>
      </c>
      <c r="H621" s="117" t="str">
        <f t="shared" si="19"/>
        <v>OTHER</v>
      </c>
      <c r="I621" s="113" t="s">
        <v>73</v>
      </c>
      <c r="J621"/>
    </row>
    <row r="622" spans="1:10">
      <c r="A622" s="114" t="str">
        <f t="shared" si="18"/>
        <v>1823920DSR COSTS AMORTIZED103927SELF DIRECT -INDUSTRIAL -WY-2015 CAT3OTHER</v>
      </c>
      <c r="B622" s="127">
        <v>1823920</v>
      </c>
      <c r="C622" s="128" t="s">
        <v>695</v>
      </c>
      <c r="D622" s="127">
        <v>103927</v>
      </c>
      <c r="E622" s="128" t="s">
        <v>1121</v>
      </c>
      <c r="F622" s="127" t="s">
        <v>306</v>
      </c>
      <c r="H622" s="117" t="str">
        <f t="shared" si="19"/>
        <v>OTHER</v>
      </c>
      <c r="I622" s="113" t="s">
        <v>73</v>
      </c>
      <c r="J622"/>
    </row>
    <row r="623" spans="1:10">
      <c r="A623" s="114" t="str">
        <f t="shared" si="18"/>
        <v>1823920DSR COSTS AMORTIZED103928WSB - Wattsmart Business - WY Cat 2- 201OTHER</v>
      </c>
      <c r="B623" s="127">
        <v>1823920</v>
      </c>
      <c r="C623" s="128" t="s">
        <v>695</v>
      </c>
      <c r="D623" s="127">
        <v>103928</v>
      </c>
      <c r="E623" s="128" t="s">
        <v>1071</v>
      </c>
      <c r="F623" s="127" t="s">
        <v>306</v>
      </c>
      <c r="H623" s="117" t="str">
        <f t="shared" si="19"/>
        <v>OTHER</v>
      </c>
      <c r="I623" s="113" t="s">
        <v>73</v>
      </c>
      <c r="J623"/>
    </row>
    <row r="624" spans="1:10">
      <c r="A624" s="114" t="str">
        <f t="shared" si="18"/>
        <v>1823920DSR COSTS AMORTIZED103929WSB - Small Business Comm - WY Cat2 -201OTHER</v>
      </c>
      <c r="B624" s="127">
        <v>1823920</v>
      </c>
      <c r="C624" s="128" t="s">
        <v>695</v>
      </c>
      <c r="D624" s="127">
        <v>103929</v>
      </c>
      <c r="E624" s="128" t="s">
        <v>1072</v>
      </c>
      <c r="F624" s="127" t="s">
        <v>306</v>
      </c>
      <c r="H624" s="117" t="str">
        <f t="shared" si="19"/>
        <v>OTHER</v>
      </c>
      <c r="I624" s="113" t="s">
        <v>73</v>
      </c>
      <c r="J624"/>
    </row>
    <row r="625" spans="1:10">
      <c r="A625" s="114" t="str">
        <f t="shared" si="18"/>
        <v>1823920DSR COSTS AMORTIZED103930WBS- Wattsmart Business Ind -WY Cat2-201OTHER</v>
      </c>
      <c r="B625" s="127">
        <v>1823920</v>
      </c>
      <c r="C625" s="128" t="s">
        <v>695</v>
      </c>
      <c r="D625" s="127">
        <v>103930</v>
      </c>
      <c r="E625" s="128" t="s">
        <v>1122</v>
      </c>
      <c r="F625" s="127" t="s">
        <v>306</v>
      </c>
      <c r="H625" s="117" t="str">
        <f t="shared" si="19"/>
        <v>OTHER</v>
      </c>
      <c r="I625" s="113" t="s">
        <v>73</v>
      </c>
      <c r="J625"/>
    </row>
    <row r="626" spans="1:10">
      <c r="A626" s="114" t="str">
        <f t="shared" si="18"/>
        <v>1823920DSR COSTS AMORTIZED103931HOME ENERGY REPORTING - WY 2015OTHER</v>
      </c>
      <c r="B626" s="127">
        <v>1823920</v>
      </c>
      <c r="C626" s="128" t="s">
        <v>695</v>
      </c>
      <c r="D626" s="127">
        <v>103931</v>
      </c>
      <c r="E626" s="128" t="s">
        <v>1123</v>
      </c>
      <c r="F626" s="127" t="s">
        <v>306</v>
      </c>
      <c r="H626" s="117" t="str">
        <f t="shared" si="19"/>
        <v>OTHER</v>
      </c>
      <c r="I626" s="113" t="s">
        <v>73</v>
      </c>
      <c r="J626"/>
    </row>
    <row r="627" spans="1:10">
      <c r="A627" s="114" t="str">
        <f t="shared" si="18"/>
        <v>1823920DSR COSTS AMORTIZED103932WSB- Wattsmart Business- WY Cat 3- 2015OTHER</v>
      </c>
      <c r="B627" s="127">
        <v>1823920</v>
      </c>
      <c r="C627" s="128" t="s">
        <v>695</v>
      </c>
      <c r="D627" s="127">
        <v>103932</v>
      </c>
      <c r="E627" s="128" t="s">
        <v>1124</v>
      </c>
      <c r="F627" s="127" t="s">
        <v>306</v>
      </c>
      <c r="H627" s="117" t="str">
        <f t="shared" si="19"/>
        <v>OTHER</v>
      </c>
      <c r="I627" s="113" t="s">
        <v>73</v>
      </c>
      <c r="J627"/>
    </row>
    <row r="628" spans="1:10">
      <c r="A628" s="114" t="str">
        <f t="shared" si="18"/>
        <v>1823920DSR COSTS AMORTIZED103933REFRIG RECYCLE COMM -WY 2015 CAT2OTHER</v>
      </c>
      <c r="B628" s="127">
        <v>1823920</v>
      </c>
      <c r="C628" s="128" t="s">
        <v>695</v>
      </c>
      <c r="D628" s="127">
        <v>103933</v>
      </c>
      <c r="E628" s="128" t="s">
        <v>1125</v>
      </c>
      <c r="F628" s="127" t="s">
        <v>306</v>
      </c>
      <c r="H628" s="117" t="str">
        <f t="shared" si="19"/>
        <v>OTHER</v>
      </c>
      <c r="I628" s="113" t="s">
        <v>73</v>
      </c>
      <c r="J628"/>
    </row>
    <row r="629" spans="1:10">
      <c r="A629" s="114" t="str">
        <f t="shared" si="18"/>
        <v>1823920DSR COSTS AMORTIZED103934REFRIG RECYCLE COMM -WY 2015 CAT3OTHER</v>
      </c>
      <c r="B629" s="127">
        <v>1823920</v>
      </c>
      <c r="C629" s="128" t="s">
        <v>695</v>
      </c>
      <c r="D629" s="127">
        <v>103934</v>
      </c>
      <c r="E629" s="128" t="s">
        <v>1126</v>
      </c>
      <c r="F629" s="127" t="s">
        <v>306</v>
      </c>
      <c r="H629" s="117" t="str">
        <f t="shared" si="19"/>
        <v>OTHER</v>
      </c>
      <c r="I629" s="113" t="s">
        <v>73</v>
      </c>
      <c r="J629"/>
    </row>
    <row r="630" spans="1:10">
      <c r="A630" s="114" t="str">
        <f t="shared" si="18"/>
        <v>1823920DSR COSTS AMORTIZED103935WSB Wattsmart Business Comm- WY Cat3 -20OTHER</v>
      </c>
      <c r="B630" s="127">
        <v>1823920</v>
      </c>
      <c r="C630" s="128" t="s">
        <v>695</v>
      </c>
      <c r="D630" s="127">
        <v>103935</v>
      </c>
      <c r="E630" s="128" t="s">
        <v>1082</v>
      </c>
      <c r="F630" s="127" t="s">
        <v>306</v>
      </c>
      <c r="H630" s="117" t="str">
        <f t="shared" si="19"/>
        <v>OTHER</v>
      </c>
      <c r="I630" s="113" t="s">
        <v>73</v>
      </c>
      <c r="J630"/>
    </row>
    <row r="631" spans="1:10">
      <c r="A631" s="114" t="str">
        <f t="shared" si="18"/>
        <v>1823920DSR COSTS AMORTIZED103936WBS- Wattsmart Bus Ind- WY Cat3-2015OTHER</v>
      </c>
      <c r="B631" s="127">
        <v>1823920</v>
      </c>
      <c r="C631" s="128" t="s">
        <v>695</v>
      </c>
      <c r="D631" s="127">
        <v>103936</v>
      </c>
      <c r="E631" s="128" t="s">
        <v>1127</v>
      </c>
      <c r="F631" s="127" t="s">
        <v>306</v>
      </c>
      <c r="H631" s="117" t="str">
        <f t="shared" si="19"/>
        <v>OTHER</v>
      </c>
      <c r="I631" s="113" t="s">
        <v>73</v>
      </c>
      <c r="J631"/>
    </row>
    <row r="632" spans="1:10">
      <c r="A632" s="114" t="str">
        <f t="shared" si="18"/>
        <v>1823920DSR COSTS AMORTIZED103937WSB- Wattsmart Business Agric- WY Cat2 -OTHER</v>
      </c>
      <c r="B632" s="127">
        <v>1823920</v>
      </c>
      <c r="C632" s="128" t="s">
        <v>695</v>
      </c>
      <c r="D632" s="127">
        <v>103937</v>
      </c>
      <c r="E632" s="128" t="s">
        <v>1128</v>
      </c>
      <c r="F632" s="127" t="s">
        <v>306</v>
      </c>
      <c r="H632" s="117" t="str">
        <f t="shared" si="19"/>
        <v>OTHER</v>
      </c>
      <c r="I632" s="113" t="s">
        <v>73</v>
      </c>
      <c r="J632"/>
    </row>
    <row r="633" spans="1:10">
      <c r="A633" s="114" t="str">
        <f t="shared" si="18"/>
        <v>1823920DSR COSTS AMORTIZED103938WSB- Wattsmart Business Agric- WY Cat3 -OTHER</v>
      </c>
      <c r="B633" s="127">
        <v>1823920</v>
      </c>
      <c r="C633" s="128" t="s">
        <v>695</v>
      </c>
      <c r="D633" s="127">
        <v>103938</v>
      </c>
      <c r="E633" s="128" t="s">
        <v>1129</v>
      </c>
      <c r="F633" s="127" t="s">
        <v>306</v>
      </c>
      <c r="H633" s="117" t="str">
        <f t="shared" si="19"/>
        <v>OTHER</v>
      </c>
      <c r="I633" s="113" t="s">
        <v>73</v>
      </c>
      <c r="J633"/>
    </row>
    <row r="634" spans="1:10">
      <c r="A634" s="114" t="str">
        <f t="shared" si="18"/>
        <v>1823920DSR COSTS AMORTIZED103959COMMERCIAL ENERGY REPORTS-SMB -UT 2015OTHER</v>
      </c>
      <c r="B634" s="127">
        <v>1823920</v>
      </c>
      <c r="C634" s="128" t="s">
        <v>695</v>
      </c>
      <c r="D634" s="127">
        <v>103959</v>
      </c>
      <c r="E634" s="128" t="s">
        <v>1130</v>
      </c>
      <c r="F634" s="127" t="s">
        <v>306</v>
      </c>
      <c r="H634" s="117" t="str">
        <f t="shared" si="19"/>
        <v>OTHER</v>
      </c>
      <c r="I634" s="113" t="s">
        <v>73</v>
      </c>
      <c r="J634"/>
    </row>
    <row r="635" spans="1:10">
      <c r="A635" s="114" t="str">
        <f t="shared" si="18"/>
        <v>1823920DSR COSTS AMORTIZED103962Portfolio - EM&amp;V C&amp;I - ID- 2015OTHER</v>
      </c>
      <c r="B635" s="127">
        <v>1823920</v>
      </c>
      <c r="C635" s="128" t="s">
        <v>695</v>
      </c>
      <c r="D635" s="127">
        <v>103962</v>
      </c>
      <c r="E635" s="128" t="s">
        <v>1131</v>
      </c>
      <c r="F635" s="127" t="s">
        <v>306</v>
      </c>
      <c r="H635" s="117" t="str">
        <f t="shared" si="19"/>
        <v>OTHER</v>
      </c>
      <c r="I635" s="113" t="s">
        <v>73</v>
      </c>
      <c r="J635"/>
    </row>
    <row r="636" spans="1:10">
      <c r="A636" s="114" t="str">
        <f t="shared" si="18"/>
        <v>1823920DSR COSTS AMORTIZED103963Portfolio - EM&amp;V RES - ID- 2015OTHER</v>
      </c>
      <c r="B636" s="127">
        <v>1823920</v>
      </c>
      <c r="C636" s="128" t="s">
        <v>695</v>
      </c>
      <c r="D636" s="127">
        <v>103963</v>
      </c>
      <c r="E636" s="128" t="s">
        <v>1132</v>
      </c>
      <c r="F636" s="127" t="s">
        <v>306</v>
      </c>
      <c r="H636" s="117" t="str">
        <f t="shared" si="19"/>
        <v>OTHER</v>
      </c>
      <c r="I636" s="113" t="s">
        <v>73</v>
      </c>
      <c r="J636"/>
    </row>
    <row r="637" spans="1:10">
      <c r="A637" s="114" t="str">
        <f t="shared" si="18"/>
        <v>1823920DSR COSTS AMORTIZED104013CALIFORNIA DSM EXPENSE - 2016OTHER</v>
      </c>
      <c r="B637" s="127">
        <v>1823920</v>
      </c>
      <c r="C637" s="128" t="s">
        <v>695</v>
      </c>
      <c r="D637" s="127">
        <v>104013</v>
      </c>
      <c r="E637" s="128" t="s">
        <v>1133</v>
      </c>
      <c r="F637" s="127" t="s">
        <v>306</v>
      </c>
      <c r="H637" s="117" t="str">
        <f t="shared" si="19"/>
        <v>OTHER</v>
      </c>
      <c r="I637" s="113" t="s">
        <v>73</v>
      </c>
      <c r="J637"/>
    </row>
    <row r="638" spans="1:10">
      <c r="A638" s="114" t="str">
        <f t="shared" si="18"/>
        <v>1823920DSR COSTS AMORTIZED104015HOME ENERGY REPORTING - ID 2016OTHER</v>
      </c>
      <c r="B638" s="127">
        <v>1823920</v>
      </c>
      <c r="C638" s="128" t="s">
        <v>695</v>
      </c>
      <c r="D638" s="127">
        <v>104015</v>
      </c>
      <c r="E638" s="128" t="s">
        <v>1134</v>
      </c>
      <c r="F638" s="127" t="s">
        <v>306</v>
      </c>
      <c r="H638" s="117" t="str">
        <f t="shared" si="19"/>
        <v>OTHER</v>
      </c>
      <c r="I638" s="113" t="s">
        <v>73</v>
      </c>
      <c r="J638"/>
    </row>
    <row r="639" spans="1:10">
      <c r="A639" s="114" t="str">
        <f t="shared" si="18"/>
        <v>1823920DSR COSTS AMORTIZED104018OUTREACH AND COMMUNICATION  ID-2016OTHER</v>
      </c>
      <c r="B639" s="127">
        <v>1823920</v>
      </c>
      <c r="C639" s="128" t="s">
        <v>695</v>
      </c>
      <c r="D639" s="127">
        <v>104018</v>
      </c>
      <c r="E639" s="128" t="s">
        <v>1135</v>
      </c>
      <c r="F639" s="127" t="s">
        <v>306</v>
      </c>
      <c r="H639" s="117" t="str">
        <f t="shared" si="19"/>
        <v>OTHER</v>
      </c>
      <c r="I639" s="113" t="s">
        <v>73</v>
      </c>
      <c r="J639"/>
    </row>
    <row r="640" spans="1:10">
      <c r="A640" s="114" t="str">
        <f t="shared" si="18"/>
        <v>1823920DSR COSTS AMORTIZED104019PORTFOLIO - IDAHO 2016OTHER</v>
      </c>
      <c r="B640" s="127">
        <v>1823920</v>
      </c>
      <c r="C640" s="128" t="s">
        <v>695</v>
      </c>
      <c r="D640" s="127">
        <v>104019</v>
      </c>
      <c r="E640" s="128" t="s">
        <v>1136</v>
      </c>
      <c r="F640" s="127" t="s">
        <v>306</v>
      </c>
      <c r="H640" s="117" t="str">
        <f t="shared" si="19"/>
        <v>OTHER</v>
      </c>
      <c r="I640" s="113" t="s">
        <v>73</v>
      </c>
      <c r="J640"/>
    </row>
    <row r="641" spans="1:10">
      <c r="A641" s="114" t="str">
        <f t="shared" si="18"/>
        <v>1823920DSR COSTS AMORTIZED104020Portfolio - EM&amp;V C&amp;I - ID- 2016OTHER</v>
      </c>
      <c r="B641" s="127">
        <v>1823920</v>
      </c>
      <c r="C641" s="128" t="s">
        <v>695</v>
      </c>
      <c r="D641" s="127">
        <v>104020</v>
      </c>
      <c r="E641" s="128" t="s">
        <v>1137</v>
      </c>
      <c r="F641" s="127" t="s">
        <v>306</v>
      </c>
      <c r="H641" s="117" t="str">
        <f t="shared" si="19"/>
        <v>OTHER</v>
      </c>
      <c r="I641" s="113" t="s">
        <v>73</v>
      </c>
      <c r="J641"/>
    </row>
    <row r="642" spans="1:10">
      <c r="A642" s="114" t="str">
        <f t="shared" si="18"/>
        <v>1823920DSR COSTS AMORTIZED104021Portfolio - EM&amp;V RES - ID- 2016OTHER</v>
      </c>
      <c r="B642" s="127">
        <v>1823920</v>
      </c>
      <c r="C642" s="128" t="s">
        <v>695</v>
      </c>
      <c r="D642" s="127">
        <v>104021</v>
      </c>
      <c r="E642" s="128" t="s">
        <v>1138</v>
      </c>
      <c r="F642" s="127" t="s">
        <v>306</v>
      </c>
      <c r="H642" s="117" t="str">
        <f t="shared" si="19"/>
        <v>OTHER</v>
      </c>
      <c r="I642" s="113" t="s">
        <v>73</v>
      </c>
      <c r="J642"/>
    </row>
    <row r="643" spans="1:10">
      <c r="A643" s="114" t="str">
        <f t="shared" ref="A643:A706" si="20">CONCATENATE($B643,$C643,$D643,$E643,$H643)</f>
        <v>1823920DSR COSTS AMORTIZED104023WSB Small Business Comm - ID-2016OTHER</v>
      </c>
      <c r="B643" s="127">
        <v>1823920</v>
      </c>
      <c r="C643" s="128" t="s">
        <v>695</v>
      </c>
      <c r="D643" s="127">
        <v>104023</v>
      </c>
      <c r="E643" s="128" t="s">
        <v>1139</v>
      </c>
      <c r="F643" s="127" t="s">
        <v>306</v>
      </c>
      <c r="H643" s="117" t="str">
        <f t="shared" ref="H643:H706" si="21">IF(OR(F643="IDU",F643="OR",F643="UT",F643="WYU",F643="WYP",F643="CA",F643="WA"),"SITUS",F643)</f>
        <v>OTHER</v>
      </c>
      <c r="I643" s="113" t="s">
        <v>73</v>
      </c>
      <c r="J643"/>
    </row>
    <row r="644" spans="1:10">
      <c r="A644" s="114" t="str">
        <f t="shared" si="20"/>
        <v>1823920DSR COSTS AMORTIZED104024WSB Small Business Ind - ID 2016OTHER</v>
      </c>
      <c r="B644" s="127">
        <v>1823920</v>
      </c>
      <c r="C644" s="128" t="s">
        <v>695</v>
      </c>
      <c r="D644" s="127">
        <v>104024</v>
      </c>
      <c r="E644" s="128" t="s">
        <v>1140</v>
      </c>
      <c r="F644" s="127" t="s">
        <v>306</v>
      </c>
      <c r="H644" s="117" t="str">
        <f t="shared" si="21"/>
        <v>OTHER</v>
      </c>
      <c r="I644" s="113" t="s">
        <v>73</v>
      </c>
      <c r="J644"/>
    </row>
    <row r="645" spans="1:10">
      <c r="A645" s="114" t="str">
        <f t="shared" si="20"/>
        <v>1823920DSR COSTS AMORTIZED104025WSB - WATTSMART BUSINESS - ID- 2016OTHER</v>
      </c>
      <c r="B645" s="127">
        <v>1823920</v>
      </c>
      <c r="C645" s="128" t="s">
        <v>695</v>
      </c>
      <c r="D645" s="127">
        <v>104025</v>
      </c>
      <c r="E645" s="128" t="s">
        <v>1141</v>
      </c>
      <c r="F645" s="127" t="s">
        <v>306</v>
      </c>
      <c r="H645" s="117" t="str">
        <f t="shared" si="21"/>
        <v>OTHER</v>
      </c>
      <c r="I645" s="113" t="s">
        <v>73</v>
      </c>
      <c r="J645"/>
    </row>
    <row r="646" spans="1:10">
      <c r="A646" s="114" t="str">
        <f t="shared" si="20"/>
        <v>1823920DSR COSTS AMORTIZED104026WSB Wattsmart Business Agric - ID-2016OTHER</v>
      </c>
      <c r="B646" s="127">
        <v>1823920</v>
      </c>
      <c r="C646" s="128" t="s">
        <v>695</v>
      </c>
      <c r="D646" s="127">
        <v>104026</v>
      </c>
      <c r="E646" s="128" t="s">
        <v>1142</v>
      </c>
      <c r="F646" s="127" t="s">
        <v>306</v>
      </c>
      <c r="H646" s="117" t="str">
        <f t="shared" si="21"/>
        <v>OTHER</v>
      </c>
      <c r="I646" s="113" t="s">
        <v>73</v>
      </c>
      <c r="J646"/>
    </row>
    <row r="647" spans="1:10">
      <c r="A647" s="114" t="str">
        <f t="shared" si="20"/>
        <v>1823920DSR COSTS AMORTIZED104027A/C LOAD CONTROL - RESIDENTIAL/UTAH - 20OTHER</v>
      </c>
      <c r="B647" s="127">
        <v>1823920</v>
      </c>
      <c r="C647" s="128" t="s">
        <v>695</v>
      </c>
      <c r="D647" s="127">
        <v>104027</v>
      </c>
      <c r="E647" s="128" t="s">
        <v>772</v>
      </c>
      <c r="F647" s="127" t="s">
        <v>306</v>
      </c>
      <c r="H647" s="117" t="str">
        <f t="shared" si="21"/>
        <v>OTHER</v>
      </c>
      <c r="I647" s="113" t="s">
        <v>73</v>
      </c>
      <c r="J647"/>
    </row>
    <row r="648" spans="1:10">
      <c r="A648" s="114" t="str">
        <f t="shared" si="20"/>
        <v>1823920DSR COSTS AMORTIZED104029HOME ENERGY EFF INCENTIVE PROG - UT 2016OTHER</v>
      </c>
      <c r="B648" s="127">
        <v>1823920</v>
      </c>
      <c r="C648" s="128" t="s">
        <v>695</v>
      </c>
      <c r="D648" s="127">
        <v>104029</v>
      </c>
      <c r="E648" s="128" t="s">
        <v>1143</v>
      </c>
      <c r="F648" s="127" t="s">
        <v>306</v>
      </c>
      <c r="H648" s="117" t="str">
        <f t="shared" si="21"/>
        <v>OTHER</v>
      </c>
      <c r="I648" s="113" t="s">
        <v>73</v>
      </c>
      <c r="J648"/>
    </row>
    <row r="649" spans="1:10">
      <c r="A649" s="114" t="str">
        <f t="shared" si="20"/>
        <v>1823920DSR COSTS AMORTIZED104030HOME ENERGY REPORTING - UT 2016OTHER</v>
      </c>
      <c r="B649" s="127">
        <v>1823920</v>
      </c>
      <c r="C649" s="128" t="s">
        <v>695</v>
      </c>
      <c r="D649" s="127">
        <v>104030</v>
      </c>
      <c r="E649" s="128" t="s">
        <v>1144</v>
      </c>
      <c r="F649" s="127" t="s">
        <v>306</v>
      </c>
      <c r="H649" s="117" t="str">
        <f t="shared" si="21"/>
        <v>OTHER</v>
      </c>
      <c r="I649" s="113" t="s">
        <v>73</v>
      </c>
      <c r="J649"/>
    </row>
    <row r="650" spans="1:10">
      <c r="A650" s="114" t="str">
        <f t="shared" si="20"/>
        <v>1823920DSR COSTS AMORTIZED104031IRRIGATION LOAD CONTROL  - UTAH - 2016OTHER</v>
      </c>
      <c r="B650" s="127">
        <v>1823920</v>
      </c>
      <c r="C650" s="128" t="s">
        <v>695</v>
      </c>
      <c r="D650" s="127">
        <v>104031</v>
      </c>
      <c r="E650" s="128" t="s">
        <v>1145</v>
      </c>
      <c r="F650" s="127" t="s">
        <v>306</v>
      </c>
      <c r="H650" s="117" t="str">
        <f t="shared" si="21"/>
        <v>OTHER</v>
      </c>
      <c r="I650" s="113" t="s">
        <v>73</v>
      </c>
      <c r="J650"/>
    </row>
    <row r="651" spans="1:10">
      <c r="A651" s="114" t="str">
        <f t="shared" si="20"/>
        <v>1823920DSR COSTS AMORTIZED104032LOW INCOME - UTAH - 2016OTHER</v>
      </c>
      <c r="B651" s="127">
        <v>1823920</v>
      </c>
      <c r="C651" s="128" t="s">
        <v>695</v>
      </c>
      <c r="D651" s="127">
        <v>104032</v>
      </c>
      <c r="E651" s="128" t="s">
        <v>1146</v>
      </c>
      <c r="F651" s="127" t="s">
        <v>306</v>
      </c>
      <c r="H651" s="117" t="str">
        <f t="shared" si="21"/>
        <v>OTHER</v>
      </c>
      <c r="I651" s="113" t="s">
        <v>73</v>
      </c>
      <c r="J651"/>
    </row>
    <row r="652" spans="1:10">
      <c r="A652" s="114" t="str">
        <f t="shared" si="20"/>
        <v>1823920DSR COSTS AMORTIZED104033OUTREACH and COMMUNICATIONS - UT 2016OTHER</v>
      </c>
      <c r="B652" s="127">
        <v>1823920</v>
      </c>
      <c r="C652" s="128" t="s">
        <v>695</v>
      </c>
      <c r="D652" s="127">
        <v>104033</v>
      </c>
      <c r="E652" s="128" t="s">
        <v>1147</v>
      </c>
      <c r="F652" s="127" t="s">
        <v>306</v>
      </c>
      <c r="H652" s="117" t="str">
        <f t="shared" si="21"/>
        <v>OTHER</v>
      </c>
      <c r="I652" s="113" t="s">
        <v>73</v>
      </c>
      <c r="J652"/>
    </row>
    <row r="653" spans="1:10">
      <c r="A653" s="114" t="str">
        <f t="shared" si="20"/>
        <v>1823920DSR COSTS AMORTIZED104034PORTFOLIO - UTAH 2016OTHER</v>
      </c>
      <c r="B653" s="127">
        <v>1823920</v>
      </c>
      <c r="C653" s="128" t="s">
        <v>695</v>
      </c>
      <c r="D653" s="127">
        <v>104034</v>
      </c>
      <c r="E653" s="128" t="s">
        <v>1148</v>
      </c>
      <c r="F653" s="127" t="s">
        <v>306</v>
      </c>
      <c r="H653" s="117" t="str">
        <f t="shared" si="21"/>
        <v>OTHER</v>
      </c>
      <c r="I653" s="113" t="s">
        <v>73</v>
      </c>
      <c r="J653"/>
    </row>
    <row r="654" spans="1:10">
      <c r="A654" s="114" t="str">
        <f t="shared" si="20"/>
        <v>1823920DSR COSTS AMORTIZED104035REFRIGERATOR RECYCLING PGM- UTAH - 2016OTHER</v>
      </c>
      <c r="B654" s="127">
        <v>1823920</v>
      </c>
      <c r="C654" s="128" t="s">
        <v>695</v>
      </c>
      <c r="D654" s="127">
        <v>104035</v>
      </c>
      <c r="E654" s="128" t="s">
        <v>1149</v>
      </c>
      <c r="F654" s="127" t="s">
        <v>306</v>
      </c>
      <c r="H654" s="117" t="str">
        <f t="shared" si="21"/>
        <v>OTHER</v>
      </c>
      <c r="I654" s="113" t="s">
        <v>73</v>
      </c>
      <c r="J654"/>
    </row>
    <row r="655" spans="1:10">
      <c r="A655" s="114" t="str">
        <f t="shared" si="20"/>
        <v>1823920DSR COSTS AMORTIZED104036RESIDENTIAL NEW CONSTRUCTION - UTAH - 20OTHER</v>
      </c>
      <c r="B655" s="127">
        <v>1823920</v>
      </c>
      <c r="C655" s="128" t="s">
        <v>695</v>
      </c>
      <c r="D655" s="127">
        <v>104036</v>
      </c>
      <c r="E655" s="128" t="s">
        <v>757</v>
      </c>
      <c r="F655" s="127" t="s">
        <v>306</v>
      </c>
      <c r="H655" s="117" t="str">
        <f t="shared" si="21"/>
        <v>OTHER</v>
      </c>
      <c r="I655" s="113" t="s">
        <v>73</v>
      </c>
      <c r="J655"/>
    </row>
    <row r="656" spans="1:10">
      <c r="A656" s="114" t="str">
        <f t="shared" si="20"/>
        <v>1823920DSR COSTS AMORTIZED104037COMMERCIAL (WSB) WATTSMART BUS - UT- 201OTHER</v>
      </c>
      <c r="B656" s="127">
        <v>1823920</v>
      </c>
      <c r="C656" s="128" t="s">
        <v>695</v>
      </c>
      <c r="D656" s="127">
        <v>104037</v>
      </c>
      <c r="E656" s="128" t="s">
        <v>1043</v>
      </c>
      <c r="F656" s="127" t="s">
        <v>306</v>
      </c>
      <c r="H656" s="117" t="str">
        <f t="shared" si="21"/>
        <v>OTHER</v>
      </c>
      <c r="I656" s="113" t="s">
        <v>73</v>
      </c>
      <c r="J656"/>
    </row>
    <row r="657" spans="1:10">
      <c r="A657" s="114" t="str">
        <f t="shared" si="20"/>
        <v>1823920DSR COSTS AMORTIZED104038INDUSTRIAL (WSB) WATTSMART BUS- UT- 2016OTHER</v>
      </c>
      <c r="B657" s="127">
        <v>1823920</v>
      </c>
      <c r="C657" s="128" t="s">
        <v>695</v>
      </c>
      <c r="D657" s="127">
        <v>104038</v>
      </c>
      <c r="E657" s="128" t="s">
        <v>1150</v>
      </c>
      <c r="F657" s="127" t="s">
        <v>306</v>
      </c>
      <c r="H657" s="117" t="str">
        <f t="shared" si="21"/>
        <v>OTHER</v>
      </c>
      <c r="I657" s="113" t="s">
        <v>73</v>
      </c>
      <c r="J657"/>
    </row>
    <row r="658" spans="1:10">
      <c r="A658" s="114" t="str">
        <f t="shared" si="20"/>
        <v>1823920DSR COSTS AMORTIZED104039WSB Small Business Comm- UT-2016OTHER</v>
      </c>
      <c r="B658" s="127">
        <v>1823920</v>
      </c>
      <c r="C658" s="128" t="s">
        <v>695</v>
      </c>
      <c r="D658" s="127">
        <v>104039</v>
      </c>
      <c r="E658" s="128" t="s">
        <v>1151</v>
      </c>
      <c r="F658" s="127" t="s">
        <v>306</v>
      </c>
      <c r="H658" s="117" t="str">
        <f t="shared" si="21"/>
        <v>OTHER</v>
      </c>
      <c r="I658" s="113" t="s">
        <v>73</v>
      </c>
      <c r="J658"/>
    </row>
    <row r="659" spans="1:10">
      <c r="A659" s="114" t="str">
        <f t="shared" si="20"/>
        <v>1823920DSR COSTS AMORTIZED104041WSB - WATTSMART BUS- UT- 2016OTHER</v>
      </c>
      <c r="B659" s="127">
        <v>1823920</v>
      </c>
      <c r="C659" s="128" t="s">
        <v>695</v>
      </c>
      <c r="D659" s="127">
        <v>104041</v>
      </c>
      <c r="E659" s="128" t="s">
        <v>1152</v>
      </c>
      <c r="F659" s="127" t="s">
        <v>306</v>
      </c>
      <c r="H659" s="117" t="str">
        <f t="shared" si="21"/>
        <v>OTHER</v>
      </c>
      <c r="I659" s="113" t="s">
        <v>73</v>
      </c>
      <c r="J659"/>
    </row>
    <row r="660" spans="1:10">
      <c r="A660" s="114" t="str">
        <f t="shared" si="20"/>
        <v>1823920DSR COSTS AMORTIZED104042AGRICULTURAL (WSB) WATTSMART BUS- UT- 20OTHER</v>
      </c>
      <c r="B660" s="127">
        <v>1823920</v>
      </c>
      <c r="C660" s="128" t="s">
        <v>695</v>
      </c>
      <c r="D660" s="127">
        <v>104042</v>
      </c>
      <c r="E660" s="128" t="s">
        <v>1046</v>
      </c>
      <c r="F660" s="127" t="s">
        <v>306</v>
      </c>
      <c r="H660" s="117" t="str">
        <f t="shared" si="21"/>
        <v>OTHER</v>
      </c>
      <c r="I660" s="113" t="s">
        <v>73</v>
      </c>
      <c r="J660"/>
    </row>
    <row r="661" spans="1:10">
      <c r="A661" s="114" t="str">
        <f t="shared" si="20"/>
        <v>1823920DSR COSTS AMORTIZED104043U.of Utah Student Energy Sponsorship- UTOTHER</v>
      </c>
      <c r="B661" s="127">
        <v>1823920</v>
      </c>
      <c r="C661" s="128" t="s">
        <v>695</v>
      </c>
      <c r="D661" s="127">
        <v>104043</v>
      </c>
      <c r="E661" s="128" t="s">
        <v>985</v>
      </c>
      <c r="F661" s="127" t="s">
        <v>306</v>
      </c>
      <c r="H661" s="117" t="str">
        <f t="shared" si="21"/>
        <v>OTHER</v>
      </c>
      <c r="I661" s="113" t="s">
        <v>73</v>
      </c>
      <c r="J661"/>
    </row>
    <row r="662" spans="1:10">
      <c r="A662" s="114" t="str">
        <f t="shared" si="20"/>
        <v>1823920DSR COSTS AMORTIZED104044HOME ENERGY REPORTING - WY 2016OTHER</v>
      </c>
      <c r="B662" s="127">
        <v>1823920</v>
      </c>
      <c r="C662" s="128" t="s">
        <v>695</v>
      </c>
      <c r="D662" s="127">
        <v>104044</v>
      </c>
      <c r="E662" s="128" t="s">
        <v>1153</v>
      </c>
      <c r="F662" s="127" t="s">
        <v>306</v>
      </c>
      <c r="H662" s="117" t="str">
        <f t="shared" si="21"/>
        <v>OTHER</v>
      </c>
      <c r="I662" s="113" t="s">
        <v>73</v>
      </c>
      <c r="J662"/>
    </row>
    <row r="663" spans="1:10">
      <c r="A663" s="114" t="str">
        <f t="shared" si="20"/>
        <v>1823920DSR COSTS AMORTIZED104045HOME ENERGY EFF INCENT PROG Y-2016 CAT1OTHER</v>
      </c>
      <c r="B663" s="127">
        <v>1823920</v>
      </c>
      <c r="C663" s="128" t="s">
        <v>695</v>
      </c>
      <c r="D663" s="127">
        <v>104045</v>
      </c>
      <c r="E663" s="128" t="s">
        <v>1154</v>
      </c>
      <c r="F663" s="127" t="s">
        <v>306</v>
      </c>
      <c r="H663" s="117" t="str">
        <f t="shared" si="21"/>
        <v>OTHER</v>
      </c>
      <c r="I663" s="113" t="s">
        <v>73</v>
      </c>
      <c r="J663"/>
    </row>
    <row r="664" spans="1:10">
      <c r="A664" s="114" t="str">
        <f t="shared" si="20"/>
        <v>1823920DSR COSTS AMORTIZED104046LOW-INCOME WEATHERZTN - WY 2016 CAT1OTHER</v>
      </c>
      <c r="B664" s="127">
        <v>1823920</v>
      </c>
      <c r="C664" s="128" t="s">
        <v>695</v>
      </c>
      <c r="D664" s="127">
        <v>104046</v>
      </c>
      <c r="E664" s="128" t="s">
        <v>1155</v>
      </c>
      <c r="F664" s="127" t="s">
        <v>306</v>
      </c>
      <c r="H664" s="117" t="str">
        <f t="shared" si="21"/>
        <v>OTHER</v>
      </c>
      <c r="I664" s="113" t="s">
        <v>73</v>
      </c>
      <c r="J664"/>
    </row>
    <row r="665" spans="1:10">
      <c r="A665" s="114" t="str">
        <f t="shared" si="20"/>
        <v>1823920DSR COSTS AMORTIZED104047OUTREACH AND COMMUNICATION WATTSMT  WY-2OTHER</v>
      </c>
      <c r="B665" s="127">
        <v>1823920</v>
      </c>
      <c r="C665" s="128" t="s">
        <v>695</v>
      </c>
      <c r="D665" s="127">
        <v>104047</v>
      </c>
      <c r="E665" s="128" t="s">
        <v>979</v>
      </c>
      <c r="F665" s="127" t="s">
        <v>306</v>
      </c>
      <c r="H665" s="117" t="str">
        <f t="shared" si="21"/>
        <v>OTHER</v>
      </c>
      <c r="I665" s="113" t="s">
        <v>73</v>
      </c>
      <c r="J665"/>
    </row>
    <row r="666" spans="1:10">
      <c r="A666" s="114" t="str">
        <f t="shared" si="20"/>
        <v>1823920DSR COSTS AMORTIZED104048PORTFOLIO WY-2016 CAT1OTHER</v>
      </c>
      <c r="B666" s="127">
        <v>1823920</v>
      </c>
      <c r="C666" s="128" t="s">
        <v>695</v>
      </c>
      <c r="D666" s="127">
        <v>104048</v>
      </c>
      <c r="E666" s="128" t="s">
        <v>1156</v>
      </c>
      <c r="F666" s="127" t="s">
        <v>306</v>
      </c>
      <c r="H666" s="117" t="str">
        <f t="shared" si="21"/>
        <v>OTHER</v>
      </c>
      <c r="I666" s="113" t="s">
        <v>73</v>
      </c>
      <c r="J666"/>
    </row>
    <row r="667" spans="1:10">
      <c r="A667" s="114" t="str">
        <f t="shared" si="20"/>
        <v>1823920DSR COSTS AMORTIZED104049PORTFOLIO WY-2016 CAT2OTHER</v>
      </c>
      <c r="B667" s="127">
        <v>1823920</v>
      </c>
      <c r="C667" s="128" t="s">
        <v>695</v>
      </c>
      <c r="D667" s="127">
        <v>104049</v>
      </c>
      <c r="E667" s="128" t="s">
        <v>1157</v>
      </c>
      <c r="F667" s="127" t="s">
        <v>306</v>
      </c>
      <c r="H667" s="117" t="str">
        <f t="shared" si="21"/>
        <v>OTHER</v>
      </c>
      <c r="I667" s="113" t="s">
        <v>73</v>
      </c>
      <c r="J667"/>
    </row>
    <row r="668" spans="1:10">
      <c r="A668" s="114" t="str">
        <f t="shared" si="20"/>
        <v>1823920DSR COSTS AMORTIZED104050PORTFOLIO WY-2016 CAT3OTHER</v>
      </c>
      <c r="B668" s="127">
        <v>1823920</v>
      </c>
      <c r="C668" s="128" t="s">
        <v>695</v>
      </c>
      <c r="D668" s="127">
        <v>104050</v>
      </c>
      <c r="E668" s="128" t="s">
        <v>1158</v>
      </c>
      <c r="F668" s="127" t="s">
        <v>306</v>
      </c>
      <c r="H668" s="117" t="str">
        <f t="shared" si="21"/>
        <v>OTHER</v>
      </c>
      <c r="I668" s="113" t="s">
        <v>73</v>
      </c>
      <c r="J668"/>
    </row>
    <row r="669" spans="1:10">
      <c r="A669" s="114" t="str">
        <f t="shared" si="20"/>
        <v>1823920DSR COSTS AMORTIZED104051REFRIGERATOR RECYCLING-WY -2016 CAT1OTHER</v>
      </c>
      <c r="B669" s="127">
        <v>1823920</v>
      </c>
      <c r="C669" s="128" t="s">
        <v>695</v>
      </c>
      <c r="D669" s="127">
        <v>104051</v>
      </c>
      <c r="E669" s="128" t="s">
        <v>1159</v>
      </c>
      <c r="F669" s="127" t="s">
        <v>306</v>
      </c>
      <c r="H669" s="117" t="str">
        <f t="shared" si="21"/>
        <v>OTHER</v>
      </c>
      <c r="I669" s="113" t="s">
        <v>73</v>
      </c>
      <c r="J669"/>
    </row>
    <row r="670" spans="1:10">
      <c r="A670" s="114" t="str">
        <f t="shared" si="20"/>
        <v>1823920DSR COSTS AMORTIZED104052REFRIG RECYCLE COMM -WY 2016 CAT2OTHER</v>
      </c>
      <c r="B670" s="127">
        <v>1823920</v>
      </c>
      <c r="C670" s="128" t="s">
        <v>695</v>
      </c>
      <c r="D670" s="127">
        <v>104052</v>
      </c>
      <c r="E670" s="128" t="s">
        <v>1160</v>
      </c>
      <c r="F670" s="127" t="s">
        <v>306</v>
      </c>
      <c r="H670" s="117" t="str">
        <f t="shared" si="21"/>
        <v>OTHER</v>
      </c>
      <c r="I670" s="113" t="s">
        <v>73</v>
      </c>
      <c r="J670"/>
    </row>
    <row r="671" spans="1:10">
      <c r="A671" s="114" t="str">
        <f t="shared" si="20"/>
        <v>1823920DSR COSTS AMORTIZED104053REFRIG RECYCLE COMM -WY 2016 CAT3OTHER</v>
      </c>
      <c r="B671" s="127">
        <v>1823920</v>
      </c>
      <c r="C671" s="128" t="s">
        <v>695</v>
      </c>
      <c r="D671" s="127">
        <v>104053</v>
      </c>
      <c r="E671" s="128" t="s">
        <v>1161</v>
      </c>
      <c r="F671" s="127" t="s">
        <v>306</v>
      </c>
      <c r="H671" s="117" t="str">
        <f t="shared" si="21"/>
        <v>OTHER</v>
      </c>
      <c r="I671" s="113" t="s">
        <v>73</v>
      </c>
      <c r="J671"/>
    </row>
    <row r="672" spans="1:10">
      <c r="A672" s="114" t="str">
        <f t="shared" si="20"/>
        <v>1823920DSR COSTS AMORTIZED104054WSB- Wattsmart Bus Comm- WY Cat2 -2016OTHER</v>
      </c>
      <c r="B672" s="127">
        <v>1823920</v>
      </c>
      <c r="C672" s="128" t="s">
        <v>695</v>
      </c>
      <c r="D672" s="127">
        <v>104054</v>
      </c>
      <c r="E672" s="128" t="s">
        <v>1162</v>
      </c>
      <c r="F672" s="127" t="s">
        <v>306</v>
      </c>
      <c r="H672" s="117" t="str">
        <f t="shared" si="21"/>
        <v>OTHER</v>
      </c>
      <c r="I672" s="113" t="s">
        <v>73</v>
      </c>
      <c r="J672"/>
    </row>
    <row r="673" spans="1:10">
      <c r="A673" s="114" t="str">
        <f t="shared" si="20"/>
        <v>1823920DSR COSTS AMORTIZED104055WBS- Wattsmart Business Ind -WY Cat2-201OTHER</v>
      </c>
      <c r="B673" s="127">
        <v>1823920</v>
      </c>
      <c r="C673" s="128" t="s">
        <v>695</v>
      </c>
      <c r="D673" s="127">
        <v>104055</v>
      </c>
      <c r="E673" s="128" t="s">
        <v>1122</v>
      </c>
      <c r="F673" s="127" t="s">
        <v>306</v>
      </c>
      <c r="H673" s="117" t="str">
        <f t="shared" si="21"/>
        <v>OTHER</v>
      </c>
      <c r="I673" s="113" t="s">
        <v>73</v>
      </c>
      <c r="J673"/>
    </row>
    <row r="674" spans="1:10">
      <c r="A674" s="114" t="str">
        <f t="shared" si="20"/>
        <v>1823920DSR COSTS AMORTIZED104056WSB - Wattsmart Business - WY Cat 2- 201OTHER</v>
      </c>
      <c r="B674" s="127">
        <v>1823920</v>
      </c>
      <c r="C674" s="128" t="s">
        <v>695</v>
      </c>
      <c r="D674" s="127">
        <v>104056</v>
      </c>
      <c r="E674" s="128" t="s">
        <v>1071</v>
      </c>
      <c r="F674" s="127" t="s">
        <v>306</v>
      </c>
      <c r="H674" s="117" t="str">
        <f t="shared" si="21"/>
        <v>OTHER</v>
      </c>
      <c r="I674" s="113" t="s">
        <v>73</v>
      </c>
      <c r="J674"/>
    </row>
    <row r="675" spans="1:10">
      <c r="A675" s="114" t="str">
        <f t="shared" si="20"/>
        <v>1823920DSR COSTS AMORTIZED104057WSB Wattsmart Business Comm- WY Cat3 -20OTHER</v>
      </c>
      <c r="B675" s="127">
        <v>1823920</v>
      </c>
      <c r="C675" s="128" t="s">
        <v>695</v>
      </c>
      <c r="D675" s="127">
        <v>104057</v>
      </c>
      <c r="E675" s="128" t="s">
        <v>1082</v>
      </c>
      <c r="F675" s="127" t="s">
        <v>306</v>
      </c>
      <c r="H675" s="117" t="str">
        <f t="shared" si="21"/>
        <v>OTHER</v>
      </c>
      <c r="I675" s="113" t="s">
        <v>73</v>
      </c>
      <c r="J675"/>
    </row>
    <row r="676" spans="1:10">
      <c r="A676" s="114" t="str">
        <f t="shared" si="20"/>
        <v>1823920DSR COSTS AMORTIZED104058WBS- Wattsmart Bus Ind- WY Cat3-2016OTHER</v>
      </c>
      <c r="B676" s="127">
        <v>1823920</v>
      </c>
      <c r="C676" s="128" t="s">
        <v>695</v>
      </c>
      <c r="D676" s="127">
        <v>104058</v>
      </c>
      <c r="E676" s="128" t="s">
        <v>1163</v>
      </c>
      <c r="F676" s="127" t="s">
        <v>306</v>
      </c>
      <c r="H676" s="117" t="str">
        <f t="shared" si="21"/>
        <v>OTHER</v>
      </c>
      <c r="I676" s="113" t="s">
        <v>73</v>
      </c>
      <c r="J676"/>
    </row>
    <row r="677" spans="1:10">
      <c r="A677" s="114" t="str">
        <f t="shared" si="20"/>
        <v>1823920DSR COSTS AMORTIZED104059WSB- Wattsmart Business Agric- WY Cat2 -OTHER</v>
      </c>
      <c r="B677" s="127">
        <v>1823920</v>
      </c>
      <c r="C677" s="128" t="s">
        <v>695</v>
      </c>
      <c r="D677" s="127">
        <v>104059</v>
      </c>
      <c r="E677" s="128" t="s">
        <v>1128</v>
      </c>
      <c r="F677" s="127" t="s">
        <v>306</v>
      </c>
      <c r="H677" s="117" t="str">
        <f t="shared" si="21"/>
        <v>OTHER</v>
      </c>
      <c r="I677" s="113" t="s">
        <v>73</v>
      </c>
      <c r="J677"/>
    </row>
    <row r="678" spans="1:10">
      <c r="A678" s="114" t="str">
        <f t="shared" si="20"/>
        <v>1823920DSR COSTS AMORTIZED104060WSB- Wattsmart Business Agric- WY Cat3 -OTHER</v>
      </c>
      <c r="B678" s="127">
        <v>1823920</v>
      </c>
      <c r="C678" s="128" t="s">
        <v>695</v>
      </c>
      <c r="D678" s="127">
        <v>104060</v>
      </c>
      <c r="E678" s="128" t="s">
        <v>1129</v>
      </c>
      <c r="F678" s="127" t="s">
        <v>306</v>
      </c>
      <c r="H678" s="117" t="str">
        <f t="shared" si="21"/>
        <v>OTHER</v>
      </c>
      <c r="I678" s="113" t="s">
        <v>73</v>
      </c>
      <c r="J678"/>
    </row>
    <row r="679" spans="1:10">
      <c r="A679" s="114" t="str">
        <f t="shared" si="20"/>
        <v>1823920DSR COSTS AMORTIZED104061WSB- Wattsmart Business- WY Cat 3- 2016OTHER</v>
      </c>
      <c r="B679" s="127">
        <v>1823920</v>
      </c>
      <c r="C679" s="128" t="s">
        <v>695</v>
      </c>
      <c r="D679" s="127">
        <v>104061</v>
      </c>
      <c r="E679" s="128" t="s">
        <v>1164</v>
      </c>
      <c r="F679" s="127" t="s">
        <v>306</v>
      </c>
      <c r="H679" s="117" t="str">
        <f t="shared" si="21"/>
        <v>OTHER</v>
      </c>
      <c r="I679" s="113" t="s">
        <v>73</v>
      </c>
      <c r="J679"/>
    </row>
    <row r="680" spans="1:10">
      <c r="A680" s="114" t="str">
        <f t="shared" si="20"/>
        <v>1823920DSR COSTS AMORTIZED104080OUTREACH &amp; COMM WATTSMT WY-2016 CAT2OTHER</v>
      </c>
      <c r="B680" s="127">
        <v>1823920</v>
      </c>
      <c r="C680" s="128" t="s">
        <v>695</v>
      </c>
      <c r="D680" s="127">
        <v>104080</v>
      </c>
      <c r="E680" s="128" t="s">
        <v>1165</v>
      </c>
      <c r="F680" s="127" t="s">
        <v>306</v>
      </c>
      <c r="H680" s="117" t="str">
        <f t="shared" si="21"/>
        <v>OTHER</v>
      </c>
      <c r="I680" s="113" t="s">
        <v>73</v>
      </c>
      <c r="J680"/>
    </row>
    <row r="681" spans="1:10">
      <c r="A681" s="114" t="str">
        <f t="shared" si="20"/>
        <v>1823920DSR COSTS AMORTIZED104081OUTREACH &amp; COMM WATTSMT WY-2016 CAT3OTHER</v>
      </c>
      <c r="B681" s="127">
        <v>1823920</v>
      </c>
      <c r="C681" s="128" t="s">
        <v>695</v>
      </c>
      <c r="D681" s="127">
        <v>104081</v>
      </c>
      <c r="E681" s="128" t="s">
        <v>1166</v>
      </c>
      <c r="F681" s="127" t="s">
        <v>306</v>
      </c>
      <c r="H681" s="117" t="str">
        <f t="shared" si="21"/>
        <v>OTHER</v>
      </c>
      <c r="I681" s="113" t="s">
        <v>73</v>
      </c>
      <c r="J681"/>
    </row>
    <row r="682" spans="1:10">
      <c r="A682" s="114" t="str">
        <f t="shared" si="20"/>
        <v>1823920DSR COSTS AMORTIZED104109WA DSM - 186055 Clear Acct BalanceOTHER</v>
      </c>
      <c r="B682" s="127">
        <v>1823920</v>
      </c>
      <c r="C682" s="128" t="s">
        <v>695</v>
      </c>
      <c r="D682" s="127">
        <v>104109</v>
      </c>
      <c r="E682" s="128" t="s">
        <v>1167</v>
      </c>
      <c r="F682" s="127" t="s">
        <v>306</v>
      </c>
      <c r="H682" s="117" t="str">
        <f t="shared" si="21"/>
        <v>OTHER</v>
      </c>
      <c r="I682" s="113" t="s">
        <v>73</v>
      </c>
      <c r="J682"/>
    </row>
    <row r="683" spans="1:10">
      <c r="A683" s="114" t="str">
        <f t="shared" si="20"/>
        <v>1823920DSR COSTS AMORTIZED104110ID DSM - 186025 Clear Acct BalanceOTHER</v>
      </c>
      <c r="B683" s="127">
        <v>1823920</v>
      </c>
      <c r="C683" s="128" t="s">
        <v>695</v>
      </c>
      <c r="D683" s="127">
        <v>104110</v>
      </c>
      <c r="E683" s="128" t="s">
        <v>1168</v>
      </c>
      <c r="F683" s="127" t="s">
        <v>306</v>
      </c>
      <c r="H683" s="117" t="str">
        <f t="shared" si="21"/>
        <v>OTHER</v>
      </c>
      <c r="I683" s="113" t="s">
        <v>73</v>
      </c>
      <c r="J683"/>
    </row>
    <row r="684" spans="1:10">
      <c r="A684" s="114" t="str">
        <f t="shared" si="20"/>
        <v>1823920DSR COSTS AMORTIZED104111WY DSM - 186065 Clear Acct BalanceOTHER</v>
      </c>
      <c r="B684" s="127">
        <v>1823920</v>
      </c>
      <c r="C684" s="128" t="s">
        <v>695</v>
      </c>
      <c r="D684" s="127">
        <v>104111</v>
      </c>
      <c r="E684" s="128" t="s">
        <v>1169</v>
      </c>
      <c r="F684" s="127" t="s">
        <v>306</v>
      </c>
      <c r="H684" s="117" t="str">
        <f t="shared" si="21"/>
        <v>OTHER</v>
      </c>
      <c r="I684" s="113" t="s">
        <v>73</v>
      </c>
      <c r="J684"/>
    </row>
    <row r="685" spans="1:10">
      <c r="A685" s="114" t="str">
        <f t="shared" si="20"/>
        <v>1823930DSR COSTS NOT AMORT102352INDUSTRIAL FINANSWER - IDU 2004SITUS</v>
      </c>
      <c r="B685" s="127">
        <v>1823930</v>
      </c>
      <c r="C685" s="128" t="s">
        <v>1170</v>
      </c>
      <c r="D685" s="127">
        <v>102352</v>
      </c>
      <c r="E685" s="128" t="s">
        <v>1171</v>
      </c>
      <c r="F685" s="127" t="s">
        <v>12</v>
      </c>
      <c r="H685" s="117" t="str">
        <f t="shared" si="21"/>
        <v>SITUS</v>
      </c>
      <c r="I685" s="113" t="s">
        <v>73</v>
      </c>
      <c r="J685"/>
    </row>
    <row r="686" spans="1:10">
      <c r="A686" s="114" t="str">
        <f t="shared" si="20"/>
        <v>1823930DSR COSTS NOT AMORT102353LOW INCOME WZ - IDU 2004SITUS</v>
      </c>
      <c r="B686" s="127">
        <v>1823930</v>
      </c>
      <c r="C686" s="128" t="s">
        <v>1170</v>
      </c>
      <c r="D686" s="127">
        <v>102353</v>
      </c>
      <c r="E686" s="128" t="s">
        <v>1172</v>
      </c>
      <c r="F686" s="127" t="s">
        <v>12</v>
      </c>
      <c r="H686" s="117" t="str">
        <f t="shared" si="21"/>
        <v>SITUS</v>
      </c>
      <c r="I686" s="113" t="s">
        <v>73</v>
      </c>
      <c r="J686"/>
    </row>
    <row r="687" spans="1:10">
      <c r="A687" s="114" t="str">
        <f t="shared" si="20"/>
        <v>1823930DSR COSTS NOT AMORT102354NEEA - IDU 2004SITUS</v>
      </c>
      <c r="B687" s="127">
        <v>1823930</v>
      </c>
      <c r="C687" s="128" t="s">
        <v>1170</v>
      </c>
      <c r="D687" s="127">
        <v>102354</v>
      </c>
      <c r="E687" s="128" t="s">
        <v>1173</v>
      </c>
      <c r="F687" s="127" t="s">
        <v>12</v>
      </c>
      <c r="H687" s="117" t="str">
        <f t="shared" si="21"/>
        <v>SITUS</v>
      </c>
      <c r="I687" s="113" t="s">
        <v>73</v>
      </c>
      <c r="J687"/>
    </row>
    <row r="688" spans="1:10">
      <c r="A688" s="114" t="str">
        <f t="shared" si="20"/>
        <v>1823930DSR COSTS NOT AMORT102356IRRIGATION INTERRUPTIBLE - IDU 2004SITUS</v>
      </c>
      <c r="B688" s="127">
        <v>1823930</v>
      </c>
      <c r="C688" s="128" t="s">
        <v>1170</v>
      </c>
      <c r="D688" s="127">
        <v>102356</v>
      </c>
      <c r="E688" s="128" t="s">
        <v>1174</v>
      </c>
      <c r="F688" s="127" t="s">
        <v>12</v>
      </c>
      <c r="H688" s="117" t="str">
        <f t="shared" si="21"/>
        <v>SITUS</v>
      </c>
      <c r="I688" s="113" t="s">
        <v>73</v>
      </c>
      <c r="J688"/>
    </row>
    <row r="689" spans="1:10">
      <c r="A689" s="114" t="str">
        <f t="shared" si="20"/>
        <v>1823930DSR COSTS NOT AMORT102519INDUSTRIAL FINANSWER - IDAHO-UT 2005SITUS</v>
      </c>
      <c r="B689" s="127">
        <v>1823930</v>
      </c>
      <c r="C689" s="128" t="s">
        <v>1170</v>
      </c>
      <c r="D689" s="127">
        <v>102519</v>
      </c>
      <c r="E689" s="128" t="s">
        <v>1175</v>
      </c>
      <c r="F689" s="127" t="s">
        <v>12</v>
      </c>
      <c r="H689" s="117" t="str">
        <f t="shared" si="21"/>
        <v>SITUS</v>
      </c>
      <c r="I689" s="113" t="s">
        <v>73</v>
      </c>
      <c r="J689"/>
    </row>
    <row r="690" spans="1:10">
      <c r="A690" s="114" t="str">
        <f t="shared" si="20"/>
        <v>1823930DSR COSTS NOT AMORT102520LOW INCOME WZ  - IDAHO-UT 2005SITUS</v>
      </c>
      <c r="B690" s="127">
        <v>1823930</v>
      </c>
      <c r="C690" s="128" t="s">
        <v>1170</v>
      </c>
      <c r="D690" s="127">
        <v>102520</v>
      </c>
      <c r="E690" s="128" t="s">
        <v>1176</v>
      </c>
      <c r="F690" s="127" t="s">
        <v>12</v>
      </c>
      <c r="H690" s="117" t="str">
        <f t="shared" si="21"/>
        <v>SITUS</v>
      </c>
      <c r="I690" s="113" t="s">
        <v>73</v>
      </c>
      <c r="J690"/>
    </row>
    <row r="691" spans="1:10">
      <c r="A691" s="114" t="str">
        <f t="shared" si="20"/>
        <v>1823930DSR COSTS NOT AMORT102521NEEA - IDAHO - UTAH 2005SITUS</v>
      </c>
      <c r="B691" s="127">
        <v>1823930</v>
      </c>
      <c r="C691" s="128" t="s">
        <v>1170</v>
      </c>
      <c r="D691" s="127">
        <v>102521</v>
      </c>
      <c r="E691" s="128" t="s">
        <v>1177</v>
      </c>
      <c r="F691" s="127" t="s">
        <v>12</v>
      </c>
      <c r="H691" s="117" t="str">
        <f t="shared" si="21"/>
        <v>SITUS</v>
      </c>
      <c r="I691" s="113" t="s">
        <v>73</v>
      </c>
      <c r="J691"/>
    </row>
    <row r="692" spans="1:10">
      <c r="A692" s="114" t="str">
        <f t="shared" si="20"/>
        <v>1823930DSR COSTS NOT AMORT102522SELF AUDIT - IDAHO-UT 2005SITUS</v>
      </c>
      <c r="B692" s="127">
        <v>1823930</v>
      </c>
      <c r="C692" s="128" t="s">
        <v>1170</v>
      </c>
      <c r="D692" s="127">
        <v>102522</v>
      </c>
      <c r="E692" s="128" t="s">
        <v>1178</v>
      </c>
      <c r="F692" s="127" t="s">
        <v>12</v>
      </c>
      <c r="H692" s="117" t="str">
        <f t="shared" si="21"/>
        <v>SITUS</v>
      </c>
      <c r="I692" s="113" t="s">
        <v>73</v>
      </c>
      <c r="J692"/>
    </row>
    <row r="693" spans="1:10">
      <c r="A693" s="114" t="str">
        <f t="shared" si="20"/>
        <v>1823930DSR COSTS NOT AMORT102523IRRIGATION INTERRUPTIBLE IDAHO - UT 2005SITUS</v>
      </c>
      <c r="B693" s="127">
        <v>1823930</v>
      </c>
      <c r="C693" s="128" t="s">
        <v>1170</v>
      </c>
      <c r="D693" s="127">
        <v>102523</v>
      </c>
      <c r="E693" s="128" t="s">
        <v>1179</v>
      </c>
      <c r="F693" s="127" t="s">
        <v>12</v>
      </c>
      <c r="H693" s="117" t="str">
        <f t="shared" si="21"/>
        <v>SITUS</v>
      </c>
      <c r="I693" s="113" t="s">
        <v>73</v>
      </c>
      <c r="J693"/>
    </row>
    <row r="694" spans="1:10">
      <c r="A694" s="114" t="str">
        <f t="shared" si="20"/>
        <v>1823930DSR COSTS NOT AMORT102524WEATHERIZATION LOANS - RESIDENTIAL/ID-UTSITUS</v>
      </c>
      <c r="B694" s="127">
        <v>1823930</v>
      </c>
      <c r="C694" s="128" t="s">
        <v>1170</v>
      </c>
      <c r="D694" s="127">
        <v>102524</v>
      </c>
      <c r="E694" s="128" t="s">
        <v>1180</v>
      </c>
      <c r="F694" s="127" t="s">
        <v>12</v>
      </c>
      <c r="H694" s="117" t="str">
        <f t="shared" si="21"/>
        <v>SITUS</v>
      </c>
      <c r="I694" s="113" t="s">
        <v>73</v>
      </c>
      <c r="J694"/>
    </row>
    <row r="695" spans="1:10">
      <c r="A695" s="114" t="str">
        <f t="shared" si="20"/>
        <v>1823930DSR COSTS NOT AMORT102573ENERGY FINANSWER ID/UT 2006SITUS</v>
      </c>
      <c r="B695" s="127">
        <v>1823930</v>
      </c>
      <c r="C695" s="128" t="s">
        <v>1170</v>
      </c>
      <c r="D695" s="127">
        <v>102573</v>
      </c>
      <c r="E695" s="128" t="s">
        <v>1181</v>
      </c>
      <c r="F695" s="127" t="s">
        <v>12</v>
      </c>
      <c r="H695" s="117" t="str">
        <f t="shared" si="21"/>
        <v>SITUS</v>
      </c>
      <c r="I695" s="113" t="s">
        <v>73</v>
      </c>
      <c r="J695"/>
    </row>
    <row r="696" spans="1:10">
      <c r="A696" s="114" t="str">
        <f t="shared" si="20"/>
        <v>1823930DSR COSTS NOT AMORT102574INDUSTRIAL FINANSWER-ID-UT 2006SITUS</v>
      </c>
      <c r="B696" s="127">
        <v>1823930</v>
      </c>
      <c r="C696" s="128" t="s">
        <v>1170</v>
      </c>
      <c r="D696" s="127">
        <v>102574</v>
      </c>
      <c r="E696" s="128" t="s">
        <v>1182</v>
      </c>
      <c r="F696" s="127" t="s">
        <v>12</v>
      </c>
      <c r="H696" s="117" t="str">
        <f t="shared" si="21"/>
        <v>SITUS</v>
      </c>
      <c r="I696" s="113" t="s">
        <v>73</v>
      </c>
      <c r="J696"/>
    </row>
    <row r="697" spans="1:10">
      <c r="A697" s="114" t="str">
        <f t="shared" si="20"/>
        <v>1823930DSR COSTS NOT AMORT102575LOW INCOME WZ -ID-UT 2006SITUS</v>
      </c>
      <c r="B697" s="127">
        <v>1823930</v>
      </c>
      <c r="C697" s="128" t="s">
        <v>1170</v>
      </c>
      <c r="D697" s="127">
        <v>102575</v>
      </c>
      <c r="E697" s="128" t="s">
        <v>1183</v>
      </c>
      <c r="F697" s="127" t="s">
        <v>12</v>
      </c>
      <c r="H697" s="117" t="str">
        <f t="shared" si="21"/>
        <v>SITUS</v>
      </c>
      <c r="I697" s="113" t="s">
        <v>73</v>
      </c>
      <c r="J697"/>
    </row>
    <row r="698" spans="1:10">
      <c r="A698" s="114" t="str">
        <f t="shared" si="20"/>
        <v>1823930DSR COSTS NOT AMORT102576NEEA-IDAHO-UTAH 2006SITUS</v>
      </c>
      <c r="B698" s="127">
        <v>1823930</v>
      </c>
      <c r="C698" s="128" t="s">
        <v>1170</v>
      </c>
      <c r="D698" s="127">
        <v>102576</v>
      </c>
      <c r="E698" s="128" t="s">
        <v>1184</v>
      </c>
      <c r="F698" s="127" t="s">
        <v>12</v>
      </c>
      <c r="H698" s="117" t="str">
        <f t="shared" si="21"/>
        <v>SITUS</v>
      </c>
      <c r="I698" s="113" t="s">
        <v>73</v>
      </c>
      <c r="J698"/>
    </row>
    <row r="699" spans="1:10">
      <c r="A699" s="114" t="str">
        <f t="shared" si="20"/>
        <v>1823930DSR COSTS NOT AMORT102577IRRIGATION INTERRUPTIBLE ID-UT 2006SITUS</v>
      </c>
      <c r="B699" s="127">
        <v>1823930</v>
      </c>
      <c r="C699" s="128" t="s">
        <v>1170</v>
      </c>
      <c r="D699" s="127">
        <v>102577</v>
      </c>
      <c r="E699" s="128" t="s">
        <v>1185</v>
      </c>
      <c r="F699" s="127" t="s">
        <v>12</v>
      </c>
      <c r="H699" s="117" t="str">
        <f t="shared" si="21"/>
        <v>SITUS</v>
      </c>
      <c r="I699" s="113" t="s">
        <v>73</v>
      </c>
      <c r="J699"/>
    </row>
    <row r="700" spans="1:10">
      <c r="A700" s="114" t="str">
        <f t="shared" si="20"/>
        <v>1823930DSR COSTS NOT AMORT102578WEATHERIZATION LOANS-RESDL/ID-UT 2006SITUS</v>
      </c>
      <c r="B700" s="127">
        <v>1823930</v>
      </c>
      <c r="C700" s="128" t="s">
        <v>1170</v>
      </c>
      <c r="D700" s="127">
        <v>102578</v>
      </c>
      <c r="E700" s="128" t="s">
        <v>1186</v>
      </c>
      <c r="F700" s="127" t="s">
        <v>12</v>
      </c>
      <c r="H700" s="117" t="str">
        <f t="shared" si="21"/>
        <v>SITUS</v>
      </c>
      <c r="I700" s="113" t="s">
        <v>73</v>
      </c>
      <c r="J700"/>
    </row>
    <row r="701" spans="1:10">
      <c r="A701" s="114" t="str">
        <f t="shared" si="20"/>
        <v>1823930DSR COSTS NOT AMORT102579REFRIGERATOR RECYCLING PGM-ID-UT 2006SITUS</v>
      </c>
      <c r="B701" s="127">
        <v>1823930</v>
      </c>
      <c r="C701" s="128" t="s">
        <v>1170</v>
      </c>
      <c r="D701" s="127">
        <v>102579</v>
      </c>
      <c r="E701" s="128" t="s">
        <v>1187</v>
      </c>
      <c r="F701" s="127" t="s">
        <v>12</v>
      </c>
      <c r="H701" s="117" t="str">
        <f t="shared" si="21"/>
        <v>SITUS</v>
      </c>
      <c r="I701" s="113" t="s">
        <v>73</v>
      </c>
      <c r="J701"/>
    </row>
    <row r="702" spans="1:10">
      <c r="A702" s="114" t="str">
        <f t="shared" si="20"/>
        <v>1823930DSR COSTS NOT AMORT102580COMMERCIAL FINANSWER EXPR-ID-UT 2006SITUS</v>
      </c>
      <c r="B702" s="127">
        <v>1823930</v>
      </c>
      <c r="C702" s="128" t="s">
        <v>1170</v>
      </c>
      <c r="D702" s="127">
        <v>102580</v>
      </c>
      <c r="E702" s="128" t="s">
        <v>1188</v>
      </c>
      <c r="F702" s="127" t="s">
        <v>12</v>
      </c>
      <c r="H702" s="117" t="str">
        <f t="shared" si="21"/>
        <v>SITUS</v>
      </c>
      <c r="I702" s="113" t="s">
        <v>73</v>
      </c>
      <c r="J702"/>
    </row>
    <row r="703" spans="1:10">
      <c r="A703" s="114" t="str">
        <f t="shared" si="20"/>
        <v>1823930DSR COSTS NOT AMORT102581INDUSTRIAL FINANSWER EXPR-ID-UT 2006SITUS</v>
      </c>
      <c r="B703" s="127">
        <v>1823930</v>
      </c>
      <c r="C703" s="128" t="s">
        <v>1170</v>
      </c>
      <c r="D703" s="127">
        <v>102581</v>
      </c>
      <c r="E703" s="128" t="s">
        <v>1189</v>
      </c>
      <c r="F703" s="127" t="s">
        <v>12</v>
      </c>
      <c r="H703" s="117" t="str">
        <f t="shared" si="21"/>
        <v>SITUS</v>
      </c>
      <c r="I703" s="113" t="s">
        <v>73</v>
      </c>
      <c r="J703"/>
    </row>
    <row r="704" spans="1:10">
      <c r="A704" s="114" t="str">
        <f t="shared" si="20"/>
        <v>1823930DSR COSTS NOT AMORT102582IRRIGATION EFFICIENCY PRGRM-ID-UT 2006SITUS</v>
      </c>
      <c r="B704" s="127">
        <v>1823930</v>
      </c>
      <c r="C704" s="128" t="s">
        <v>1170</v>
      </c>
      <c r="D704" s="127">
        <v>102582</v>
      </c>
      <c r="E704" s="128" t="s">
        <v>1190</v>
      </c>
      <c r="F704" s="127" t="s">
        <v>12</v>
      </c>
      <c r="H704" s="117" t="str">
        <f t="shared" si="21"/>
        <v>SITUS</v>
      </c>
      <c r="I704" s="113" t="s">
        <v>73</v>
      </c>
      <c r="J704"/>
    </row>
    <row r="705" spans="1:10">
      <c r="A705" s="114" t="str">
        <f t="shared" si="20"/>
        <v>1823930DSR COSTS NOT AMORT102758HOME ENERGY EFFICIENCY INCENTIVE PROGM-ISITUS</v>
      </c>
      <c r="B705" s="127">
        <v>1823930</v>
      </c>
      <c r="C705" s="128" t="s">
        <v>1170</v>
      </c>
      <c r="D705" s="127">
        <v>102758</v>
      </c>
      <c r="E705" s="128" t="s">
        <v>1191</v>
      </c>
      <c r="F705" s="127" t="s">
        <v>12</v>
      </c>
      <c r="H705" s="117" t="str">
        <f t="shared" si="21"/>
        <v>SITUS</v>
      </c>
      <c r="I705" s="113" t="s">
        <v>73</v>
      </c>
      <c r="J705"/>
    </row>
    <row r="706" spans="1:10">
      <c r="A706" s="114" t="str">
        <f t="shared" si="20"/>
        <v>1823930DSR COSTS NOT AMORT102808WEATHERIZATION LOANS RESIDTL/ ID-UT 2007OTHER</v>
      </c>
      <c r="B706" s="127">
        <v>1823930</v>
      </c>
      <c r="C706" s="128" t="s">
        <v>1170</v>
      </c>
      <c r="D706" s="127">
        <v>102808</v>
      </c>
      <c r="E706" s="128" t="s">
        <v>1192</v>
      </c>
      <c r="F706" s="127" t="s">
        <v>306</v>
      </c>
      <c r="H706" s="117" t="str">
        <f t="shared" si="21"/>
        <v>OTHER</v>
      </c>
      <c r="I706" s="113" t="s">
        <v>73</v>
      </c>
      <c r="J706"/>
    </row>
    <row r="707" spans="1:10">
      <c r="A707" s="114" t="str">
        <f t="shared" ref="A707:A770" si="22">CONCATENATE($B707,$C707,$D707,$E707,$H707)</f>
        <v>1823930DSR COSTS NOT AMORT102809ENERGY FINANSWER IDU 2007OTHER</v>
      </c>
      <c r="B707" s="127">
        <v>1823930</v>
      </c>
      <c r="C707" s="128" t="s">
        <v>1170</v>
      </c>
      <c r="D707" s="127">
        <v>102809</v>
      </c>
      <c r="E707" s="128" t="s">
        <v>1193</v>
      </c>
      <c r="F707" s="127" t="s">
        <v>306</v>
      </c>
      <c r="H707" s="117" t="str">
        <f t="shared" ref="H707:H770" si="23">IF(OR(F707="IDU",F707="OR",F707="UT",F707="WYU",F707="WYP",F707="CA",F707="WA"),"SITUS",F707)</f>
        <v>OTHER</v>
      </c>
      <c r="I707" s="113" t="s">
        <v>73</v>
      </c>
      <c r="J707"/>
    </row>
    <row r="708" spans="1:10">
      <c r="A708" s="114" t="str">
        <f t="shared" si="22"/>
        <v>1823930DSR COSTS NOT AMORT102810Industrial Finanswer ID - 2007OTHER</v>
      </c>
      <c r="B708" s="127">
        <v>1823930</v>
      </c>
      <c r="C708" s="128" t="s">
        <v>1170</v>
      </c>
      <c r="D708" s="127">
        <v>102810</v>
      </c>
      <c r="E708" s="128" t="s">
        <v>1194</v>
      </c>
      <c r="F708" s="127" t="s">
        <v>306</v>
      </c>
      <c r="H708" s="117" t="str">
        <f t="shared" si="23"/>
        <v>OTHER</v>
      </c>
      <c r="I708" s="113" t="s">
        <v>73</v>
      </c>
      <c r="J708"/>
    </row>
    <row r="709" spans="1:10">
      <c r="A709" s="114" t="str">
        <f t="shared" si="22"/>
        <v>1823930DSR COSTS NOT AMORT102811IRRIGATION INTERRUPTIBLE ID-UT 2007OTHER</v>
      </c>
      <c r="B709" s="127">
        <v>1823930</v>
      </c>
      <c r="C709" s="128" t="s">
        <v>1170</v>
      </c>
      <c r="D709" s="127">
        <v>102811</v>
      </c>
      <c r="E709" s="128" t="s">
        <v>1195</v>
      </c>
      <c r="F709" s="127" t="s">
        <v>306</v>
      </c>
      <c r="H709" s="117" t="str">
        <f t="shared" si="23"/>
        <v>OTHER</v>
      </c>
      <c r="I709" s="113" t="s">
        <v>73</v>
      </c>
      <c r="J709"/>
    </row>
    <row r="710" spans="1:10">
      <c r="A710" s="114" t="str">
        <f t="shared" si="22"/>
        <v>1823930DSR COSTS NOT AMORT102812LOW INCOME WZ  - ID-UT 2007OTHER</v>
      </c>
      <c r="B710" s="127">
        <v>1823930</v>
      </c>
      <c r="C710" s="128" t="s">
        <v>1170</v>
      </c>
      <c r="D710" s="127">
        <v>102812</v>
      </c>
      <c r="E710" s="128" t="s">
        <v>1196</v>
      </c>
      <c r="F710" s="127" t="s">
        <v>306</v>
      </c>
      <c r="H710" s="117" t="str">
        <f t="shared" si="23"/>
        <v>OTHER</v>
      </c>
      <c r="I710" s="113" t="s">
        <v>73</v>
      </c>
      <c r="J710"/>
    </row>
    <row r="711" spans="1:10">
      <c r="A711" s="114" t="str">
        <f t="shared" si="22"/>
        <v>1823930DSR COSTS NOT AMORT102813NEEA - IDAHO - UTAH 2007OTHER</v>
      </c>
      <c r="B711" s="127">
        <v>1823930</v>
      </c>
      <c r="C711" s="128" t="s">
        <v>1170</v>
      </c>
      <c r="D711" s="127">
        <v>102813</v>
      </c>
      <c r="E711" s="128" t="s">
        <v>1197</v>
      </c>
      <c r="F711" s="127" t="s">
        <v>306</v>
      </c>
      <c r="H711" s="117" t="str">
        <f t="shared" si="23"/>
        <v>OTHER</v>
      </c>
      <c r="I711" s="113" t="s">
        <v>73</v>
      </c>
      <c r="J711"/>
    </row>
    <row r="712" spans="1:10">
      <c r="A712" s="114" t="str">
        <f t="shared" si="22"/>
        <v>1823930DSR COSTS NOT AMORT102814REFRIGERATOR RECYCLING PGM - ID-UT 2007OTHER</v>
      </c>
      <c r="B712" s="127">
        <v>1823930</v>
      </c>
      <c r="C712" s="128" t="s">
        <v>1170</v>
      </c>
      <c r="D712" s="127">
        <v>102814</v>
      </c>
      <c r="E712" s="128" t="s">
        <v>1198</v>
      </c>
      <c r="F712" s="127" t="s">
        <v>306</v>
      </c>
      <c r="H712" s="117" t="str">
        <f t="shared" si="23"/>
        <v>OTHER</v>
      </c>
      <c r="I712" s="113" t="s">
        <v>73</v>
      </c>
      <c r="J712"/>
    </row>
    <row r="713" spans="1:10">
      <c r="A713" s="114" t="str">
        <f t="shared" si="22"/>
        <v>1823930DSR COSTS NOT AMORT102815COMMERCIAL FINANSWER EXPR - ID-UT 2007OTHER</v>
      </c>
      <c r="B713" s="127">
        <v>1823930</v>
      </c>
      <c r="C713" s="128" t="s">
        <v>1170</v>
      </c>
      <c r="D713" s="127">
        <v>102815</v>
      </c>
      <c r="E713" s="128" t="s">
        <v>1199</v>
      </c>
      <c r="F713" s="127" t="s">
        <v>306</v>
      </c>
      <c r="H713" s="117" t="str">
        <f t="shared" si="23"/>
        <v>OTHER</v>
      </c>
      <c r="I713" s="113" t="s">
        <v>73</v>
      </c>
      <c r="J713"/>
    </row>
    <row r="714" spans="1:10">
      <c r="A714" s="114" t="str">
        <f t="shared" si="22"/>
        <v>1823930DSR COSTS NOT AMORT102816INDUSTRIAL FINANSWER EXPR - ID-UT 2007OTHER</v>
      </c>
      <c r="B714" s="127">
        <v>1823930</v>
      </c>
      <c r="C714" s="128" t="s">
        <v>1170</v>
      </c>
      <c r="D714" s="127">
        <v>102816</v>
      </c>
      <c r="E714" s="128" t="s">
        <v>1200</v>
      </c>
      <c r="F714" s="127" t="s">
        <v>306</v>
      </c>
      <c r="H714" s="117" t="str">
        <f t="shared" si="23"/>
        <v>OTHER</v>
      </c>
      <c r="I714" s="113" t="s">
        <v>73</v>
      </c>
      <c r="J714"/>
    </row>
    <row r="715" spans="1:10">
      <c r="A715" s="114" t="str">
        <f t="shared" si="22"/>
        <v>1823930DSR COSTS NOT AMORT102817IRRIGATION EFFICIENCY PRGRM - ID-UT 2007OTHER</v>
      </c>
      <c r="B715" s="127">
        <v>1823930</v>
      </c>
      <c r="C715" s="128" t="s">
        <v>1170</v>
      </c>
      <c r="D715" s="127">
        <v>102817</v>
      </c>
      <c r="E715" s="128" t="s">
        <v>1201</v>
      </c>
      <c r="F715" s="127" t="s">
        <v>306</v>
      </c>
      <c r="H715" s="117" t="str">
        <f t="shared" si="23"/>
        <v>OTHER</v>
      </c>
      <c r="I715" s="113" t="s">
        <v>73</v>
      </c>
      <c r="J715"/>
    </row>
    <row r="716" spans="1:10">
      <c r="A716" s="114" t="str">
        <f t="shared" si="22"/>
        <v>1823930DSR COSTS NOT AMORT102818HOME ENERGY EFFICIENCY INCENTIVE PROG  -OTHER</v>
      </c>
      <c r="B716" s="127">
        <v>1823930</v>
      </c>
      <c r="C716" s="128" t="s">
        <v>1170</v>
      </c>
      <c r="D716" s="127">
        <v>102818</v>
      </c>
      <c r="E716" s="128" t="s">
        <v>1202</v>
      </c>
      <c r="F716" s="127" t="s">
        <v>306</v>
      </c>
      <c r="H716" s="117" t="str">
        <f t="shared" si="23"/>
        <v>OTHER</v>
      </c>
      <c r="I716" s="113" t="s">
        <v>73</v>
      </c>
      <c r="J716"/>
    </row>
    <row r="717" spans="1:10">
      <c r="A717" s="114" t="str">
        <f t="shared" si="22"/>
        <v>1823930DSR COSTS NOT AMORT102896ENERGY FINANSWER - ID/UT 2008OTHER</v>
      </c>
      <c r="B717" s="127">
        <v>1823930</v>
      </c>
      <c r="C717" s="128" t="s">
        <v>1170</v>
      </c>
      <c r="D717" s="127">
        <v>102896</v>
      </c>
      <c r="E717" s="128" t="s">
        <v>1203</v>
      </c>
      <c r="F717" s="127" t="s">
        <v>306</v>
      </c>
      <c r="H717" s="117" t="str">
        <f t="shared" si="23"/>
        <v>OTHER</v>
      </c>
      <c r="I717" s="113" t="s">
        <v>73</v>
      </c>
      <c r="J717"/>
    </row>
    <row r="718" spans="1:10">
      <c r="A718" s="114" t="str">
        <f t="shared" si="22"/>
        <v>1823930DSR COSTS NOT AMORT102897INDUSTRIAL FINANSWER - ID-UT 2008OTHER</v>
      </c>
      <c r="B718" s="127">
        <v>1823930</v>
      </c>
      <c r="C718" s="128" t="s">
        <v>1170</v>
      </c>
      <c r="D718" s="127">
        <v>102897</v>
      </c>
      <c r="E718" s="128" t="s">
        <v>1204</v>
      </c>
      <c r="F718" s="127" t="s">
        <v>306</v>
      </c>
      <c r="H718" s="117" t="str">
        <f t="shared" si="23"/>
        <v>OTHER</v>
      </c>
      <c r="I718" s="113" t="s">
        <v>73</v>
      </c>
      <c r="J718"/>
    </row>
    <row r="719" spans="1:10">
      <c r="A719" s="114" t="str">
        <f t="shared" si="22"/>
        <v>1823930DSR COSTS NOT AMORT102898IRRIGATION INTERRUPTIBLE - IDAHO - 2008OTHER</v>
      </c>
      <c r="B719" s="127">
        <v>1823930</v>
      </c>
      <c r="C719" s="128" t="s">
        <v>1170</v>
      </c>
      <c r="D719" s="127">
        <v>102898</v>
      </c>
      <c r="E719" s="128" t="s">
        <v>1205</v>
      </c>
      <c r="F719" s="127" t="s">
        <v>306</v>
      </c>
      <c r="H719" s="117" t="str">
        <f t="shared" si="23"/>
        <v>OTHER</v>
      </c>
      <c r="I719" s="113" t="s">
        <v>73</v>
      </c>
      <c r="J719"/>
    </row>
    <row r="720" spans="1:10">
      <c r="A720" s="114" t="str">
        <f t="shared" si="22"/>
        <v>1823930DSR COSTS NOT AMORT102899LOW INCOME WEATHERIZATION - IDAHO 2008OTHER</v>
      </c>
      <c r="B720" s="127">
        <v>1823930</v>
      </c>
      <c r="C720" s="128" t="s">
        <v>1170</v>
      </c>
      <c r="D720" s="127">
        <v>102899</v>
      </c>
      <c r="E720" s="128" t="s">
        <v>1206</v>
      </c>
      <c r="F720" s="127" t="s">
        <v>306</v>
      </c>
      <c r="H720" s="117" t="str">
        <f t="shared" si="23"/>
        <v>OTHER</v>
      </c>
      <c r="I720" s="113" t="s">
        <v>73</v>
      </c>
      <c r="J720"/>
    </row>
    <row r="721" spans="1:10">
      <c r="A721" s="114" t="str">
        <f t="shared" si="22"/>
        <v>1823930DSR COSTS NOT AMORT102900NEEA - IDAHO - 2008OTHER</v>
      </c>
      <c r="B721" s="127">
        <v>1823930</v>
      </c>
      <c r="C721" s="128" t="s">
        <v>1170</v>
      </c>
      <c r="D721" s="127">
        <v>102900</v>
      </c>
      <c r="E721" s="128" t="s">
        <v>1207</v>
      </c>
      <c r="F721" s="127" t="s">
        <v>306</v>
      </c>
      <c r="H721" s="117" t="str">
        <f t="shared" si="23"/>
        <v>OTHER</v>
      </c>
      <c r="I721" s="113" t="s">
        <v>73</v>
      </c>
      <c r="J721"/>
    </row>
    <row r="722" spans="1:10">
      <c r="A722" s="114" t="str">
        <f t="shared" si="22"/>
        <v>1823930DSR COSTS NOT AMORT102901REFRIGERATOR RECYCLING PRGM - IDAHO 2008OTHER</v>
      </c>
      <c r="B722" s="127">
        <v>1823930</v>
      </c>
      <c r="C722" s="128" t="s">
        <v>1170</v>
      </c>
      <c r="D722" s="127">
        <v>102901</v>
      </c>
      <c r="E722" s="128" t="s">
        <v>1208</v>
      </c>
      <c r="F722" s="127" t="s">
        <v>306</v>
      </c>
      <c r="H722" s="117" t="str">
        <f t="shared" si="23"/>
        <v>OTHER</v>
      </c>
      <c r="I722" s="113" t="s">
        <v>73</v>
      </c>
      <c r="J722"/>
    </row>
    <row r="723" spans="1:10">
      <c r="A723" s="114" t="str">
        <f t="shared" si="22"/>
        <v>1823930DSR COSTS NOT AMORT102902COMMERCIAL FINANSWER EXPRESS - IDAHO 200OTHER</v>
      </c>
      <c r="B723" s="127">
        <v>1823930</v>
      </c>
      <c r="C723" s="128" t="s">
        <v>1170</v>
      </c>
      <c r="D723" s="127">
        <v>102902</v>
      </c>
      <c r="E723" s="128" t="s">
        <v>1209</v>
      </c>
      <c r="F723" s="127" t="s">
        <v>306</v>
      </c>
      <c r="H723" s="117" t="str">
        <f t="shared" si="23"/>
        <v>OTHER</v>
      </c>
      <c r="I723" s="113" t="s">
        <v>73</v>
      </c>
      <c r="J723"/>
    </row>
    <row r="724" spans="1:10">
      <c r="A724" s="114" t="str">
        <f t="shared" si="22"/>
        <v>1823930DSR COSTS NOT AMORT102903INDUSTRIAL FINANSWER - IDAHO - 2008OTHER</v>
      </c>
      <c r="B724" s="127">
        <v>1823930</v>
      </c>
      <c r="C724" s="128" t="s">
        <v>1170</v>
      </c>
      <c r="D724" s="127">
        <v>102903</v>
      </c>
      <c r="E724" s="128" t="s">
        <v>1210</v>
      </c>
      <c r="F724" s="127" t="s">
        <v>306</v>
      </c>
      <c r="H724" s="117" t="str">
        <f t="shared" si="23"/>
        <v>OTHER</v>
      </c>
      <c r="I724" s="113" t="s">
        <v>73</v>
      </c>
      <c r="J724"/>
    </row>
    <row r="725" spans="1:10">
      <c r="A725" s="114" t="str">
        <f t="shared" si="22"/>
        <v>1823930DSR COSTS NOT AMORT102904IRRIGATION EFFICIENCY PRGM - IDAHO - 200OTHER</v>
      </c>
      <c r="B725" s="127">
        <v>1823930</v>
      </c>
      <c r="C725" s="128" t="s">
        <v>1170</v>
      </c>
      <c r="D725" s="127">
        <v>102904</v>
      </c>
      <c r="E725" s="128" t="s">
        <v>1211</v>
      </c>
      <c r="F725" s="127" t="s">
        <v>306</v>
      </c>
      <c r="H725" s="117" t="str">
        <f t="shared" si="23"/>
        <v>OTHER</v>
      </c>
      <c r="I725" s="113" t="s">
        <v>73</v>
      </c>
      <c r="J725"/>
    </row>
    <row r="726" spans="1:10">
      <c r="A726" s="114" t="str">
        <f t="shared" si="22"/>
        <v>1823930DSR COSTS NOT AMORT102905HOME ENERGY EFF INCENTIVE PROGRAM - IDAHOTHER</v>
      </c>
      <c r="B726" s="127">
        <v>1823930</v>
      </c>
      <c r="C726" s="128" t="s">
        <v>1170</v>
      </c>
      <c r="D726" s="127">
        <v>102905</v>
      </c>
      <c r="E726" s="128" t="s">
        <v>1212</v>
      </c>
      <c r="F726" s="127" t="s">
        <v>306</v>
      </c>
      <c r="H726" s="117" t="str">
        <f t="shared" si="23"/>
        <v>OTHER</v>
      </c>
      <c r="I726" s="113" t="s">
        <v>73</v>
      </c>
      <c r="J726"/>
    </row>
    <row r="727" spans="1:10">
      <c r="A727" s="114" t="str">
        <f t="shared" si="22"/>
        <v>1823930DSR COSTS NOT AMORT102957CATEGORY 1 - WYOMING - 2008OTHER</v>
      </c>
      <c r="B727" s="127">
        <v>1823930</v>
      </c>
      <c r="C727" s="128" t="s">
        <v>1170</v>
      </c>
      <c r="D727" s="127">
        <v>102957</v>
      </c>
      <c r="E727" s="128" t="s">
        <v>1213</v>
      </c>
      <c r="F727" s="127" t="s">
        <v>306</v>
      </c>
      <c r="H727" s="117" t="str">
        <f t="shared" si="23"/>
        <v>OTHER</v>
      </c>
      <c r="I727" s="113" t="s">
        <v>73</v>
      </c>
      <c r="J727"/>
    </row>
    <row r="728" spans="1:10">
      <c r="A728" s="114" t="str">
        <f t="shared" si="22"/>
        <v>1823930DSR COSTS NOT AMORT102958CATEGORY 2 - WYOMING - 2008OTHER</v>
      </c>
      <c r="B728" s="127">
        <v>1823930</v>
      </c>
      <c r="C728" s="128" t="s">
        <v>1170</v>
      </c>
      <c r="D728" s="127">
        <v>102958</v>
      </c>
      <c r="E728" s="128" t="s">
        <v>1214</v>
      </c>
      <c r="F728" s="127" t="s">
        <v>306</v>
      </c>
      <c r="H728" s="117" t="str">
        <f t="shared" si="23"/>
        <v>OTHER</v>
      </c>
      <c r="I728" s="113" t="s">
        <v>73</v>
      </c>
      <c r="J728"/>
    </row>
    <row r="729" spans="1:10">
      <c r="A729" s="114" t="str">
        <f t="shared" si="22"/>
        <v>1823930DSR COSTS NOT AMORT102959CATEGORY 3 - WYOMING - 2008OTHER</v>
      </c>
      <c r="B729" s="127">
        <v>1823930</v>
      </c>
      <c r="C729" s="128" t="s">
        <v>1170</v>
      </c>
      <c r="D729" s="127">
        <v>102959</v>
      </c>
      <c r="E729" s="128" t="s">
        <v>1215</v>
      </c>
      <c r="F729" s="127" t="s">
        <v>306</v>
      </c>
      <c r="H729" s="117" t="str">
        <f t="shared" si="23"/>
        <v>OTHER</v>
      </c>
      <c r="I729" s="113" t="s">
        <v>73</v>
      </c>
      <c r="J729"/>
    </row>
    <row r="730" spans="1:10">
      <c r="A730" s="114" t="str">
        <f t="shared" si="22"/>
        <v>1823930DSR COSTS NOT AMORT102966ENERGY FINANSWER - ID/UT 2009OTHER</v>
      </c>
      <c r="B730" s="127">
        <v>1823930</v>
      </c>
      <c r="C730" s="128" t="s">
        <v>1170</v>
      </c>
      <c r="D730" s="127">
        <v>102966</v>
      </c>
      <c r="E730" s="128" t="s">
        <v>1216</v>
      </c>
      <c r="F730" s="127" t="s">
        <v>306</v>
      </c>
      <c r="H730" s="117" t="str">
        <f t="shared" si="23"/>
        <v>OTHER</v>
      </c>
      <c r="I730" s="113" t="s">
        <v>73</v>
      </c>
      <c r="J730"/>
    </row>
    <row r="731" spans="1:10">
      <c r="A731" s="114" t="str">
        <f t="shared" si="22"/>
        <v>1823930DSR COSTS NOT AMORT102967INDUSTRIAL FINANSWER - ID-UT 2009OTHER</v>
      </c>
      <c r="B731" s="127">
        <v>1823930</v>
      </c>
      <c r="C731" s="128" t="s">
        <v>1170</v>
      </c>
      <c r="D731" s="127">
        <v>102967</v>
      </c>
      <c r="E731" s="128" t="s">
        <v>1217</v>
      </c>
      <c r="F731" s="127" t="s">
        <v>306</v>
      </c>
      <c r="H731" s="117" t="str">
        <f t="shared" si="23"/>
        <v>OTHER</v>
      </c>
      <c r="I731" s="113" t="s">
        <v>73</v>
      </c>
      <c r="J731"/>
    </row>
    <row r="732" spans="1:10">
      <c r="A732" s="114" t="str">
        <f t="shared" si="22"/>
        <v>1823930DSR COSTS NOT AMORT102968IRRIGATION INTERRUPTIBLE ID-UT 2009OTHER</v>
      </c>
      <c r="B732" s="127">
        <v>1823930</v>
      </c>
      <c r="C732" s="128" t="s">
        <v>1170</v>
      </c>
      <c r="D732" s="127">
        <v>102968</v>
      </c>
      <c r="E732" s="128" t="s">
        <v>1218</v>
      </c>
      <c r="F732" s="127" t="s">
        <v>306</v>
      </c>
      <c r="H732" s="117" t="str">
        <f t="shared" si="23"/>
        <v>OTHER</v>
      </c>
      <c r="I732" s="113" t="s">
        <v>73</v>
      </c>
      <c r="J732"/>
    </row>
    <row r="733" spans="1:10">
      <c r="A733" s="114" t="str">
        <f t="shared" si="22"/>
        <v>1823930DSR COSTS NOT AMORT102969LOW INCOME WZ  - ID-UT 2009OTHER</v>
      </c>
      <c r="B733" s="127">
        <v>1823930</v>
      </c>
      <c r="C733" s="128" t="s">
        <v>1170</v>
      </c>
      <c r="D733" s="127">
        <v>102969</v>
      </c>
      <c r="E733" s="128" t="s">
        <v>1219</v>
      </c>
      <c r="F733" s="127" t="s">
        <v>306</v>
      </c>
      <c r="H733" s="117" t="str">
        <f t="shared" si="23"/>
        <v>OTHER</v>
      </c>
      <c r="I733" s="113" t="s">
        <v>73</v>
      </c>
      <c r="J733"/>
    </row>
    <row r="734" spans="1:10">
      <c r="A734" s="114" t="str">
        <f t="shared" si="22"/>
        <v>1823930DSR COSTS NOT AMORT102970NEEA - IDAHO - UTAH 2009OTHER</v>
      </c>
      <c r="B734" s="127">
        <v>1823930</v>
      </c>
      <c r="C734" s="128" t="s">
        <v>1170</v>
      </c>
      <c r="D734" s="127">
        <v>102970</v>
      </c>
      <c r="E734" s="128" t="s">
        <v>1220</v>
      </c>
      <c r="F734" s="127" t="s">
        <v>306</v>
      </c>
      <c r="H734" s="117" t="str">
        <f t="shared" si="23"/>
        <v>OTHER</v>
      </c>
      <c r="I734" s="113" t="s">
        <v>73</v>
      </c>
      <c r="J734"/>
    </row>
    <row r="735" spans="1:10">
      <c r="A735" s="114" t="str">
        <f t="shared" si="22"/>
        <v>1823930DSR COSTS NOT AMORT102971REFRIGERATOR RECYCLING PGM - ID-UT 2009OTHER</v>
      </c>
      <c r="B735" s="127">
        <v>1823930</v>
      </c>
      <c r="C735" s="128" t="s">
        <v>1170</v>
      </c>
      <c r="D735" s="127">
        <v>102971</v>
      </c>
      <c r="E735" s="128" t="s">
        <v>1221</v>
      </c>
      <c r="F735" s="127" t="s">
        <v>306</v>
      </c>
      <c r="H735" s="117" t="str">
        <f t="shared" si="23"/>
        <v>OTHER</v>
      </c>
      <c r="I735" s="113" t="s">
        <v>73</v>
      </c>
      <c r="J735"/>
    </row>
    <row r="736" spans="1:10">
      <c r="A736" s="114" t="str">
        <f t="shared" si="22"/>
        <v>1823930DSR COSTS NOT AMORT102972COMMERCIAL FINANSWER EXPR - ID-UT 2009OTHER</v>
      </c>
      <c r="B736" s="127">
        <v>1823930</v>
      </c>
      <c r="C736" s="128" t="s">
        <v>1170</v>
      </c>
      <c r="D736" s="127">
        <v>102972</v>
      </c>
      <c r="E736" s="128" t="s">
        <v>1222</v>
      </c>
      <c r="F736" s="127" t="s">
        <v>306</v>
      </c>
      <c r="H736" s="117" t="str">
        <f t="shared" si="23"/>
        <v>OTHER</v>
      </c>
      <c r="I736" s="113" t="s">
        <v>73</v>
      </c>
      <c r="J736"/>
    </row>
    <row r="737" spans="1:10">
      <c r="A737" s="114" t="str">
        <f t="shared" si="22"/>
        <v>1823930DSR COSTS NOT AMORT102973INDUSTRIAL FINANSWER EXPR - ID-UT 2009OTHER</v>
      </c>
      <c r="B737" s="127">
        <v>1823930</v>
      </c>
      <c r="C737" s="128" t="s">
        <v>1170</v>
      </c>
      <c r="D737" s="127">
        <v>102973</v>
      </c>
      <c r="E737" s="128" t="s">
        <v>1223</v>
      </c>
      <c r="F737" s="127" t="s">
        <v>306</v>
      </c>
      <c r="H737" s="117" t="str">
        <f t="shared" si="23"/>
        <v>OTHER</v>
      </c>
      <c r="I737" s="113" t="s">
        <v>73</v>
      </c>
      <c r="J737"/>
    </row>
    <row r="738" spans="1:10">
      <c r="A738" s="114" t="str">
        <f t="shared" si="22"/>
        <v>1823930DSR COSTS NOT AMORT102974IRRIGATION EFFICIENCY PRGRM - ID-UT 2009OTHER</v>
      </c>
      <c r="B738" s="127">
        <v>1823930</v>
      </c>
      <c r="C738" s="128" t="s">
        <v>1170</v>
      </c>
      <c r="D738" s="127">
        <v>102974</v>
      </c>
      <c r="E738" s="128" t="s">
        <v>1224</v>
      </c>
      <c r="F738" s="127" t="s">
        <v>306</v>
      </c>
      <c r="H738" s="117" t="str">
        <f t="shared" si="23"/>
        <v>OTHER</v>
      </c>
      <c r="I738" s="113" t="s">
        <v>73</v>
      </c>
      <c r="J738"/>
    </row>
    <row r="739" spans="1:10">
      <c r="A739" s="114" t="str">
        <f t="shared" si="22"/>
        <v>1823930DSR COSTS NOT AMORT102975HOME ENERGY EFFICIENCY INCENTIVE PROG  -OTHER</v>
      </c>
      <c r="B739" s="127">
        <v>1823930</v>
      </c>
      <c r="C739" s="128" t="s">
        <v>1170</v>
      </c>
      <c r="D739" s="127">
        <v>102975</v>
      </c>
      <c r="E739" s="128" t="s">
        <v>1202</v>
      </c>
      <c r="F739" s="127" t="s">
        <v>306</v>
      </c>
      <c r="H739" s="117" t="str">
        <f t="shared" si="23"/>
        <v>OTHER</v>
      </c>
      <c r="I739" s="113" t="s">
        <v>73</v>
      </c>
      <c r="J739"/>
    </row>
    <row r="740" spans="1:10">
      <c r="A740" s="114" t="str">
        <f t="shared" si="22"/>
        <v>1823930DSR COSTS NOT AMORT103061ENERGY FINANSWER - ID/UT 2010OTHER</v>
      </c>
      <c r="B740" s="127">
        <v>1823930</v>
      </c>
      <c r="C740" s="128" t="s">
        <v>1170</v>
      </c>
      <c r="D740" s="127">
        <v>103061</v>
      </c>
      <c r="E740" s="128" t="s">
        <v>1225</v>
      </c>
      <c r="F740" s="127" t="s">
        <v>306</v>
      </c>
      <c r="H740" s="117" t="str">
        <f t="shared" si="23"/>
        <v>OTHER</v>
      </c>
      <c r="I740" s="113" t="s">
        <v>73</v>
      </c>
      <c r="J740"/>
    </row>
    <row r="741" spans="1:10">
      <c r="A741" s="114" t="str">
        <f t="shared" si="22"/>
        <v>1823930DSR COSTS NOT AMORT103062INDUSTRIAL FINANSWER - ID-UT 2010OTHER</v>
      </c>
      <c r="B741" s="127">
        <v>1823930</v>
      </c>
      <c r="C741" s="128" t="s">
        <v>1170</v>
      </c>
      <c r="D741" s="127">
        <v>103062</v>
      </c>
      <c r="E741" s="128" t="s">
        <v>1226</v>
      </c>
      <c r="F741" s="127" t="s">
        <v>306</v>
      </c>
      <c r="H741" s="117" t="str">
        <f t="shared" si="23"/>
        <v>OTHER</v>
      </c>
      <c r="I741" s="113" t="s">
        <v>73</v>
      </c>
      <c r="J741"/>
    </row>
    <row r="742" spans="1:10">
      <c r="A742" s="114" t="str">
        <f t="shared" si="22"/>
        <v>1823930DSR COSTS NOT AMORT103063IRRIGATION INTERRUPTIBLE ID-UT 2010OTHER</v>
      </c>
      <c r="B742" s="127">
        <v>1823930</v>
      </c>
      <c r="C742" s="128" t="s">
        <v>1170</v>
      </c>
      <c r="D742" s="127">
        <v>103063</v>
      </c>
      <c r="E742" s="128" t="s">
        <v>1227</v>
      </c>
      <c r="F742" s="127" t="s">
        <v>306</v>
      </c>
      <c r="H742" s="117" t="str">
        <f t="shared" si="23"/>
        <v>OTHER</v>
      </c>
      <c r="I742" s="113" t="s">
        <v>73</v>
      </c>
      <c r="J742"/>
    </row>
    <row r="743" spans="1:10">
      <c r="A743" s="114" t="str">
        <f t="shared" si="22"/>
        <v>1823930DSR COSTS NOT AMORT103064LOW INCOME WZ  - ID-UT 2010OTHER</v>
      </c>
      <c r="B743" s="127">
        <v>1823930</v>
      </c>
      <c r="C743" s="128" t="s">
        <v>1170</v>
      </c>
      <c r="D743" s="127">
        <v>103064</v>
      </c>
      <c r="E743" s="128" t="s">
        <v>1228</v>
      </c>
      <c r="F743" s="127" t="s">
        <v>306</v>
      </c>
      <c r="H743" s="117" t="str">
        <f t="shared" si="23"/>
        <v>OTHER</v>
      </c>
      <c r="I743" s="113" t="s">
        <v>73</v>
      </c>
      <c r="J743"/>
    </row>
    <row r="744" spans="1:10">
      <c r="A744" s="114" t="str">
        <f t="shared" si="22"/>
        <v>1823930DSR COSTS NOT AMORT103065NEEA - IDAHO - UTAH 2010OTHER</v>
      </c>
      <c r="B744" s="127">
        <v>1823930</v>
      </c>
      <c r="C744" s="128" t="s">
        <v>1170</v>
      </c>
      <c r="D744" s="127">
        <v>103065</v>
      </c>
      <c r="E744" s="128" t="s">
        <v>1229</v>
      </c>
      <c r="F744" s="127" t="s">
        <v>306</v>
      </c>
      <c r="H744" s="117" t="str">
        <f t="shared" si="23"/>
        <v>OTHER</v>
      </c>
      <c r="I744" s="113" t="s">
        <v>73</v>
      </c>
      <c r="J744"/>
    </row>
    <row r="745" spans="1:10">
      <c r="A745" s="114" t="str">
        <f t="shared" si="22"/>
        <v>1823930DSR COSTS NOT AMORT103066REFRIGERATOR RECYCLING PGM - ID-UT 2010OTHER</v>
      </c>
      <c r="B745" s="127">
        <v>1823930</v>
      </c>
      <c r="C745" s="128" t="s">
        <v>1170</v>
      </c>
      <c r="D745" s="127">
        <v>103066</v>
      </c>
      <c r="E745" s="128" t="s">
        <v>1230</v>
      </c>
      <c r="F745" s="127" t="s">
        <v>306</v>
      </c>
      <c r="H745" s="117" t="str">
        <f t="shared" si="23"/>
        <v>OTHER</v>
      </c>
      <c r="I745" s="113" t="s">
        <v>73</v>
      </c>
      <c r="J745"/>
    </row>
    <row r="746" spans="1:10">
      <c r="A746" s="114" t="str">
        <f t="shared" si="22"/>
        <v>1823930DSR COSTS NOT AMORT103067COMMERCIAL FINANSWER EXPR - ID-UT 2010OTHER</v>
      </c>
      <c r="B746" s="127">
        <v>1823930</v>
      </c>
      <c r="C746" s="128" t="s">
        <v>1170</v>
      </c>
      <c r="D746" s="127">
        <v>103067</v>
      </c>
      <c r="E746" s="128" t="s">
        <v>1231</v>
      </c>
      <c r="F746" s="127" t="s">
        <v>306</v>
      </c>
      <c r="H746" s="117" t="str">
        <f t="shared" si="23"/>
        <v>OTHER</v>
      </c>
      <c r="I746" s="113" t="s">
        <v>73</v>
      </c>
      <c r="J746"/>
    </row>
    <row r="747" spans="1:10">
      <c r="A747" s="114" t="str">
        <f t="shared" si="22"/>
        <v>1823930DSR COSTS NOT AMORT103068INDUSTRIAL FINANSWER EXPR - ID-UT 2010OTHER</v>
      </c>
      <c r="B747" s="127">
        <v>1823930</v>
      </c>
      <c r="C747" s="128" t="s">
        <v>1170</v>
      </c>
      <c r="D747" s="127">
        <v>103068</v>
      </c>
      <c r="E747" s="128" t="s">
        <v>1232</v>
      </c>
      <c r="F747" s="127" t="s">
        <v>306</v>
      </c>
      <c r="H747" s="117" t="str">
        <f t="shared" si="23"/>
        <v>OTHER</v>
      </c>
      <c r="I747" s="113" t="s">
        <v>73</v>
      </c>
      <c r="J747"/>
    </row>
    <row r="748" spans="1:10">
      <c r="A748" s="114" t="str">
        <f t="shared" si="22"/>
        <v>1823930DSR COSTS NOT AMORT103069IRRIGATION EFFICIENCY PRGRM - ID-UT 2010OTHER</v>
      </c>
      <c r="B748" s="127">
        <v>1823930</v>
      </c>
      <c r="C748" s="128" t="s">
        <v>1170</v>
      </c>
      <c r="D748" s="127">
        <v>103069</v>
      </c>
      <c r="E748" s="128" t="s">
        <v>1233</v>
      </c>
      <c r="F748" s="127" t="s">
        <v>306</v>
      </c>
      <c r="H748" s="117" t="str">
        <f t="shared" si="23"/>
        <v>OTHER</v>
      </c>
      <c r="I748" s="113" t="s">
        <v>73</v>
      </c>
      <c r="J748"/>
    </row>
    <row r="749" spans="1:10">
      <c r="A749" s="114" t="str">
        <f t="shared" si="22"/>
        <v>1823930DSR COSTS NOT AMORT103070HOME ENERGY EFFICIENCY INCENTIVE PROG  -OTHER</v>
      </c>
      <c r="B749" s="127">
        <v>1823930</v>
      </c>
      <c r="C749" s="128" t="s">
        <v>1170</v>
      </c>
      <c r="D749" s="127">
        <v>103070</v>
      </c>
      <c r="E749" s="128" t="s">
        <v>1202</v>
      </c>
      <c r="F749" s="127" t="s">
        <v>306</v>
      </c>
      <c r="H749" s="117" t="str">
        <f t="shared" si="23"/>
        <v>OTHER</v>
      </c>
      <c r="I749" s="113" t="s">
        <v>73</v>
      </c>
      <c r="J749"/>
    </row>
    <row r="750" spans="1:10">
      <c r="A750" s="114" t="str">
        <f t="shared" si="22"/>
        <v>1823930DSR COSTS NOT AMORT103171ENERGY FINANSWER - ID/UT 2011OTHER</v>
      </c>
      <c r="B750" s="127">
        <v>1823930</v>
      </c>
      <c r="C750" s="128" t="s">
        <v>1170</v>
      </c>
      <c r="D750" s="127">
        <v>103171</v>
      </c>
      <c r="E750" s="128" t="s">
        <v>1234</v>
      </c>
      <c r="F750" s="127" t="s">
        <v>306</v>
      </c>
      <c r="H750" s="117" t="str">
        <f t="shared" si="23"/>
        <v>OTHER</v>
      </c>
      <c r="I750" s="113" t="s">
        <v>73</v>
      </c>
      <c r="J750"/>
    </row>
    <row r="751" spans="1:10">
      <c r="A751" s="114" t="str">
        <f t="shared" si="22"/>
        <v>1823930DSR COSTS NOT AMORT103172INDUSTRIAL FINANSWER - ID-UT 2011OTHER</v>
      </c>
      <c r="B751" s="127">
        <v>1823930</v>
      </c>
      <c r="C751" s="128" t="s">
        <v>1170</v>
      </c>
      <c r="D751" s="127">
        <v>103172</v>
      </c>
      <c r="E751" s="128" t="s">
        <v>1235</v>
      </c>
      <c r="F751" s="127" t="s">
        <v>306</v>
      </c>
      <c r="H751" s="117" t="str">
        <f t="shared" si="23"/>
        <v>OTHER</v>
      </c>
      <c r="I751" s="113" t="s">
        <v>73</v>
      </c>
      <c r="J751"/>
    </row>
    <row r="752" spans="1:10">
      <c r="A752" s="114" t="str">
        <f t="shared" si="22"/>
        <v>1823930DSR COSTS NOT AMORT103173IRRIGATION INTERRUPTIBLE ID-UT 2011OTHER</v>
      </c>
      <c r="B752" s="127">
        <v>1823930</v>
      </c>
      <c r="C752" s="128" t="s">
        <v>1170</v>
      </c>
      <c r="D752" s="127">
        <v>103173</v>
      </c>
      <c r="E752" s="128" t="s">
        <v>1236</v>
      </c>
      <c r="F752" s="127" t="s">
        <v>306</v>
      </c>
      <c r="H752" s="117" t="str">
        <f t="shared" si="23"/>
        <v>OTHER</v>
      </c>
      <c r="I752" s="113" t="s">
        <v>73</v>
      </c>
      <c r="J752"/>
    </row>
    <row r="753" spans="1:10">
      <c r="A753" s="114" t="str">
        <f t="shared" si="22"/>
        <v>1823930DSR COSTS NOT AMORT103174LOW INCOME WZ  - ID-UT 2011OTHER</v>
      </c>
      <c r="B753" s="127">
        <v>1823930</v>
      </c>
      <c r="C753" s="128" t="s">
        <v>1170</v>
      </c>
      <c r="D753" s="127">
        <v>103174</v>
      </c>
      <c r="E753" s="128" t="s">
        <v>1237</v>
      </c>
      <c r="F753" s="127" t="s">
        <v>306</v>
      </c>
      <c r="H753" s="117" t="str">
        <f t="shared" si="23"/>
        <v>OTHER</v>
      </c>
      <c r="I753" s="113" t="s">
        <v>73</v>
      </c>
      <c r="J753"/>
    </row>
    <row r="754" spans="1:10">
      <c r="A754" s="114" t="str">
        <f t="shared" si="22"/>
        <v>1823930DSR COSTS NOT AMORT103176REFRIGERATOR RECYCLING PGM - ID-UT 2011OTHER</v>
      </c>
      <c r="B754" s="127">
        <v>1823930</v>
      </c>
      <c r="C754" s="128" t="s">
        <v>1170</v>
      </c>
      <c r="D754" s="127">
        <v>103176</v>
      </c>
      <c r="E754" s="128" t="s">
        <v>1238</v>
      </c>
      <c r="F754" s="127" t="s">
        <v>306</v>
      </c>
      <c r="H754" s="117" t="str">
        <f t="shared" si="23"/>
        <v>OTHER</v>
      </c>
      <c r="I754" s="113" t="s">
        <v>73</v>
      </c>
      <c r="J754"/>
    </row>
    <row r="755" spans="1:10">
      <c r="A755" s="114" t="str">
        <f t="shared" si="22"/>
        <v>1823930DSR COSTS NOT AMORT103177COMMERCIAL FINANSWER EXPR - ID-UT 2011OTHER</v>
      </c>
      <c r="B755" s="127">
        <v>1823930</v>
      </c>
      <c r="C755" s="128" t="s">
        <v>1170</v>
      </c>
      <c r="D755" s="127">
        <v>103177</v>
      </c>
      <c r="E755" s="128" t="s">
        <v>1239</v>
      </c>
      <c r="F755" s="127" t="s">
        <v>306</v>
      </c>
      <c r="H755" s="117" t="str">
        <f t="shared" si="23"/>
        <v>OTHER</v>
      </c>
      <c r="I755" s="113" t="s">
        <v>73</v>
      </c>
      <c r="J755"/>
    </row>
    <row r="756" spans="1:10">
      <c r="A756" s="114" t="str">
        <f t="shared" si="22"/>
        <v>1823930DSR COSTS NOT AMORT103178INDUSTRIAL FINANSWER EXPR - ID-UT 2011OTHER</v>
      </c>
      <c r="B756" s="127">
        <v>1823930</v>
      </c>
      <c r="C756" s="128" t="s">
        <v>1170</v>
      </c>
      <c r="D756" s="127">
        <v>103178</v>
      </c>
      <c r="E756" s="128" t="s">
        <v>1240</v>
      </c>
      <c r="F756" s="127" t="s">
        <v>306</v>
      </c>
      <c r="H756" s="117" t="str">
        <f t="shared" si="23"/>
        <v>OTHER</v>
      </c>
      <c r="I756" s="113" t="s">
        <v>73</v>
      </c>
      <c r="J756"/>
    </row>
    <row r="757" spans="1:10">
      <c r="A757" s="114" t="str">
        <f t="shared" si="22"/>
        <v>1823930DSR COSTS NOT AMORT103179IRRIGATION EFFICIENCY PRGRM - ID-UT 2011OTHER</v>
      </c>
      <c r="B757" s="127">
        <v>1823930</v>
      </c>
      <c r="C757" s="128" t="s">
        <v>1170</v>
      </c>
      <c r="D757" s="127">
        <v>103179</v>
      </c>
      <c r="E757" s="128" t="s">
        <v>1241</v>
      </c>
      <c r="F757" s="127" t="s">
        <v>306</v>
      </c>
      <c r="H757" s="117" t="str">
        <f t="shared" si="23"/>
        <v>OTHER</v>
      </c>
      <c r="I757" s="113" t="s">
        <v>73</v>
      </c>
      <c r="J757"/>
    </row>
    <row r="758" spans="1:10">
      <c r="A758" s="114" t="str">
        <f t="shared" si="22"/>
        <v>1823930DSR COSTS NOT AMORT103180HOME ENERGY EFFICIENCY INCENTIVE PROG  -OTHER</v>
      </c>
      <c r="B758" s="127">
        <v>1823930</v>
      </c>
      <c r="C758" s="128" t="s">
        <v>1170</v>
      </c>
      <c r="D758" s="127">
        <v>103180</v>
      </c>
      <c r="E758" s="128" t="s">
        <v>1202</v>
      </c>
      <c r="F758" s="127" t="s">
        <v>306</v>
      </c>
      <c r="H758" s="117" t="str">
        <f t="shared" si="23"/>
        <v>OTHER</v>
      </c>
      <c r="I758" s="113" t="s">
        <v>73</v>
      </c>
      <c r="J758"/>
    </row>
    <row r="759" spans="1:10">
      <c r="A759" s="114" t="str">
        <f t="shared" si="22"/>
        <v>1823930DSR COSTS NOT AMORT103312ENERGY FINANSWER - ID 2012OTHER</v>
      </c>
      <c r="B759" s="127">
        <v>1823930</v>
      </c>
      <c r="C759" s="128" t="s">
        <v>1170</v>
      </c>
      <c r="D759" s="127">
        <v>103312</v>
      </c>
      <c r="E759" s="128" t="s">
        <v>1242</v>
      </c>
      <c r="F759" s="127" t="s">
        <v>306</v>
      </c>
      <c r="H759" s="117" t="str">
        <f t="shared" si="23"/>
        <v>OTHER</v>
      </c>
      <c r="I759" s="113" t="s">
        <v>73</v>
      </c>
      <c r="J759"/>
    </row>
    <row r="760" spans="1:10">
      <c r="A760" s="114" t="str">
        <f t="shared" si="22"/>
        <v>1823930DSR COSTS NOT AMORT103313INDUSTRIAL FINANSWER - ID 2012OTHER</v>
      </c>
      <c r="B760" s="127">
        <v>1823930</v>
      </c>
      <c r="C760" s="128" t="s">
        <v>1170</v>
      </c>
      <c r="D760" s="127">
        <v>103313</v>
      </c>
      <c r="E760" s="128" t="s">
        <v>1243</v>
      </c>
      <c r="F760" s="127" t="s">
        <v>306</v>
      </c>
      <c r="H760" s="117" t="str">
        <f t="shared" si="23"/>
        <v>OTHER</v>
      </c>
      <c r="I760" s="113" t="s">
        <v>73</v>
      </c>
      <c r="J760"/>
    </row>
    <row r="761" spans="1:10">
      <c r="A761" s="114" t="str">
        <f t="shared" si="22"/>
        <v>1823930DSR COSTS NOT AMORT103314IRRIGATION INTERRUPTIBLE- ID 2012OTHER</v>
      </c>
      <c r="B761" s="127">
        <v>1823930</v>
      </c>
      <c r="C761" s="128" t="s">
        <v>1170</v>
      </c>
      <c r="D761" s="127">
        <v>103314</v>
      </c>
      <c r="E761" s="128" t="s">
        <v>1244</v>
      </c>
      <c r="F761" s="127" t="s">
        <v>306</v>
      </c>
      <c r="H761" s="117" t="str">
        <f t="shared" si="23"/>
        <v>OTHER</v>
      </c>
      <c r="I761" s="113" t="s">
        <v>73</v>
      </c>
      <c r="J761"/>
    </row>
    <row r="762" spans="1:10">
      <c r="A762" s="114" t="str">
        <f t="shared" si="22"/>
        <v>1823930DSR COSTS NOT AMORT103315LOW INCOME WZ  - ID- 2012OTHER</v>
      </c>
      <c r="B762" s="127">
        <v>1823930</v>
      </c>
      <c r="C762" s="128" t="s">
        <v>1170</v>
      </c>
      <c r="D762" s="127">
        <v>103315</v>
      </c>
      <c r="E762" s="128" t="s">
        <v>1245</v>
      </c>
      <c r="F762" s="127" t="s">
        <v>306</v>
      </c>
      <c r="H762" s="117" t="str">
        <f t="shared" si="23"/>
        <v>OTHER</v>
      </c>
      <c r="I762" s="113" t="s">
        <v>73</v>
      </c>
      <c r="J762"/>
    </row>
    <row r="763" spans="1:10">
      <c r="A763" s="114" t="str">
        <f t="shared" si="22"/>
        <v>1823930DSR COSTS NOT AMORT103317REFRIGERATOR RECYCLING PGM - ID 2012OTHER</v>
      </c>
      <c r="B763" s="127">
        <v>1823930</v>
      </c>
      <c r="C763" s="128" t="s">
        <v>1170</v>
      </c>
      <c r="D763" s="127">
        <v>103317</v>
      </c>
      <c r="E763" s="128" t="s">
        <v>1246</v>
      </c>
      <c r="F763" s="127" t="s">
        <v>306</v>
      </c>
      <c r="H763" s="117" t="str">
        <f t="shared" si="23"/>
        <v>OTHER</v>
      </c>
      <c r="I763" s="113" t="s">
        <v>73</v>
      </c>
      <c r="J763"/>
    </row>
    <row r="764" spans="1:10">
      <c r="A764" s="114" t="str">
        <f t="shared" si="22"/>
        <v>1823930DSR COSTS NOT AMORT103318COMMERCIAL FINANSWER EXPR - ID 2012OTHER</v>
      </c>
      <c r="B764" s="127">
        <v>1823930</v>
      </c>
      <c r="C764" s="128" t="s">
        <v>1170</v>
      </c>
      <c r="D764" s="127">
        <v>103318</v>
      </c>
      <c r="E764" s="128" t="s">
        <v>1247</v>
      </c>
      <c r="F764" s="127" t="s">
        <v>306</v>
      </c>
      <c r="H764" s="117" t="str">
        <f t="shared" si="23"/>
        <v>OTHER</v>
      </c>
      <c r="I764" s="113" t="s">
        <v>73</v>
      </c>
      <c r="J764"/>
    </row>
    <row r="765" spans="1:10">
      <c r="A765" s="114" t="str">
        <f t="shared" si="22"/>
        <v>1823930DSR COSTS NOT AMORT103319INDUSTRIAL FINANSWER EXPR - ID 2012OTHER</v>
      </c>
      <c r="B765" s="127">
        <v>1823930</v>
      </c>
      <c r="C765" s="128" t="s">
        <v>1170</v>
      </c>
      <c r="D765" s="127">
        <v>103319</v>
      </c>
      <c r="E765" s="128" t="s">
        <v>1248</v>
      </c>
      <c r="F765" s="127" t="s">
        <v>306</v>
      </c>
      <c r="H765" s="117" t="str">
        <f t="shared" si="23"/>
        <v>OTHER</v>
      </c>
      <c r="I765" s="113" t="s">
        <v>73</v>
      </c>
      <c r="J765"/>
    </row>
    <row r="766" spans="1:10">
      <c r="A766" s="114" t="str">
        <f t="shared" si="22"/>
        <v>1823930DSR COSTS NOT AMORT103320IRRIGATION EFFICIENCY PRGRM - ID 2012OTHER</v>
      </c>
      <c r="B766" s="127">
        <v>1823930</v>
      </c>
      <c r="C766" s="128" t="s">
        <v>1170</v>
      </c>
      <c r="D766" s="127">
        <v>103320</v>
      </c>
      <c r="E766" s="128" t="s">
        <v>1249</v>
      </c>
      <c r="F766" s="127" t="s">
        <v>306</v>
      </c>
      <c r="H766" s="117" t="str">
        <f t="shared" si="23"/>
        <v>OTHER</v>
      </c>
      <c r="I766" s="113" t="s">
        <v>73</v>
      </c>
      <c r="J766"/>
    </row>
    <row r="767" spans="1:10">
      <c r="A767" s="114" t="str">
        <f t="shared" si="22"/>
        <v>1823930DSR COSTS NOT AMORT103321HOME ENERGY EFFICIENCY INCENTIVE PROG  -OTHER</v>
      </c>
      <c r="B767" s="127">
        <v>1823930</v>
      </c>
      <c r="C767" s="128" t="s">
        <v>1170</v>
      </c>
      <c r="D767" s="127">
        <v>103321</v>
      </c>
      <c r="E767" s="128" t="s">
        <v>1202</v>
      </c>
      <c r="F767" s="127" t="s">
        <v>306</v>
      </c>
      <c r="H767" s="117" t="str">
        <f t="shared" si="23"/>
        <v>OTHER</v>
      </c>
      <c r="I767" s="113" t="s">
        <v>73</v>
      </c>
      <c r="J767"/>
    </row>
    <row r="768" spans="1:10">
      <c r="A768" s="114" t="str">
        <f t="shared" si="22"/>
        <v>1823930DSR COSTS NOT AMORT103322COMMERCIAL DIRECT INSTALL - ID 2012OTHER</v>
      </c>
      <c r="B768" s="127">
        <v>1823930</v>
      </c>
      <c r="C768" s="128" t="s">
        <v>1170</v>
      </c>
      <c r="D768" s="127">
        <v>103322</v>
      </c>
      <c r="E768" s="128" t="s">
        <v>1250</v>
      </c>
      <c r="F768" s="127" t="s">
        <v>306</v>
      </c>
      <c r="H768" s="117" t="str">
        <f t="shared" si="23"/>
        <v>OTHER</v>
      </c>
      <c r="I768" s="113" t="s">
        <v>73</v>
      </c>
      <c r="J768"/>
    </row>
    <row r="769" spans="1:10">
      <c r="A769" s="114" t="str">
        <f t="shared" si="22"/>
        <v>1823930DSR COSTS NOT AMORT103323AGRICULURAL FINANSWER EXPR - ID 2012OTHER</v>
      </c>
      <c r="B769" s="127">
        <v>1823930</v>
      </c>
      <c r="C769" s="128" t="s">
        <v>1170</v>
      </c>
      <c r="D769" s="127">
        <v>103323</v>
      </c>
      <c r="E769" s="128" t="s">
        <v>1251</v>
      </c>
      <c r="F769" s="127" t="s">
        <v>306</v>
      </c>
      <c r="H769" s="117" t="str">
        <f t="shared" si="23"/>
        <v>OTHER</v>
      </c>
      <c r="I769" s="113" t="s">
        <v>73</v>
      </c>
      <c r="J769"/>
    </row>
    <row r="770" spans="1:10">
      <c r="A770" s="114" t="str">
        <f t="shared" si="22"/>
        <v>1823930DSR COSTS NOT AMORT103398RECOMMISSIONING INDUSTRIAL - UT 2012OTHER</v>
      </c>
      <c r="B770" s="127">
        <v>1823930</v>
      </c>
      <c r="C770" s="128" t="s">
        <v>1170</v>
      </c>
      <c r="D770" s="127">
        <v>103398</v>
      </c>
      <c r="E770" s="128" t="s">
        <v>1252</v>
      </c>
      <c r="F770" s="127" t="s">
        <v>306</v>
      </c>
      <c r="H770" s="117" t="str">
        <f t="shared" si="23"/>
        <v>OTHER</v>
      </c>
      <c r="I770" s="113" t="s">
        <v>73</v>
      </c>
      <c r="J770"/>
    </row>
    <row r="771" spans="1:10">
      <c r="A771" s="114" t="str">
        <f t="shared" ref="A771:A834" si="24">CONCATENATE($B771,$C771,$D771,$E771,$H771)</f>
        <v>1823930DSR COSTS NOT AMORT103634AGRICULURAL FINANSWER EXPR - ID 2013OTHER</v>
      </c>
      <c r="B771" s="127">
        <v>1823930</v>
      </c>
      <c r="C771" s="128" t="s">
        <v>1170</v>
      </c>
      <c r="D771" s="127">
        <v>103634</v>
      </c>
      <c r="E771" s="128" t="s">
        <v>1253</v>
      </c>
      <c r="F771" s="127" t="s">
        <v>306</v>
      </c>
      <c r="H771" s="117" t="str">
        <f t="shared" ref="H771:H834" si="25">IF(OR(F771="IDU",F771="OR",F771="UT",F771="WYU",F771="WYP",F771="CA",F771="WA"),"SITUS",F771)</f>
        <v>OTHER</v>
      </c>
      <c r="I771" s="113" t="s">
        <v>73</v>
      </c>
      <c r="J771"/>
    </row>
    <row r="772" spans="1:10">
      <c r="A772" s="114" t="str">
        <f t="shared" si="24"/>
        <v>1823930DSR COSTS NOT AMORT103635ENERGY FINANSWER - ID 2013OTHER</v>
      </c>
      <c r="B772" s="127">
        <v>1823930</v>
      </c>
      <c r="C772" s="128" t="s">
        <v>1170</v>
      </c>
      <c r="D772" s="127">
        <v>103635</v>
      </c>
      <c r="E772" s="128" t="s">
        <v>1254</v>
      </c>
      <c r="F772" s="127" t="s">
        <v>306</v>
      </c>
      <c r="H772" s="117" t="str">
        <f t="shared" si="25"/>
        <v>OTHER</v>
      </c>
      <c r="I772" s="113" t="s">
        <v>73</v>
      </c>
      <c r="J772"/>
    </row>
    <row r="773" spans="1:10">
      <c r="A773" s="114" t="str">
        <f t="shared" si="24"/>
        <v>1823930DSR COSTS NOT AMORT103636INDUSTRIAL FINANSWER - ID 2013OTHER</v>
      </c>
      <c r="B773" s="127">
        <v>1823930</v>
      </c>
      <c r="C773" s="128" t="s">
        <v>1170</v>
      </c>
      <c r="D773" s="127">
        <v>103636</v>
      </c>
      <c r="E773" s="128" t="s">
        <v>1255</v>
      </c>
      <c r="F773" s="127" t="s">
        <v>306</v>
      </c>
      <c r="H773" s="117" t="str">
        <f t="shared" si="25"/>
        <v>OTHER</v>
      </c>
      <c r="I773" s="113" t="s">
        <v>73</v>
      </c>
      <c r="J773"/>
    </row>
    <row r="774" spans="1:10">
      <c r="A774" s="114" t="str">
        <f t="shared" si="24"/>
        <v>1823930DSR COSTS NOT AMORT103638LOW INCOME WZ  - ID- 2013OTHER</v>
      </c>
      <c r="B774" s="127">
        <v>1823930</v>
      </c>
      <c r="C774" s="128" t="s">
        <v>1170</v>
      </c>
      <c r="D774" s="127">
        <v>103638</v>
      </c>
      <c r="E774" s="128" t="s">
        <v>1256</v>
      </c>
      <c r="F774" s="127" t="s">
        <v>306</v>
      </c>
      <c r="H774" s="117" t="str">
        <f t="shared" si="25"/>
        <v>OTHER</v>
      </c>
      <c r="I774" s="113" t="s">
        <v>73</v>
      </c>
      <c r="J774"/>
    </row>
    <row r="775" spans="1:10">
      <c r="A775" s="114" t="str">
        <f t="shared" si="24"/>
        <v>1823930DSR COSTS NOT AMORT103640REFRIGERATOR RECYCLING PGM - ID 2013OTHER</v>
      </c>
      <c r="B775" s="127">
        <v>1823930</v>
      </c>
      <c r="C775" s="128" t="s">
        <v>1170</v>
      </c>
      <c r="D775" s="127">
        <v>103640</v>
      </c>
      <c r="E775" s="128" t="s">
        <v>1257</v>
      </c>
      <c r="F775" s="127" t="s">
        <v>306</v>
      </c>
      <c r="H775" s="117" t="str">
        <f t="shared" si="25"/>
        <v>OTHER</v>
      </c>
      <c r="I775" s="113" t="s">
        <v>73</v>
      </c>
      <c r="J775"/>
    </row>
    <row r="776" spans="1:10">
      <c r="A776" s="114" t="str">
        <f t="shared" si="24"/>
        <v>1823930DSR COSTS NOT AMORT103641COMMERCIAL FINANSWER EXPR - ID 2013OTHER</v>
      </c>
      <c r="B776" s="127">
        <v>1823930</v>
      </c>
      <c r="C776" s="128" t="s">
        <v>1170</v>
      </c>
      <c r="D776" s="127">
        <v>103641</v>
      </c>
      <c r="E776" s="128" t="s">
        <v>1258</v>
      </c>
      <c r="F776" s="127" t="s">
        <v>306</v>
      </c>
      <c r="H776" s="117" t="str">
        <f t="shared" si="25"/>
        <v>OTHER</v>
      </c>
      <c r="I776" s="113" t="s">
        <v>73</v>
      </c>
      <c r="J776"/>
    </row>
    <row r="777" spans="1:10">
      <c r="A777" s="114" t="str">
        <f t="shared" si="24"/>
        <v>1823930DSR COSTS NOT AMORT103642INDUSTRIAL FINANSWER EXPR - ID 2013OTHER</v>
      </c>
      <c r="B777" s="127">
        <v>1823930</v>
      </c>
      <c r="C777" s="128" t="s">
        <v>1170</v>
      </c>
      <c r="D777" s="127">
        <v>103642</v>
      </c>
      <c r="E777" s="128" t="s">
        <v>1259</v>
      </c>
      <c r="F777" s="127" t="s">
        <v>306</v>
      </c>
      <c r="H777" s="117" t="str">
        <f t="shared" si="25"/>
        <v>OTHER</v>
      </c>
      <c r="I777" s="113" t="s">
        <v>73</v>
      </c>
      <c r="J777"/>
    </row>
    <row r="778" spans="1:10">
      <c r="A778" s="114" t="str">
        <f t="shared" si="24"/>
        <v>1823930DSR COSTS NOT AMORT103643IRRIGATION EFFICIENCY PRGRM - ID 2013OTHER</v>
      </c>
      <c r="B778" s="127">
        <v>1823930</v>
      </c>
      <c r="C778" s="128" t="s">
        <v>1170</v>
      </c>
      <c r="D778" s="127">
        <v>103643</v>
      </c>
      <c r="E778" s="128" t="s">
        <v>1260</v>
      </c>
      <c r="F778" s="127" t="s">
        <v>306</v>
      </c>
      <c r="H778" s="117" t="str">
        <f t="shared" si="25"/>
        <v>OTHER</v>
      </c>
      <c r="I778" s="113" t="s">
        <v>73</v>
      </c>
      <c r="J778"/>
    </row>
    <row r="779" spans="1:10">
      <c r="A779" s="114" t="str">
        <f t="shared" si="24"/>
        <v>1823930DSR COSTS NOT AMORT103644HOME ENERGY EFFICIENCY INCENTIVE PROG  -OTHER</v>
      </c>
      <c r="B779" s="127">
        <v>1823930</v>
      </c>
      <c r="C779" s="128" t="s">
        <v>1170</v>
      </c>
      <c r="D779" s="127">
        <v>103644</v>
      </c>
      <c r="E779" s="128" t="s">
        <v>1202</v>
      </c>
      <c r="F779" s="127" t="s">
        <v>306</v>
      </c>
      <c r="H779" s="117" t="str">
        <f t="shared" si="25"/>
        <v>OTHER</v>
      </c>
      <c r="I779" s="113" t="s">
        <v>73</v>
      </c>
      <c r="J779"/>
    </row>
    <row r="780" spans="1:10">
      <c r="A780" s="114" t="str">
        <f t="shared" si="24"/>
        <v>1823930DSR COSTS NOT AMORT103672RECOMMISSIONING INDUSTRIAL - UT 2013OTHER</v>
      </c>
      <c r="B780" s="127">
        <v>1823930</v>
      </c>
      <c r="C780" s="128" t="s">
        <v>1170</v>
      </c>
      <c r="D780" s="127">
        <v>103672</v>
      </c>
      <c r="E780" s="128" t="s">
        <v>1261</v>
      </c>
      <c r="F780" s="127" t="s">
        <v>306</v>
      </c>
      <c r="H780" s="117" t="str">
        <f t="shared" si="25"/>
        <v>OTHER</v>
      </c>
      <c r="I780" s="113" t="s">
        <v>73</v>
      </c>
      <c r="J780"/>
    </row>
    <row r="781" spans="1:10">
      <c r="A781" s="114" t="str">
        <f t="shared" si="24"/>
        <v>1823930DSR COSTS NOT AMORT103746AGRICULURAL FINANSWER EXPR - ID 2014OTHER</v>
      </c>
      <c r="B781" s="127">
        <v>1823930</v>
      </c>
      <c r="C781" s="128" t="s">
        <v>1170</v>
      </c>
      <c r="D781" s="127">
        <v>103746</v>
      </c>
      <c r="E781" s="128" t="s">
        <v>1262</v>
      </c>
      <c r="F781" s="127" t="s">
        <v>306</v>
      </c>
      <c r="H781" s="117" t="str">
        <f t="shared" si="25"/>
        <v>OTHER</v>
      </c>
      <c r="I781" s="113" t="s">
        <v>73</v>
      </c>
      <c r="J781"/>
    </row>
    <row r="782" spans="1:10">
      <c r="A782" s="114" t="str">
        <f t="shared" si="24"/>
        <v>1823930DSR COSTS NOT AMORT103747COMMERCIAL FINANSWER EXPR - ID 2014OTHER</v>
      </c>
      <c r="B782" s="127">
        <v>1823930</v>
      </c>
      <c r="C782" s="128" t="s">
        <v>1170</v>
      </c>
      <c r="D782" s="127">
        <v>103747</v>
      </c>
      <c r="E782" s="128" t="s">
        <v>1263</v>
      </c>
      <c r="F782" s="127" t="s">
        <v>306</v>
      </c>
      <c r="H782" s="117" t="str">
        <f t="shared" si="25"/>
        <v>OTHER</v>
      </c>
      <c r="I782" s="113" t="s">
        <v>73</v>
      </c>
      <c r="J782"/>
    </row>
    <row r="783" spans="1:10">
      <c r="A783" s="114" t="str">
        <f t="shared" si="24"/>
        <v>1823930DSR COSTS NOT AMORT103748ENERGY FINANSWER - ID 2014OTHER</v>
      </c>
      <c r="B783" s="127">
        <v>1823930</v>
      </c>
      <c r="C783" s="128" t="s">
        <v>1170</v>
      </c>
      <c r="D783" s="127">
        <v>103748</v>
      </c>
      <c r="E783" s="128" t="s">
        <v>1264</v>
      </c>
      <c r="F783" s="127" t="s">
        <v>306</v>
      </c>
      <c r="H783" s="117" t="str">
        <f t="shared" si="25"/>
        <v>OTHER</v>
      </c>
      <c r="I783" s="113" t="s">
        <v>73</v>
      </c>
      <c r="J783"/>
    </row>
    <row r="784" spans="1:10">
      <c r="A784" s="114" t="str">
        <f t="shared" si="24"/>
        <v>1823930DSR COSTS NOT AMORT103749HOME ENERGY EFFICIENCY INCENTIVE PROG  -OTHER</v>
      </c>
      <c r="B784" s="127">
        <v>1823930</v>
      </c>
      <c r="C784" s="128" t="s">
        <v>1170</v>
      </c>
      <c r="D784" s="127">
        <v>103749</v>
      </c>
      <c r="E784" s="128" t="s">
        <v>1202</v>
      </c>
      <c r="F784" s="127" t="s">
        <v>306</v>
      </c>
      <c r="H784" s="117" t="str">
        <f t="shared" si="25"/>
        <v>OTHER</v>
      </c>
      <c r="I784" s="113" t="s">
        <v>73</v>
      </c>
      <c r="J784"/>
    </row>
    <row r="785" spans="1:10">
      <c r="A785" s="114" t="str">
        <f t="shared" si="24"/>
        <v>1823930DSR COSTS NOT AMORT103750INDUSTRIAL FINANSWER - ID 2014OTHER</v>
      </c>
      <c r="B785" s="127">
        <v>1823930</v>
      </c>
      <c r="C785" s="128" t="s">
        <v>1170</v>
      </c>
      <c r="D785" s="127">
        <v>103750</v>
      </c>
      <c r="E785" s="128" t="s">
        <v>1265</v>
      </c>
      <c r="F785" s="127" t="s">
        <v>306</v>
      </c>
      <c r="H785" s="117" t="str">
        <f t="shared" si="25"/>
        <v>OTHER</v>
      </c>
      <c r="I785" s="113" t="s">
        <v>73</v>
      </c>
      <c r="J785"/>
    </row>
    <row r="786" spans="1:10">
      <c r="A786" s="114" t="str">
        <f t="shared" si="24"/>
        <v>1823930DSR COSTS NOT AMORT103751INDUSTRIAL FINANSWER EXPR - ID 2014OTHER</v>
      </c>
      <c r="B786" s="127">
        <v>1823930</v>
      </c>
      <c r="C786" s="128" t="s">
        <v>1170</v>
      </c>
      <c r="D786" s="127">
        <v>103751</v>
      </c>
      <c r="E786" s="128" t="s">
        <v>1266</v>
      </c>
      <c r="F786" s="127" t="s">
        <v>306</v>
      </c>
      <c r="H786" s="117" t="str">
        <f t="shared" si="25"/>
        <v>OTHER</v>
      </c>
      <c r="I786" s="113" t="s">
        <v>73</v>
      </c>
      <c r="J786"/>
    </row>
    <row r="787" spans="1:10">
      <c r="A787" s="114" t="str">
        <f t="shared" si="24"/>
        <v>1823930DSR COSTS NOT AMORT103752IRRIGATION EFFICIENCY PRGRM - ID 2014OTHER</v>
      </c>
      <c r="B787" s="127">
        <v>1823930</v>
      </c>
      <c r="C787" s="128" t="s">
        <v>1170</v>
      </c>
      <c r="D787" s="127">
        <v>103752</v>
      </c>
      <c r="E787" s="128" t="s">
        <v>1267</v>
      </c>
      <c r="F787" s="127" t="s">
        <v>306</v>
      </c>
      <c r="H787" s="117" t="str">
        <f t="shared" si="25"/>
        <v>OTHER</v>
      </c>
      <c r="I787" s="113" t="s">
        <v>73</v>
      </c>
      <c r="J787"/>
    </row>
    <row r="788" spans="1:10">
      <c r="A788" s="114" t="str">
        <f t="shared" si="24"/>
        <v>1823930DSR COSTS NOT AMORT103753LOW INCOME WZ  - ID- 2014OTHER</v>
      </c>
      <c r="B788" s="127">
        <v>1823930</v>
      </c>
      <c r="C788" s="128" t="s">
        <v>1170</v>
      </c>
      <c r="D788" s="127">
        <v>103753</v>
      </c>
      <c r="E788" s="128" t="s">
        <v>1268</v>
      </c>
      <c r="F788" s="127" t="s">
        <v>306</v>
      </c>
      <c r="H788" s="117" t="str">
        <f t="shared" si="25"/>
        <v>OTHER</v>
      </c>
      <c r="I788" s="113" t="s">
        <v>73</v>
      </c>
      <c r="J788"/>
    </row>
    <row r="789" spans="1:10">
      <c r="A789" s="114" t="str">
        <f t="shared" si="24"/>
        <v>1823930DSR COSTS NOT AMORT103755REFRIGERATOR RECYCLING PGM - ID 2014OTHER</v>
      </c>
      <c r="B789" s="127">
        <v>1823930</v>
      </c>
      <c r="C789" s="128" t="s">
        <v>1170</v>
      </c>
      <c r="D789" s="127">
        <v>103755</v>
      </c>
      <c r="E789" s="128" t="s">
        <v>1269</v>
      </c>
      <c r="F789" s="127" t="s">
        <v>306</v>
      </c>
      <c r="H789" s="117" t="str">
        <f t="shared" si="25"/>
        <v>OTHER</v>
      </c>
      <c r="I789" s="113" t="s">
        <v>73</v>
      </c>
      <c r="J789"/>
    </row>
    <row r="790" spans="1:10">
      <c r="A790" s="114" t="str">
        <f t="shared" si="24"/>
        <v>1823930DSR COSTS NOT AMORT103866AGRICULURAL FINANSWER EXPR - ID 2015OTHER</v>
      </c>
      <c r="B790" s="127">
        <v>1823930</v>
      </c>
      <c r="C790" s="128" t="s">
        <v>1170</v>
      </c>
      <c r="D790" s="127">
        <v>103866</v>
      </c>
      <c r="E790" s="128" t="s">
        <v>1270</v>
      </c>
      <c r="F790" s="127" t="s">
        <v>306</v>
      </c>
      <c r="H790" s="117" t="str">
        <f t="shared" si="25"/>
        <v>OTHER</v>
      </c>
      <c r="I790" s="113" t="s">
        <v>73</v>
      </c>
      <c r="J790"/>
    </row>
    <row r="791" spans="1:10">
      <c r="A791" s="114" t="str">
        <f t="shared" si="24"/>
        <v>1823930DSR COSTS NOT AMORT103867COMMERCIAL FINANSWER EXPR - ID 2015OTHER</v>
      </c>
      <c r="B791" s="127">
        <v>1823930</v>
      </c>
      <c r="C791" s="128" t="s">
        <v>1170</v>
      </c>
      <c r="D791" s="127">
        <v>103867</v>
      </c>
      <c r="E791" s="128" t="s">
        <v>1271</v>
      </c>
      <c r="F791" s="127" t="s">
        <v>306</v>
      </c>
      <c r="H791" s="117" t="str">
        <f t="shared" si="25"/>
        <v>OTHER</v>
      </c>
      <c r="I791" s="113" t="s">
        <v>73</v>
      </c>
      <c r="J791"/>
    </row>
    <row r="792" spans="1:10">
      <c r="A792" s="114" t="str">
        <f t="shared" si="24"/>
        <v>1823930DSR COSTS NOT AMORT103868ENERGY FINANSWER - ID 2015OTHER</v>
      </c>
      <c r="B792" s="127">
        <v>1823930</v>
      </c>
      <c r="C792" s="128" t="s">
        <v>1170</v>
      </c>
      <c r="D792" s="127">
        <v>103868</v>
      </c>
      <c r="E792" s="128" t="s">
        <v>1272</v>
      </c>
      <c r="F792" s="127" t="s">
        <v>306</v>
      </c>
      <c r="H792" s="117" t="str">
        <f t="shared" si="25"/>
        <v>OTHER</v>
      </c>
      <c r="I792" s="113" t="s">
        <v>73</v>
      </c>
      <c r="J792"/>
    </row>
    <row r="793" spans="1:10">
      <c r="A793" s="114" t="str">
        <f t="shared" si="24"/>
        <v>1823930DSR COSTS NOT AMORT103869HOME ENERGY EFFICIENCY INCENTIVE PROG  -OTHER</v>
      </c>
      <c r="B793" s="127">
        <v>1823930</v>
      </c>
      <c r="C793" s="128" t="s">
        <v>1170</v>
      </c>
      <c r="D793" s="127">
        <v>103869</v>
      </c>
      <c r="E793" s="128" t="s">
        <v>1202</v>
      </c>
      <c r="F793" s="127" t="s">
        <v>306</v>
      </c>
      <c r="H793" s="117" t="str">
        <f t="shared" si="25"/>
        <v>OTHER</v>
      </c>
      <c r="I793" s="113" t="s">
        <v>73</v>
      </c>
      <c r="J793"/>
    </row>
    <row r="794" spans="1:10">
      <c r="A794" s="114" t="str">
        <f t="shared" si="24"/>
        <v>1823930DSR COSTS NOT AMORT103870INDUSTRIAL FINANSWER - ID 2015OTHER</v>
      </c>
      <c r="B794" s="127">
        <v>1823930</v>
      </c>
      <c r="C794" s="128" t="s">
        <v>1170</v>
      </c>
      <c r="D794" s="127">
        <v>103870</v>
      </c>
      <c r="E794" s="128" t="s">
        <v>1273</v>
      </c>
      <c r="F794" s="127" t="s">
        <v>306</v>
      </c>
      <c r="H794" s="117" t="str">
        <f t="shared" si="25"/>
        <v>OTHER</v>
      </c>
      <c r="I794" s="113" t="s">
        <v>73</v>
      </c>
      <c r="J794"/>
    </row>
    <row r="795" spans="1:10">
      <c r="A795" s="114" t="str">
        <f t="shared" si="24"/>
        <v>1823930DSR COSTS NOT AMORT103871INDUSTRIAL FINANSWER EXPR - ID 2015OTHER</v>
      </c>
      <c r="B795" s="127">
        <v>1823930</v>
      </c>
      <c r="C795" s="128" t="s">
        <v>1170</v>
      </c>
      <c r="D795" s="127">
        <v>103871</v>
      </c>
      <c r="E795" s="128" t="s">
        <v>1274</v>
      </c>
      <c r="F795" s="127" t="s">
        <v>306</v>
      </c>
      <c r="H795" s="117" t="str">
        <f t="shared" si="25"/>
        <v>OTHER</v>
      </c>
      <c r="I795" s="113" t="s">
        <v>73</v>
      </c>
      <c r="J795"/>
    </row>
    <row r="796" spans="1:10">
      <c r="A796" s="114" t="str">
        <f t="shared" si="24"/>
        <v>1823930DSR COSTS NOT AMORT103872IRRIGATION EFFICIENCY PRGRM - ID 2015OTHER</v>
      </c>
      <c r="B796" s="127">
        <v>1823930</v>
      </c>
      <c r="C796" s="128" t="s">
        <v>1170</v>
      </c>
      <c r="D796" s="127">
        <v>103872</v>
      </c>
      <c r="E796" s="128" t="s">
        <v>1275</v>
      </c>
      <c r="F796" s="127" t="s">
        <v>306</v>
      </c>
      <c r="H796" s="117" t="str">
        <f t="shared" si="25"/>
        <v>OTHER</v>
      </c>
      <c r="I796" s="113" t="s">
        <v>73</v>
      </c>
      <c r="J796"/>
    </row>
    <row r="797" spans="1:10">
      <c r="A797" s="114" t="str">
        <f t="shared" si="24"/>
        <v>1823930DSR COSTS NOT AMORT103873LOW INCOME WZ  - ID- 2015OTHER</v>
      </c>
      <c r="B797" s="127">
        <v>1823930</v>
      </c>
      <c r="C797" s="128" t="s">
        <v>1170</v>
      </c>
      <c r="D797" s="127">
        <v>103873</v>
      </c>
      <c r="E797" s="128" t="s">
        <v>1276</v>
      </c>
      <c r="F797" s="127" t="s">
        <v>306</v>
      </c>
      <c r="H797" s="117" t="str">
        <f t="shared" si="25"/>
        <v>OTHER</v>
      </c>
      <c r="I797" s="113" t="s">
        <v>73</v>
      </c>
      <c r="J797"/>
    </row>
    <row r="798" spans="1:10">
      <c r="A798" s="114" t="str">
        <f t="shared" si="24"/>
        <v>1823930DSR COSTS NOT AMORT103875REFRIGERATOR RECYCLING PGM - ID 2015OTHER</v>
      </c>
      <c r="B798" s="127">
        <v>1823930</v>
      </c>
      <c r="C798" s="128" t="s">
        <v>1170</v>
      </c>
      <c r="D798" s="127">
        <v>103875</v>
      </c>
      <c r="E798" s="128" t="s">
        <v>1277</v>
      </c>
      <c r="F798" s="127" t="s">
        <v>306</v>
      </c>
      <c r="H798" s="117" t="str">
        <f t="shared" si="25"/>
        <v>OTHER</v>
      </c>
      <c r="I798" s="113" t="s">
        <v>73</v>
      </c>
      <c r="J798"/>
    </row>
    <row r="799" spans="1:10">
      <c r="A799" s="114" t="str">
        <f t="shared" si="24"/>
        <v>1823930DSR COSTS NOT AMORT104014HOME ENERGY EFFICIENCY INCENTIVE PROG  -OTHER</v>
      </c>
      <c r="B799" s="127">
        <v>1823930</v>
      </c>
      <c r="C799" s="128" t="s">
        <v>1170</v>
      </c>
      <c r="D799" s="127">
        <v>104014</v>
      </c>
      <c r="E799" s="128" t="s">
        <v>1202</v>
      </c>
      <c r="F799" s="127" t="s">
        <v>306</v>
      </c>
      <c r="H799" s="117" t="str">
        <f t="shared" si="25"/>
        <v>OTHER</v>
      </c>
      <c r="I799" s="113" t="s">
        <v>73</v>
      </c>
      <c r="J799"/>
    </row>
    <row r="800" spans="1:10">
      <c r="A800" s="114" t="str">
        <f t="shared" si="24"/>
        <v>1823930DSR COSTS NOT AMORT104016IRRIGATION EFFICIENCY PRGRM - ID 2016OTHER</v>
      </c>
      <c r="B800" s="127">
        <v>1823930</v>
      </c>
      <c r="C800" s="128" t="s">
        <v>1170</v>
      </c>
      <c r="D800" s="127">
        <v>104016</v>
      </c>
      <c r="E800" s="128" t="s">
        <v>1278</v>
      </c>
      <c r="F800" s="127" t="s">
        <v>306</v>
      </c>
      <c r="H800" s="117" t="str">
        <f t="shared" si="25"/>
        <v>OTHER</v>
      </c>
      <c r="I800" s="113" t="s">
        <v>73</v>
      </c>
      <c r="J800"/>
    </row>
    <row r="801" spans="1:10">
      <c r="A801" s="114" t="str">
        <f t="shared" si="24"/>
        <v>1823930DSR COSTS NOT AMORT104017LOW INCOME WZ  - ID- 2016OTHER</v>
      </c>
      <c r="B801" s="127">
        <v>1823930</v>
      </c>
      <c r="C801" s="128" t="s">
        <v>1170</v>
      </c>
      <c r="D801" s="127">
        <v>104017</v>
      </c>
      <c r="E801" s="128" t="s">
        <v>1279</v>
      </c>
      <c r="F801" s="127" t="s">
        <v>306</v>
      </c>
      <c r="H801" s="117" t="str">
        <f t="shared" si="25"/>
        <v>OTHER</v>
      </c>
      <c r="I801" s="113" t="s">
        <v>73</v>
      </c>
      <c r="J801"/>
    </row>
    <row r="802" spans="1:10">
      <c r="A802" s="114" t="str">
        <f t="shared" si="24"/>
        <v>1823930DSR COSTS NOT AMORT104022REFRIGERATOR RECYCLING PGM - ID 2016OTHER</v>
      </c>
      <c r="B802" s="127">
        <v>1823930</v>
      </c>
      <c r="C802" s="128" t="s">
        <v>1170</v>
      </c>
      <c r="D802" s="127">
        <v>104022</v>
      </c>
      <c r="E802" s="128" t="s">
        <v>1280</v>
      </c>
      <c r="F802" s="127" t="s">
        <v>306</v>
      </c>
      <c r="H802" s="117" t="str">
        <f t="shared" si="25"/>
        <v>OTHER</v>
      </c>
      <c r="I802" s="113" t="s">
        <v>73</v>
      </c>
      <c r="J802"/>
    </row>
    <row r="803" spans="1:10">
      <c r="A803" s="114" t="str">
        <f t="shared" si="24"/>
        <v>1823940DSR CARRYING CHARGES102146UT CARRYING CHARGE - 2001/2002OTHER</v>
      </c>
      <c r="B803" s="127">
        <v>1823940</v>
      </c>
      <c r="C803" s="128" t="s">
        <v>1281</v>
      </c>
      <c r="D803" s="127">
        <v>102146</v>
      </c>
      <c r="E803" s="128" t="s">
        <v>1282</v>
      </c>
      <c r="F803" s="127" t="s">
        <v>306</v>
      </c>
      <c r="H803" s="117" t="str">
        <f t="shared" si="25"/>
        <v>OTHER</v>
      </c>
      <c r="I803" s="113" t="s">
        <v>73</v>
      </c>
      <c r="J803"/>
    </row>
    <row r="804" spans="1:10">
      <c r="A804" s="114" t="str">
        <f t="shared" si="24"/>
        <v>1823940DSR CARRYING CHARGES102188WA REVENUE RECOVERY - CARRYING CHG PENALOTHER</v>
      </c>
      <c r="B804" s="127">
        <v>1823940</v>
      </c>
      <c r="C804" s="128" t="s">
        <v>1281</v>
      </c>
      <c r="D804" s="127">
        <v>102188</v>
      </c>
      <c r="E804" s="128" t="s">
        <v>1283</v>
      </c>
      <c r="F804" s="127" t="s">
        <v>306</v>
      </c>
      <c r="H804" s="117" t="str">
        <f t="shared" si="25"/>
        <v>OTHER</v>
      </c>
      <c r="I804" s="113" t="s">
        <v>73</v>
      </c>
      <c r="J804"/>
    </row>
    <row r="805" spans="1:10">
      <c r="A805" s="114" t="str">
        <f t="shared" si="24"/>
        <v>1823940DSR CARRYING CHARGES102766DSR CARRYING CHARGESSITUS</v>
      </c>
      <c r="B805" s="127">
        <v>1823940</v>
      </c>
      <c r="C805" s="128" t="s">
        <v>1281</v>
      </c>
      <c r="D805" s="127">
        <v>102766</v>
      </c>
      <c r="E805" s="128" t="s">
        <v>1281</v>
      </c>
      <c r="F805" s="127" t="s">
        <v>12</v>
      </c>
      <c r="H805" s="117" t="str">
        <f t="shared" si="25"/>
        <v>SITUS</v>
      </c>
      <c r="I805" s="113" t="s">
        <v>73</v>
      </c>
      <c r="J805"/>
    </row>
    <row r="806" spans="1:10">
      <c r="A806" s="114" t="str">
        <f t="shared" si="24"/>
        <v>1823940DSR CARRYING CHARGES103140Wy DSM - Cat1 - Carrying ChargesOTHER</v>
      </c>
      <c r="B806" s="127">
        <v>1823940</v>
      </c>
      <c r="C806" s="128" t="s">
        <v>1281</v>
      </c>
      <c r="D806" s="127">
        <v>103140</v>
      </c>
      <c r="E806" s="128" t="s">
        <v>1284</v>
      </c>
      <c r="F806" s="127" t="s">
        <v>306</v>
      </c>
      <c r="H806" s="117" t="str">
        <f t="shared" si="25"/>
        <v>OTHER</v>
      </c>
      <c r="I806" s="113" t="s">
        <v>73</v>
      </c>
      <c r="J806"/>
    </row>
    <row r="807" spans="1:10">
      <c r="A807" s="114" t="str">
        <f t="shared" si="24"/>
        <v>1823940DSR CARRYING CHARGES103141Wy DSM - Cat2 - Carrying ChargesOTHER</v>
      </c>
      <c r="B807" s="127">
        <v>1823940</v>
      </c>
      <c r="C807" s="128" t="s">
        <v>1281</v>
      </c>
      <c r="D807" s="127">
        <v>103141</v>
      </c>
      <c r="E807" s="128" t="s">
        <v>1285</v>
      </c>
      <c r="F807" s="127" t="s">
        <v>306</v>
      </c>
      <c r="H807" s="117" t="str">
        <f t="shared" si="25"/>
        <v>OTHER</v>
      </c>
      <c r="I807" s="113" t="s">
        <v>73</v>
      </c>
      <c r="J807"/>
    </row>
    <row r="808" spans="1:10">
      <c r="A808" s="114" t="str">
        <f t="shared" si="24"/>
        <v>1823940DSR CARRYING CHARGES103142Wy DSM - Cat3 - Carrying ChargesOTHER</v>
      </c>
      <c r="B808" s="127">
        <v>1823940</v>
      </c>
      <c r="C808" s="128" t="s">
        <v>1281</v>
      </c>
      <c r="D808" s="127">
        <v>103142</v>
      </c>
      <c r="E808" s="128" t="s">
        <v>1286</v>
      </c>
      <c r="F808" s="127" t="s">
        <v>306</v>
      </c>
      <c r="H808" s="117" t="str">
        <f t="shared" si="25"/>
        <v>OTHER</v>
      </c>
      <c r="I808" s="113" t="s">
        <v>73</v>
      </c>
      <c r="J808"/>
    </row>
    <row r="809" spans="1:10">
      <c r="A809" s="114" t="str">
        <f t="shared" si="24"/>
        <v>1823940DSR CARRYING CHARGES103279CA CARRYING CHRG LIEE - 2011OTHER</v>
      </c>
      <c r="B809" s="127">
        <v>1823940</v>
      </c>
      <c r="C809" s="128" t="s">
        <v>1281</v>
      </c>
      <c r="D809" s="127">
        <v>103279</v>
      </c>
      <c r="E809" s="128" t="s">
        <v>1287</v>
      </c>
      <c r="F809" s="127" t="s">
        <v>306</v>
      </c>
      <c r="H809" s="117" t="str">
        <f t="shared" si="25"/>
        <v>OTHER</v>
      </c>
      <c r="I809" s="113" t="s">
        <v>73</v>
      </c>
      <c r="J809"/>
    </row>
    <row r="810" spans="1:10">
      <c r="A810" s="114" t="str">
        <f t="shared" si="24"/>
        <v>1823990OTHR REG ASSET-N CST138015Reg Asset Current - Energy West MiningSE</v>
      </c>
      <c r="B810" s="127">
        <v>1823990</v>
      </c>
      <c r="C810" s="128" t="s">
        <v>1288</v>
      </c>
      <c r="D810" s="127">
        <v>138015</v>
      </c>
      <c r="E810" s="128" t="s">
        <v>1289</v>
      </c>
      <c r="F810" s="127" t="s">
        <v>85</v>
      </c>
      <c r="H810" s="117" t="str">
        <f t="shared" si="25"/>
        <v>SE</v>
      </c>
      <c r="I810" s="113" t="s">
        <v>68</v>
      </c>
      <c r="J810"/>
    </row>
    <row r="811" spans="1:10">
      <c r="A811" s="114" t="str">
        <f t="shared" si="24"/>
        <v>1823990OTHR REG ASSET-N CST138020Reg Asset Current - DSMOTHER</v>
      </c>
      <c r="B811" s="127">
        <v>1823990</v>
      </c>
      <c r="C811" s="128" t="s">
        <v>1288</v>
      </c>
      <c r="D811" s="127">
        <v>138020</v>
      </c>
      <c r="E811" s="128" t="s">
        <v>1290</v>
      </c>
      <c r="F811" s="127" t="s">
        <v>306</v>
      </c>
      <c r="H811" s="117" t="str">
        <f t="shared" si="25"/>
        <v>OTHER</v>
      </c>
      <c r="I811" s="113" t="s">
        <v>74</v>
      </c>
      <c r="J811"/>
    </row>
    <row r="812" spans="1:10">
      <c r="A812" s="114" t="str">
        <f t="shared" si="24"/>
        <v>1823990OTHR REG ASSET-N CST138045Reg Asset Current - GHG AllowancesOTHER</v>
      </c>
      <c r="B812" s="127">
        <v>1823990</v>
      </c>
      <c r="C812" s="128" t="s">
        <v>1288</v>
      </c>
      <c r="D812" s="127">
        <v>138045</v>
      </c>
      <c r="E812" s="128" t="s">
        <v>1291</v>
      </c>
      <c r="F812" s="127" t="s">
        <v>306</v>
      </c>
      <c r="H812" s="117" t="str">
        <f t="shared" si="25"/>
        <v>OTHER</v>
      </c>
      <c r="I812" s="113" t="s">
        <v>68</v>
      </c>
      <c r="J812"/>
    </row>
    <row r="813" spans="1:10">
      <c r="A813" s="114" t="str">
        <f t="shared" si="24"/>
        <v>1823990OTHR REG ASSET-N CST138050Reg Asset Current - Def Net Power CostsOTHER</v>
      </c>
      <c r="B813" s="127">
        <v>1823990</v>
      </c>
      <c r="C813" s="128" t="s">
        <v>1288</v>
      </c>
      <c r="D813" s="127">
        <v>138050</v>
      </c>
      <c r="E813" s="128" t="s">
        <v>1292</v>
      </c>
      <c r="F813" s="127" t="s">
        <v>306</v>
      </c>
      <c r="H813" s="117" t="str">
        <f t="shared" si="25"/>
        <v>OTHER</v>
      </c>
      <c r="I813" s="113" t="s">
        <v>68</v>
      </c>
      <c r="J813"/>
    </row>
    <row r="814" spans="1:10">
      <c r="A814" s="114" t="str">
        <f t="shared" si="24"/>
        <v>1823990OTHR REG ASSET-N CST138055Reg Asset Current - Def RECs in RatesOTHER</v>
      </c>
      <c r="B814" s="127">
        <v>1823990</v>
      </c>
      <c r="C814" s="128" t="s">
        <v>1288</v>
      </c>
      <c r="D814" s="127">
        <v>138055</v>
      </c>
      <c r="E814" s="128" t="s">
        <v>1293</v>
      </c>
      <c r="F814" s="127" t="s">
        <v>306</v>
      </c>
      <c r="H814" s="117" t="str">
        <f t="shared" si="25"/>
        <v>OTHER</v>
      </c>
      <c r="I814" s="113" t="s">
        <v>68</v>
      </c>
      <c r="J814"/>
    </row>
    <row r="815" spans="1:10">
      <c r="A815" s="114" t="str">
        <f t="shared" si="24"/>
        <v>1823990OTHR REG ASSET-N CST138060Reg Asset Current - BPA Balancing AcctsOTHER</v>
      </c>
      <c r="B815" s="127">
        <v>1823990</v>
      </c>
      <c r="C815" s="128" t="s">
        <v>1288</v>
      </c>
      <c r="D815" s="127">
        <v>138060</v>
      </c>
      <c r="E815" s="128" t="s">
        <v>1294</v>
      </c>
      <c r="F815" s="127" t="s">
        <v>306</v>
      </c>
      <c r="H815" s="117" t="str">
        <f t="shared" si="25"/>
        <v>OTHER</v>
      </c>
      <c r="I815" s="113" t="s">
        <v>73</v>
      </c>
      <c r="J815"/>
    </row>
    <row r="816" spans="1:10">
      <c r="A816" s="114" t="str">
        <f t="shared" si="24"/>
        <v>1823990OTHR REG ASSET-N CST138090Reg Asset Current - Solar Feed-InOTHER</v>
      </c>
      <c r="B816" s="127">
        <v>1823990</v>
      </c>
      <c r="C816" s="128" t="s">
        <v>1288</v>
      </c>
      <c r="D816" s="127">
        <v>138090</v>
      </c>
      <c r="E816" s="128" t="s">
        <v>1295</v>
      </c>
      <c r="F816" s="127" t="s">
        <v>306</v>
      </c>
      <c r="H816" s="117" t="str">
        <f t="shared" si="25"/>
        <v>OTHER</v>
      </c>
      <c r="I816" s="113" t="s">
        <v>1296</v>
      </c>
      <c r="J816"/>
    </row>
    <row r="817" spans="1:10">
      <c r="A817" s="114" t="str">
        <f t="shared" si="24"/>
        <v>1823990OTHR REG ASSET-N CST138190Reg Asset Current - OtherOTHER</v>
      </c>
      <c r="B817" s="127">
        <v>1823990</v>
      </c>
      <c r="C817" s="128" t="s">
        <v>1288</v>
      </c>
      <c r="D817" s="127">
        <v>138190</v>
      </c>
      <c r="E817" s="128" t="s">
        <v>1297</v>
      </c>
      <c r="F817" s="127" t="s">
        <v>306</v>
      </c>
      <c r="H817" s="117" t="str">
        <f t="shared" si="25"/>
        <v>OTHER</v>
      </c>
      <c r="I817" s="113" t="s">
        <v>92</v>
      </c>
      <c r="J817"/>
    </row>
    <row r="818" spans="1:10">
      <c r="A818" s="114" t="str">
        <f t="shared" si="24"/>
        <v>1823990OTHR REG ASSET-N CST186095RegA - DSM - Recl to CurrOTHER</v>
      </c>
      <c r="B818" s="127">
        <v>1823990</v>
      </c>
      <c r="C818" s="128" t="s">
        <v>1288</v>
      </c>
      <c r="D818" s="127">
        <v>186095</v>
      </c>
      <c r="E818" s="128" t="s">
        <v>1298</v>
      </c>
      <c r="F818" s="127" t="s">
        <v>306</v>
      </c>
      <c r="H818" s="117" t="str">
        <f t="shared" si="25"/>
        <v>OTHER</v>
      </c>
      <c r="I818" s="113" t="s">
        <v>74</v>
      </c>
      <c r="J818"/>
    </row>
    <row r="819" spans="1:10">
      <c r="A819" s="114" t="str">
        <f t="shared" si="24"/>
        <v>1823990OTHR REG ASSET-N CST186099Regulatory Asset - Balance ReclassOTHER</v>
      </c>
      <c r="B819" s="127">
        <v>1823990</v>
      </c>
      <c r="C819" s="128" t="s">
        <v>1288</v>
      </c>
      <c r="D819" s="127">
        <v>186099</v>
      </c>
      <c r="E819" s="128" t="s">
        <v>1299</v>
      </c>
      <c r="F819" s="127" t="s">
        <v>306</v>
      </c>
      <c r="H819" s="117" t="str">
        <f t="shared" si="25"/>
        <v>OTHER</v>
      </c>
      <c r="I819" s="113" t="s">
        <v>68</v>
      </c>
      <c r="J819"/>
    </row>
    <row r="820" spans="1:10">
      <c r="A820" s="114" t="str">
        <f t="shared" si="24"/>
        <v>1823990OTHR REG ASSET-N CST186100Calif Alternative Rate for Energy (CARE)OTHER</v>
      </c>
      <c r="B820" s="127">
        <v>1823990</v>
      </c>
      <c r="C820" s="128" t="s">
        <v>1288</v>
      </c>
      <c r="D820" s="127">
        <v>186100</v>
      </c>
      <c r="E820" s="128" t="s">
        <v>1300</v>
      </c>
      <c r="F820" s="127" t="s">
        <v>306</v>
      </c>
      <c r="H820" s="117" t="str">
        <f t="shared" si="25"/>
        <v>OTHER</v>
      </c>
      <c r="I820" s="113" t="s">
        <v>73</v>
      </c>
      <c r="J820"/>
    </row>
    <row r="821" spans="1:10">
      <c r="A821" s="114" t="str">
        <f t="shared" si="24"/>
        <v>1823990OTHR REG ASSET-N CST186119Reg Asset - DSM - CA - Balance ReclassOTHER</v>
      </c>
      <c r="B821" s="127">
        <v>1823990</v>
      </c>
      <c r="C821" s="128" t="s">
        <v>1288</v>
      </c>
      <c r="D821" s="127">
        <v>186119</v>
      </c>
      <c r="E821" s="128" t="s">
        <v>1301</v>
      </c>
      <c r="F821" s="127" t="s">
        <v>306</v>
      </c>
      <c r="H821" s="117" t="str">
        <f t="shared" si="25"/>
        <v>OTHER</v>
      </c>
      <c r="I821" s="113" t="s">
        <v>74</v>
      </c>
      <c r="J821"/>
    </row>
    <row r="822" spans="1:10">
      <c r="A822" s="114" t="str">
        <f t="shared" si="24"/>
        <v>1823990OTHR REG ASSET-N CST186129Reg Asset - DSM - ID - Balance ReclassOTHER</v>
      </c>
      <c r="B822" s="127">
        <v>1823990</v>
      </c>
      <c r="C822" s="128" t="s">
        <v>1288</v>
      </c>
      <c r="D822" s="127">
        <v>186129</v>
      </c>
      <c r="E822" s="128" t="s">
        <v>1302</v>
      </c>
      <c r="F822" s="127" t="s">
        <v>306</v>
      </c>
      <c r="H822" s="117" t="str">
        <f t="shared" si="25"/>
        <v>OTHER</v>
      </c>
      <c r="I822" s="113" t="s">
        <v>74</v>
      </c>
      <c r="J822"/>
    </row>
    <row r="823" spans="1:10">
      <c r="A823" s="114" t="str">
        <f t="shared" si="24"/>
        <v>1823990OTHR REG ASSET-N CST186137RegA - DSM - OR - Reclass to CurrentOTHER</v>
      </c>
      <c r="B823" s="127">
        <v>1823990</v>
      </c>
      <c r="C823" s="128" t="s">
        <v>1288</v>
      </c>
      <c r="D823" s="127">
        <v>186137</v>
      </c>
      <c r="E823" s="128" t="s">
        <v>1303</v>
      </c>
      <c r="F823" s="127" t="s">
        <v>306</v>
      </c>
      <c r="H823" s="117" t="str">
        <f t="shared" si="25"/>
        <v>OTHER</v>
      </c>
      <c r="I823" s="113" t="s">
        <v>74</v>
      </c>
      <c r="J823"/>
    </row>
    <row r="824" spans="1:10">
      <c r="A824" s="114" t="str">
        <f t="shared" si="24"/>
        <v>1823990OTHR REG ASSET-N CST186139Reg Asset - DSM - OR - Balance ReclassOTHER</v>
      </c>
      <c r="B824" s="127">
        <v>1823990</v>
      </c>
      <c r="C824" s="128" t="s">
        <v>1288</v>
      </c>
      <c r="D824" s="127">
        <v>186139</v>
      </c>
      <c r="E824" s="128" t="s">
        <v>1304</v>
      </c>
      <c r="F824" s="127" t="s">
        <v>306</v>
      </c>
      <c r="H824" s="117" t="str">
        <f t="shared" si="25"/>
        <v>OTHER</v>
      </c>
      <c r="I824" s="113" t="s">
        <v>74</v>
      </c>
      <c r="J824"/>
    </row>
    <row r="825" spans="1:10">
      <c r="A825" s="114" t="str">
        <f t="shared" si="24"/>
        <v>1823990OTHR REG ASSET-N CST186149Reg Asset - DSM - UT - Balance ReclassOTHER</v>
      </c>
      <c r="B825" s="127">
        <v>1823990</v>
      </c>
      <c r="C825" s="128" t="s">
        <v>1288</v>
      </c>
      <c r="D825" s="127">
        <v>186149</v>
      </c>
      <c r="E825" s="128" t="s">
        <v>1305</v>
      </c>
      <c r="F825" s="127" t="s">
        <v>306</v>
      </c>
      <c r="H825" s="117" t="str">
        <f t="shared" si="25"/>
        <v>OTHER</v>
      </c>
      <c r="I825" s="113" t="s">
        <v>74</v>
      </c>
      <c r="J825"/>
    </row>
    <row r="826" spans="1:10">
      <c r="A826" s="114" t="str">
        <f t="shared" si="24"/>
        <v>1823990OTHR REG ASSET-N CST186157RegA - DSM - WA - Reclass to CurrentOTHER</v>
      </c>
      <c r="B826" s="127">
        <v>1823990</v>
      </c>
      <c r="C826" s="128" t="s">
        <v>1288</v>
      </c>
      <c r="D826" s="127">
        <v>186157</v>
      </c>
      <c r="E826" s="128" t="s">
        <v>1306</v>
      </c>
      <c r="F826" s="127" t="s">
        <v>306</v>
      </c>
      <c r="H826" s="117" t="str">
        <f t="shared" si="25"/>
        <v>OTHER</v>
      </c>
      <c r="I826" s="113" t="s">
        <v>74</v>
      </c>
      <c r="J826"/>
    </row>
    <row r="827" spans="1:10">
      <c r="A827" s="114" t="str">
        <f t="shared" si="24"/>
        <v>1823990OTHR REG ASSET-N CST186167RegA - DSM - WY - Reclass to CurrentOTHER</v>
      </c>
      <c r="B827" s="127">
        <v>1823990</v>
      </c>
      <c r="C827" s="128" t="s">
        <v>1288</v>
      </c>
      <c r="D827" s="127">
        <v>186167</v>
      </c>
      <c r="E827" s="128" t="s">
        <v>1307</v>
      </c>
      <c r="F827" s="127" t="s">
        <v>306</v>
      </c>
      <c r="H827" s="117" t="str">
        <f t="shared" si="25"/>
        <v>OTHER</v>
      </c>
      <c r="I827" s="113" t="s">
        <v>74</v>
      </c>
      <c r="J827"/>
    </row>
    <row r="828" spans="1:10">
      <c r="A828" s="114" t="str">
        <f t="shared" si="24"/>
        <v>1823990OTHR REG ASSET-N CST186502POWERDALE HYDRO DECOM REG ASSET - IDSITUS</v>
      </c>
      <c r="B828" s="127">
        <v>1823990</v>
      </c>
      <c r="C828" s="128" t="s">
        <v>1288</v>
      </c>
      <c r="D828" s="127">
        <v>186502</v>
      </c>
      <c r="E828" s="128" t="s">
        <v>1308</v>
      </c>
      <c r="F828" s="127" t="s">
        <v>12</v>
      </c>
      <c r="H828" s="117" t="str">
        <f t="shared" si="25"/>
        <v>SITUS</v>
      </c>
      <c r="I828" s="113" t="s">
        <v>68</v>
      </c>
      <c r="J828"/>
    </row>
    <row r="829" spans="1:10">
      <c r="A829" s="114" t="str">
        <f t="shared" si="24"/>
        <v>1823990OTHR REG ASSET-N CST186793RegA - Deer Creek - OR - Recl to CurrSE</v>
      </c>
      <c r="B829" s="127">
        <v>1823990</v>
      </c>
      <c r="C829" s="128" t="s">
        <v>1288</v>
      </c>
      <c r="D829" s="127">
        <v>186793</v>
      </c>
      <c r="E829" s="128" t="s">
        <v>1309</v>
      </c>
      <c r="F829" s="127" t="s">
        <v>85</v>
      </c>
      <c r="H829" s="117" t="str">
        <f t="shared" si="25"/>
        <v>SE</v>
      </c>
      <c r="I829" s="113" t="s">
        <v>68</v>
      </c>
      <c r="J829"/>
    </row>
    <row r="830" spans="1:10">
      <c r="A830" s="114" t="str">
        <f t="shared" si="24"/>
        <v>1823990OTHR REG ASSET-N CST187028TRANSITION COSTS-RETIREMENT &amp; DISPLACESO</v>
      </c>
      <c r="B830" s="127">
        <v>1823990</v>
      </c>
      <c r="C830" s="128" t="s">
        <v>1288</v>
      </c>
      <c r="D830" s="127">
        <v>187028</v>
      </c>
      <c r="E830" s="128" t="s">
        <v>1310</v>
      </c>
      <c r="F830" s="127" t="s">
        <v>89</v>
      </c>
      <c r="H830" s="117" t="str">
        <f t="shared" si="25"/>
        <v>SO</v>
      </c>
      <c r="I830" s="113" t="s">
        <v>68</v>
      </c>
      <c r="J830"/>
    </row>
    <row r="831" spans="1:10">
      <c r="A831" s="114" t="str">
        <f t="shared" si="24"/>
        <v>1823990OTHR REG ASSET-N CST187042Reg Asset - CA GHG AllowancesOTHER</v>
      </c>
      <c r="B831" s="127">
        <v>1823990</v>
      </c>
      <c r="C831" s="128" t="s">
        <v>1288</v>
      </c>
      <c r="D831" s="127">
        <v>187042</v>
      </c>
      <c r="E831" s="128" t="s">
        <v>1311</v>
      </c>
      <c r="F831" s="127" t="s">
        <v>306</v>
      </c>
      <c r="H831" s="117" t="str">
        <f t="shared" si="25"/>
        <v>OTHER</v>
      </c>
      <c r="I831" s="113" t="s">
        <v>68</v>
      </c>
      <c r="J831"/>
    </row>
    <row r="832" spans="1:10">
      <c r="A832" s="114" t="str">
        <f t="shared" si="24"/>
        <v>1823990OTHR REG ASSET-N CST187048RegA - CA GHG Allowances - Recl to CurrOTHER</v>
      </c>
      <c r="B832" s="127">
        <v>1823990</v>
      </c>
      <c r="C832" s="128" t="s">
        <v>1288</v>
      </c>
      <c r="D832" s="127">
        <v>187048</v>
      </c>
      <c r="E832" s="128" t="s">
        <v>1312</v>
      </c>
      <c r="F832" s="127" t="s">
        <v>306</v>
      </c>
      <c r="H832" s="117" t="str">
        <f t="shared" si="25"/>
        <v>OTHER</v>
      </c>
      <c r="I832" s="113" t="s">
        <v>68</v>
      </c>
      <c r="J832"/>
    </row>
    <row r="833" spans="1:10">
      <c r="A833" s="114" t="str">
        <f t="shared" si="24"/>
        <v>1823990OTHR REG ASSET-N CST187049RegA - CA GHG Allowances - Balance ReclOTHER</v>
      </c>
      <c r="B833" s="127">
        <v>1823990</v>
      </c>
      <c r="C833" s="128" t="s">
        <v>1288</v>
      </c>
      <c r="D833" s="127">
        <v>187049</v>
      </c>
      <c r="E833" s="128" t="s">
        <v>1313</v>
      </c>
      <c r="F833" s="127" t="s">
        <v>306</v>
      </c>
      <c r="H833" s="117" t="str">
        <f t="shared" si="25"/>
        <v>OTHER</v>
      </c>
      <c r="I833" s="113" t="s">
        <v>68</v>
      </c>
      <c r="J833"/>
    </row>
    <row r="834" spans="1:10">
      <c r="A834" s="114" t="str">
        <f t="shared" si="24"/>
        <v>1823990OTHR REG ASSET-N CST187050CHOLLA PLANT TRANSACTION COSTSSGCT</v>
      </c>
      <c r="B834" s="127">
        <v>1823990</v>
      </c>
      <c r="C834" s="128" t="s">
        <v>1288</v>
      </c>
      <c r="D834" s="127">
        <v>187050</v>
      </c>
      <c r="E834" s="128" t="s">
        <v>1314</v>
      </c>
      <c r="F834" s="127" t="s">
        <v>99</v>
      </c>
      <c r="H834" s="117" t="str">
        <f t="shared" si="25"/>
        <v>SGCT</v>
      </c>
      <c r="I834" s="113" t="s">
        <v>68</v>
      </c>
      <c r="J834"/>
    </row>
    <row r="835" spans="1:10">
      <c r="A835" s="114" t="str">
        <f t="shared" ref="A835:A898" si="26">CONCATENATE($B835,$C835,$D835,$E835,$H835)</f>
        <v>1823990OTHR REG ASSET-N CST187051WASHINGTON COLSTRIP #3 REGULATORY ASSETSE</v>
      </c>
      <c r="B835" s="127">
        <v>1823990</v>
      </c>
      <c r="C835" s="128" t="s">
        <v>1288</v>
      </c>
      <c r="D835" s="127">
        <v>187051</v>
      </c>
      <c r="E835" s="128" t="s">
        <v>1315</v>
      </c>
      <c r="F835" s="127" t="s">
        <v>85</v>
      </c>
      <c r="H835" s="117" t="str">
        <f t="shared" ref="H835:H898" si="27">IF(OR(F835="IDU",F835="OR",F835="UT",F835="WYU",F835="WYP",F835="CA",F835="WA"),"SITUS",F835)</f>
        <v>SE</v>
      </c>
      <c r="I835" s="113" t="s">
        <v>68</v>
      </c>
      <c r="J835"/>
    </row>
    <row r="836" spans="1:10">
      <c r="A836" s="114" t="str">
        <f t="shared" si="26"/>
        <v>1823990OTHR REG ASSET-N CST187051WASHINGTON COLSTRIP #3 REGULATORY ASSETSITUS</v>
      </c>
      <c r="B836" s="127">
        <v>1823990</v>
      </c>
      <c r="C836" s="128" t="s">
        <v>1288</v>
      </c>
      <c r="D836" s="127">
        <v>187051</v>
      </c>
      <c r="E836" s="128" t="s">
        <v>1315</v>
      </c>
      <c r="F836" s="127" t="s">
        <v>12</v>
      </c>
      <c r="H836" s="117" t="str">
        <f t="shared" si="27"/>
        <v>SITUS</v>
      </c>
      <c r="I836" s="113" t="s">
        <v>68</v>
      </c>
      <c r="J836"/>
    </row>
    <row r="837" spans="1:10">
      <c r="A837" s="114" t="str">
        <f t="shared" si="26"/>
        <v>1823990OTHR REG ASSET-N CST187058TRAIL MOUNTAIN MINE CLOSURE COSTSSE</v>
      </c>
      <c r="B837" s="127">
        <v>1823990</v>
      </c>
      <c r="C837" s="128" t="s">
        <v>1288</v>
      </c>
      <c r="D837" s="127">
        <v>187058</v>
      </c>
      <c r="E837" s="128" t="s">
        <v>1316</v>
      </c>
      <c r="F837" s="127" t="s">
        <v>85</v>
      </c>
      <c r="H837" s="117" t="str">
        <f t="shared" si="27"/>
        <v>SE</v>
      </c>
      <c r="I837" s="113" t="s">
        <v>68</v>
      </c>
      <c r="J837"/>
    </row>
    <row r="838" spans="1:10">
      <c r="A838" s="114" t="str">
        <f t="shared" si="26"/>
        <v>1823990OTHR REG ASSET-N CST187070Trail Mtn Mine Costs - Deseret SettlemenSE</v>
      </c>
      <c r="B838" s="127">
        <v>1823990</v>
      </c>
      <c r="C838" s="128" t="s">
        <v>1288</v>
      </c>
      <c r="D838" s="127">
        <v>187070</v>
      </c>
      <c r="E838" s="128" t="s">
        <v>1317</v>
      </c>
      <c r="F838" s="127" t="s">
        <v>85</v>
      </c>
      <c r="H838" s="117" t="str">
        <f t="shared" si="27"/>
        <v>SE</v>
      </c>
      <c r="I838" s="113" t="s">
        <v>68</v>
      </c>
      <c r="J838"/>
    </row>
    <row r="839" spans="1:10">
      <c r="A839" s="114" t="str">
        <f t="shared" si="26"/>
        <v>1823990OTHR REG ASSET-N CST187190Reg Asset-WA REC CY2014 ForwardOTHER</v>
      </c>
      <c r="B839" s="127">
        <v>1823990</v>
      </c>
      <c r="C839" s="128" t="s">
        <v>1288</v>
      </c>
      <c r="D839" s="127">
        <v>187190</v>
      </c>
      <c r="E839" s="128" t="s">
        <v>1318</v>
      </c>
      <c r="F839" s="127" t="s">
        <v>306</v>
      </c>
      <c r="H839" s="117" t="str">
        <f t="shared" si="27"/>
        <v>OTHER</v>
      </c>
      <c r="I839" s="113" t="s">
        <v>68</v>
      </c>
      <c r="J839"/>
    </row>
    <row r="840" spans="1:10">
      <c r="A840" s="114" t="str">
        <f t="shared" si="26"/>
        <v>1823990OTHR REG ASSET-N CST187191Reg Asset  - WA RPS PurchaseOTHER</v>
      </c>
      <c r="B840" s="127">
        <v>1823990</v>
      </c>
      <c r="C840" s="128" t="s">
        <v>1288</v>
      </c>
      <c r="D840" s="127">
        <v>187191</v>
      </c>
      <c r="E840" s="128" t="s">
        <v>1319</v>
      </c>
      <c r="F840" s="127" t="s">
        <v>306</v>
      </c>
      <c r="H840" s="117" t="str">
        <f t="shared" si="27"/>
        <v>OTHER</v>
      </c>
      <c r="I840" s="113" t="s">
        <v>68</v>
      </c>
      <c r="J840"/>
    </row>
    <row r="841" spans="1:10">
      <c r="A841" s="114" t="str">
        <f t="shared" si="26"/>
        <v>1823990OTHR REG ASSET-N CST187223Reg Asset - Tax Adj on PR Benefits - OROTHER</v>
      </c>
      <c r="B841" s="127">
        <v>1823990</v>
      </c>
      <c r="C841" s="128" t="s">
        <v>1288</v>
      </c>
      <c r="D841" s="127">
        <v>187223</v>
      </c>
      <c r="E841" s="128" t="s">
        <v>1320</v>
      </c>
      <c r="F841" s="127" t="s">
        <v>306</v>
      </c>
      <c r="H841" s="117" t="str">
        <f t="shared" si="27"/>
        <v>OTHER</v>
      </c>
      <c r="I841" s="113" t="s">
        <v>102</v>
      </c>
      <c r="J841"/>
    </row>
    <row r="842" spans="1:10">
      <c r="A842" s="114" t="str">
        <f t="shared" si="26"/>
        <v>1823990OTHR REG ASSET-N CST187255RegA - BPA Balancing Accts - Recl to CurOTHER</v>
      </c>
      <c r="B842" s="127">
        <v>1823990</v>
      </c>
      <c r="C842" s="128" t="s">
        <v>1288</v>
      </c>
      <c r="D842" s="127">
        <v>187255</v>
      </c>
      <c r="E842" s="128" t="s">
        <v>1321</v>
      </c>
      <c r="F842" s="127" t="s">
        <v>306</v>
      </c>
      <c r="H842" s="117" t="str">
        <f t="shared" si="27"/>
        <v>OTHER</v>
      </c>
      <c r="I842" s="113" t="s">
        <v>73</v>
      </c>
      <c r="J842"/>
    </row>
    <row r="843" spans="1:10">
      <c r="A843" s="114" t="str">
        <f t="shared" si="26"/>
        <v>1823990OTHR REG ASSET-N CST187300CA - Jan 2010 Storm CostsOTHER</v>
      </c>
      <c r="B843" s="127">
        <v>1823990</v>
      </c>
      <c r="C843" s="128" t="s">
        <v>1288</v>
      </c>
      <c r="D843" s="127">
        <v>187300</v>
      </c>
      <c r="E843" s="128" t="s">
        <v>1322</v>
      </c>
      <c r="F843" s="127" t="s">
        <v>306</v>
      </c>
      <c r="H843" s="117" t="str">
        <f t="shared" si="27"/>
        <v>OTHER</v>
      </c>
      <c r="I843" s="113" t="s">
        <v>68</v>
      </c>
      <c r="J843"/>
    </row>
    <row r="844" spans="1:10">
      <c r="A844" s="114" t="str">
        <f t="shared" si="26"/>
        <v>1823990OTHR REG ASSET-N CST187305RegA - ID 2017 Protocol - MSP DeferralSITUS</v>
      </c>
      <c r="B844" s="127">
        <v>1823990</v>
      </c>
      <c r="C844" s="128" t="s">
        <v>1288</v>
      </c>
      <c r="D844" s="127">
        <v>187305</v>
      </c>
      <c r="E844" s="128" t="s">
        <v>1323</v>
      </c>
      <c r="F844" s="127" t="s">
        <v>12</v>
      </c>
      <c r="H844" s="117" t="str">
        <f t="shared" si="27"/>
        <v>SITUS</v>
      </c>
      <c r="I844" s="113" t="s">
        <v>68</v>
      </c>
      <c r="J844"/>
    </row>
    <row r="845" spans="1:10">
      <c r="A845" s="114" t="str">
        <f t="shared" si="26"/>
        <v>1823990OTHR REG ASSET-N CST187306RegA - UT 2017 Protocol - MSP DeferralSITUS</v>
      </c>
      <c r="B845" s="127">
        <v>1823990</v>
      </c>
      <c r="C845" s="128" t="s">
        <v>1288</v>
      </c>
      <c r="D845" s="127">
        <v>187306</v>
      </c>
      <c r="E845" s="128" t="s">
        <v>1324</v>
      </c>
      <c r="F845" s="127" t="s">
        <v>12</v>
      </c>
      <c r="H845" s="117" t="str">
        <f t="shared" si="27"/>
        <v>SITUS</v>
      </c>
      <c r="I845" s="113" t="s">
        <v>68</v>
      </c>
      <c r="J845"/>
    </row>
    <row r="846" spans="1:10">
      <c r="A846" s="114" t="str">
        <f t="shared" si="26"/>
        <v>1823990OTHR REG ASSET-N CST187307RegA - WY 2017 Protocol - MSP DeferralSITUS</v>
      </c>
      <c r="B846" s="127">
        <v>1823990</v>
      </c>
      <c r="C846" s="128" t="s">
        <v>1288</v>
      </c>
      <c r="D846" s="127">
        <v>187307</v>
      </c>
      <c r="E846" s="128" t="s">
        <v>1325</v>
      </c>
      <c r="F846" s="127" t="s">
        <v>12</v>
      </c>
      <c r="H846" s="117" t="str">
        <f t="shared" si="27"/>
        <v>SITUS</v>
      </c>
      <c r="I846" s="113" t="s">
        <v>68</v>
      </c>
      <c r="J846"/>
    </row>
    <row r="847" spans="1:10">
      <c r="A847" s="114" t="str">
        <f t="shared" si="26"/>
        <v>1823990OTHR REG ASSET-N CST187311Contra Reg Asset-Carbon Plt Dec/Inv-CASITUS</v>
      </c>
      <c r="B847" s="127">
        <v>1823990</v>
      </c>
      <c r="C847" s="128" t="s">
        <v>1288</v>
      </c>
      <c r="D847" s="127">
        <v>187311</v>
      </c>
      <c r="E847" s="128" t="s">
        <v>1326</v>
      </c>
      <c r="F847" s="127" t="s">
        <v>12</v>
      </c>
      <c r="H847" s="117" t="str">
        <f t="shared" si="27"/>
        <v>SITUS</v>
      </c>
      <c r="I847" s="113" t="s">
        <v>68</v>
      </c>
      <c r="J847"/>
    </row>
    <row r="848" spans="1:10">
      <c r="A848" s="114" t="str">
        <f t="shared" si="26"/>
        <v>1823990OTHR REG ASSET-N CST187320Reg Asset - Deprec Increase - IDSITUS</v>
      </c>
      <c r="B848" s="127">
        <v>1823990</v>
      </c>
      <c r="C848" s="128" t="s">
        <v>1288</v>
      </c>
      <c r="D848" s="127">
        <v>187320</v>
      </c>
      <c r="E848" s="128" t="s">
        <v>1327</v>
      </c>
      <c r="F848" s="127" t="s">
        <v>12</v>
      </c>
      <c r="H848" s="117" t="str">
        <f t="shared" si="27"/>
        <v>SITUS</v>
      </c>
      <c r="I848" s="113" t="s">
        <v>68</v>
      </c>
      <c r="J848"/>
    </row>
    <row r="849" spans="1:10">
      <c r="A849" s="114" t="str">
        <f t="shared" si="26"/>
        <v>1823990OTHR REG ASSET-N CST187321Reg Asset - Deprec Increase - UTSITUS</v>
      </c>
      <c r="B849" s="127">
        <v>1823990</v>
      </c>
      <c r="C849" s="128" t="s">
        <v>1288</v>
      </c>
      <c r="D849" s="127">
        <v>187321</v>
      </c>
      <c r="E849" s="128" t="s">
        <v>1328</v>
      </c>
      <c r="F849" s="127" t="s">
        <v>12</v>
      </c>
      <c r="H849" s="117" t="str">
        <f t="shared" si="27"/>
        <v>SITUS</v>
      </c>
      <c r="I849" s="113" t="s">
        <v>68</v>
      </c>
      <c r="J849"/>
    </row>
    <row r="850" spans="1:10">
      <c r="A850" s="114" t="str">
        <f t="shared" si="26"/>
        <v>1823990OTHR REG ASSET-N CST187322Reg Asset - Deprec Increase - WYSITUS</v>
      </c>
      <c r="B850" s="127">
        <v>1823990</v>
      </c>
      <c r="C850" s="128" t="s">
        <v>1288</v>
      </c>
      <c r="D850" s="127">
        <v>187322</v>
      </c>
      <c r="E850" s="128" t="s">
        <v>1329</v>
      </c>
      <c r="F850" s="127" t="s">
        <v>12</v>
      </c>
      <c r="H850" s="117" t="str">
        <f t="shared" si="27"/>
        <v>SITUS</v>
      </c>
      <c r="I850" s="113" t="s">
        <v>68</v>
      </c>
      <c r="J850"/>
    </row>
    <row r="851" spans="1:10">
      <c r="A851" s="114" t="str">
        <f t="shared" si="26"/>
        <v>1823990OTHR REG ASSET-N CST187330Reg Asset - Carbon Unrec Plant - IDSITUS</v>
      </c>
      <c r="B851" s="127">
        <v>1823990</v>
      </c>
      <c r="C851" s="128" t="s">
        <v>1288</v>
      </c>
      <c r="D851" s="127">
        <v>187330</v>
      </c>
      <c r="E851" s="128" t="s">
        <v>1330</v>
      </c>
      <c r="F851" s="127" t="s">
        <v>12</v>
      </c>
      <c r="H851" s="117" t="str">
        <f t="shared" si="27"/>
        <v>SITUS</v>
      </c>
      <c r="I851" s="113" t="s">
        <v>68</v>
      </c>
      <c r="J851"/>
    </row>
    <row r="852" spans="1:10">
      <c r="A852" s="114" t="str">
        <f t="shared" si="26"/>
        <v>1823990OTHR REG ASSET-N CST187332Reg Asset - Carbon Unrec Plant - UTSITUS</v>
      </c>
      <c r="B852" s="127">
        <v>1823990</v>
      </c>
      <c r="C852" s="128" t="s">
        <v>1288</v>
      </c>
      <c r="D852" s="127">
        <v>187332</v>
      </c>
      <c r="E852" s="128" t="s">
        <v>1331</v>
      </c>
      <c r="F852" s="127" t="s">
        <v>12</v>
      </c>
      <c r="H852" s="117" t="str">
        <f t="shared" si="27"/>
        <v>SITUS</v>
      </c>
      <c r="I852" s="113" t="s">
        <v>68</v>
      </c>
      <c r="J852"/>
    </row>
    <row r="853" spans="1:10">
      <c r="A853" s="114" t="str">
        <f t="shared" si="26"/>
        <v>1823990OTHR REG ASSET-N CST187334Reg Asset - Carbon Unrec Plant - WYSITUS</v>
      </c>
      <c r="B853" s="127">
        <v>1823990</v>
      </c>
      <c r="C853" s="128" t="s">
        <v>1288</v>
      </c>
      <c r="D853" s="127">
        <v>187334</v>
      </c>
      <c r="E853" s="128" t="s">
        <v>1332</v>
      </c>
      <c r="F853" s="127" t="s">
        <v>12</v>
      </c>
      <c r="H853" s="117" t="str">
        <f t="shared" si="27"/>
        <v>SITUS</v>
      </c>
      <c r="I853" s="113" t="s">
        <v>68</v>
      </c>
      <c r="J853"/>
    </row>
    <row r="854" spans="1:10">
      <c r="A854" s="114" t="str">
        <f t="shared" si="26"/>
        <v>1823990OTHR REG ASSET-N CST187338Reg Asset - Carbon Plt Decom/InventorySG</v>
      </c>
      <c r="B854" s="127">
        <v>1823990</v>
      </c>
      <c r="C854" s="128" t="s">
        <v>1288</v>
      </c>
      <c r="D854" s="127">
        <v>187338</v>
      </c>
      <c r="E854" s="128" t="s">
        <v>1670</v>
      </c>
      <c r="F854" s="127" t="s">
        <v>87</v>
      </c>
      <c r="H854" s="117" t="str">
        <f t="shared" si="27"/>
        <v>SG</v>
      </c>
      <c r="I854" s="113" t="s">
        <v>68</v>
      </c>
      <c r="J854"/>
    </row>
    <row r="855" spans="1:10">
      <c r="A855" s="114" t="str">
        <f t="shared" si="26"/>
        <v>1823990OTHR REG ASSET-N CST187345Reg Asset - UT - Pref Stock Redemp LossOTHER</v>
      </c>
      <c r="B855" s="127">
        <v>1823990</v>
      </c>
      <c r="C855" s="128" t="s">
        <v>1288</v>
      </c>
      <c r="D855" s="127">
        <v>187345</v>
      </c>
      <c r="E855" s="128" t="s">
        <v>1333</v>
      </c>
      <c r="F855" s="127" t="s">
        <v>306</v>
      </c>
      <c r="H855" s="117" t="str">
        <f t="shared" si="27"/>
        <v>OTHER</v>
      </c>
      <c r="I855" s="113" t="s">
        <v>68</v>
      </c>
      <c r="J855"/>
    </row>
    <row r="856" spans="1:10">
      <c r="A856" s="114" t="str">
        <f t="shared" si="26"/>
        <v>1823990OTHR REG ASSET-N CST187346Reg Asset - WY - Pref Stock Redemp LossOTHER</v>
      </c>
      <c r="B856" s="127">
        <v>1823990</v>
      </c>
      <c r="C856" s="128" t="s">
        <v>1288</v>
      </c>
      <c r="D856" s="127">
        <v>187346</v>
      </c>
      <c r="E856" s="128" t="s">
        <v>1334</v>
      </c>
      <c r="F856" s="127" t="s">
        <v>306</v>
      </c>
      <c r="H856" s="117" t="str">
        <f t="shared" si="27"/>
        <v>OTHER</v>
      </c>
      <c r="I856" s="113" t="s">
        <v>68</v>
      </c>
      <c r="J856"/>
    </row>
    <row r="857" spans="1:10">
      <c r="A857" s="114" t="str">
        <f t="shared" si="26"/>
        <v>1823990OTHR REG ASSET-N CST187347Reg Asset - WA - Pref Stock Redemp LossOTHER</v>
      </c>
      <c r="B857" s="127">
        <v>1823990</v>
      </c>
      <c r="C857" s="128" t="s">
        <v>1288</v>
      </c>
      <c r="D857" s="127">
        <v>187347</v>
      </c>
      <c r="E857" s="128" t="s">
        <v>1335</v>
      </c>
      <c r="F857" s="127" t="s">
        <v>306</v>
      </c>
      <c r="H857" s="117" t="str">
        <f t="shared" si="27"/>
        <v>OTHER</v>
      </c>
      <c r="I857" s="113" t="s">
        <v>68</v>
      </c>
      <c r="J857"/>
    </row>
    <row r="858" spans="1:10">
      <c r="A858" s="114" t="str">
        <f t="shared" si="26"/>
        <v>1823990OTHR REG ASSET-N CST187350ID - Deferred Overburden CostsOTHER</v>
      </c>
      <c r="B858" s="127">
        <v>1823990</v>
      </c>
      <c r="C858" s="128" t="s">
        <v>1288</v>
      </c>
      <c r="D858" s="127">
        <v>187350</v>
      </c>
      <c r="E858" s="128" t="s">
        <v>400</v>
      </c>
      <c r="F858" s="127" t="s">
        <v>306</v>
      </c>
      <c r="H858" s="117" t="str">
        <f t="shared" si="27"/>
        <v>OTHER</v>
      </c>
      <c r="I858" s="113" t="s">
        <v>68</v>
      </c>
      <c r="J858"/>
    </row>
    <row r="859" spans="1:10">
      <c r="A859" s="114" t="str">
        <f t="shared" si="26"/>
        <v>1823990OTHR REG ASSET-N CST187351WY - Deferred Overburden CostsSITUS</v>
      </c>
      <c r="B859" s="127">
        <v>1823990</v>
      </c>
      <c r="C859" s="128" t="s">
        <v>1288</v>
      </c>
      <c r="D859" s="127">
        <v>187351</v>
      </c>
      <c r="E859" s="128" t="s">
        <v>401</v>
      </c>
      <c r="F859" s="127" t="s">
        <v>12</v>
      </c>
      <c r="H859" s="117" t="str">
        <f t="shared" si="27"/>
        <v>SITUS</v>
      </c>
      <c r="I859" s="113" t="s">
        <v>68</v>
      </c>
      <c r="J859"/>
    </row>
    <row r="860" spans="1:10">
      <c r="A860" s="114" t="str">
        <f t="shared" si="26"/>
        <v>1823990OTHR REG ASSET-N CST187356Reg Asset-WA-Merwin ProjectOTHER</v>
      </c>
      <c r="B860" s="127">
        <v>1823990</v>
      </c>
      <c r="C860" s="128" t="s">
        <v>1288</v>
      </c>
      <c r="D860" s="127">
        <v>187356</v>
      </c>
      <c r="E860" s="128" t="s">
        <v>1336</v>
      </c>
      <c r="F860" s="127" t="s">
        <v>306</v>
      </c>
      <c r="H860" s="117" t="str">
        <f t="shared" si="27"/>
        <v>OTHER</v>
      </c>
      <c r="I860" s="113" t="s">
        <v>68</v>
      </c>
      <c r="J860"/>
    </row>
    <row r="861" spans="1:10">
      <c r="A861" s="114" t="str">
        <f t="shared" si="26"/>
        <v>1823990OTHR REG ASSET-N CST187357CA Mobile Home Park Conversion (MHPCBA)OTHER</v>
      </c>
      <c r="B861" s="127">
        <v>1823990</v>
      </c>
      <c r="C861" s="128" t="s">
        <v>1288</v>
      </c>
      <c r="D861" s="127">
        <v>187357</v>
      </c>
      <c r="E861" s="128" t="s">
        <v>1337</v>
      </c>
      <c r="F861" s="127" t="s">
        <v>306</v>
      </c>
      <c r="H861" s="117" t="str">
        <f t="shared" si="27"/>
        <v>OTHER</v>
      </c>
      <c r="I861" s="113" t="s">
        <v>73</v>
      </c>
      <c r="J861"/>
    </row>
    <row r="862" spans="1:10">
      <c r="A862" s="114" t="str">
        <f t="shared" si="26"/>
        <v>1823990OTHR REG ASSET-N CST187371REG ASSET - CA SOLAR FEED-IN TARIFFOTHER</v>
      </c>
      <c r="B862" s="127">
        <v>1823990</v>
      </c>
      <c r="C862" s="128" t="s">
        <v>1288</v>
      </c>
      <c r="D862" s="127">
        <v>187371</v>
      </c>
      <c r="E862" s="128" t="s">
        <v>1338</v>
      </c>
      <c r="F862" s="127" t="s">
        <v>306</v>
      </c>
      <c r="H862" s="117" t="str">
        <f t="shared" si="27"/>
        <v>OTHER</v>
      </c>
      <c r="I862" s="113" t="s">
        <v>68</v>
      </c>
      <c r="J862"/>
    </row>
    <row r="863" spans="1:10">
      <c r="A863" s="114" t="str">
        <f t="shared" si="26"/>
        <v>1823990OTHR REG ASSET-N CST187375Reg Asset-OR Solar Feed-In Tariff 2015OTHER</v>
      </c>
      <c r="B863" s="127">
        <v>1823990</v>
      </c>
      <c r="C863" s="128" t="s">
        <v>1288</v>
      </c>
      <c r="D863" s="127">
        <v>187375</v>
      </c>
      <c r="E863" s="128" t="s">
        <v>1339</v>
      </c>
      <c r="F863" s="127" t="s">
        <v>306</v>
      </c>
      <c r="H863" s="117" t="str">
        <f t="shared" si="27"/>
        <v>OTHER</v>
      </c>
      <c r="I863" s="113" t="s">
        <v>68</v>
      </c>
      <c r="J863"/>
    </row>
    <row r="864" spans="1:10">
      <c r="A864" s="114" t="str">
        <f t="shared" si="26"/>
        <v>1823990OTHR REG ASSET-N CST187376Reg Asset-OR Solar Feed-In Tariff 2016OTHER</v>
      </c>
      <c r="B864" s="127">
        <v>1823990</v>
      </c>
      <c r="C864" s="128" t="s">
        <v>1288</v>
      </c>
      <c r="D864" s="127">
        <v>187376</v>
      </c>
      <c r="E864" s="128" t="s">
        <v>1340</v>
      </c>
      <c r="F864" s="127" t="s">
        <v>306</v>
      </c>
      <c r="H864" s="117" t="str">
        <f t="shared" si="27"/>
        <v>OTHER</v>
      </c>
      <c r="I864" s="113" t="s">
        <v>68</v>
      </c>
      <c r="J864"/>
    </row>
    <row r="865" spans="1:10">
      <c r="A865" s="114" t="str">
        <f t="shared" si="26"/>
        <v>1823990OTHR REG ASSET-N CST187377Reg Asset-OR Solar Feed-In Tariff 2017OTHER</v>
      </c>
      <c r="B865" s="127">
        <v>1823990</v>
      </c>
      <c r="C865" s="128" t="s">
        <v>1288</v>
      </c>
      <c r="D865" s="127">
        <v>187377</v>
      </c>
      <c r="E865" s="128" t="s">
        <v>1341</v>
      </c>
      <c r="F865" s="127" t="s">
        <v>306</v>
      </c>
      <c r="H865" s="117" t="str">
        <f t="shared" si="27"/>
        <v>OTHER</v>
      </c>
      <c r="I865" s="113" t="s">
        <v>68</v>
      </c>
      <c r="J865"/>
    </row>
    <row r="866" spans="1:10">
      <c r="A866" s="114" t="str">
        <f t="shared" si="26"/>
        <v>1823990OTHR REG ASSET-N CST187380Reg Asset - UT Solar Incentive ProgramOTHER</v>
      </c>
      <c r="B866" s="127">
        <v>1823990</v>
      </c>
      <c r="C866" s="128" t="s">
        <v>1288</v>
      </c>
      <c r="D866" s="127">
        <v>187380</v>
      </c>
      <c r="E866" s="128" t="s">
        <v>1342</v>
      </c>
      <c r="F866" s="127" t="s">
        <v>306</v>
      </c>
      <c r="H866" s="117" t="str">
        <f t="shared" si="27"/>
        <v>OTHER</v>
      </c>
      <c r="I866" s="113" t="s">
        <v>68</v>
      </c>
      <c r="J866"/>
    </row>
    <row r="867" spans="1:10">
      <c r="A867" s="114" t="str">
        <f t="shared" si="26"/>
        <v>1823990OTHR REG ASSET-N CST187383RegA - OR Solar Feed-In - Recl to CurrOTHER</v>
      </c>
      <c r="B867" s="127">
        <v>1823990</v>
      </c>
      <c r="C867" s="128" t="s">
        <v>1288</v>
      </c>
      <c r="D867" s="127">
        <v>187383</v>
      </c>
      <c r="E867" s="128" t="s">
        <v>1343</v>
      </c>
      <c r="F867" s="127" t="s">
        <v>306</v>
      </c>
      <c r="H867" s="117" t="str">
        <f t="shared" si="27"/>
        <v>OTHER</v>
      </c>
      <c r="I867" s="113" t="s">
        <v>68</v>
      </c>
      <c r="J867"/>
    </row>
    <row r="868" spans="1:10">
      <c r="A868" s="114" t="str">
        <f t="shared" si="26"/>
        <v>1823990OTHR REG ASSET-N CST187384RegA - UT Solar Feed-In - Recl to CurrOTHER</v>
      </c>
      <c r="B868" s="127">
        <v>1823990</v>
      </c>
      <c r="C868" s="128" t="s">
        <v>1288</v>
      </c>
      <c r="D868" s="127">
        <v>187384</v>
      </c>
      <c r="E868" s="128" t="s">
        <v>1344</v>
      </c>
      <c r="F868" s="127" t="s">
        <v>306</v>
      </c>
      <c r="H868" s="117" t="str">
        <f t="shared" si="27"/>
        <v>OTHER</v>
      </c>
      <c r="I868" s="113" t="s">
        <v>68</v>
      </c>
      <c r="J868"/>
    </row>
    <row r="869" spans="1:10">
      <c r="A869" s="114" t="str">
        <f t="shared" si="26"/>
        <v>1823990OTHR REG ASSET-N CST187387Reg Asset-Utah STEP Pilot Prog Bal AcctOTHER</v>
      </c>
      <c r="B869" s="127">
        <v>1823990</v>
      </c>
      <c r="C869" s="128" t="s">
        <v>1288</v>
      </c>
      <c r="D869" s="127">
        <v>187387</v>
      </c>
      <c r="E869" s="128" t="s">
        <v>1345</v>
      </c>
      <c r="F869" s="127" t="s">
        <v>306</v>
      </c>
      <c r="H869" s="117" t="str">
        <f t="shared" si="27"/>
        <v>OTHER</v>
      </c>
      <c r="I869" s="113" t="s">
        <v>68</v>
      </c>
      <c r="J869"/>
    </row>
    <row r="870" spans="1:10">
      <c r="A870" s="114" t="str">
        <f t="shared" si="26"/>
        <v>1823990OTHR REG ASSET-N CST187390UT-Klamath Hydro Relicensing CostsOTHER</v>
      </c>
      <c r="B870" s="127">
        <v>1823990</v>
      </c>
      <c r="C870" s="128" t="s">
        <v>1288</v>
      </c>
      <c r="D870" s="127">
        <v>187390</v>
      </c>
      <c r="E870" s="128" t="s">
        <v>1346</v>
      </c>
      <c r="F870" s="127" t="s">
        <v>306</v>
      </c>
      <c r="H870" s="117" t="str">
        <f t="shared" si="27"/>
        <v>OTHER</v>
      </c>
      <c r="I870" s="113" t="s">
        <v>68</v>
      </c>
      <c r="J870"/>
    </row>
    <row r="871" spans="1:10">
      <c r="A871" s="114" t="str">
        <f t="shared" si="26"/>
        <v>1823990OTHR REG ASSET-N CST187391RegA - CA Solar Feed-In - Recl to LiabOTHER</v>
      </c>
      <c r="B871" s="127">
        <v>1823990</v>
      </c>
      <c r="C871" s="128" t="s">
        <v>1288</v>
      </c>
      <c r="D871" s="127">
        <v>187391</v>
      </c>
      <c r="E871" s="128" t="s">
        <v>1347</v>
      </c>
      <c r="F871" s="127" t="s">
        <v>306</v>
      </c>
      <c r="H871" s="117" t="str">
        <f t="shared" si="27"/>
        <v>OTHER</v>
      </c>
      <c r="I871" s="113" t="s">
        <v>68</v>
      </c>
      <c r="J871"/>
    </row>
    <row r="872" spans="1:10">
      <c r="A872" s="114" t="str">
        <f t="shared" si="26"/>
        <v>1823990OTHR REG ASSET-N CST187394RegA - UT Solar Feed-In - Recl to LiabOTHER</v>
      </c>
      <c r="B872" s="127">
        <v>1823990</v>
      </c>
      <c r="C872" s="128" t="s">
        <v>1288</v>
      </c>
      <c r="D872" s="127">
        <v>187394</v>
      </c>
      <c r="E872" s="128" t="s">
        <v>1348</v>
      </c>
      <c r="F872" s="127" t="s">
        <v>306</v>
      </c>
      <c r="H872" s="117" t="str">
        <f t="shared" si="27"/>
        <v>OTHER</v>
      </c>
      <c r="I872" s="113" t="s">
        <v>68</v>
      </c>
      <c r="J872"/>
    </row>
    <row r="873" spans="1:10">
      <c r="A873" s="114" t="str">
        <f t="shared" si="26"/>
        <v>1823990OTHR REG ASSET-N CST187415Reg Asset-UT Subscriber Solar ProgramOTHER</v>
      </c>
      <c r="B873" s="127">
        <v>1823990</v>
      </c>
      <c r="C873" s="128" t="s">
        <v>1288</v>
      </c>
      <c r="D873" s="127">
        <v>187415</v>
      </c>
      <c r="E873" s="128" t="s">
        <v>1349</v>
      </c>
      <c r="F873" s="127" t="s">
        <v>306</v>
      </c>
      <c r="H873" s="117" t="str">
        <f t="shared" si="27"/>
        <v>OTHER</v>
      </c>
      <c r="I873" s="113" t="s">
        <v>68</v>
      </c>
      <c r="J873"/>
    </row>
    <row r="874" spans="1:10">
      <c r="A874" s="114" t="str">
        <f t="shared" si="26"/>
        <v>1823990OTHR REG ASSET-N CST187470Reg A-WA Decoupling Mech Sep16-Jun17OTHER</v>
      </c>
      <c r="B874" s="127">
        <v>1823990</v>
      </c>
      <c r="C874" s="128" t="s">
        <v>1288</v>
      </c>
      <c r="D874" s="127">
        <v>187470</v>
      </c>
      <c r="E874" s="128" t="s">
        <v>1350</v>
      </c>
      <c r="F874" s="127" t="s">
        <v>306</v>
      </c>
      <c r="H874" s="117" t="str">
        <f t="shared" si="27"/>
        <v>OTHER</v>
      </c>
      <c r="I874" s="113" t="s">
        <v>68</v>
      </c>
      <c r="J874"/>
    </row>
    <row r="875" spans="1:10">
      <c r="A875" s="114" t="str">
        <f t="shared" si="26"/>
        <v>1823990OTHR REG ASSET-N CST187480Contra Reg A-WA Decoupling Sep16-Jun17OTHER</v>
      </c>
      <c r="B875" s="127">
        <v>1823990</v>
      </c>
      <c r="C875" s="128" t="s">
        <v>1288</v>
      </c>
      <c r="D875" s="127">
        <v>187480</v>
      </c>
      <c r="E875" s="128" t="s">
        <v>1351</v>
      </c>
      <c r="F875" s="127" t="s">
        <v>306</v>
      </c>
      <c r="H875" s="117" t="str">
        <f t="shared" si="27"/>
        <v>OTHER</v>
      </c>
      <c r="I875" s="113" t="s">
        <v>68</v>
      </c>
      <c r="J875"/>
    </row>
    <row r="876" spans="1:10">
      <c r="A876" s="114" t="str">
        <f t="shared" si="26"/>
        <v>1823990OTHR REG ASSET-N CST187489Reg A-WA Decoupling Mechanism-ReclassOTHER</v>
      </c>
      <c r="B876" s="127">
        <v>1823990</v>
      </c>
      <c r="C876" s="128" t="s">
        <v>1288</v>
      </c>
      <c r="D876" s="127">
        <v>187489</v>
      </c>
      <c r="E876" s="128" t="s">
        <v>1352</v>
      </c>
      <c r="F876" s="127" t="s">
        <v>306</v>
      </c>
      <c r="H876" s="117" t="str">
        <f t="shared" si="27"/>
        <v>OTHER</v>
      </c>
      <c r="I876" s="113" t="s">
        <v>68</v>
      </c>
      <c r="J876"/>
    </row>
    <row r="877" spans="1:10">
      <c r="A877" s="114" t="str">
        <f t="shared" si="26"/>
        <v>1823990OTHR REG ASSET-N CST187495RegA - Other - Recl to CurrOTHER</v>
      </c>
      <c r="B877" s="127">
        <v>1823990</v>
      </c>
      <c r="C877" s="128" t="s">
        <v>1288</v>
      </c>
      <c r="D877" s="127">
        <v>187495</v>
      </c>
      <c r="E877" s="128" t="s">
        <v>1353</v>
      </c>
      <c r="F877" s="127" t="s">
        <v>306</v>
      </c>
      <c r="H877" s="117" t="str">
        <f t="shared" si="27"/>
        <v>OTHER</v>
      </c>
      <c r="I877" s="113" t="s">
        <v>68</v>
      </c>
      <c r="J877"/>
    </row>
    <row r="878" spans="1:10">
      <c r="A878" s="114" t="str">
        <f t="shared" si="26"/>
        <v>1823990OTHR REG ASSET-N CST187630Reg Asset - UT EIM Expense DeferralOTHER</v>
      </c>
      <c r="B878" s="127">
        <v>1823990</v>
      </c>
      <c r="C878" s="128" t="s">
        <v>1288</v>
      </c>
      <c r="D878" s="127">
        <v>187630</v>
      </c>
      <c r="E878" s="128" t="s">
        <v>1354</v>
      </c>
      <c r="F878" s="127" t="s">
        <v>306</v>
      </c>
      <c r="H878" s="117" t="str">
        <f t="shared" si="27"/>
        <v>OTHER</v>
      </c>
      <c r="I878" s="113" t="s">
        <v>68</v>
      </c>
      <c r="J878"/>
    </row>
    <row r="879" spans="1:10">
      <c r="A879" s="114" t="str">
        <f t="shared" si="26"/>
        <v>1823990OTHR REG ASSET-N CST187631Contra Reg Asset - UT EIM  DeferralOTHER</v>
      </c>
      <c r="B879" s="127">
        <v>1823990</v>
      </c>
      <c r="C879" s="128" t="s">
        <v>1288</v>
      </c>
      <c r="D879" s="127">
        <v>187631</v>
      </c>
      <c r="E879" s="128" t="s">
        <v>1355</v>
      </c>
      <c r="F879" s="127" t="s">
        <v>306</v>
      </c>
      <c r="H879" s="117" t="str">
        <f t="shared" si="27"/>
        <v>OTHER</v>
      </c>
      <c r="I879" s="113" t="s">
        <v>68</v>
      </c>
      <c r="J879"/>
    </row>
    <row r="880" spans="1:10">
      <c r="A880" s="114" t="str">
        <f t="shared" si="26"/>
        <v>1823990OTHR REG ASSET-N CST187650Reg Asset - RPS Compliance PurchasesOTHER</v>
      </c>
      <c r="B880" s="127">
        <v>1823990</v>
      </c>
      <c r="C880" s="128" t="s">
        <v>1288</v>
      </c>
      <c r="D880" s="127">
        <v>187650</v>
      </c>
      <c r="E880" s="128" t="s">
        <v>529</v>
      </c>
      <c r="F880" s="127" t="s">
        <v>306</v>
      </c>
      <c r="H880" s="117" t="str">
        <f t="shared" si="27"/>
        <v>OTHER</v>
      </c>
      <c r="I880" s="113" t="s">
        <v>68</v>
      </c>
      <c r="J880"/>
    </row>
    <row r="881" spans="1:10">
      <c r="A881" s="114" t="str">
        <f t="shared" si="26"/>
        <v>1823990OTHR REG ASSET-N CST187805Reg Asset  - CA ECAC CY2015OTHER</v>
      </c>
      <c r="B881" s="127">
        <v>1823990</v>
      </c>
      <c r="C881" s="128" t="s">
        <v>1288</v>
      </c>
      <c r="D881" s="127">
        <v>187805</v>
      </c>
      <c r="E881" s="128" t="s">
        <v>1356</v>
      </c>
      <c r="F881" s="127" t="s">
        <v>306</v>
      </c>
      <c r="H881" s="117" t="str">
        <f t="shared" si="27"/>
        <v>OTHER</v>
      </c>
      <c r="I881" s="113" t="s">
        <v>68</v>
      </c>
      <c r="J881"/>
    </row>
    <row r="882" spans="1:10">
      <c r="A882" s="114" t="str">
        <f t="shared" si="26"/>
        <v>1823990OTHR REG ASSET-N CST187806Reg Asset  - CA ECAC CY2016OTHER</v>
      </c>
      <c r="B882" s="127">
        <v>1823990</v>
      </c>
      <c r="C882" s="128" t="s">
        <v>1288</v>
      </c>
      <c r="D882" s="127">
        <v>187806</v>
      </c>
      <c r="E882" s="128" t="s">
        <v>1357</v>
      </c>
      <c r="F882" s="127" t="s">
        <v>306</v>
      </c>
      <c r="H882" s="117" t="str">
        <f t="shared" si="27"/>
        <v>OTHER</v>
      </c>
      <c r="I882" s="113" t="s">
        <v>68</v>
      </c>
      <c r="J882"/>
    </row>
    <row r="883" spans="1:10">
      <c r="A883" s="114" t="str">
        <f t="shared" si="26"/>
        <v>1823990OTHR REG ASSET-N CST187825Reg Asset  - UT EBA CY2014OTHER</v>
      </c>
      <c r="B883" s="127">
        <v>1823990</v>
      </c>
      <c r="C883" s="128" t="s">
        <v>1288</v>
      </c>
      <c r="D883" s="127">
        <v>187825</v>
      </c>
      <c r="E883" s="128" t="s">
        <v>1358</v>
      </c>
      <c r="F883" s="127" t="s">
        <v>306</v>
      </c>
      <c r="H883" s="117" t="str">
        <f t="shared" si="27"/>
        <v>OTHER</v>
      </c>
      <c r="I883" s="113" t="s">
        <v>68</v>
      </c>
      <c r="J883"/>
    </row>
    <row r="884" spans="1:10">
      <c r="A884" s="114" t="str">
        <f t="shared" si="26"/>
        <v>1823990OTHR REG ASSET-N CST187826Reg Asset  - UT EBA CY2015OTHER</v>
      </c>
      <c r="B884" s="127">
        <v>1823990</v>
      </c>
      <c r="C884" s="128" t="s">
        <v>1288</v>
      </c>
      <c r="D884" s="127">
        <v>187826</v>
      </c>
      <c r="E884" s="128" t="s">
        <v>1359</v>
      </c>
      <c r="F884" s="127" t="s">
        <v>306</v>
      </c>
      <c r="H884" s="117" t="str">
        <f t="shared" si="27"/>
        <v>OTHER</v>
      </c>
      <c r="I884" s="113" t="s">
        <v>68</v>
      </c>
      <c r="J884"/>
    </row>
    <row r="885" spans="1:10">
      <c r="A885" s="114" t="str">
        <f t="shared" si="26"/>
        <v>1823990OTHR REG ASSET-N CST187827Reg Asset  - UT EBA CY2016OTHER</v>
      </c>
      <c r="B885" s="127">
        <v>1823990</v>
      </c>
      <c r="C885" s="128" t="s">
        <v>1288</v>
      </c>
      <c r="D885" s="127">
        <v>187827</v>
      </c>
      <c r="E885" s="128" t="s">
        <v>1360</v>
      </c>
      <c r="F885" s="127" t="s">
        <v>306</v>
      </c>
      <c r="H885" s="117" t="str">
        <f t="shared" si="27"/>
        <v>OTHER</v>
      </c>
      <c r="I885" s="113" t="s">
        <v>68</v>
      </c>
      <c r="J885"/>
    </row>
    <row r="886" spans="1:10">
      <c r="A886" s="114" t="str">
        <f t="shared" si="26"/>
        <v>1823990OTHR REG ASSET-N CST187828Reg Asset - UT EBA CY2017OTHER</v>
      </c>
      <c r="B886" s="127">
        <v>1823990</v>
      </c>
      <c r="C886" s="128" t="s">
        <v>1288</v>
      </c>
      <c r="D886" s="127">
        <v>187828</v>
      </c>
      <c r="E886" s="128" t="s">
        <v>1361</v>
      </c>
      <c r="F886" s="127" t="s">
        <v>306</v>
      </c>
      <c r="H886" s="117" t="str">
        <f t="shared" si="27"/>
        <v>OTHER</v>
      </c>
      <c r="I886" s="113" t="s">
        <v>68</v>
      </c>
      <c r="J886"/>
    </row>
    <row r="887" spans="1:10">
      <c r="A887" s="114" t="str">
        <f t="shared" si="26"/>
        <v>1823990OTHR REG ASSET-N CST187835Reg Asset  - UT RBA CY2014OTHER</v>
      </c>
      <c r="B887" s="127">
        <v>1823990</v>
      </c>
      <c r="C887" s="128" t="s">
        <v>1288</v>
      </c>
      <c r="D887" s="127">
        <v>187835</v>
      </c>
      <c r="E887" s="128" t="s">
        <v>1362</v>
      </c>
      <c r="F887" s="127" t="s">
        <v>306</v>
      </c>
      <c r="H887" s="117" t="str">
        <f t="shared" si="27"/>
        <v>OTHER</v>
      </c>
      <c r="I887" s="113" t="s">
        <v>68</v>
      </c>
      <c r="J887"/>
    </row>
    <row r="888" spans="1:10">
      <c r="A888" s="114" t="str">
        <f t="shared" si="26"/>
        <v>1823990OTHR REG ASSET-N CST187836Reg Asset  - UT RBA CY2015OTHER</v>
      </c>
      <c r="B888" s="127">
        <v>1823990</v>
      </c>
      <c r="C888" s="128" t="s">
        <v>1288</v>
      </c>
      <c r="D888" s="127">
        <v>187836</v>
      </c>
      <c r="E888" s="128" t="s">
        <v>1363</v>
      </c>
      <c r="F888" s="127" t="s">
        <v>306</v>
      </c>
      <c r="H888" s="117" t="str">
        <f t="shared" si="27"/>
        <v>OTHER</v>
      </c>
      <c r="I888" s="113" t="s">
        <v>68</v>
      </c>
      <c r="J888"/>
    </row>
    <row r="889" spans="1:10">
      <c r="A889" s="114" t="str">
        <f t="shared" si="26"/>
        <v>1823990OTHR REG ASSET-N CST187837Reg Asset  - UT RBA CY2016OTHER</v>
      </c>
      <c r="B889" s="127">
        <v>1823990</v>
      </c>
      <c r="C889" s="128" t="s">
        <v>1288</v>
      </c>
      <c r="D889" s="127">
        <v>187837</v>
      </c>
      <c r="E889" s="128" t="s">
        <v>1364</v>
      </c>
      <c r="F889" s="127" t="s">
        <v>306</v>
      </c>
      <c r="H889" s="117" t="str">
        <f t="shared" si="27"/>
        <v>OTHER</v>
      </c>
      <c r="I889" s="113" t="s">
        <v>68</v>
      </c>
      <c r="J889"/>
    </row>
    <row r="890" spans="1:10">
      <c r="A890" s="114" t="str">
        <f t="shared" si="26"/>
        <v>1823990OTHR REG ASSET-N CST187838Reg Asset - UT RBA CY2017OTHER</v>
      </c>
      <c r="B890" s="127">
        <v>1823990</v>
      </c>
      <c r="C890" s="128" t="s">
        <v>1288</v>
      </c>
      <c r="D890" s="127">
        <v>187838</v>
      </c>
      <c r="E890" s="128" t="s">
        <v>1365</v>
      </c>
      <c r="F890" s="127" t="s">
        <v>306</v>
      </c>
      <c r="H890" s="117" t="str">
        <f t="shared" si="27"/>
        <v>OTHER</v>
      </c>
      <c r="I890" s="113" t="s">
        <v>68</v>
      </c>
      <c r="J890"/>
    </row>
    <row r="891" spans="1:10">
      <c r="A891" s="114" t="str">
        <f t="shared" si="26"/>
        <v>1823990OTHR REG ASSET-N CST187846Contra Reg Asset - UT EBA CY2015OTHER</v>
      </c>
      <c r="B891" s="127">
        <v>1823990</v>
      </c>
      <c r="C891" s="128" t="s">
        <v>1288</v>
      </c>
      <c r="D891" s="127">
        <v>187846</v>
      </c>
      <c r="E891" s="128" t="s">
        <v>1366</v>
      </c>
      <c r="F891" s="127" t="s">
        <v>306</v>
      </c>
      <c r="H891" s="117" t="str">
        <f t="shared" si="27"/>
        <v>OTHER</v>
      </c>
      <c r="I891" s="113" t="s">
        <v>68</v>
      </c>
      <c r="J891"/>
    </row>
    <row r="892" spans="1:10">
      <c r="A892" s="114" t="str">
        <f t="shared" si="26"/>
        <v>1823990OTHR REG ASSET-N CST187847Contra Reg Asset - UT EBA CY2016OTHER</v>
      </c>
      <c r="B892" s="127">
        <v>1823990</v>
      </c>
      <c r="C892" s="128" t="s">
        <v>1288</v>
      </c>
      <c r="D892" s="127">
        <v>187847</v>
      </c>
      <c r="E892" s="128" t="s">
        <v>1367</v>
      </c>
      <c r="F892" s="127" t="s">
        <v>306</v>
      </c>
      <c r="H892" s="117" t="str">
        <f t="shared" si="27"/>
        <v>OTHER</v>
      </c>
      <c r="I892" s="113" t="s">
        <v>68</v>
      </c>
      <c r="J892"/>
    </row>
    <row r="893" spans="1:10">
      <c r="A893" s="114" t="str">
        <f t="shared" si="26"/>
        <v>1823990OTHR REG ASSET-N CST187848Contra Reg Asset - UT EBA CY2017OTHER</v>
      </c>
      <c r="B893" s="127">
        <v>1823990</v>
      </c>
      <c r="C893" s="128" t="s">
        <v>1288</v>
      </c>
      <c r="D893" s="127">
        <v>187848</v>
      </c>
      <c r="E893" s="128" t="s">
        <v>1368</v>
      </c>
      <c r="F893" s="127" t="s">
        <v>306</v>
      </c>
      <c r="H893" s="117" t="str">
        <f t="shared" si="27"/>
        <v>OTHER</v>
      </c>
      <c r="I893" s="113" t="s">
        <v>68</v>
      </c>
      <c r="J893"/>
    </row>
    <row r="894" spans="1:10">
      <c r="A894" s="114" t="str">
        <f t="shared" si="26"/>
        <v>1823990OTHR REG ASSET-N CST187855Reg Asset  - WY ECAM CY2015OTHER</v>
      </c>
      <c r="B894" s="127">
        <v>1823990</v>
      </c>
      <c r="C894" s="128" t="s">
        <v>1288</v>
      </c>
      <c r="D894" s="127">
        <v>187855</v>
      </c>
      <c r="E894" s="128" t="s">
        <v>1369</v>
      </c>
      <c r="F894" s="127" t="s">
        <v>306</v>
      </c>
      <c r="H894" s="117" t="str">
        <f t="shared" si="27"/>
        <v>OTHER</v>
      </c>
      <c r="I894" s="113" t="s">
        <v>68</v>
      </c>
      <c r="J894"/>
    </row>
    <row r="895" spans="1:10">
      <c r="A895" s="114" t="str">
        <f t="shared" si="26"/>
        <v>1823990OTHR REG ASSET-N CST187856Reg Asset  - WY ECAM CY2016OTHER</v>
      </c>
      <c r="B895" s="127">
        <v>1823990</v>
      </c>
      <c r="C895" s="128" t="s">
        <v>1288</v>
      </c>
      <c r="D895" s="127">
        <v>187856</v>
      </c>
      <c r="E895" s="128" t="s">
        <v>1370</v>
      </c>
      <c r="F895" s="127" t="s">
        <v>306</v>
      </c>
      <c r="H895" s="117" t="str">
        <f t="shared" si="27"/>
        <v>OTHER</v>
      </c>
      <c r="I895" s="113" t="s">
        <v>68</v>
      </c>
      <c r="J895"/>
    </row>
    <row r="896" spans="1:10">
      <c r="A896" s="114" t="str">
        <f t="shared" si="26"/>
        <v>1823990OTHR REG ASSET-N CST187857Reg Asset - WY ECAM CY2017OTHER</v>
      </c>
      <c r="B896" s="127">
        <v>1823990</v>
      </c>
      <c r="C896" s="128" t="s">
        <v>1288</v>
      </c>
      <c r="D896" s="127">
        <v>187857</v>
      </c>
      <c r="E896" s="128" t="s">
        <v>1371</v>
      </c>
      <c r="F896" s="127" t="s">
        <v>306</v>
      </c>
      <c r="H896" s="117" t="str">
        <f t="shared" si="27"/>
        <v>OTHER</v>
      </c>
      <c r="I896" s="113" t="s">
        <v>68</v>
      </c>
      <c r="J896"/>
    </row>
    <row r="897" spans="1:10">
      <c r="A897" s="114" t="str">
        <f t="shared" si="26"/>
        <v>1823990OTHR REG ASSET-N CST187865Reg Asset  - WY RRA CY2015OTHER</v>
      </c>
      <c r="B897" s="127">
        <v>1823990</v>
      </c>
      <c r="C897" s="128" t="s">
        <v>1288</v>
      </c>
      <c r="D897" s="127">
        <v>187865</v>
      </c>
      <c r="E897" s="128" t="s">
        <v>1372</v>
      </c>
      <c r="F897" s="127" t="s">
        <v>306</v>
      </c>
      <c r="H897" s="117" t="str">
        <f t="shared" si="27"/>
        <v>OTHER</v>
      </c>
      <c r="I897" s="113" t="s">
        <v>68</v>
      </c>
      <c r="J897"/>
    </row>
    <row r="898" spans="1:10">
      <c r="A898" s="114" t="str">
        <f t="shared" si="26"/>
        <v>1823990OTHR REG ASSET-N CST187866Reg Asset  - WY RRA CY2016OTHER</v>
      </c>
      <c r="B898" s="127">
        <v>1823990</v>
      </c>
      <c r="C898" s="128" t="s">
        <v>1288</v>
      </c>
      <c r="D898" s="127">
        <v>187866</v>
      </c>
      <c r="E898" s="128" t="s">
        <v>1373</v>
      </c>
      <c r="F898" s="127" t="s">
        <v>306</v>
      </c>
      <c r="H898" s="117" t="str">
        <f t="shared" si="27"/>
        <v>OTHER</v>
      </c>
      <c r="I898" s="113" t="s">
        <v>68</v>
      </c>
      <c r="J898"/>
    </row>
    <row r="899" spans="1:10">
      <c r="A899" s="114" t="str">
        <f t="shared" ref="A899:A962" si="28">CONCATENATE($B899,$C899,$D899,$E899,$H899)</f>
        <v>1823990OTHR REG ASSET-N CST187867Reg Asset - WY RRA CY2017OTHER</v>
      </c>
      <c r="B899" s="127">
        <v>1823990</v>
      </c>
      <c r="C899" s="128" t="s">
        <v>1288</v>
      </c>
      <c r="D899" s="127">
        <v>187867</v>
      </c>
      <c r="E899" s="128" t="s">
        <v>1374</v>
      </c>
      <c r="F899" s="127" t="s">
        <v>306</v>
      </c>
      <c r="H899" s="117" t="str">
        <f t="shared" ref="H899:H962" si="29">IF(OR(F899="IDU",F899="OR",F899="UT",F899="WYU",F899="WYP",F899="CA",F899="WA"),"SITUS",F899)</f>
        <v>OTHER</v>
      </c>
      <c r="I899" s="113" t="s">
        <v>68</v>
      </c>
      <c r="J899"/>
    </row>
    <row r="900" spans="1:10">
      <c r="A900" s="114" t="str">
        <f t="shared" si="28"/>
        <v>1823990OTHR REG ASSET-N CST187875Contra Reg Asset - WY ECAM CY2015OTHER</v>
      </c>
      <c r="B900" s="127">
        <v>1823990</v>
      </c>
      <c r="C900" s="128" t="s">
        <v>1288</v>
      </c>
      <c r="D900" s="127">
        <v>187875</v>
      </c>
      <c r="E900" s="128" t="s">
        <v>1375</v>
      </c>
      <c r="F900" s="127" t="s">
        <v>306</v>
      </c>
      <c r="H900" s="117" t="str">
        <f t="shared" si="29"/>
        <v>OTHER</v>
      </c>
      <c r="I900" s="113" t="s">
        <v>68</v>
      </c>
      <c r="J900"/>
    </row>
    <row r="901" spans="1:10">
      <c r="A901" s="114" t="str">
        <f t="shared" si="28"/>
        <v>1823990OTHR REG ASSET-N CST187876CONTRA REG ASSET - WY ECAM CY2016OTHER</v>
      </c>
      <c r="B901" s="127">
        <v>1823990</v>
      </c>
      <c r="C901" s="128" t="s">
        <v>1288</v>
      </c>
      <c r="D901" s="127">
        <v>187876</v>
      </c>
      <c r="E901" s="128" t="s">
        <v>1376</v>
      </c>
      <c r="F901" s="127" t="s">
        <v>306</v>
      </c>
      <c r="H901" s="117" t="str">
        <f t="shared" si="29"/>
        <v>OTHER</v>
      </c>
      <c r="I901" s="113" t="s">
        <v>68</v>
      </c>
      <c r="J901"/>
    </row>
    <row r="902" spans="1:10">
      <c r="A902" s="114" t="str">
        <f t="shared" si="28"/>
        <v>1823990OTHR REG ASSET-N CST187878Contra Reg Asset - WY ECAM CY2017OTHER</v>
      </c>
      <c r="B902" s="127">
        <v>1823990</v>
      </c>
      <c r="C902" s="128" t="s">
        <v>1288</v>
      </c>
      <c r="D902" s="127">
        <v>187878</v>
      </c>
      <c r="E902" s="128" t="s">
        <v>1377</v>
      </c>
      <c r="F902" s="127" t="s">
        <v>306</v>
      </c>
      <c r="H902" s="117" t="str">
        <f t="shared" si="29"/>
        <v>OTHER</v>
      </c>
      <c r="I902" s="113" t="s">
        <v>68</v>
      </c>
      <c r="J902"/>
    </row>
    <row r="903" spans="1:10">
      <c r="A903" s="114" t="str">
        <f t="shared" si="28"/>
        <v>1823990OTHR REG ASSET-N CST187886Reg Asset-OR RPS Compliance PurchasesOTHER</v>
      </c>
      <c r="B903" s="127">
        <v>1823990</v>
      </c>
      <c r="C903" s="128" t="s">
        <v>1288</v>
      </c>
      <c r="D903" s="127">
        <v>187886</v>
      </c>
      <c r="E903" s="128" t="s">
        <v>1378</v>
      </c>
      <c r="F903" s="127" t="s">
        <v>306</v>
      </c>
      <c r="H903" s="117" t="str">
        <f t="shared" si="29"/>
        <v>OTHER</v>
      </c>
      <c r="I903" s="113" t="s">
        <v>68</v>
      </c>
      <c r="J903"/>
    </row>
    <row r="904" spans="1:10">
      <c r="A904" s="114" t="str">
        <f t="shared" si="28"/>
        <v>1823990OTHR REG ASSET-N CST187888RegA - WA RECs in Rates - Recl to CurrOTHER</v>
      </c>
      <c r="B904" s="127">
        <v>1823990</v>
      </c>
      <c r="C904" s="128" t="s">
        <v>1288</v>
      </c>
      <c r="D904" s="127">
        <v>187888</v>
      </c>
      <c r="E904" s="128" t="s">
        <v>1379</v>
      </c>
      <c r="F904" s="127" t="s">
        <v>306</v>
      </c>
      <c r="H904" s="117" t="str">
        <f t="shared" si="29"/>
        <v>OTHER</v>
      </c>
      <c r="I904" s="113" t="s">
        <v>68</v>
      </c>
      <c r="J904"/>
    </row>
    <row r="905" spans="1:10">
      <c r="A905" s="114" t="str">
        <f t="shared" si="28"/>
        <v>1823990OTHR REG ASSET-N CST187889RegA - WA RECs in Rates - Balance ReclOTHER</v>
      </c>
      <c r="B905" s="127">
        <v>1823990</v>
      </c>
      <c r="C905" s="128" t="s">
        <v>1288</v>
      </c>
      <c r="D905" s="127">
        <v>187889</v>
      </c>
      <c r="E905" s="128" t="s">
        <v>1380</v>
      </c>
      <c r="F905" s="127" t="s">
        <v>306</v>
      </c>
      <c r="H905" s="117" t="str">
        <f t="shared" si="29"/>
        <v>OTHER</v>
      </c>
      <c r="I905" s="113" t="s">
        <v>68</v>
      </c>
      <c r="J905"/>
    </row>
    <row r="906" spans="1:10">
      <c r="A906" s="114" t="str">
        <f t="shared" si="28"/>
        <v>1823990OTHR REG ASSET-N CST187892Deferral of Excess RECs in Rates - WAOTHER</v>
      </c>
      <c r="B906" s="127">
        <v>1823990</v>
      </c>
      <c r="C906" s="128" t="s">
        <v>1288</v>
      </c>
      <c r="D906" s="127">
        <v>187892</v>
      </c>
      <c r="E906" s="128" t="s">
        <v>1381</v>
      </c>
      <c r="F906" s="127" t="s">
        <v>306</v>
      </c>
      <c r="H906" s="117" t="str">
        <f t="shared" si="29"/>
        <v>OTHER</v>
      </c>
      <c r="I906" s="113" t="s">
        <v>68</v>
      </c>
      <c r="J906"/>
    </row>
    <row r="907" spans="1:10">
      <c r="A907" s="114" t="str">
        <f t="shared" si="28"/>
        <v>1823990OTHR REG ASSET-N CST187895RegA - OR RECs in Rates - Balance ReclOTHER</v>
      </c>
      <c r="B907" s="127">
        <v>1823990</v>
      </c>
      <c r="C907" s="128" t="s">
        <v>1288</v>
      </c>
      <c r="D907" s="127">
        <v>187895</v>
      </c>
      <c r="E907" s="128" t="s">
        <v>1382</v>
      </c>
      <c r="F907" s="127" t="s">
        <v>306</v>
      </c>
      <c r="H907" s="117" t="str">
        <f t="shared" si="29"/>
        <v>OTHER</v>
      </c>
      <c r="I907" s="113" t="s">
        <v>68</v>
      </c>
      <c r="J907"/>
    </row>
    <row r="908" spans="1:10">
      <c r="A908" s="114" t="str">
        <f t="shared" si="28"/>
        <v>1823990OTHR REG ASSET-N CST187896RegA - UT RECs in Rates - Recl to CurrOTHER</v>
      </c>
      <c r="B908" s="127">
        <v>1823990</v>
      </c>
      <c r="C908" s="128" t="s">
        <v>1288</v>
      </c>
      <c r="D908" s="127">
        <v>187896</v>
      </c>
      <c r="E908" s="128" t="s">
        <v>1383</v>
      </c>
      <c r="F908" s="127" t="s">
        <v>306</v>
      </c>
      <c r="H908" s="117" t="str">
        <f t="shared" si="29"/>
        <v>OTHER</v>
      </c>
      <c r="I908" s="113" t="s">
        <v>68</v>
      </c>
      <c r="J908"/>
    </row>
    <row r="909" spans="1:10">
      <c r="A909" s="114" t="str">
        <f t="shared" si="28"/>
        <v>1823990OTHR REG ASSET-N CST187897RegA - UT RECs in Rates - Recl to LiabOTHER</v>
      </c>
      <c r="B909" s="127">
        <v>1823990</v>
      </c>
      <c r="C909" s="128" t="s">
        <v>1288</v>
      </c>
      <c r="D909" s="127">
        <v>187897</v>
      </c>
      <c r="E909" s="128" t="s">
        <v>1384</v>
      </c>
      <c r="F909" s="127" t="s">
        <v>306</v>
      </c>
      <c r="H909" s="117" t="str">
        <f t="shared" si="29"/>
        <v>OTHER</v>
      </c>
      <c r="I909" s="113" t="s">
        <v>68</v>
      </c>
      <c r="J909"/>
    </row>
    <row r="910" spans="1:10">
      <c r="A910" s="114" t="str">
        <f t="shared" si="28"/>
        <v>1823990OTHR REG ASSET-N CST187898RegA - Def RECs in Rates - Recl to CurrOTHER</v>
      </c>
      <c r="B910" s="127">
        <v>1823990</v>
      </c>
      <c r="C910" s="128" t="s">
        <v>1288</v>
      </c>
      <c r="D910" s="127">
        <v>187898</v>
      </c>
      <c r="E910" s="128" t="s">
        <v>1385</v>
      </c>
      <c r="F910" s="127" t="s">
        <v>306</v>
      </c>
      <c r="H910" s="117" t="str">
        <f t="shared" si="29"/>
        <v>OTHER</v>
      </c>
      <c r="I910" s="113" t="s">
        <v>68</v>
      </c>
      <c r="J910"/>
    </row>
    <row r="911" spans="1:10">
      <c r="A911" s="114" t="str">
        <f t="shared" si="28"/>
        <v>1823990OTHR REG ASSET-N CST187899RegA - WY RECs in Rates - Recl to LiabOTHER</v>
      </c>
      <c r="B911" s="127">
        <v>1823990</v>
      </c>
      <c r="C911" s="128" t="s">
        <v>1288</v>
      </c>
      <c r="D911" s="127">
        <v>187899</v>
      </c>
      <c r="E911" s="128" t="s">
        <v>1386</v>
      </c>
      <c r="F911" s="127" t="s">
        <v>306</v>
      </c>
      <c r="H911" s="117" t="str">
        <f t="shared" si="29"/>
        <v>OTHER</v>
      </c>
      <c r="I911" s="113" t="s">
        <v>68</v>
      </c>
      <c r="J911"/>
    </row>
    <row r="912" spans="1:10">
      <c r="A912" s="114" t="str">
        <f t="shared" si="28"/>
        <v>1823990OTHR REG ASSET-N CST187911REG ASSET - LAKE SIDE LIQ. DAMAGES - WYSITUS</v>
      </c>
      <c r="B912" s="127">
        <v>1823990</v>
      </c>
      <c r="C912" s="128" t="s">
        <v>1288</v>
      </c>
      <c r="D912" s="127">
        <v>187911</v>
      </c>
      <c r="E912" s="128" t="s">
        <v>1387</v>
      </c>
      <c r="F912" s="127" t="s">
        <v>12</v>
      </c>
      <c r="H912" s="117" t="str">
        <f t="shared" si="29"/>
        <v>SITUS</v>
      </c>
      <c r="I912" s="113" t="s">
        <v>68</v>
      </c>
      <c r="J912"/>
    </row>
    <row r="913" spans="1:10">
      <c r="A913" s="114" t="str">
        <f t="shared" si="28"/>
        <v>1823990OTHR REG ASSET-N CST187912CONTRA - REGULATORY ASSETSSITUS</v>
      </c>
      <c r="B913" s="127">
        <v>1823990</v>
      </c>
      <c r="C913" s="128" t="s">
        <v>1288</v>
      </c>
      <c r="D913" s="127">
        <v>187912</v>
      </c>
      <c r="E913" s="128" t="s">
        <v>1388</v>
      </c>
      <c r="F913" s="127" t="s">
        <v>12</v>
      </c>
      <c r="H913" s="117" t="str">
        <f t="shared" si="29"/>
        <v>SITUS</v>
      </c>
      <c r="I913" s="113" t="s">
        <v>68</v>
      </c>
      <c r="J913"/>
    </row>
    <row r="914" spans="1:10">
      <c r="A914" s="114" t="str">
        <f t="shared" si="28"/>
        <v>1823990OTHR REG ASSET-N CST187913Reg Asset - Goodnoe Hills Liq. Damages -SITUS</v>
      </c>
      <c r="B914" s="127">
        <v>1823990</v>
      </c>
      <c r="C914" s="128" t="s">
        <v>1288</v>
      </c>
      <c r="D914" s="127">
        <v>187913</v>
      </c>
      <c r="E914" s="128" t="s">
        <v>1389</v>
      </c>
      <c r="F914" s="127" t="s">
        <v>12</v>
      </c>
      <c r="H914" s="117" t="str">
        <f t="shared" si="29"/>
        <v>SITUS</v>
      </c>
      <c r="I914" s="113" t="s">
        <v>68</v>
      </c>
      <c r="J914"/>
    </row>
    <row r="915" spans="1:10">
      <c r="A915" s="114" t="str">
        <f t="shared" si="28"/>
        <v>1823990OTHR REG ASSET-N CST187914"Reg Asset-UT-Liq. Damages JB4, N1&amp;2"SITUS</v>
      </c>
      <c r="B915" s="127">
        <v>1823990</v>
      </c>
      <c r="C915" s="128" t="s">
        <v>1288</v>
      </c>
      <c r="D915" s="127">
        <v>187914</v>
      </c>
      <c r="E915" s="128" t="s">
        <v>1390</v>
      </c>
      <c r="F915" s="127" t="s">
        <v>12</v>
      </c>
      <c r="H915" s="117" t="str">
        <f t="shared" si="29"/>
        <v>SITUS</v>
      </c>
      <c r="I915" s="113" t="s">
        <v>68</v>
      </c>
      <c r="J915"/>
    </row>
    <row r="916" spans="1:10">
      <c r="A916" s="114" t="str">
        <f t="shared" si="28"/>
        <v>1823990OTHR REG ASSET-N CST187915Reg Asset-WY-Liq. Damages N2SITUS</v>
      </c>
      <c r="B916" s="127">
        <v>1823990</v>
      </c>
      <c r="C916" s="128" t="s">
        <v>1288</v>
      </c>
      <c r="D916" s="127">
        <v>187915</v>
      </c>
      <c r="E916" s="128" t="s">
        <v>1391</v>
      </c>
      <c r="F916" s="127" t="s">
        <v>12</v>
      </c>
      <c r="H916" s="117" t="str">
        <f t="shared" si="29"/>
        <v>SITUS</v>
      </c>
      <c r="I916" s="113" t="s">
        <v>68</v>
      </c>
      <c r="J916"/>
    </row>
    <row r="917" spans="1:10">
      <c r="A917" s="114" t="str">
        <f t="shared" si="28"/>
        <v>1823990OTHR REG ASSET-N CST187952DEFERRED INTERVENEROTHER</v>
      </c>
      <c r="B917" s="127">
        <v>1823990</v>
      </c>
      <c r="C917" s="128" t="s">
        <v>1288</v>
      </c>
      <c r="D917" s="127">
        <v>187952</v>
      </c>
      <c r="E917" s="128" t="s">
        <v>1392</v>
      </c>
      <c r="F917" s="127" t="s">
        <v>306</v>
      </c>
      <c r="H917" s="117" t="str">
        <f t="shared" si="29"/>
        <v>OTHER</v>
      </c>
      <c r="I917" s="113" t="s">
        <v>92</v>
      </c>
      <c r="J917"/>
    </row>
    <row r="918" spans="1:10">
      <c r="A918" s="114" t="str">
        <f t="shared" si="28"/>
        <v>1823990OTHR REG ASSET-N CST187956CA DEFERRED INTERVENOR FUNDINGOTHER</v>
      </c>
      <c r="B918" s="127">
        <v>1823990</v>
      </c>
      <c r="C918" s="128" t="s">
        <v>1288</v>
      </c>
      <c r="D918" s="127">
        <v>187956</v>
      </c>
      <c r="E918" s="128" t="s">
        <v>1393</v>
      </c>
      <c r="F918" s="127" t="s">
        <v>306</v>
      </c>
      <c r="H918" s="117" t="str">
        <f t="shared" si="29"/>
        <v>OTHER</v>
      </c>
      <c r="I918" s="113" t="s">
        <v>74</v>
      </c>
      <c r="J918"/>
    </row>
    <row r="919" spans="1:10">
      <c r="A919" s="114" t="str">
        <f t="shared" si="28"/>
        <v>1823990OTHR REG ASSET-N CST187958ID Deferred Intervenor FundingSITUS</v>
      </c>
      <c r="B919" s="127">
        <v>1823990</v>
      </c>
      <c r="C919" s="128" t="s">
        <v>1288</v>
      </c>
      <c r="D919" s="127">
        <v>187958</v>
      </c>
      <c r="E919" s="128" t="s">
        <v>1394</v>
      </c>
      <c r="F919" s="127" t="s">
        <v>12</v>
      </c>
      <c r="H919" s="117" t="str">
        <f t="shared" si="29"/>
        <v>SITUS</v>
      </c>
      <c r="I919" s="113" t="s">
        <v>74</v>
      </c>
      <c r="J919"/>
    </row>
    <row r="920" spans="1:10">
      <c r="A920" s="114" t="str">
        <f t="shared" si="28"/>
        <v>1823990OTHR REG ASSET-N CST187967RegA - OR Asset Sale Gain-Balance ReclOTHER</v>
      </c>
      <c r="B920" s="127">
        <v>1823990</v>
      </c>
      <c r="C920" s="128" t="s">
        <v>1288</v>
      </c>
      <c r="D920" s="127">
        <v>187967</v>
      </c>
      <c r="E920" s="128" t="s">
        <v>1395</v>
      </c>
      <c r="F920" s="127" t="s">
        <v>306</v>
      </c>
      <c r="H920" s="117" t="str">
        <f t="shared" si="29"/>
        <v>OTHER</v>
      </c>
      <c r="I920" s="113" t="s">
        <v>68</v>
      </c>
      <c r="J920"/>
    </row>
    <row r="921" spans="1:10">
      <c r="A921" s="114" t="str">
        <f t="shared" si="28"/>
        <v>1823990OTHR REG ASSET-N CST187968Reg A - Insurance Reserves - ReclassOTHER</v>
      </c>
      <c r="B921" s="127">
        <v>1823990</v>
      </c>
      <c r="C921" s="128" t="s">
        <v>1288</v>
      </c>
      <c r="D921" s="127">
        <v>187968</v>
      </c>
      <c r="E921" s="128" t="s">
        <v>1396</v>
      </c>
      <c r="F921" s="127" t="s">
        <v>306</v>
      </c>
      <c r="H921" s="117" t="str">
        <f t="shared" si="29"/>
        <v>OTHER</v>
      </c>
      <c r="I921" s="113" t="s">
        <v>102</v>
      </c>
      <c r="J921"/>
    </row>
    <row r="922" spans="1:10">
      <c r="A922" s="114" t="str">
        <f t="shared" si="28"/>
        <v>1823990OTHR REG ASSET-N CST187973Contra Reg Asset - CA ECAC CY2015OTHER</v>
      </c>
      <c r="B922" s="127">
        <v>1823990</v>
      </c>
      <c r="C922" s="128" t="s">
        <v>1288</v>
      </c>
      <c r="D922" s="127">
        <v>187973</v>
      </c>
      <c r="E922" s="128" t="s">
        <v>1397</v>
      </c>
      <c r="F922" s="127" t="s">
        <v>306</v>
      </c>
      <c r="H922" s="117" t="str">
        <f t="shared" si="29"/>
        <v>OTHER</v>
      </c>
      <c r="I922" s="113" t="s">
        <v>68</v>
      </c>
      <c r="J922"/>
    </row>
    <row r="923" spans="1:10">
      <c r="A923" s="114" t="str">
        <f t="shared" si="28"/>
        <v>1823990OTHR REG ASSET-N CST187974Contra Reg Asset - CA ECAC CY2016OTHER</v>
      </c>
      <c r="B923" s="127">
        <v>1823990</v>
      </c>
      <c r="C923" s="128" t="s">
        <v>1288</v>
      </c>
      <c r="D923" s="127">
        <v>187974</v>
      </c>
      <c r="E923" s="128" t="s">
        <v>1398</v>
      </c>
      <c r="F923" s="127" t="s">
        <v>306</v>
      </c>
      <c r="H923" s="117" t="str">
        <f t="shared" si="29"/>
        <v>OTHER</v>
      </c>
      <c r="I923" s="113" t="s">
        <v>68</v>
      </c>
      <c r="J923"/>
    </row>
    <row r="924" spans="1:10">
      <c r="A924" s="114" t="str">
        <f t="shared" si="28"/>
        <v>1823990OTHR REG ASSET-N CST187975Reg Asset - CA ECACOTHER</v>
      </c>
      <c r="B924" s="127">
        <v>1823990</v>
      </c>
      <c r="C924" s="128" t="s">
        <v>1288</v>
      </c>
      <c r="D924" s="127">
        <v>187975</v>
      </c>
      <c r="E924" s="128" t="s">
        <v>1399</v>
      </c>
      <c r="F924" s="127" t="s">
        <v>306</v>
      </c>
      <c r="H924" s="117" t="str">
        <f t="shared" si="29"/>
        <v>OTHER</v>
      </c>
      <c r="I924" s="113" t="s">
        <v>68</v>
      </c>
      <c r="J924"/>
    </row>
    <row r="925" spans="1:10">
      <c r="A925" s="114" t="str">
        <f t="shared" si="28"/>
        <v>1823990OTHR REG ASSET-N CST187976Reg Asset - CA ECAC CY2017OTHER</v>
      </c>
      <c r="B925" s="127">
        <v>1823990</v>
      </c>
      <c r="C925" s="128" t="s">
        <v>1288</v>
      </c>
      <c r="D925" s="127">
        <v>187976</v>
      </c>
      <c r="E925" s="128" t="s">
        <v>1400</v>
      </c>
      <c r="F925" s="127" t="s">
        <v>306</v>
      </c>
      <c r="H925" s="117" t="str">
        <f t="shared" si="29"/>
        <v>OTHER</v>
      </c>
      <c r="I925" s="113" t="s">
        <v>68</v>
      </c>
      <c r="J925"/>
    </row>
    <row r="926" spans="1:10">
      <c r="A926" s="114" t="str">
        <f t="shared" si="28"/>
        <v>1823990OTHR REG ASSET-N CST187977Contra Reg Asset - CA ECAC CY2017OTHER</v>
      </c>
      <c r="B926" s="127">
        <v>1823990</v>
      </c>
      <c r="C926" s="128" t="s">
        <v>1288</v>
      </c>
      <c r="D926" s="127">
        <v>187977</v>
      </c>
      <c r="E926" s="128" t="s">
        <v>1401</v>
      </c>
      <c r="F926" s="127" t="s">
        <v>306</v>
      </c>
      <c r="H926" s="117" t="str">
        <f t="shared" si="29"/>
        <v>OTHER</v>
      </c>
      <c r="I926" s="113" t="s">
        <v>68</v>
      </c>
      <c r="J926"/>
    </row>
    <row r="927" spans="1:10">
      <c r="A927" s="114" t="str">
        <f t="shared" si="28"/>
        <v>1823990OTHR REG ASSET-N CST189528RegA - CA Def Exc NPC - Recl to CurrOTHER</v>
      </c>
      <c r="B927" s="127">
        <v>1823990</v>
      </c>
      <c r="C927" s="128" t="s">
        <v>1288</v>
      </c>
      <c r="D927" s="127">
        <v>189528</v>
      </c>
      <c r="E927" s="128" t="s">
        <v>1402</v>
      </c>
      <c r="F927" s="127" t="s">
        <v>306</v>
      </c>
      <c r="H927" s="117" t="str">
        <f t="shared" si="29"/>
        <v>OTHER</v>
      </c>
      <c r="I927" s="113" t="s">
        <v>68</v>
      </c>
      <c r="J927"/>
    </row>
    <row r="928" spans="1:10">
      <c r="A928" s="114" t="str">
        <f t="shared" si="28"/>
        <v>1823990OTHR REG ASSET-N CST189530Reg Asset  - ID ECAM Dec14-Nov15OTHER</v>
      </c>
      <c r="B928" s="127">
        <v>1823990</v>
      </c>
      <c r="C928" s="128" t="s">
        <v>1288</v>
      </c>
      <c r="D928" s="127">
        <v>189530</v>
      </c>
      <c r="E928" s="128" t="s">
        <v>1403</v>
      </c>
      <c r="F928" s="127" t="s">
        <v>306</v>
      </c>
      <c r="H928" s="117" t="str">
        <f t="shared" si="29"/>
        <v>OTHER</v>
      </c>
      <c r="I928" s="113" t="s">
        <v>68</v>
      </c>
      <c r="J928"/>
    </row>
    <row r="929" spans="1:10">
      <c r="A929" s="114" t="str">
        <f t="shared" si="28"/>
        <v>1823990OTHR REG ASSET-N CST189531Reg Asset  - ID ECAM Dec15-Dec16OTHER</v>
      </c>
      <c r="B929" s="127">
        <v>1823990</v>
      </c>
      <c r="C929" s="128" t="s">
        <v>1288</v>
      </c>
      <c r="D929" s="127">
        <v>189531</v>
      </c>
      <c r="E929" s="128" t="s">
        <v>1404</v>
      </c>
      <c r="F929" s="127" t="s">
        <v>306</v>
      </c>
      <c r="H929" s="117" t="str">
        <f t="shared" si="29"/>
        <v>OTHER</v>
      </c>
      <c r="I929" s="113" t="s">
        <v>68</v>
      </c>
      <c r="J929"/>
    </row>
    <row r="930" spans="1:10">
      <c r="A930" s="114" t="str">
        <f t="shared" si="28"/>
        <v>1823990OTHR REG ASSET-N CST189532Reg Asset  - ID ECAM CY 2017OTHER</v>
      </c>
      <c r="B930" s="127">
        <v>1823990</v>
      </c>
      <c r="C930" s="128" t="s">
        <v>1288</v>
      </c>
      <c r="D930" s="127">
        <v>189532</v>
      </c>
      <c r="E930" s="128" t="s">
        <v>1405</v>
      </c>
      <c r="F930" s="127" t="s">
        <v>306</v>
      </c>
      <c r="H930" s="117" t="str">
        <f t="shared" si="29"/>
        <v>OTHER</v>
      </c>
      <c r="I930" s="113" t="s">
        <v>68</v>
      </c>
      <c r="J930"/>
    </row>
    <row r="931" spans="1:10">
      <c r="A931" s="114" t="str">
        <f t="shared" si="28"/>
        <v>1823990OTHR REG ASSET-N CST189541Contra Reg Asset - ID ECAM Dec15-Dec16OTHER</v>
      </c>
      <c r="B931" s="127">
        <v>1823990</v>
      </c>
      <c r="C931" s="128" t="s">
        <v>1288</v>
      </c>
      <c r="D931" s="127">
        <v>189541</v>
      </c>
      <c r="E931" s="128" t="s">
        <v>1406</v>
      </c>
      <c r="F931" s="127" t="s">
        <v>306</v>
      </c>
      <c r="H931" s="117" t="str">
        <f t="shared" si="29"/>
        <v>OTHER</v>
      </c>
      <c r="I931" s="113" t="s">
        <v>68</v>
      </c>
      <c r="J931"/>
    </row>
    <row r="932" spans="1:10">
      <c r="A932" s="114" t="str">
        <f t="shared" si="28"/>
        <v>1823990OTHR REG ASSET-N CST189542Contra Reg Asset - ID ECAM CY 2017OTHER</v>
      </c>
      <c r="B932" s="127">
        <v>1823990</v>
      </c>
      <c r="C932" s="128" t="s">
        <v>1288</v>
      </c>
      <c r="D932" s="127">
        <v>189542</v>
      </c>
      <c r="E932" s="128" t="s">
        <v>1407</v>
      </c>
      <c r="F932" s="127" t="s">
        <v>306</v>
      </c>
      <c r="H932" s="117" t="str">
        <f t="shared" si="29"/>
        <v>OTHER</v>
      </c>
      <c r="I932" s="113" t="s">
        <v>68</v>
      </c>
      <c r="J932"/>
    </row>
    <row r="933" spans="1:10">
      <c r="A933" s="114" t="str">
        <f t="shared" si="28"/>
        <v>1823990OTHR REG ASSET-N CST189568RegA - ID Def Exc NPC - Recl to CurrOTHER</v>
      </c>
      <c r="B933" s="127">
        <v>1823990</v>
      </c>
      <c r="C933" s="128" t="s">
        <v>1288</v>
      </c>
      <c r="D933" s="127">
        <v>189568</v>
      </c>
      <c r="E933" s="128" t="s">
        <v>1408</v>
      </c>
      <c r="F933" s="127" t="s">
        <v>306</v>
      </c>
      <c r="H933" s="117" t="str">
        <f t="shared" si="29"/>
        <v>OTHER</v>
      </c>
      <c r="I933" s="113" t="s">
        <v>68</v>
      </c>
      <c r="J933"/>
    </row>
    <row r="934" spans="1:10">
      <c r="A934" s="114" t="str">
        <f t="shared" si="28"/>
        <v>1823990OTHR REG ASSET-N CST189638RegA - UT Def Exc NPC - Recl to CurrOTHER</v>
      </c>
      <c r="B934" s="127">
        <v>1823990</v>
      </c>
      <c r="C934" s="128" t="s">
        <v>1288</v>
      </c>
      <c r="D934" s="127">
        <v>189638</v>
      </c>
      <c r="E934" s="128" t="s">
        <v>1409</v>
      </c>
      <c r="F934" s="127" t="s">
        <v>306</v>
      </c>
      <c r="H934" s="117" t="str">
        <f t="shared" si="29"/>
        <v>OTHER</v>
      </c>
      <c r="I934" s="113" t="s">
        <v>68</v>
      </c>
      <c r="J934"/>
    </row>
    <row r="935" spans="1:10">
      <c r="A935" s="114" t="str">
        <f t="shared" si="28"/>
        <v>1823990OTHR REG ASSET-N CST189639RegA - UT Def Exc NPC - Recl to LiabOTHER</v>
      </c>
      <c r="B935" s="127">
        <v>1823990</v>
      </c>
      <c r="C935" s="128" t="s">
        <v>1288</v>
      </c>
      <c r="D935" s="127">
        <v>189639</v>
      </c>
      <c r="E935" s="128" t="s">
        <v>1410</v>
      </c>
      <c r="F935" s="127" t="s">
        <v>306</v>
      </c>
      <c r="H935" s="117" t="str">
        <f t="shared" si="29"/>
        <v>OTHER</v>
      </c>
      <c r="I935" s="113" t="s">
        <v>68</v>
      </c>
      <c r="J935"/>
    </row>
    <row r="936" spans="1:10">
      <c r="A936" s="114" t="str">
        <f t="shared" si="28"/>
        <v>1823990OTHR REG ASSET-N CST189649RegA - WA Def Exc NPC - Recl to LiabOTHER</v>
      </c>
      <c r="B936" s="127">
        <v>1823990</v>
      </c>
      <c r="C936" s="128" t="s">
        <v>1288</v>
      </c>
      <c r="D936" s="127">
        <v>189649</v>
      </c>
      <c r="E936" s="128" t="s">
        <v>1411</v>
      </c>
      <c r="F936" s="127" t="s">
        <v>306</v>
      </c>
      <c r="H936" s="117" t="str">
        <f t="shared" si="29"/>
        <v>OTHER</v>
      </c>
      <c r="I936" s="113" t="s">
        <v>68</v>
      </c>
      <c r="J936"/>
    </row>
    <row r="937" spans="1:10">
      <c r="A937" s="114" t="str">
        <f t="shared" si="28"/>
        <v>1823990OTHR REG ASSET-N CST189688RegA - WY Def Exc NPC - Recl to CurrOTHER</v>
      </c>
      <c r="B937" s="127">
        <v>1823990</v>
      </c>
      <c r="C937" s="128" t="s">
        <v>1288</v>
      </c>
      <c r="D937" s="127">
        <v>189688</v>
      </c>
      <c r="E937" s="128" t="s">
        <v>1412</v>
      </c>
      <c r="F937" s="127" t="s">
        <v>306</v>
      </c>
      <c r="H937" s="117" t="str">
        <f t="shared" si="29"/>
        <v>OTHER</v>
      </c>
      <c r="I937" s="113" t="s">
        <v>68</v>
      </c>
      <c r="J937"/>
    </row>
    <row r="938" spans="1:10">
      <c r="A938" s="114" t="str">
        <f t="shared" si="28"/>
        <v>1823990OTHR REG ASSET-N CST189689RegA - WY Def Exc NPC - Recl to LiabOTHER</v>
      </c>
      <c r="B938" s="127">
        <v>1823990</v>
      </c>
      <c r="C938" s="128" t="s">
        <v>1288</v>
      </c>
      <c r="D938" s="127">
        <v>189689</v>
      </c>
      <c r="E938" s="128" t="s">
        <v>1413</v>
      </c>
      <c r="F938" s="127" t="s">
        <v>306</v>
      </c>
      <c r="H938" s="117" t="str">
        <f t="shared" si="29"/>
        <v>OTHER</v>
      </c>
      <c r="I938" s="113" t="s">
        <v>68</v>
      </c>
      <c r="J938"/>
    </row>
    <row r="939" spans="1:10">
      <c r="A939" s="114" t="str">
        <f t="shared" si="28"/>
        <v>1823990OTHR REG ASSET-N CST288712Reg Liab - OR Property Insurance ReserveSITUS</v>
      </c>
      <c r="B939" s="127">
        <v>1823990</v>
      </c>
      <c r="C939" s="128" t="s">
        <v>1288</v>
      </c>
      <c r="D939" s="127">
        <v>288712</v>
      </c>
      <c r="E939" s="128" t="s">
        <v>1414</v>
      </c>
      <c r="F939" s="127" t="s">
        <v>12</v>
      </c>
      <c r="H939" s="117" t="str">
        <f t="shared" si="29"/>
        <v>SITUS</v>
      </c>
      <c r="I939" s="113" t="s">
        <v>68</v>
      </c>
      <c r="J939"/>
    </row>
    <row r="940" spans="1:10">
      <c r="A940" s="114" t="str">
        <f t="shared" si="28"/>
        <v>1823993OTH REG ASSET-NON CO187060CHOLLA PLANT TRANSACTION COSTS-ORSITUS</v>
      </c>
      <c r="B940" s="127">
        <v>1823993</v>
      </c>
      <c r="C940" s="128" t="s">
        <v>1415</v>
      </c>
      <c r="D940" s="127">
        <v>187060</v>
      </c>
      <c r="E940" s="128" t="s">
        <v>1416</v>
      </c>
      <c r="F940" s="127" t="s">
        <v>12</v>
      </c>
      <c r="H940" s="117" t="str">
        <f t="shared" si="29"/>
        <v>SITUS</v>
      </c>
      <c r="I940" s="113" t="s">
        <v>68</v>
      </c>
      <c r="J940"/>
    </row>
    <row r="941" spans="1:10">
      <c r="A941" s="114" t="str">
        <f t="shared" si="28"/>
        <v>1823994OTH REG ASSET-NON CO187061CHOLLA PLANT TRANSACTION COSTS-WASITUS</v>
      </c>
      <c r="B941" s="127">
        <v>1823994</v>
      </c>
      <c r="C941" s="128" t="s">
        <v>1415</v>
      </c>
      <c r="D941" s="127">
        <v>187061</v>
      </c>
      <c r="E941" s="128" t="s">
        <v>1417</v>
      </c>
      <c r="F941" s="127" t="s">
        <v>12</v>
      </c>
      <c r="H941" s="117" t="str">
        <f t="shared" si="29"/>
        <v>SITUS</v>
      </c>
      <c r="I941" s="113" t="s">
        <v>68</v>
      </c>
      <c r="J941"/>
    </row>
    <row r="942" spans="1:10">
      <c r="A942" s="114" t="str">
        <f t="shared" si="28"/>
        <v>1823995OTH REG ASSET-NON CO187062CHOLLA PLANT TRANSACTION COSTS-IDSITUS</v>
      </c>
      <c r="B942" s="127">
        <v>1823995</v>
      </c>
      <c r="C942" s="128" t="s">
        <v>1415</v>
      </c>
      <c r="D942" s="127">
        <v>187062</v>
      </c>
      <c r="E942" s="128" t="s">
        <v>1418</v>
      </c>
      <c r="F942" s="127" t="s">
        <v>12</v>
      </c>
      <c r="H942" s="117" t="str">
        <f t="shared" si="29"/>
        <v>SITUS</v>
      </c>
      <c r="I942" s="113" t="s">
        <v>68</v>
      </c>
      <c r="J942"/>
    </row>
    <row r="943" spans="1:10">
      <c r="A943" s="114" t="str">
        <f t="shared" si="28"/>
        <v>1823999REGULATORY ASST-OTH186001DSM Regulatory Assets-AccrualsOTHER</v>
      </c>
      <c r="B943" s="127">
        <v>1823999</v>
      </c>
      <c r="C943" s="128" t="s">
        <v>1419</v>
      </c>
      <c r="D943" s="127">
        <v>186001</v>
      </c>
      <c r="E943" s="128" t="s">
        <v>1420</v>
      </c>
      <c r="F943" s="127" t="s">
        <v>306</v>
      </c>
      <c r="H943" s="117" t="str">
        <f t="shared" si="29"/>
        <v>OTHER</v>
      </c>
      <c r="I943" s="113" t="s">
        <v>68</v>
      </c>
      <c r="J943"/>
    </row>
    <row r="944" spans="1:10">
      <c r="A944" s="114" t="str">
        <f t="shared" si="28"/>
        <v>1823999REGULATORY ASST-OTH186011DSM Reg Asset - Accruals - CAOTHER</v>
      </c>
      <c r="B944" s="127">
        <v>1823999</v>
      </c>
      <c r="C944" s="128" t="s">
        <v>1419</v>
      </c>
      <c r="D944" s="127">
        <v>186011</v>
      </c>
      <c r="E944" s="128" t="s">
        <v>1421</v>
      </c>
      <c r="F944" s="127" t="s">
        <v>306</v>
      </c>
      <c r="H944" s="117" t="str">
        <f t="shared" si="29"/>
        <v>OTHER</v>
      </c>
      <c r="I944" s="113" t="s">
        <v>68</v>
      </c>
      <c r="J944"/>
    </row>
    <row r="945" spans="1:10">
      <c r="A945" s="114" t="str">
        <f t="shared" si="28"/>
        <v>1823999REGULATORY ASST-OTH186015DSM Reg Asset - Balancing Acct - CAOTHER</v>
      </c>
      <c r="B945" s="127">
        <v>1823999</v>
      </c>
      <c r="C945" s="128" t="s">
        <v>1419</v>
      </c>
      <c r="D945" s="127">
        <v>186015</v>
      </c>
      <c r="E945" s="128" t="s">
        <v>1422</v>
      </c>
      <c r="F945" s="127" t="s">
        <v>306</v>
      </c>
      <c r="H945" s="117" t="str">
        <f t="shared" si="29"/>
        <v>OTHER</v>
      </c>
      <c r="I945" s="113" t="s">
        <v>68</v>
      </c>
      <c r="J945"/>
    </row>
    <row r="946" spans="1:10">
      <c r="A946" s="114" t="str">
        <f t="shared" si="28"/>
        <v>1823999REGULATORY ASST-OTH186021DSM Reg Asset - Accruals - IDOTHER</v>
      </c>
      <c r="B946" s="127">
        <v>1823999</v>
      </c>
      <c r="C946" s="128" t="s">
        <v>1419</v>
      </c>
      <c r="D946" s="127">
        <v>186021</v>
      </c>
      <c r="E946" s="128" t="s">
        <v>1423</v>
      </c>
      <c r="F946" s="127" t="s">
        <v>306</v>
      </c>
      <c r="H946" s="117" t="str">
        <f t="shared" si="29"/>
        <v>OTHER</v>
      </c>
      <c r="I946" s="113" t="s">
        <v>68</v>
      </c>
      <c r="J946"/>
    </row>
    <row r="947" spans="1:10">
      <c r="A947" s="114" t="str">
        <f t="shared" si="28"/>
        <v>1823999REGULATORY ASST-OTH186025DSM Reg Asset - Balancing Acct - IDOTHER</v>
      </c>
      <c r="B947" s="127">
        <v>1823999</v>
      </c>
      <c r="C947" s="128" t="s">
        <v>1419</v>
      </c>
      <c r="D947" s="127">
        <v>186025</v>
      </c>
      <c r="E947" s="128" t="s">
        <v>1424</v>
      </c>
      <c r="F947" s="127" t="s">
        <v>306</v>
      </c>
      <c r="H947" s="117" t="str">
        <f t="shared" si="29"/>
        <v>OTHER</v>
      </c>
      <c r="I947" s="113" t="s">
        <v>68</v>
      </c>
      <c r="J947"/>
    </row>
    <row r="948" spans="1:10">
      <c r="A948" s="114" t="str">
        <f t="shared" si="28"/>
        <v>1823999REGULATORY ASST-OTH186035DSM Reg Asset - Balancing Acct - OROTHER</v>
      </c>
      <c r="B948" s="127">
        <v>1823999</v>
      </c>
      <c r="C948" s="128" t="s">
        <v>1419</v>
      </c>
      <c r="D948" s="127">
        <v>186035</v>
      </c>
      <c r="E948" s="128" t="s">
        <v>1425</v>
      </c>
      <c r="F948" s="127" t="s">
        <v>306</v>
      </c>
      <c r="H948" s="117" t="str">
        <f t="shared" si="29"/>
        <v>OTHER</v>
      </c>
      <c r="I948" s="113" t="s">
        <v>68</v>
      </c>
      <c r="J948"/>
    </row>
    <row r="949" spans="1:10">
      <c r="A949" s="114" t="str">
        <f t="shared" si="28"/>
        <v>1823999REGULATORY ASST-OTH186041DSM Reg Asset - Accruals - UTOTHER</v>
      </c>
      <c r="B949" s="127">
        <v>1823999</v>
      </c>
      <c r="C949" s="128" t="s">
        <v>1419</v>
      </c>
      <c r="D949" s="127">
        <v>186041</v>
      </c>
      <c r="E949" s="128" t="s">
        <v>1426</v>
      </c>
      <c r="F949" s="127" t="s">
        <v>306</v>
      </c>
      <c r="H949" s="117" t="str">
        <f t="shared" si="29"/>
        <v>OTHER</v>
      </c>
      <c r="I949" s="113" t="s">
        <v>68</v>
      </c>
      <c r="J949"/>
    </row>
    <row r="950" spans="1:10">
      <c r="A950" s="114" t="str">
        <f t="shared" si="28"/>
        <v>1823999REGULATORY ASST-OTH186045DSM Reg Asset - Balancing Acct - UTOTHER</v>
      </c>
      <c r="B950" s="127">
        <v>1823999</v>
      </c>
      <c r="C950" s="128" t="s">
        <v>1419</v>
      </c>
      <c r="D950" s="127">
        <v>186045</v>
      </c>
      <c r="E950" s="128" t="s">
        <v>1427</v>
      </c>
      <c r="F950" s="127" t="s">
        <v>306</v>
      </c>
      <c r="H950" s="117" t="str">
        <f t="shared" si="29"/>
        <v>OTHER</v>
      </c>
      <c r="I950" s="113" t="s">
        <v>68</v>
      </c>
      <c r="J950"/>
    </row>
    <row r="951" spans="1:10">
      <c r="A951" s="114" t="str">
        <f t="shared" si="28"/>
        <v>1823999REGULATORY ASST-OTH186051DSM Reg Asset - Accruals - WAOTHER</v>
      </c>
      <c r="B951" s="127">
        <v>1823999</v>
      </c>
      <c r="C951" s="128" t="s">
        <v>1419</v>
      </c>
      <c r="D951" s="127">
        <v>186051</v>
      </c>
      <c r="E951" s="128" t="s">
        <v>1428</v>
      </c>
      <c r="F951" s="127" t="s">
        <v>306</v>
      </c>
      <c r="H951" s="117" t="str">
        <f t="shared" si="29"/>
        <v>OTHER</v>
      </c>
      <c r="I951" s="113" t="s">
        <v>68</v>
      </c>
      <c r="J951"/>
    </row>
    <row r="952" spans="1:10">
      <c r="A952" s="114" t="str">
        <f t="shared" si="28"/>
        <v>1823999REGULATORY ASST-OTH186055DSM Reg Asset - Balancing Acct - WAOTHER</v>
      </c>
      <c r="B952" s="127">
        <v>1823999</v>
      </c>
      <c r="C952" s="128" t="s">
        <v>1419</v>
      </c>
      <c r="D952" s="127">
        <v>186055</v>
      </c>
      <c r="E952" s="128" t="s">
        <v>1429</v>
      </c>
      <c r="F952" s="127" t="s">
        <v>306</v>
      </c>
      <c r="H952" s="117" t="str">
        <f t="shared" si="29"/>
        <v>OTHER</v>
      </c>
      <c r="I952" s="113" t="s">
        <v>68</v>
      </c>
      <c r="J952"/>
    </row>
    <row r="953" spans="1:10">
      <c r="A953" s="114" t="str">
        <f t="shared" si="28"/>
        <v>1823999REGULATORY ASST-OTH186061DSM Reg Asset - Accruals - WYOTHER</v>
      </c>
      <c r="B953" s="127">
        <v>1823999</v>
      </c>
      <c r="C953" s="128" t="s">
        <v>1419</v>
      </c>
      <c r="D953" s="127">
        <v>186061</v>
      </c>
      <c r="E953" s="128" t="s">
        <v>1430</v>
      </c>
      <c r="F953" s="127" t="s">
        <v>306</v>
      </c>
      <c r="H953" s="117" t="str">
        <f t="shared" si="29"/>
        <v>OTHER</v>
      </c>
      <c r="I953" s="113" t="s">
        <v>68</v>
      </c>
      <c r="J953"/>
    </row>
    <row r="954" spans="1:10">
      <c r="A954" s="114" t="str">
        <f t="shared" si="28"/>
        <v>1823999REGULATORY ASST-OTH186065DSM Reg Asset - Balancing Acct - WYOTHER</v>
      </c>
      <c r="B954" s="127">
        <v>1823999</v>
      </c>
      <c r="C954" s="128" t="s">
        <v>1419</v>
      </c>
      <c r="D954" s="127">
        <v>186065</v>
      </c>
      <c r="E954" s="128" t="s">
        <v>1431</v>
      </c>
      <c r="F954" s="127" t="s">
        <v>306</v>
      </c>
      <c r="H954" s="117" t="str">
        <f t="shared" si="29"/>
        <v>OTHER</v>
      </c>
      <c r="I954" s="113" t="s">
        <v>68</v>
      </c>
      <c r="J954"/>
    </row>
    <row r="955" spans="1:10">
      <c r="A955" s="114" t="str">
        <f t="shared" si="28"/>
        <v>1823870DEFERRED PENSION187649Reg Asset-FAS 158 Post-Ret - ReclassSO</v>
      </c>
      <c r="B955" s="127">
        <v>1823870</v>
      </c>
      <c r="C955" s="128" t="s">
        <v>631</v>
      </c>
      <c r="D955" s="127">
        <v>187649</v>
      </c>
      <c r="E955" s="128" t="s">
        <v>1432</v>
      </c>
      <c r="F955" s="127" t="s">
        <v>89</v>
      </c>
      <c r="H955" s="117" t="str">
        <f t="shared" si="29"/>
        <v>SO</v>
      </c>
      <c r="I955" s="113" t="s">
        <v>102</v>
      </c>
      <c r="J955"/>
    </row>
    <row r="956" spans="1:10">
      <c r="A956" s="114" t="str">
        <f t="shared" si="28"/>
        <v>1823910ENVIR CST UNDR AMORT104143Hunter Fuel Oil Spills - 2017SO</v>
      </c>
      <c r="B956" s="127">
        <v>1823910</v>
      </c>
      <c r="C956" s="128" t="s">
        <v>644</v>
      </c>
      <c r="D956" s="127">
        <v>104143</v>
      </c>
      <c r="E956" s="128" t="s">
        <v>1433</v>
      </c>
      <c r="F956" s="127" t="s">
        <v>89</v>
      </c>
      <c r="H956" s="117" t="str">
        <f t="shared" si="29"/>
        <v>SO</v>
      </c>
      <c r="I956" s="113" t="s">
        <v>100</v>
      </c>
      <c r="J956"/>
    </row>
    <row r="957" spans="1:10">
      <c r="A957" s="114" t="str">
        <f t="shared" si="28"/>
        <v>1823910ENVIR CST UNDR AMORT104144Naughton Oil SpillSO</v>
      </c>
      <c r="B957" s="127">
        <v>1823910</v>
      </c>
      <c r="C957" s="128" t="s">
        <v>644</v>
      </c>
      <c r="D957" s="127">
        <v>104144</v>
      </c>
      <c r="E957" s="128" t="s">
        <v>1434</v>
      </c>
      <c r="F957" s="127" t="s">
        <v>89</v>
      </c>
      <c r="H957" s="117" t="str">
        <f t="shared" si="29"/>
        <v>SO</v>
      </c>
      <c r="I957" s="113" t="s">
        <v>100</v>
      </c>
      <c r="J957"/>
    </row>
    <row r="958" spans="1:10">
      <c r="A958" s="114" t="str">
        <f t="shared" si="28"/>
        <v>1823910ENVIR CST UNDR AMORT104175Ririe SubstationSO</v>
      </c>
      <c r="B958" s="127">
        <v>1823910</v>
      </c>
      <c r="C958" s="128" t="s">
        <v>644</v>
      </c>
      <c r="D958" s="127">
        <v>104175</v>
      </c>
      <c r="E958" s="128" t="s">
        <v>1435</v>
      </c>
      <c r="F958" s="127" t="s">
        <v>89</v>
      </c>
      <c r="H958" s="117" t="str">
        <f t="shared" si="29"/>
        <v>SO</v>
      </c>
      <c r="I958" s="113" t="s">
        <v>100</v>
      </c>
      <c r="J958"/>
    </row>
    <row r="959" spans="1:10">
      <c r="A959" s="114" t="str">
        <f t="shared" si="28"/>
        <v>1823910ENVIR CST UNDR AMORT104177Bridger Plant - FGD Pond 1SO</v>
      </c>
      <c r="B959" s="127">
        <v>1823910</v>
      </c>
      <c r="C959" s="128" t="s">
        <v>644</v>
      </c>
      <c r="D959" s="127">
        <v>104177</v>
      </c>
      <c r="E959" s="128" t="s">
        <v>1436</v>
      </c>
      <c r="F959" s="127" t="s">
        <v>89</v>
      </c>
      <c r="H959" s="117" t="str">
        <f t="shared" si="29"/>
        <v>SO</v>
      </c>
      <c r="I959" s="113" t="s">
        <v>100</v>
      </c>
      <c r="J959"/>
    </row>
    <row r="960" spans="1:10">
      <c r="A960" s="114" t="str">
        <f t="shared" si="28"/>
        <v>1823910ENVIR CST UNDR AMORT104199Naughton Plant - FGD Pond 1SO</v>
      </c>
      <c r="B960" s="127">
        <v>1823910</v>
      </c>
      <c r="C960" s="128" t="s">
        <v>644</v>
      </c>
      <c r="D960" s="127">
        <v>104199</v>
      </c>
      <c r="E960" s="128" t="s">
        <v>1437</v>
      </c>
      <c r="F960" s="127" t="s">
        <v>89</v>
      </c>
      <c r="H960" s="117" t="str">
        <f t="shared" si="29"/>
        <v>SO</v>
      </c>
      <c r="I960" s="113" t="s">
        <v>100</v>
      </c>
      <c r="J960"/>
    </row>
    <row r="961" spans="1:10">
      <c r="A961" s="114" t="str">
        <f t="shared" si="28"/>
        <v>1823990OTHR REG ASSET-N CST186159Reg Asset - DSM - WA - Balance ReclassOTHER</v>
      </c>
      <c r="B961" s="127">
        <v>1823990</v>
      </c>
      <c r="C961" s="128" t="s">
        <v>1288</v>
      </c>
      <c r="D961" s="127">
        <v>186159</v>
      </c>
      <c r="E961" s="128" t="s">
        <v>1438</v>
      </c>
      <c r="F961" s="127" t="s">
        <v>306</v>
      </c>
      <c r="H961" s="117" t="str">
        <f t="shared" si="29"/>
        <v>OTHER</v>
      </c>
      <c r="I961" s="113" t="s">
        <v>74</v>
      </c>
      <c r="J961"/>
    </row>
    <row r="962" spans="1:10">
      <c r="A962" s="114" t="str">
        <f t="shared" si="28"/>
        <v>1823990OTHR REG ASSET-N CST187378Reg Asset-OR Solar Feed-In Tariff 2018OTHER</v>
      </c>
      <c r="B962" s="127">
        <v>1823990</v>
      </c>
      <c r="C962" s="128" t="s">
        <v>1288</v>
      </c>
      <c r="D962" s="127">
        <v>187378</v>
      </c>
      <c r="E962" s="128" t="s">
        <v>1440</v>
      </c>
      <c r="F962" s="127" t="s">
        <v>306</v>
      </c>
      <c r="H962" s="117" t="str">
        <f t="shared" si="29"/>
        <v>OTHER</v>
      </c>
      <c r="I962" s="113" t="s">
        <v>68</v>
      </c>
      <c r="J962"/>
    </row>
    <row r="963" spans="1:10">
      <c r="A963" s="114" t="str">
        <f t="shared" ref="A963:A1026" si="30">CONCATENATE($B963,$C963,$D963,$E963,$H963)</f>
        <v>1823990OTHR REG ASSET-N CST187471Reg A-WA Decoupling Mech Jul17-Jun18OTHER</v>
      </c>
      <c r="B963" s="127">
        <v>1823990</v>
      </c>
      <c r="C963" s="128" t="s">
        <v>1288</v>
      </c>
      <c r="D963" s="127">
        <v>187471</v>
      </c>
      <c r="E963" s="128" t="s">
        <v>1441</v>
      </c>
      <c r="F963" s="127" t="s">
        <v>306</v>
      </c>
      <c r="H963" s="117" t="str">
        <f t="shared" ref="H963:H1026" si="31">IF(OR(F963="IDU",F963="OR",F963="UT",F963="WYU",F963="WYP",F963="CA",F963="WA"),"SITUS",F963)</f>
        <v>OTHER</v>
      </c>
      <c r="I963" s="113" t="s">
        <v>68</v>
      </c>
      <c r="J963"/>
    </row>
    <row r="964" spans="1:10">
      <c r="A964" s="114" t="str">
        <f t="shared" si="30"/>
        <v>1823990OTHR REG ASSET-N CST187481Contra Reg A-WA Decoupling Jul17-Jun18OTHER</v>
      </c>
      <c r="B964" s="127">
        <v>1823990</v>
      </c>
      <c r="C964" s="128" t="s">
        <v>1288</v>
      </c>
      <c r="D964" s="127">
        <v>187481</v>
      </c>
      <c r="E964" s="128" t="s">
        <v>1442</v>
      </c>
      <c r="F964" s="127" t="s">
        <v>306</v>
      </c>
      <c r="H964" s="117" t="str">
        <f t="shared" si="31"/>
        <v>OTHER</v>
      </c>
      <c r="I964" s="113" t="s">
        <v>68</v>
      </c>
      <c r="J964"/>
    </row>
    <row r="965" spans="1:10">
      <c r="A965" s="114" t="str">
        <f t="shared" si="30"/>
        <v>1823990OTHR REG ASSET-N CST187858Reg Asset - WY ECAM CY2018OTHER</v>
      </c>
      <c r="B965" s="127">
        <v>1823990</v>
      </c>
      <c r="C965" s="128" t="s">
        <v>1288</v>
      </c>
      <c r="D965" s="127">
        <v>187858</v>
      </c>
      <c r="E965" s="128" t="s">
        <v>1443</v>
      </c>
      <c r="F965" s="127" t="s">
        <v>306</v>
      </c>
      <c r="H965" s="117" t="str">
        <f t="shared" si="31"/>
        <v>OTHER</v>
      </c>
      <c r="I965" s="113" t="s">
        <v>68</v>
      </c>
      <c r="J965"/>
    </row>
    <row r="966" spans="1:10">
      <c r="A966" s="114" t="str">
        <f t="shared" si="30"/>
        <v>1823990OTHR REG ASSET-N CST187877Contra Reg Asset - WY ECAM CY2018OTHER</v>
      </c>
      <c r="B966" s="127">
        <v>1823990</v>
      </c>
      <c r="C966" s="128" t="s">
        <v>1288</v>
      </c>
      <c r="D966" s="127">
        <v>187877</v>
      </c>
      <c r="E966" s="128" t="s">
        <v>1444</v>
      </c>
      <c r="F966" s="127" t="s">
        <v>306</v>
      </c>
      <c r="H966" s="117" t="str">
        <f t="shared" si="31"/>
        <v>OTHER</v>
      </c>
      <c r="I966" s="113" t="s">
        <v>68</v>
      </c>
      <c r="J966"/>
    </row>
    <row r="967" spans="1:10">
      <c r="A967" s="114" t="str">
        <f t="shared" si="30"/>
        <v>1823990OTHR REG ASSET-N CST187894RegA - OR RECs in Rates - Recl to CurrOTHER</v>
      </c>
      <c r="B967" s="127">
        <v>1823990</v>
      </c>
      <c r="C967" s="128" t="s">
        <v>1288</v>
      </c>
      <c r="D967" s="127">
        <v>187894</v>
      </c>
      <c r="E967" s="128" t="s">
        <v>1445</v>
      </c>
      <c r="F967" s="127" t="s">
        <v>306</v>
      </c>
      <c r="H967" s="117" t="str">
        <f t="shared" si="31"/>
        <v>OTHER</v>
      </c>
      <c r="I967" s="113" t="s">
        <v>68</v>
      </c>
      <c r="J967"/>
    </row>
    <row r="968" spans="1:10">
      <c r="A968" s="114" t="str">
        <f t="shared" si="30"/>
        <v>1823990OTHR REG ASSET-N CST187955Defd UT Ind Eval FeeSITUS</v>
      </c>
      <c r="B968" s="127">
        <v>1823990</v>
      </c>
      <c r="C968" s="128" t="s">
        <v>1288</v>
      </c>
      <c r="D968" s="127">
        <v>187955</v>
      </c>
      <c r="E968" s="128" t="s">
        <v>1446</v>
      </c>
      <c r="F968" s="127" t="s">
        <v>370</v>
      </c>
      <c r="H968" s="117" t="str">
        <f t="shared" si="31"/>
        <v>SITUS</v>
      </c>
      <c r="I968" s="113" t="s">
        <v>74</v>
      </c>
      <c r="J968"/>
    </row>
    <row r="969" spans="1:10">
      <c r="A969" s="114" t="str">
        <f t="shared" si="30"/>
        <v>1823990OTHR REG ASSET-N CST187957DEFERRED OR INDEPENDENT EVALUATOR FEESOTHER</v>
      </c>
      <c r="B969" s="127">
        <v>1823990</v>
      </c>
      <c r="C969" s="128" t="s">
        <v>1288</v>
      </c>
      <c r="D969" s="127">
        <v>187957</v>
      </c>
      <c r="E969" s="128" t="s">
        <v>1447</v>
      </c>
      <c r="F969" s="127" t="s">
        <v>306</v>
      </c>
      <c r="H969" s="117" t="str">
        <f t="shared" si="31"/>
        <v>OTHER</v>
      </c>
      <c r="I969" s="113" t="s">
        <v>74</v>
      </c>
      <c r="J969"/>
    </row>
    <row r="970" spans="1:10">
      <c r="A970" s="114" t="str">
        <f t="shared" si="30"/>
        <v>1823990OTHR REG ASSET-N CST187964RegA - Intervenor Fees - Recl to LiabOTHER</v>
      </c>
      <c r="B970" s="127">
        <v>1823990</v>
      </c>
      <c r="C970" s="128" t="s">
        <v>1288</v>
      </c>
      <c r="D970" s="127">
        <v>187964</v>
      </c>
      <c r="E970" s="128" t="s">
        <v>1448</v>
      </c>
      <c r="F970" s="127" t="s">
        <v>306</v>
      </c>
      <c r="H970" s="117" t="str">
        <f t="shared" si="31"/>
        <v>OTHER</v>
      </c>
      <c r="I970" s="113" t="s">
        <v>74</v>
      </c>
      <c r="J970"/>
    </row>
    <row r="971" spans="1:10">
      <c r="A971" s="114" t="str">
        <f t="shared" si="30"/>
        <v>1823990OTHR REG ASSET-N CST189608Reg Asset - UT EBA CY2018OTHER</v>
      </c>
      <c r="B971" s="127">
        <v>1823990</v>
      </c>
      <c r="C971" s="128" t="s">
        <v>1288</v>
      </c>
      <c r="D971" s="127">
        <v>189608</v>
      </c>
      <c r="E971" s="128" t="s">
        <v>1450</v>
      </c>
      <c r="F971" s="127" t="s">
        <v>306</v>
      </c>
      <c r="H971" s="117" t="str">
        <f t="shared" si="31"/>
        <v>OTHER</v>
      </c>
      <c r="I971" s="113" t="s">
        <v>68</v>
      </c>
      <c r="J971"/>
    </row>
    <row r="972" spans="1:10">
      <c r="A972" s="114" t="str">
        <f t="shared" si="30"/>
        <v>1823990OTHR REG ASSET-N CST189618Contra Reg Asset - UT EBA CY2018OTHER</v>
      </c>
      <c r="B972" s="127">
        <v>1823990</v>
      </c>
      <c r="C972" s="128" t="s">
        <v>1288</v>
      </c>
      <c r="D972" s="127">
        <v>189618</v>
      </c>
      <c r="E972" s="128" t="s">
        <v>1451</v>
      </c>
      <c r="F972" s="127" t="s">
        <v>306</v>
      </c>
      <c r="H972" s="117" t="str">
        <f t="shared" si="31"/>
        <v>OTHER</v>
      </c>
      <c r="I972" s="113" t="s">
        <v>68</v>
      </c>
      <c r="J972"/>
    </row>
    <row r="973" spans="1:10">
      <c r="A973" s="114" t="str">
        <f t="shared" si="30"/>
        <v>1823990OTHR REG ASSET-N CST530190Miscellaneous Contracts &amp; ServicesOTHER</v>
      </c>
      <c r="B973" s="127">
        <v>1823990</v>
      </c>
      <c r="C973" s="128" t="s">
        <v>1288</v>
      </c>
      <c r="D973" s="127">
        <v>530190</v>
      </c>
      <c r="E973" s="128" t="s">
        <v>1452</v>
      </c>
      <c r="F973" s="127" t="s">
        <v>306</v>
      </c>
      <c r="H973" s="117" t="str">
        <f t="shared" si="31"/>
        <v>OTHER</v>
      </c>
      <c r="I973" s="113" t="s">
        <v>68</v>
      </c>
      <c r="J973"/>
    </row>
    <row r="974" spans="1:10">
      <c r="A974" s="114" t="str">
        <f t="shared" si="30"/>
        <v>1823910ENVIR CST UNDR AMORT104197Bridger Plant - FGD Pond 1SO</v>
      </c>
      <c r="B974" s="127">
        <v>1823910</v>
      </c>
      <c r="C974" s="128" t="s">
        <v>644</v>
      </c>
      <c r="D974" s="127">
        <v>104197</v>
      </c>
      <c r="E974" s="128" t="s">
        <v>1436</v>
      </c>
      <c r="F974" s="127" t="s">
        <v>89</v>
      </c>
      <c r="H974" s="117" t="str">
        <f t="shared" si="31"/>
        <v>SO</v>
      </c>
      <c r="I974" s="113" t="s">
        <v>100</v>
      </c>
      <c r="J974"/>
    </row>
    <row r="975" spans="1:10">
      <c r="A975" s="114" t="str">
        <f t="shared" si="30"/>
        <v>1823910ENVIR CST UNDR AMORT104198Bridger Plant - FGD Pond 2SO</v>
      </c>
      <c r="B975" s="127">
        <v>1823910</v>
      </c>
      <c r="C975" s="128" t="s">
        <v>644</v>
      </c>
      <c r="D975" s="127">
        <v>104198</v>
      </c>
      <c r="E975" s="128" t="s">
        <v>1688</v>
      </c>
      <c r="F975" s="127" t="s">
        <v>89</v>
      </c>
      <c r="H975" s="117" t="str">
        <f t="shared" si="31"/>
        <v>SO</v>
      </c>
      <c r="I975" s="113" t="s">
        <v>100</v>
      </c>
    </row>
    <row r="976" spans="1:10">
      <c r="A976" s="114" t="str">
        <f t="shared" si="30"/>
        <v>1823999REGULATORY ASST-OTH186071DSM Reg Asset - Accruals - WY Cat 1OTHER</v>
      </c>
      <c r="B976" s="127">
        <v>1823999</v>
      </c>
      <c r="C976" s="128" t="s">
        <v>1419</v>
      </c>
      <c r="D976" s="127">
        <v>186071</v>
      </c>
      <c r="E976" s="128" t="s">
        <v>1750</v>
      </c>
      <c r="F976" s="127" t="s">
        <v>306</v>
      </c>
      <c r="H976" s="117" t="str">
        <f t="shared" si="31"/>
        <v>OTHER</v>
      </c>
      <c r="I976" s="113" t="s">
        <v>68</v>
      </c>
    </row>
    <row r="977" spans="1:9">
      <c r="A977" s="114" t="str">
        <f t="shared" si="30"/>
        <v>1823999REGULATORY ASST-OTH186075DSM Reg Asset-Balancing Acct-WY Cat 1OTHER</v>
      </c>
      <c r="B977" s="127">
        <v>1823999</v>
      </c>
      <c r="C977" s="128" t="s">
        <v>1419</v>
      </c>
      <c r="D977" s="127">
        <v>186075</v>
      </c>
      <c r="E977" s="128" t="s">
        <v>1751</v>
      </c>
      <c r="F977" s="127" t="s">
        <v>306</v>
      </c>
      <c r="H977" s="117" t="str">
        <f t="shared" si="31"/>
        <v>OTHER</v>
      </c>
      <c r="I977" s="113" t="s">
        <v>68</v>
      </c>
    </row>
    <row r="978" spans="1:9">
      <c r="A978" s="114" t="str">
        <f t="shared" si="30"/>
        <v>1823999REGULATORY ASST-OTH186081DSM Reg Asset - Accruals - WY Cat 2OTHER</v>
      </c>
      <c r="B978" s="127">
        <v>1823999</v>
      </c>
      <c r="C978" s="128" t="s">
        <v>1419</v>
      </c>
      <c r="D978" s="127">
        <v>186081</v>
      </c>
      <c r="E978" s="128" t="s">
        <v>1752</v>
      </c>
      <c r="F978" s="127" t="s">
        <v>306</v>
      </c>
      <c r="H978" s="117" t="str">
        <f t="shared" si="31"/>
        <v>OTHER</v>
      </c>
      <c r="I978" s="113" t="s">
        <v>68</v>
      </c>
    </row>
    <row r="979" spans="1:9">
      <c r="A979" s="114" t="str">
        <f t="shared" si="30"/>
        <v>1823999REGULATORY ASST-OTH186085DSM Reg Asset-Balancing Acct-WY Cat 2OTHER</v>
      </c>
      <c r="B979" s="127">
        <v>1823999</v>
      </c>
      <c r="C979" s="128" t="s">
        <v>1419</v>
      </c>
      <c r="D979" s="127">
        <v>186085</v>
      </c>
      <c r="E979" s="128" t="s">
        <v>1753</v>
      </c>
      <c r="F979" s="127" t="s">
        <v>306</v>
      </c>
      <c r="H979" s="117" t="str">
        <f t="shared" si="31"/>
        <v>OTHER</v>
      </c>
      <c r="I979" s="113" t="s">
        <v>68</v>
      </c>
    </row>
    <row r="980" spans="1:9">
      <c r="A980" s="114" t="str">
        <f t="shared" si="30"/>
        <v>1823990OTHR REG ASSET-N CST189619Contra Reg Asset - UT EBA CY2019OTHER</v>
      </c>
      <c r="B980" s="127">
        <v>1823990</v>
      </c>
      <c r="C980" s="128" t="s">
        <v>1288</v>
      </c>
      <c r="D980" s="127">
        <v>189619</v>
      </c>
      <c r="E980" s="128" t="s">
        <v>1749</v>
      </c>
      <c r="F980" s="127" t="s">
        <v>306</v>
      </c>
      <c r="H980" s="117" t="str">
        <f t="shared" si="31"/>
        <v>OTHER</v>
      </c>
      <c r="I980" s="113" t="s">
        <v>68</v>
      </c>
    </row>
    <row r="981" spans="1:9">
      <c r="A981" s="114" t="str">
        <f t="shared" si="30"/>
        <v>1823990OTHR REG ASSET-N CST189609Reg Asset - UT EBA CY2019OTHER</v>
      </c>
      <c r="B981" s="127">
        <v>1823990</v>
      </c>
      <c r="C981" s="128" t="s">
        <v>1288</v>
      </c>
      <c r="D981" s="127">
        <v>189609</v>
      </c>
      <c r="E981" s="128" t="s">
        <v>1748</v>
      </c>
      <c r="F981" s="127" t="s">
        <v>306</v>
      </c>
      <c r="H981" s="117" t="str">
        <f t="shared" si="31"/>
        <v>OTHER</v>
      </c>
      <c r="I981" s="113" t="s">
        <v>68</v>
      </c>
    </row>
    <row r="982" spans="1:9">
      <c r="A982" s="114" t="str">
        <f t="shared" si="30"/>
        <v>1823990OTHR REG ASSET-N CST189543Contra Reg Asset - ID ECAM CY 2018OTHER</v>
      </c>
      <c r="B982" s="127">
        <v>1823990</v>
      </c>
      <c r="C982" s="128" t="s">
        <v>1288</v>
      </c>
      <c r="D982" s="127">
        <v>189543</v>
      </c>
      <c r="E982" s="128" t="s">
        <v>1746</v>
      </c>
      <c r="F982" s="127" t="s">
        <v>306</v>
      </c>
      <c r="H982" s="117" t="str">
        <f t="shared" si="31"/>
        <v>OTHER</v>
      </c>
      <c r="I982" s="113" t="s">
        <v>68</v>
      </c>
    </row>
    <row r="983" spans="1:9">
      <c r="A983" s="114" t="str">
        <f t="shared" si="30"/>
        <v>1823990OTHR REG ASSET-N CST189544Contra Reg Asset - ID ECAM CY 2019OTHER</v>
      </c>
      <c r="B983" s="127">
        <v>1823990</v>
      </c>
      <c r="C983" s="128" t="s">
        <v>1288</v>
      </c>
      <c r="D983" s="127">
        <v>189544</v>
      </c>
      <c r="E983" s="128" t="s">
        <v>1747</v>
      </c>
      <c r="F983" s="127" t="s">
        <v>306</v>
      </c>
      <c r="H983" s="117" t="str">
        <f t="shared" si="31"/>
        <v>OTHER</v>
      </c>
      <c r="I983" s="113" t="s">
        <v>68</v>
      </c>
    </row>
    <row r="984" spans="1:9">
      <c r="A984" s="114" t="str">
        <f t="shared" si="30"/>
        <v>1823990OTHR REG ASSET-N CST189533Reg Asset  - ID ECAM CY 2018OTHER</v>
      </c>
      <c r="B984" s="127">
        <v>1823990</v>
      </c>
      <c r="C984" s="128" t="s">
        <v>1288</v>
      </c>
      <c r="D984" s="127">
        <v>189533</v>
      </c>
      <c r="E984" s="128" t="s">
        <v>1744</v>
      </c>
      <c r="F984" s="127" t="s">
        <v>306</v>
      </c>
      <c r="H984" s="117" t="str">
        <f t="shared" si="31"/>
        <v>OTHER</v>
      </c>
      <c r="I984" s="113" t="s">
        <v>68</v>
      </c>
    </row>
    <row r="985" spans="1:9">
      <c r="A985" s="114" t="str">
        <f t="shared" si="30"/>
        <v>1823990OTHR REG ASSET-N CST189534Reg Asset-ID ECAM CY 2019OTHER</v>
      </c>
      <c r="B985" s="127">
        <v>1823990</v>
      </c>
      <c r="C985" s="128" t="s">
        <v>1288</v>
      </c>
      <c r="D985" s="127">
        <v>189534</v>
      </c>
      <c r="E985" s="128" t="s">
        <v>1745</v>
      </c>
      <c r="F985" s="127" t="s">
        <v>306</v>
      </c>
      <c r="H985" s="117" t="str">
        <f t="shared" si="31"/>
        <v>OTHER</v>
      </c>
      <c r="I985" s="113" t="s">
        <v>68</v>
      </c>
    </row>
    <row r="986" spans="1:9">
      <c r="A986" s="114" t="str">
        <f t="shared" si="30"/>
        <v>1823990OTHR REG ASSET-N CST189500Reg Asset - CA ECAC CY2019OTHER</v>
      </c>
      <c r="B986" s="127">
        <v>1823990</v>
      </c>
      <c r="C986" s="128" t="s">
        <v>1288</v>
      </c>
      <c r="D986" s="127">
        <v>189500</v>
      </c>
      <c r="E986" s="128" t="s">
        <v>1742</v>
      </c>
      <c r="F986" s="127" t="s">
        <v>306</v>
      </c>
      <c r="H986" s="117" t="str">
        <f t="shared" si="31"/>
        <v>OTHER</v>
      </c>
      <c r="I986" s="113" t="s">
        <v>68</v>
      </c>
    </row>
    <row r="987" spans="1:9">
      <c r="A987" s="114" t="str">
        <f t="shared" si="30"/>
        <v>1823990OTHR REG ASSET-N CST189501Contra Reg Asset - CA ECAC CY2019OTHER</v>
      </c>
      <c r="B987" s="127">
        <v>1823990</v>
      </c>
      <c r="C987" s="128" t="s">
        <v>1288</v>
      </c>
      <c r="D987" s="127">
        <v>189501</v>
      </c>
      <c r="E987" s="128" t="s">
        <v>1743</v>
      </c>
      <c r="F987" s="127" t="s">
        <v>306</v>
      </c>
      <c r="H987" s="117" t="str">
        <f t="shared" si="31"/>
        <v>OTHER</v>
      </c>
      <c r="I987" s="113" t="s">
        <v>68</v>
      </c>
    </row>
    <row r="988" spans="1:9">
      <c r="A988" s="114" t="str">
        <f t="shared" si="30"/>
        <v>1823990OTHR REG ASSET-N CST187978Reg Asset - CA ECAC CY2018OTHER</v>
      </c>
      <c r="B988" s="127">
        <v>1823990</v>
      </c>
      <c r="C988" s="128" t="s">
        <v>1288</v>
      </c>
      <c r="D988" s="127">
        <v>187978</v>
      </c>
      <c r="E988" s="128" t="s">
        <v>1740</v>
      </c>
      <c r="F988" s="127" t="s">
        <v>306</v>
      </c>
      <c r="H988" s="117" t="str">
        <f t="shared" si="31"/>
        <v>OTHER</v>
      </c>
      <c r="I988" s="113" t="s">
        <v>68</v>
      </c>
    </row>
    <row r="989" spans="1:9">
      <c r="A989" s="114" t="str">
        <f t="shared" si="30"/>
        <v>1823990OTHR REG ASSET-N CST187979Contra Reg Asset - CA ECAC CY2018OTHER</v>
      </c>
      <c r="B989" s="127">
        <v>1823990</v>
      </c>
      <c r="C989" s="128" t="s">
        <v>1288</v>
      </c>
      <c r="D989" s="127">
        <v>187979</v>
      </c>
      <c r="E989" s="128" t="s">
        <v>1741</v>
      </c>
      <c r="F989" s="127" t="s">
        <v>306</v>
      </c>
      <c r="H989" s="117" t="str">
        <f t="shared" si="31"/>
        <v>OTHER</v>
      </c>
      <c r="I989" s="113" t="s">
        <v>68</v>
      </c>
    </row>
    <row r="990" spans="1:9">
      <c r="A990" s="114" t="str">
        <f t="shared" si="30"/>
        <v>1823990OTHR REG ASSET-N CST187879Contra Reg Asset - WY ECAM CY2019OTHER</v>
      </c>
      <c r="B990" s="127">
        <v>1823990</v>
      </c>
      <c r="C990" s="128" t="s">
        <v>1288</v>
      </c>
      <c r="D990" s="127">
        <v>187879</v>
      </c>
      <c r="E990" s="128" t="s">
        <v>1739</v>
      </c>
      <c r="F990" s="127" t="s">
        <v>306</v>
      </c>
      <c r="H990" s="117" t="str">
        <f t="shared" si="31"/>
        <v>OTHER</v>
      </c>
      <c r="I990" s="113" t="s">
        <v>68</v>
      </c>
    </row>
    <row r="991" spans="1:9">
      <c r="A991" s="114" t="str">
        <f t="shared" si="30"/>
        <v>1823990OTHR REG ASSET-N CST187868Reg Asset - WY RRA CY2018OTHER</v>
      </c>
      <c r="B991" s="127">
        <v>1823990</v>
      </c>
      <c r="C991" s="128" t="s">
        <v>1288</v>
      </c>
      <c r="D991" s="127">
        <v>187868</v>
      </c>
      <c r="E991" s="128" t="s">
        <v>1738</v>
      </c>
      <c r="F991" s="127" t="s">
        <v>306</v>
      </c>
      <c r="H991" s="117" t="str">
        <f t="shared" si="31"/>
        <v>OTHER</v>
      </c>
      <c r="I991" s="113" t="s">
        <v>68</v>
      </c>
    </row>
    <row r="992" spans="1:9">
      <c r="A992" s="114" t="str">
        <f t="shared" si="30"/>
        <v>1823990OTHR REG ASSET-N CST187859Reg Asset - WY ECAM CY2019OTHER</v>
      </c>
      <c r="B992" s="127">
        <v>1823990</v>
      </c>
      <c r="C992" s="128" t="s">
        <v>1288</v>
      </c>
      <c r="D992" s="127">
        <v>187859</v>
      </c>
      <c r="E992" s="128" t="s">
        <v>1737</v>
      </c>
      <c r="F992" s="127" t="s">
        <v>306</v>
      </c>
      <c r="H992" s="117" t="str">
        <f t="shared" si="31"/>
        <v>OTHER</v>
      </c>
      <c r="I992" s="113" t="s">
        <v>68</v>
      </c>
    </row>
    <row r="993" spans="1:9">
      <c r="A993" s="114" t="str">
        <f t="shared" si="30"/>
        <v>1823990OTHR REG ASSET-N CST187839Reg Asset - UT RBA CY2018OTHER</v>
      </c>
      <c r="B993" s="127">
        <v>1823990</v>
      </c>
      <c r="C993" s="128" t="s">
        <v>1288</v>
      </c>
      <c r="D993" s="127">
        <v>187839</v>
      </c>
      <c r="E993" s="128" t="s">
        <v>1736</v>
      </c>
      <c r="F993" s="127" t="s">
        <v>306</v>
      </c>
      <c r="H993" s="117" t="str">
        <f t="shared" si="31"/>
        <v>OTHER</v>
      </c>
      <c r="I993" s="113" t="s">
        <v>68</v>
      </c>
    </row>
    <row r="994" spans="1:9">
      <c r="A994" s="114" t="str">
        <f t="shared" si="30"/>
        <v>1823990OTHR REG ASSET-N CST187660RegA-OR Transp Electrification PilotOTHER</v>
      </c>
      <c r="B994" s="127">
        <v>1823990</v>
      </c>
      <c r="C994" s="128" t="s">
        <v>1288</v>
      </c>
      <c r="D994" s="127">
        <v>187660</v>
      </c>
      <c r="E994" s="128" t="s">
        <v>1734</v>
      </c>
      <c r="F994" s="127" t="s">
        <v>306</v>
      </c>
      <c r="H994" s="117" t="str">
        <f t="shared" si="31"/>
        <v>OTHER</v>
      </c>
      <c r="I994" s="113" t="s">
        <v>68</v>
      </c>
    </row>
    <row r="995" spans="1:9">
      <c r="A995" s="114" t="str">
        <f t="shared" si="30"/>
        <v>1823990OTHR REG ASSET-N CST187662RegA-CA Transp Electrification PilotOTHER</v>
      </c>
      <c r="B995" s="127">
        <v>1823990</v>
      </c>
      <c r="C995" s="128" t="s">
        <v>1288</v>
      </c>
      <c r="D995" s="127">
        <v>187662</v>
      </c>
      <c r="E995" s="128" t="s">
        <v>1735</v>
      </c>
      <c r="F995" s="127" t="s">
        <v>306</v>
      </c>
      <c r="H995" s="117" t="str">
        <f t="shared" si="31"/>
        <v>OTHER</v>
      </c>
      <c r="I995" s="113" t="s">
        <v>68</v>
      </c>
    </row>
    <row r="996" spans="1:9">
      <c r="A996" s="114" t="str">
        <f t="shared" si="30"/>
        <v>1823990OTHR REG ASSET-N CST187482Contra Reg A-WA Decoupling Jul18-Jun19OTHER</v>
      </c>
      <c r="B996" s="127">
        <v>1823990</v>
      </c>
      <c r="C996" s="128" t="s">
        <v>1288</v>
      </c>
      <c r="D996" s="127">
        <v>187482</v>
      </c>
      <c r="E996" s="128" t="s">
        <v>1733</v>
      </c>
      <c r="F996" s="127" t="s">
        <v>306</v>
      </c>
      <c r="H996" s="117" t="str">
        <f t="shared" si="31"/>
        <v>OTHER</v>
      </c>
      <c r="I996" s="113" t="s">
        <v>68</v>
      </c>
    </row>
    <row r="997" spans="1:9">
      <c r="A997" s="114" t="str">
        <f t="shared" si="30"/>
        <v>1823990OTHR REG ASSET-N CST187472Reg A-WA Decoupling Mech Jul18-Jun19OTHER</v>
      </c>
      <c r="B997" s="127">
        <v>1823990</v>
      </c>
      <c r="C997" s="128" t="s">
        <v>1288</v>
      </c>
      <c r="D997" s="127">
        <v>187472</v>
      </c>
      <c r="E997" s="128" t="s">
        <v>1732</v>
      </c>
      <c r="F997" s="127" t="s">
        <v>306</v>
      </c>
      <c r="H997" s="117" t="str">
        <f t="shared" si="31"/>
        <v>OTHER</v>
      </c>
      <c r="I997" s="113" t="s">
        <v>68</v>
      </c>
    </row>
    <row r="998" spans="1:9">
      <c r="A998" s="114" t="str">
        <f t="shared" si="30"/>
        <v>1823990OTHR REG ASSET-N CST187379Reg Asset-OR Solar Feed-In Tariff 2019OTHER</v>
      </c>
      <c r="B998" s="127">
        <v>1823990</v>
      </c>
      <c r="C998" s="128" t="s">
        <v>1288</v>
      </c>
      <c r="D998" s="127">
        <v>187379</v>
      </c>
      <c r="E998" s="128" t="s">
        <v>1731</v>
      </c>
      <c r="F998" s="127" t="s">
        <v>306</v>
      </c>
      <c r="H998" s="117" t="str">
        <f t="shared" si="31"/>
        <v>OTHER</v>
      </c>
      <c r="I998" s="113" t="s">
        <v>68</v>
      </c>
    </row>
    <row r="999" spans="1:9">
      <c r="A999" s="114" t="str">
        <f t="shared" si="30"/>
        <v>1823990OTHR REG ASSET-N CST186169Reg Asset - DSM - WY - Balance ReclassOTHER</v>
      </c>
      <c r="B999" s="127">
        <v>1823990</v>
      </c>
      <c r="C999" s="128" t="s">
        <v>1288</v>
      </c>
      <c r="D999" s="127">
        <v>186169</v>
      </c>
      <c r="E999" s="128" t="s">
        <v>1730</v>
      </c>
      <c r="F999" s="127" t="s">
        <v>306</v>
      </c>
      <c r="H999" s="117" t="str">
        <f t="shared" si="31"/>
        <v>OTHER</v>
      </c>
      <c r="I999" s="113" t="s">
        <v>74</v>
      </c>
    </row>
    <row r="1000" spans="1:9">
      <c r="A1000" s="114" t="str">
        <f t="shared" si="30"/>
        <v>1823910ENVIR CST UNDR AMORT104200Naughton Plant - FGD Pond 2SO</v>
      </c>
      <c r="B1000" s="127">
        <v>1823910</v>
      </c>
      <c r="C1000" s="128" t="s">
        <v>644</v>
      </c>
      <c r="D1000" s="127">
        <v>104200</v>
      </c>
      <c r="E1000" s="128" t="s">
        <v>1689</v>
      </c>
      <c r="F1000" s="127" t="s">
        <v>89</v>
      </c>
      <c r="H1000" s="117" t="str">
        <f t="shared" si="31"/>
        <v>SO</v>
      </c>
      <c r="I1000" s="113" t="s">
        <v>100</v>
      </c>
    </row>
    <row r="1001" spans="1:9">
      <c r="A1001" s="114" t="str">
        <f t="shared" si="30"/>
        <v>1823910ENVIR CST UNDR AMORT104201Huntington Plant Ash LandfillSO</v>
      </c>
      <c r="B1001" s="127">
        <v>1823910</v>
      </c>
      <c r="C1001" s="128" t="s">
        <v>644</v>
      </c>
      <c r="D1001" s="127">
        <v>104201</v>
      </c>
      <c r="E1001" s="128" t="s">
        <v>1690</v>
      </c>
      <c r="F1001" s="127" t="s">
        <v>89</v>
      </c>
      <c r="H1001" s="117" t="str">
        <f t="shared" si="31"/>
        <v>SO</v>
      </c>
      <c r="I1001" s="113" t="s">
        <v>100</v>
      </c>
    </row>
    <row r="1002" spans="1:9">
      <c r="A1002" s="114" t="str">
        <f t="shared" si="30"/>
        <v>1823910ENVIR CST UNDR AMORT104202Dave Johnston Pond 4A &amp; 4BSO</v>
      </c>
      <c r="B1002" s="127">
        <v>1823910</v>
      </c>
      <c r="C1002" s="128" t="s">
        <v>644</v>
      </c>
      <c r="D1002" s="127">
        <v>104202</v>
      </c>
      <c r="E1002" s="128" t="s">
        <v>1691</v>
      </c>
      <c r="F1002" s="127" t="s">
        <v>89</v>
      </c>
      <c r="H1002" s="117" t="str">
        <f t="shared" si="31"/>
        <v>SO</v>
      </c>
      <c r="I1002" s="113" t="s">
        <v>100</v>
      </c>
    </row>
    <row r="1003" spans="1:9">
      <c r="A1003" s="114" t="str">
        <f t="shared" si="30"/>
        <v>1823910ENVIR CST UNDR AMORT104205Naughton North Ash PondSO</v>
      </c>
      <c r="B1003" s="127">
        <v>1823910</v>
      </c>
      <c r="C1003" s="128" t="s">
        <v>644</v>
      </c>
      <c r="D1003" s="127">
        <v>104205</v>
      </c>
      <c r="E1003" s="128" t="s">
        <v>1692</v>
      </c>
      <c r="F1003" s="127" t="s">
        <v>89</v>
      </c>
      <c r="H1003" s="117" t="str">
        <f t="shared" si="31"/>
        <v>SO</v>
      </c>
      <c r="I1003" s="113" t="s">
        <v>100</v>
      </c>
    </row>
    <row r="1004" spans="1:9">
      <c r="A1004" s="114" t="str">
        <f t="shared" si="30"/>
        <v>1823910ENVIR CST UNDR AMORT104206Naughton South Ash PondSO</v>
      </c>
      <c r="B1004" s="127">
        <v>1823910</v>
      </c>
      <c r="C1004" s="128" t="s">
        <v>644</v>
      </c>
      <c r="D1004" s="127">
        <v>104206</v>
      </c>
      <c r="E1004" s="128" t="s">
        <v>1693</v>
      </c>
      <c r="F1004" s="127" t="s">
        <v>89</v>
      </c>
      <c r="H1004" s="117" t="str">
        <f t="shared" si="31"/>
        <v>SO</v>
      </c>
      <c r="I1004" s="113" t="s">
        <v>100</v>
      </c>
    </row>
    <row r="1005" spans="1:9">
      <c r="A1005" s="114" t="str">
        <f t="shared" si="30"/>
        <v>1823910ENVIR CST UNDR AMORT104210American Barrel (UT)-WASITUS</v>
      </c>
      <c r="B1005" s="127">
        <v>1823910</v>
      </c>
      <c r="C1005" s="128" t="s">
        <v>644</v>
      </c>
      <c r="D1005" s="127">
        <v>104210</v>
      </c>
      <c r="E1005" s="128" t="s">
        <v>1694</v>
      </c>
      <c r="F1005" s="127" t="s">
        <v>367</v>
      </c>
      <c r="H1005" s="117" t="str">
        <f t="shared" si="31"/>
        <v>SITUS</v>
      </c>
      <c r="I1005" s="113" t="s">
        <v>100</v>
      </c>
    </row>
    <row r="1006" spans="1:9">
      <c r="A1006" s="114" t="str">
        <f t="shared" si="30"/>
        <v>1823910ENVIR CST UNDR AMORT104211Astoria/Unocal (Downtown)-WASITUS</v>
      </c>
      <c r="B1006" s="127">
        <v>1823910</v>
      </c>
      <c r="C1006" s="128" t="s">
        <v>644</v>
      </c>
      <c r="D1006" s="127">
        <v>104211</v>
      </c>
      <c r="E1006" s="128" t="s">
        <v>1695</v>
      </c>
      <c r="F1006" s="127" t="s">
        <v>367</v>
      </c>
      <c r="H1006" s="117" t="str">
        <f t="shared" si="31"/>
        <v>SITUS</v>
      </c>
      <c r="I1006" s="113" t="s">
        <v>100</v>
      </c>
    </row>
    <row r="1007" spans="1:9">
      <c r="A1007" s="114" t="str">
        <f t="shared" si="30"/>
        <v>1823910ENVIR CST UNDR AMORT104212ASTORIA YOUNGS BAY CLEANUP-WASITUS</v>
      </c>
      <c r="B1007" s="127">
        <v>1823910</v>
      </c>
      <c r="C1007" s="128" t="s">
        <v>644</v>
      </c>
      <c r="D1007" s="127">
        <v>104212</v>
      </c>
      <c r="E1007" s="128" t="s">
        <v>1696</v>
      </c>
      <c r="F1007" s="127" t="s">
        <v>367</v>
      </c>
      <c r="H1007" s="117" t="str">
        <f t="shared" si="31"/>
        <v>SITUS</v>
      </c>
      <c r="I1007" s="113" t="s">
        <v>100</v>
      </c>
    </row>
    <row r="1008" spans="1:9">
      <c r="A1008" s="114" t="str">
        <f t="shared" si="30"/>
        <v>1823910ENVIR CST UNDR AMORT104213Big Fork Hydro Plant (MT)-WASITUS</v>
      </c>
      <c r="B1008" s="127">
        <v>1823910</v>
      </c>
      <c r="C1008" s="128" t="s">
        <v>644</v>
      </c>
      <c r="D1008" s="127">
        <v>104213</v>
      </c>
      <c r="E1008" s="128" t="s">
        <v>1697</v>
      </c>
      <c r="F1008" s="127" t="s">
        <v>367</v>
      </c>
      <c r="H1008" s="117" t="str">
        <f t="shared" si="31"/>
        <v>SITUS</v>
      </c>
      <c r="I1008" s="113" t="s">
        <v>100</v>
      </c>
    </row>
    <row r="1009" spans="1:9">
      <c r="A1009" s="114" t="str">
        <f t="shared" si="30"/>
        <v>1823910ENVIR CST UNDR AMORT104214Bors Property  (OR) - WASITUS</v>
      </c>
      <c r="B1009" s="127">
        <v>1823910</v>
      </c>
      <c r="C1009" s="128" t="s">
        <v>644</v>
      </c>
      <c r="D1009" s="127">
        <v>104214</v>
      </c>
      <c r="E1009" s="128" t="s">
        <v>1698</v>
      </c>
      <c r="F1009" s="127" t="s">
        <v>367</v>
      </c>
      <c r="H1009" s="117" t="str">
        <f t="shared" si="31"/>
        <v>SITUS</v>
      </c>
      <c r="I1009" s="113" t="s">
        <v>100</v>
      </c>
    </row>
    <row r="1010" spans="1:9">
      <c r="A1010" s="114" t="str">
        <f t="shared" si="30"/>
        <v>1823910ENVIR CST UNDR AMORT104215Bridger Coal Fuel Oil Spill - WASITUS</v>
      </c>
      <c r="B1010" s="127">
        <v>1823910</v>
      </c>
      <c r="C1010" s="128" t="s">
        <v>644</v>
      </c>
      <c r="D1010" s="127">
        <v>104215</v>
      </c>
      <c r="E1010" s="128" t="s">
        <v>1699</v>
      </c>
      <c r="F1010" s="127" t="s">
        <v>367</v>
      </c>
      <c r="H1010" s="117" t="str">
        <f t="shared" si="31"/>
        <v>SITUS</v>
      </c>
      <c r="I1010" s="113" t="s">
        <v>100</v>
      </c>
    </row>
    <row r="1011" spans="1:9">
      <c r="A1011" s="114" t="str">
        <f t="shared" si="30"/>
        <v>1823910ENVIR CST UNDR AMORT104216Bridger FGD Pond 1 Closure-WASITUS</v>
      </c>
      <c r="B1011" s="127">
        <v>1823910</v>
      </c>
      <c r="C1011" s="128" t="s">
        <v>644</v>
      </c>
      <c r="D1011" s="127">
        <v>104216</v>
      </c>
      <c r="E1011" s="128" t="s">
        <v>1700</v>
      </c>
      <c r="F1011" s="127" t="s">
        <v>367</v>
      </c>
      <c r="H1011" s="117" t="str">
        <f t="shared" si="31"/>
        <v>SITUS</v>
      </c>
      <c r="I1011" s="113" t="s">
        <v>100</v>
      </c>
    </row>
    <row r="1012" spans="1:9">
      <c r="A1012" s="114" t="str">
        <f t="shared" si="30"/>
        <v>1823910ENVIR CST UNDR AMORT104218Bridger Plant - FGD Pond 1-WASITUS</v>
      </c>
      <c r="B1012" s="127">
        <v>1823910</v>
      </c>
      <c r="C1012" s="128" t="s">
        <v>644</v>
      </c>
      <c r="D1012" s="127">
        <v>104218</v>
      </c>
      <c r="E1012" s="128" t="s">
        <v>1701</v>
      </c>
      <c r="F1012" s="127" t="s">
        <v>367</v>
      </c>
      <c r="H1012" s="117" t="str">
        <f t="shared" si="31"/>
        <v>SITUS</v>
      </c>
      <c r="I1012" s="113" t="s">
        <v>100</v>
      </c>
    </row>
    <row r="1013" spans="1:9">
      <c r="A1013" s="114" t="str">
        <f t="shared" si="30"/>
        <v>1823910ENVIR CST UNDR AMORT104219Bridger Plant - FGD Pond 2-WASITUS</v>
      </c>
      <c r="B1013" s="127">
        <v>1823910</v>
      </c>
      <c r="C1013" s="128" t="s">
        <v>644</v>
      </c>
      <c r="D1013" s="127">
        <v>104219</v>
      </c>
      <c r="E1013" s="128" t="s">
        <v>1702</v>
      </c>
      <c r="F1013" s="127" t="s">
        <v>367</v>
      </c>
      <c r="H1013" s="117" t="str">
        <f t="shared" si="31"/>
        <v>SITUS</v>
      </c>
      <c r="I1013" s="113" t="s">
        <v>100</v>
      </c>
    </row>
    <row r="1014" spans="1:9">
      <c r="A1014" s="114" t="str">
        <f t="shared" si="30"/>
        <v>1823910ENVIR CST UNDR AMORT104220Bridger Plant Oil Spills-2018SITUS</v>
      </c>
      <c r="B1014" s="127">
        <v>1823910</v>
      </c>
      <c r="C1014" s="128" t="s">
        <v>644</v>
      </c>
      <c r="D1014" s="127">
        <v>104220</v>
      </c>
      <c r="E1014" s="128" t="s">
        <v>1703</v>
      </c>
      <c r="F1014" s="127" t="s">
        <v>367</v>
      </c>
      <c r="H1014" s="117" t="str">
        <f t="shared" si="31"/>
        <v>SITUS</v>
      </c>
      <c r="I1014" s="113" t="s">
        <v>100</v>
      </c>
    </row>
    <row r="1015" spans="1:9">
      <c r="A1015" s="114" t="str">
        <f t="shared" si="30"/>
        <v>1823910ENVIR CST UNDR AMORT104221Carbon Ash Spill  (UT) - WASITUS</v>
      </c>
      <c r="B1015" s="127">
        <v>1823910</v>
      </c>
      <c r="C1015" s="128" t="s">
        <v>644</v>
      </c>
      <c r="D1015" s="127">
        <v>104221</v>
      </c>
      <c r="E1015" s="128" t="s">
        <v>1704</v>
      </c>
      <c r="F1015" s="127" t="s">
        <v>367</v>
      </c>
      <c r="H1015" s="117" t="str">
        <f t="shared" si="31"/>
        <v>SITUS</v>
      </c>
      <c r="I1015" s="113" t="s">
        <v>100</v>
      </c>
    </row>
    <row r="1016" spans="1:9">
      <c r="A1016" s="114" t="str">
        <f t="shared" si="30"/>
        <v>1823910ENVIR CST UNDR AMORT104222Cedar Steam - WASITUS</v>
      </c>
      <c r="B1016" s="127">
        <v>1823910</v>
      </c>
      <c r="C1016" s="128" t="s">
        <v>644</v>
      </c>
      <c r="D1016" s="127">
        <v>104222</v>
      </c>
      <c r="E1016" s="128" t="s">
        <v>1705</v>
      </c>
      <c r="F1016" s="127" t="s">
        <v>367</v>
      </c>
      <c r="H1016" s="117" t="str">
        <f t="shared" si="31"/>
        <v>SITUS</v>
      </c>
      <c r="I1016" s="113" t="s">
        <v>100</v>
      </c>
    </row>
    <row r="1017" spans="1:9">
      <c r="A1017" s="114" t="str">
        <f t="shared" si="30"/>
        <v>1823910ENVIR CST UNDR AMORT104225DJ Oil Spill - WASITUS</v>
      </c>
      <c r="B1017" s="127">
        <v>1823910</v>
      </c>
      <c r="C1017" s="128" t="s">
        <v>644</v>
      </c>
      <c r="D1017" s="127">
        <v>104225</v>
      </c>
      <c r="E1017" s="128" t="s">
        <v>1706</v>
      </c>
      <c r="F1017" s="127" t="s">
        <v>367</v>
      </c>
      <c r="H1017" s="117" t="str">
        <f t="shared" si="31"/>
        <v>SITUS</v>
      </c>
      <c r="I1017" s="113" t="s">
        <v>100</v>
      </c>
    </row>
    <row r="1018" spans="1:9">
      <c r="A1018" s="114" t="str">
        <f t="shared" si="30"/>
        <v>1823910ENVIR CST UNDR AMORT104226DJ 4A&amp;4B - WASITUS</v>
      </c>
      <c r="B1018" s="127">
        <v>1823910</v>
      </c>
      <c r="C1018" s="128" t="s">
        <v>644</v>
      </c>
      <c r="D1018" s="127">
        <v>104226</v>
      </c>
      <c r="E1018" s="128" t="s">
        <v>1707</v>
      </c>
      <c r="F1018" s="127" t="s">
        <v>367</v>
      </c>
      <c r="H1018" s="117" t="str">
        <f t="shared" si="31"/>
        <v>SITUS</v>
      </c>
      <c r="I1018" s="113" t="s">
        <v>100</v>
      </c>
    </row>
    <row r="1019" spans="1:9">
      <c r="A1019" s="114" t="str">
        <f t="shared" si="30"/>
        <v>1823910ENVIR CST UNDR AMORT104227Eugene MGP (50%PCRP) - WASITUS</v>
      </c>
      <c r="B1019" s="127">
        <v>1823910</v>
      </c>
      <c r="C1019" s="128" t="s">
        <v>644</v>
      </c>
      <c r="D1019" s="127">
        <v>104227</v>
      </c>
      <c r="E1019" s="128" t="s">
        <v>1708</v>
      </c>
      <c r="F1019" s="127" t="s">
        <v>367</v>
      </c>
      <c r="H1019" s="117" t="str">
        <f t="shared" si="31"/>
        <v>SITUS</v>
      </c>
      <c r="I1019" s="113" t="s">
        <v>100</v>
      </c>
    </row>
    <row r="1020" spans="1:9">
      <c r="A1020" s="114" t="str">
        <f t="shared" si="30"/>
        <v>1823910ENVIR CST UNDR AMORT104228Everett MGP (2/3 PCRP) - WASITUS</v>
      </c>
      <c r="B1020" s="127">
        <v>1823910</v>
      </c>
      <c r="C1020" s="128" t="s">
        <v>644</v>
      </c>
      <c r="D1020" s="127">
        <v>104228</v>
      </c>
      <c r="E1020" s="128" t="s">
        <v>1709</v>
      </c>
      <c r="F1020" s="127" t="s">
        <v>367</v>
      </c>
      <c r="H1020" s="117" t="str">
        <f t="shared" si="31"/>
        <v>SITUS</v>
      </c>
      <c r="I1020" s="113" t="s">
        <v>100</v>
      </c>
    </row>
    <row r="1021" spans="1:9">
      <c r="A1021" s="114" t="str">
        <f t="shared" si="30"/>
        <v>1823910ENVIR CST UNDR AMORT104229Hunter Plant - WASITUS</v>
      </c>
      <c r="B1021" s="127">
        <v>1823910</v>
      </c>
      <c r="C1021" s="128" t="s">
        <v>644</v>
      </c>
      <c r="D1021" s="127">
        <v>104229</v>
      </c>
      <c r="E1021" s="128" t="s">
        <v>1710</v>
      </c>
      <c r="F1021" s="127" t="s">
        <v>367</v>
      </c>
      <c r="H1021" s="117" t="str">
        <f t="shared" si="31"/>
        <v>SITUS</v>
      </c>
      <c r="I1021" s="113" t="s">
        <v>100</v>
      </c>
    </row>
    <row r="1022" spans="1:9">
      <c r="A1022" s="114" t="str">
        <f t="shared" si="30"/>
        <v>1823910ENVIR CST UNDR AMORT104230Huntington Ash- WASITUS</v>
      </c>
      <c r="B1022" s="127">
        <v>1823910</v>
      </c>
      <c r="C1022" s="128" t="s">
        <v>644</v>
      </c>
      <c r="D1022" s="127">
        <v>104230</v>
      </c>
      <c r="E1022" s="128" t="s">
        <v>1711</v>
      </c>
      <c r="F1022" s="127" t="s">
        <v>367</v>
      </c>
      <c r="H1022" s="117" t="str">
        <f t="shared" si="31"/>
        <v>SITUS</v>
      </c>
      <c r="I1022" s="113" t="s">
        <v>100</v>
      </c>
    </row>
    <row r="1023" spans="1:9">
      <c r="A1023" s="114" t="str">
        <f t="shared" si="30"/>
        <v>1823910ENVIR CST UNDR AMORT104231Idaho Falls Pole Yard- WASITUS</v>
      </c>
      <c r="B1023" s="127">
        <v>1823910</v>
      </c>
      <c r="C1023" s="128" t="s">
        <v>644</v>
      </c>
      <c r="D1023" s="127">
        <v>104231</v>
      </c>
      <c r="E1023" s="128" t="s">
        <v>1712</v>
      </c>
      <c r="F1023" s="127" t="s">
        <v>367</v>
      </c>
      <c r="H1023" s="117" t="str">
        <f t="shared" si="31"/>
        <v>SITUS</v>
      </c>
      <c r="I1023" s="113" t="s">
        <v>100</v>
      </c>
    </row>
    <row r="1024" spans="1:9">
      <c r="A1024" s="114" t="str">
        <f t="shared" si="30"/>
        <v>1823910ENVIR CST UNDR AMORT104232Jordan Plant Substation- WASITUS</v>
      </c>
      <c r="B1024" s="127">
        <v>1823910</v>
      </c>
      <c r="C1024" s="128" t="s">
        <v>644</v>
      </c>
      <c r="D1024" s="127">
        <v>104232</v>
      </c>
      <c r="E1024" s="128" t="s">
        <v>1713</v>
      </c>
      <c r="F1024" s="127" t="s">
        <v>367</v>
      </c>
      <c r="H1024" s="117" t="str">
        <f t="shared" si="31"/>
        <v>SITUS</v>
      </c>
      <c r="I1024" s="113" t="s">
        <v>100</v>
      </c>
    </row>
    <row r="1025" spans="1:9">
      <c r="A1025" s="114" t="str">
        <f t="shared" si="30"/>
        <v>1823910ENVIR CST UNDR AMORT104233Montague Ranch - WASITUS</v>
      </c>
      <c r="B1025" s="127">
        <v>1823910</v>
      </c>
      <c r="C1025" s="128" t="s">
        <v>644</v>
      </c>
      <c r="D1025" s="127">
        <v>104233</v>
      </c>
      <c r="E1025" s="128" t="s">
        <v>1714</v>
      </c>
      <c r="F1025" s="127" t="s">
        <v>367</v>
      </c>
      <c r="H1025" s="117" t="str">
        <f t="shared" si="31"/>
        <v>SITUS</v>
      </c>
      <c r="I1025" s="113" t="s">
        <v>100</v>
      </c>
    </row>
    <row r="1026" spans="1:9">
      <c r="A1026" s="114" t="str">
        <f t="shared" si="30"/>
        <v>1823910ENVIR CST UNDR AMORT104234Naughton Plant FGDP 1 - WASITUS</v>
      </c>
      <c r="B1026" s="127">
        <v>1823910</v>
      </c>
      <c r="C1026" s="128" t="s">
        <v>644</v>
      </c>
      <c r="D1026" s="127">
        <v>104234</v>
      </c>
      <c r="E1026" s="128" t="s">
        <v>1715</v>
      </c>
      <c r="F1026" s="127" t="s">
        <v>367</v>
      </c>
      <c r="H1026" s="117" t="str">
        <f t="shared" si="31"/>
        <v>SITUS</v>
      </c>
      <c r="I1026" s="113" t="s">
        <v>100</v>
      </c>
    </row>
    <row r="1027" spans="1:9">
      <c r="A1027" s="114" t="str">
        <f t="shared" ref="A1027:A1090" si="32">CONCATENATE($B1027,$C1027,$D1027,$E1027,$H1027)</f>
        <v>1823910ENVIR CST UNDR AMORT104235Naughton Plant FGDP 2 - WASITUS</v>
      </c>
      <c r="B1027" s="127">
        <v>1823910</v>
      </c>
      <c r="C1027" s="128" t="s">
        <v>644</v>
      </c>
      <c r="D1027" s="127">
        <v>104235</v>
      </c>
      <c r="E1027" s="128" t="s">
        <v>1716</v>
      </c>
      <c r="F1027" s="127" t="s">
        <v>367</v>
      </c>
      <c r="H1027" s="117" t="str">
        <f t="shared" ref="H1027:H1090" si="33">IF(OR(F1027="IDU",F1027="OR",F1027="UT",F1027="WYU",F1027="WYP",F1027="CA",F1027="WA"),"SITUS",F1027)</f>
        <v>SITUS</v>
      </c>
      <c r="I1027" s="113" t="s">
        <v>100</v>
      </c>
    </row>
    <row r="1028" spans="1:9">
      <c r="A1028" s="114" t="str">
        <f t="shared" si="32"/>
        <v>1823910ENVIR CST UNDR AMORT104236Naughton Plant FGDP Closure - WASITUS</v>
      </c>
      <c r="B1028" s="127">
        <v>1823910</v>
      </c>
      <c r="C1028" s="128" t="s">
        <v>644</v>
      </c>
      <c r="D1028" s="127">
        <v>104236</v>
      </c>
      <c r="E1028" s="128" t="s">
        <v>1717</v>
      </c>
      <c r="F1028" s="127" t="s">
        <v>367</v>
      </c>
      <c r="H1028" s="117" t="str">
        <f t="shared" si="33"/>
        <v>SITUS</v>
      </c>
      <c r="I1028" s="113" t="s">
        <v>100</v>
      </c>
    </row>
    <row r="1029" spans="1:9">
      <c r="A1029" s="114" t="str">
        <f t="shared" si="32"/>
        <v>1823910ENVIR CST UNDR AMORT104239Naughton South Ash Pond - WASITUS</v>
      </c>
      <c r="B1029" s="127">
        <v>1823910</v>
      </c>
      <c r="C1029" s="128" t="s">
        <v>644</v>
      </c>
      <c r="D1029" s="127">
        <v>104239</v>
      </c>
      <c r="E1029" s="128" t="s">
        <v>1718</v>
      </c>
      <c r="F1029" s="127" t="s">
        <v>367</v>
      </c>
      <c r="H1029" s="117" t="str">
        <f t="shared" si="33"/>
        <v>SITUS</v>
      </c>
      <c r="I1029" s="113" t="s">
        <v>100</v>
      </c>
    </row>
    <row r="1030" spans="1:9">
      <c r="A1030" s="114" t="str">
        <f t="shared" si="32"/>
        <v>1823910ENVIR CST UNDR AMORT104240Ogden MGP - WASITUS</v>
      </c>
      <c r="B1030" s="127">
        <v>1823910</v>
      </c>
      <c r="C1030" s="128" t="s">
        <v>644</v>
      </c>
      <c r="D1030" s="127">
        <v>104240</v>
      </c>
      <c r="E1030" s="128" t="s">
        <v>1719</v>
      </c>
      <c r="F1030" s="127" t="s">
        <v>367</v>
      </c>
      <c r="H1030" s="117" t="str">
        <f t="shared" si="33"/>
        <v>SITUS</v>
      </c>
      <c r="I1030" s="113" t="s">
        <v>100</v>
      </c>
    </row>
    <row r="1031" spans="1:9">
      <c r="A1031" s="114" t="str">
        <f t="shared" si="32"/>
        <v>1823910ENVIR CST UNDR AMORT104241Olympia - WASITUS</v>
      </c>
      <c r="B1031" s="127">
        <v>1823910</v>
      </c>
      <c r="C1031" s="128" t="s">
        <v>644</v>
      </c>
      <c r="D1031" s="127">
        <v>104241</v>
      </c>
      <c r="E1031" s="128" t="s">
        <v>1720</v>
      </c>
      <c r="F1031" s="127" t="s">
        <v>367</v>
      </c>
      <c r="H1031" s="117" t="str">
        <f t="shared" si="33"/>
        <v>SITUS</v>
      </c>
      <c r="I1031" s="113" t="s">
        <v>100</v>
      </c>
    </row>
    <row r="1032" spans="1:9">
      <c r="A1032" s="114" t="str">
        <f t="shared" si="32"/>
        <v>1823910ENVIR CST UNDR AMORT104242Portland Harbor Srce Cntrl - WASITUS</v>
      </c>
      <c r="B1032" s="127">
        <v>1823910</v>
      </c>
      <c r="C1032" s="128" t="s">
        <v>644</v>
      </c>
      <c r="D1032" s="127">
        <v>104242</v>
      </c>
      <c r="E1032" s="128" t="s">
        <v>1721</v>
      </c>
      <c r="F1032" s="127" t="s">
        <v>367</v>
      </c>
      <c r="H1032" s="117" t="str">
        <f t="shared" si="33"/>
        <v>SITUS</v>
      </c>
      <c r="I1032" s="113" t="s">
        <v>100</v>
      </c>
    </row>
    <row r="1033" spans="1:9">
      <c r="A1033" s="114" t="str">
        <f t="shared" si="32"/>
        <v>1823910ENVIR CST UNDR AMORT104244Silver Bell/Telluride - WASITUS</v>
      </c>
      <c r="B1033" s="127">
        <v>1823910</v>
      </c>
      <c r="C1033" s="128" t="s">
        <v>644</v>
      </c>
      <c r="D1033" s="127">
        <v>104244</v>
      </c>
      <c r="E1033" s="128" t="s">
        <v>1722</v>
      </c>
      <c r="F1033" s="127" t="s">
        <v>367</v>
      </c>
      <c r="H1033" s="117" t="str">
        <f t="shared" si="33"/>
        <v>SITUS</v>
      </c>
      <c r="I1033" s="113" t="s">
        <v>100</v>
      </c>
    </row>
    <row r="1034" spans="1:9">
      <c r="A1034" s="114" t="str">
        <f t="shared" si="32"/>
        <v>1823910ENVIR CST UNDR AMORT104245Tacoma A St. (25% PCRP) - WASITUS</v>
      </c>
      <c r="B1034" s="127">
        <v>1823910</v>
      </c>
      <c r="C1034" s="128" t="s">
        <v>644</v>
      </c>
      <c r="D1034" s="127">
        <v>104245</v>
      </c>
      <c r="E1034" s="128" t="s">
        <v>1723</v>
      </c>
      <c r="F1034" s="127" t="s">
        <v>367</v>
      </c>
      <c r="H1034" s="117" t="str">
        <f t="shared" si="33"/>
        <v>SITUS</v>
      </c>
      <c r="I1034" s="113" t="s">
        <v>100</v>
      </c>
    </row>
    <row r="1035" spans="1:9">
      <c r="A1035" s="114" t="str">
        <f t="shared" si="32"/>
        <v>1823910ENVIR CST UNDR AMORT104246Utah Metal East - WASITUS</v>
      </c>
      <c r="B1035" s="127">
        <v>1823910</v>
      </c>
      <c r="C1035" s="128" t="s">
        <v>644</v>
      </c>
      <c r="D1035" s="127">
        <v>104246</v>
      </c>
      <c r="E1035" s="128" t="s">
        <v>1724</v>
      </c>
      <c r="F1035" s="127" t="s">
        <v>367</v>
      </c>
      <c r="H1035" s="117" t="str">
        <f t="shared" si="33"/>
        <v>SITUS</v>
      </c>
      <c r="I1035" s="113" t="s">
        <v>100</v>
      </c>
    </row>
    <row r="1036" spans="1:9">
      <c r="A1036" s="114" t="str">
        <f t="shared" si="32"/>
        <v>1823910ENVIR CST UNDR AMORT104247Wyodak Oil Spill - WASITUS</v>
      </c>
      <c r="B1036" s="127">
        <v>1823910</v>
      </c>
      <c r="C1036" s="128" t="s">
        <v>644</v>
      </c>
      <c r="D1036" s="127">
        <v>104247</v>
      </c>
      <c r="E1036" s="128" t="s">
        <v>1725</v>
      </c>
      <c r="F1036" s="127" t="s">
        <v>367</v>
      </c>
      <c r="H1036" s="117" t="str">
        <f t="shared" si="33"/>
        <v>SITUS</v>
      </c>
      <c r="I1036" s="113" t="s">
        <v>100</v>
      </c>
    </row>
    <row r="1037" spans="1:9">
      <c r="A1037" s="114" t="str">
        <f t="shared" si="32"/>
        <v>1823910ENVIR CST UNDR AMORT104268Rocky Mountain - WASITUS</v>
      </c>
      <c r="B1037" s="127">
        <v>1823910</v>
      </c>
      <c r="C1037" s="128" t="s">
        <v>644</v>
      </c>
      <c r="D1037" s="127">
        <v>104268</v>
      </c>
      <c r="E1037" s="128" t="s">
        <v>1726</v>
      </c>
      <c r="F1037" s="127" t="s">
        <v>367</v>
      </c>
      <c r="H1037" s="117" t="str">
        <f t="shared" si="33"/>
        <v>SITUS</v>
      </c>
      <c r="I1037" s="113" t="s">
        <v>100</v>
      </c>
    </row>
    <row r="1038" spans="1:9">
      <c r="A1038" s="114" t="str">
        <f t="shared" si="32"/>
        <v>1823910ENVIR CST UNDR AMORT104269Pac Power - WASITUS</v>
      </c>
      <c r="B1038" s="127">
        <v>1823910</v>
      </c>
      <c r="C1038" s="128" t="s">
        <v>644</v>
      </c>
      <c r="D1038" s="127">
        <v>104269</v>
      </c>
      <c r="E1038" s="128" t="s">
        <v>1727</v>
      </c>
      <c r="F1038" s="127" t="s">
        <v>367</v>
      </c>
      <c r="H1038" s="117" t="str">
        <f t="shared" si="33"/>
        <v>SITUS</v>
      </c>
      <c r="I1038" s="113" t="s">
        <v>100</v>
      </c>
    </row>
    <row r="1039" spans="1:9">
      <c r="A1039" s="114" t="str">
        <f t="shared" si="32"/>
        <v>1823910ENVIR CST UNDR AMORT104296NTO Parking Lot-Asbestos 2018SO</v>
      </c>
      <c r="B1039" s="127">
        <v>1823910</v>
      </c>
      <c r="C1039" s="128" t="s">
        <v>644</v>
      </c>
      <c r="D1039" s="127">
        <v>104296</v>
      </c>
      <c r="E1039" s="128" t="s">
        <v>1728</v>
      </c>
      <c r="F1039" s="127" t="s">
        <v>89</v>
      </c>
      <c r="H1039" s="117" t="str">
        <f t="shared" si="33"/>
        <v>SO</v>
      </c>
      <c r="I1039" s="113" t="s">
        <v>100</v>
      </c>
    </row>
    <row r="1040" spans="1:9">
      <c r="A1040" s="114" t="str">
        <f t="shared" si="32"/>
        <v>1823910ENVIR CST UNDR AMORT104297NTO Parking Lot Asbestos - WA 2018SITUS</v>
      </c>
      <c r="B1040" s="127">
        <v>1823910</v>
      </c>
      <c r="C1040" s="128" t="s">
        <v>644</v>
      </c>
      <c r="D1040" s="127">
        <v>104297</v>
      </c>
      <c r="E1040" s="128" t="s">
        <v>1729</v>
      </c>
      <c r="F1040" s="127" t="s">
        <v>367</v>
      </c>
      <c r="H1040" s="117" t="str">
        <f t="shared" si="33"/>
        <v>SITUS</v>
      </c>
      <c r="I1040" s="113" t="s">
        <v>100</v>
      </c>
    </row>
    <row r="1041" spans="1:9">
      <c r="A1041" s="114" t="str">
        <f t="shared" si="32"/>
        <v>1823700OTH REGA-ENERGY WEST186829Contra RA-DCM Closure-Royalties AmortzSITUS</v>
      </c>
      <c r="B1041" s="127">
        <v>1823700</v>
      </c>
      <c r="C1041" s="128" t="s">
        <v>590</v>
      </c>
      <c r="D1041" s="127">
        <v>186829</v>
      </c>
      <c r="E1041" s="128" t="s">
        <v>1762</v>
      </c>
      <c r="F1041" s="127" t="s">
        <v>378</v>
      </c>
      <c r="H1041" s="117" t="str">
        <f t="shared" si="33"/>
        <v>SITUS</v>
      </c>
      <c r="I1041" s="117" t="s">
        <v>68</v>
      </c>
    </row>
    <row r="1042" spans="1:9">
      <c r="A1042" s="114" t="str">
        <f t="shared" si="32"/>
        <v>1823870DEFERRED PENSION187018CONTRA FAS 158 PENSION REG ASSETSO</v>
      </c>
      <c r="B1042" s="127">
        <v>1823870</v>
      </c>
      <c r="C1042" s="128" t="s">
        <v>631</v>
      </c>
      <c r="D1042" s="127">
        <v>187018</v>
      </c>
      <c r="E1042" s="128" t="s">
        <v>1763</v>
      </c>
      <c r="F1042" s="127" t="s">
        <v>89</v>
      </c>
      <c r="H1042" s="117" t="str">
        <f t="shared" si="33"/>
        <v>SO</v>
      </c>
      <c r="I1042" s="117" t="s">
        <v>102</v>
      </c>
    </row>
    <row r="1043" spans="1:9">
      <c r="A1043" s="114" t="str">
        <f t="shared" si="32"/>
        <v>1823910ENVIR CST UNDR AMORT104203Colstrip PondSO</v>
      </c>
      <c r="B1043" s="127">
        <v>1823910</v>
      </c>
      <c r="C1043" s="128" t="s">
        <v>644</v>
      </c>
      <c r="D1043" s="127">
        <v>104203</v>
      </c>
      <c r="E1043" s="128" t="s">
        <v>1764</v>
      </c>
      <c r="F1043" s="127" t="s">
        <v>89</v>
      </c>
      <c r="H1043" s="117" t="str">
        <f t="shared" si="33"/>
        <v>SO</v>
      </c>
      <c r="I1043" s="117" t="s">
        <v>100</v>
      </c>
    </row>
    <row r="1044" spans="1:9">
      <c r="A1044" s="114" t="str">
        <f t="shared" si="32"/>
        <v>1823910ENVIR CST UNDR AMORT104204Cholla Ash-Flyash PondSO</v>
      </c>
      <c r="B1044" s="127">
        <v>1823910</v>
      </c>
      <c r="C1044" s="128" t="s">
        <v>644</v>
      </c>
      <c r="D1044" s="127">
        <v>104204</v>
      </c>
      <c r="E1044" s="128" t="s">
        <v>1765</v>
      </c>
      <c r="F1044" s="127" t="s">
        <v>89</v>
      </c>
      <c r="H1044" s="117" t="str">
        <f t="shared" si="33"/>
        <v>SO</v>
      </c>
      <c r="I1044" s="117" t="s">
        <v>100</v>
      </c>
    </row>
    <row r="1045" spans="1:9">
      <c r="A1045" s="114" t="str">
        <f t="shared" si="32"/>
        <v>1823910ENVIR CST UNDR AMORT104223Colstrip Pond - WASITUS</v>
      </c>
      <c r="B1045" s="127">
        <v>1823910</v>
      </c>
      <c r="C1045" s="128" t="s">
        <v>644</v>
      </c>
      <c r="D1045" s="127">
        <v>104223</v>
      </c>
      <c r="E1045" s="128" t="s">
        <v>1766</v>
      </c>
      <c r="F1045" s="127" t="s">
        <v>367</v>
      </c>
      <c r="H1045" s="117" t="str">
        <f t="shared" si="33"/>
        <v>SITUS</v>
      </c>
      <c r="I1045" s="117" t="s">
        <v>100</v>
      </c>
    </row>
    <row r="1046" spans="1:9">
      <c r="A1046" s="114" t="str">
        <f t="shared" si="32"/>
        <v>1823910ENVIR CST UNDR AMORT104224Cholla Ash - WASITUS</v>
      </c>
      <c r="B1046" s="127">
        <v>1823910</v>
      </c>
      <c r="C1046" s="128" t="s">
        <v>644</v>
      </c>
      <c r="D1046" s="127">
        <v>104224</v>
      </c>
      <c r="E1046" s="128" t="s">
        <v>1767</v>
      </c>
      <c r="F1046" s="127" t="s">
        <v>367</v>
      </c>
      <c r="H1046" s="117" t="str">
        <f t="shared" si="33"/>
        <v>SITUS</v>
      </c>
      <c r="I1046" s="117" t="s">
        <v>100</v>
      </c>
    </row>
    <row r="1047" spans="1:9">
      <c r="A1047" s="114" t="str">
        <f t="shared" si="32"/>
        <v>1823990OTHR REG ASSET-N CST186147RegA - DSM - UT - Reclass to CurrentOTHER</v>
      </c>
      <c r="B1047" s="127">
        <v>1823990</v>
      </c>
      <c r="C1047" s="128" t="s">
        <v>1288</v>
      </c>
      <c r="D1047" s="127">
        <v>186147</v>
      </c>
      <c r="E1047" s="128" t="s">
        <v>1770</v>
      </c>
      <c r="F1047" s="127" t="s">
        <v>306</v>
      </c>
      <c r="H1047" s="117" t="str">
        <f t="shared" si="33"/>
        <v>OTHER</v>
      </c>
      <c r="I1047" s="117" t="s">
        <v>74</v>
      </c>
    </row>
    <row r="1048" spans="1:9">
      <c r="A1048" s="114" t="str">
        <f t="shared" si="32"/>
        <v>1823990OTHR REG ASSET-N CST187420RegA - OR Community SolarOTHER</v>
      </c>
      <c r="B1048" s="127">
        <v>1823990</v>
      </c>
      <c r="C1048" s="128" t="s">
        <v>1288</v>
      </c>
      <c r="D1048" s="127">
        <v>187420</v>
      </c>
      <c r="E1048" s="128" t="s">
        <v>1771</v>
      </c>
      <c r="F1048" s="127" t="s">
        <v>306</v>
      </c>
      <c r="H1048" s="117" t="str">
        <f t="shared" si="33"/>
        <v>OTHER</v>
      </c>
      <c r="I1048" s="117" t="s">
        <v>68</v>
      </c>
    </row>
    <row r="1049" spans="1:9">
      <c r="A1049" s="114" t="str">
        <f t="shared" si="32"/>
        <v>1823990OTHR REG ASSET-N CST187664RegA-WA Transp Electrification PilotOTHER</v>
      </c>
      <c r="B1049" s="127">
        <v>1823990</v>
      </c>
      <c r="C1049" s="128" t="s">
        <v>1288</v>
      </c>
      <c r="D1049" s="127">
        <v>187664</v>
      </c>
      <c r="E1049" s="128" t="s">
        <v>1772</v>
      </c>
      <c r="F1049" s="127" t="s">
        <v>306</v>
      </c>
      <c r="H1049" s="117" t="str">
        <f t="shared" si="33"/>
        <v>OTHER</v>
      </c>
      <c r="I1049" s="117" t="s">
        <v>68</v>
      </c>
    </row>
    <row r="1050" spans="1:9">
      <c r="A1050" s="114" t="str">
        <f t="shared" si="32"/>
        <v>1823990OTHR REG ASSET-N CST187869Reg Asset - WY RRA CY2019OTHER</v>
      </c>
      <c r="B1050" s="127">
        <v>1823990</v>
      </c>
      <c r="C1050" s="128" t="s">
        <v>1288</v>
      </c>
      <c r="D1050" s="127">
        <v>187869</v>
      </c>
      <c r="E1050" s="128" t="s">
        <v>1773</v>
      </c>
      <c r="F1050" s="127" t="s">
        <v>306</v>
      </c>
      <c r="H1050" s="117" t="str">
        <f t="shared" si="33"/>
        <v>OTHER</v>
      </c>
      <c r="I1050" s="117" t="s">
        <v>68</v>
      </c>
    </row>
    <row r="1051" spans="1:9">
      <c r="A1051" s="114" t="str">
        <f t="shared" si="32"/>
        <v>1823990OTHR REG ASSET-N CST187880Reg Asset - UT RBA CY2019OTHER</v>
      </c>
      <c r="B1051" s="127">
        <v>1823990</v>
      </c>
      <c r="C1051" s="128" t="s">
        <v>1288</v>
      </c>
      <c r="D1051" s="127">
        <v>187880</v>
      </c>
      <c r="E1051" s="128" t="s">
        <v>1774</v>
      </c>
      <c r="F1051" s="127" t="s">
        <v>306</v>
      </c>
      <c r="H1051" s="117" t="str">
        <f t="shared" si="33"/>
        <v>OTHER</v>
      </c>
      <c r="I1051" s="117" t="s">
        <v>68</v>
      </c>
    </row>
    <row r="1052" spans="1:9">
      <c r="A1052" s="114" t="str">
        <f t="shared" si="32"/>
        <v>1823990OTHR REG ASSET-N CST189502Reg Asset - CA ECAC CY2020OTHER</v>
      </c>
      <c r="B1052" s="127">
        <v>1823990</v>
      </c>
      <c r="C1052" s="128" t="s">
        <v>1288</v>
      </c>
      <c r="D1052" s="127">
        <v>189502</v>
      </c>
      <c r="E1052" s="128" t="s">
        <v>1775</v>
      </c>
      <c r="F1052" s="127" t="s">
        <v>306</v>
      </c>
      <c r="H1052" s="117" t="str">
        <f t="shared" si="33"/>
        <v>OTHER</v>
      </c>
      <c r="I1052" s="117" t="s">
        <v>68</v>
      </c>
    </row>
    <row r="1053" spans="1:9">
      <c r="A1053" s="114" t="str">
        <f t="shared" si="32"/>
        <v>1823990OTHR REG ASSET-N CST189503Contra Reg Asset - CA ECAC CY2020OTHER</v>
      </c>
      <c r="B1053" s="127">
        <v>1823990</v>
      </c>
      <c r="C1053" s="128" t="s">
        <v>1288</v>
      </c>
      <c r="D1053" s="127">
        <v>189503</v>
      </c>
      <c r="E1053" s="128" t="s">
        <v>1776</v>
      </c>
      <c r="F1053" s="127" t="s">
        <v>306</v>
      </c>
      <c r="H1053" s="117" t="str">
        <f t="shared" si="33"/>
        <v>OTHER</v>
      </c>
      <c r="I1053" s="117" t="s">
        <v>68</v>
      </c>
    </row>
    <row r="1054" spans="1:9">
      <c r="A1054" s="114" t="str">
        <f t="shared" si="32"/>
        <v>1823990OTHR REG ASSET-N CST189504Reg Asset - CA ECAC CY2021OTHER</v>
      </c>
      <c r="B1054" s="127">
        <v>1823990</v>
      </c>
      <c r="C1054" s="128" t="s">
        <v>1288</v>
      </c>
      <c r="D1054" s="127">
        <v>189504</v>
      </c>
      <c r="E1054" s="128" t="s">
        <v>1777</v>
      </c>
      <c r="F1054" s="127" t="s">
        <v>306</v>
      </c>
      <c r="H1054" s="117" t="str">
        <f t="shared" si="33"/>
        <v>OTHER</v>
      </c>
      <c r="I1054" s="117" t="s">
        <v>68</v>
      </c>
    </row>
    <row r="1055" spans="1:9">
      <c r="A1055" s="114" t="str">
        <f t="shared" si="32"/>
        <v>1823990OTHR REG ASSET-N CST189505Contra Reg Asset - CA ECAC CY2021OTHER</v>
      </c>
      <c r="B1055" s="127">
        <v>1823990</v>
      </c>
      <c r="C1055" s="128" t="s">
        <v>1288</v>
      </c>
      <c r="D1055" s="127">
        <v>189505</v>
      </c>
      <c r="E1055" s="128" t="s">
        <v>1778</v>
      </c>
      <c r="F1055" s="127" t="s">
        <v>306</v>
      </c>
      <c r="H1055" s="117" t="str">
        <f t="shared" si="33"/>
        <v>OTHER</v>
      </c>
      <c r="I1055" s="117" t="s">
        <v>68</v>
      </c>
    </row>
    <row r="1056" spans="1:9">
      <c r="A1056" s="114" t="str">
        <f t="shared" si="32"/>
        <v>1823990OTHR REG ASSET-N CST189535Reg Asset-ID ECAM CY 2020OTHER</v>
      </c>
      <c r="B1056" s="127">
        <v>1823990</v>
      </c>
      <c r="C1056" s="128" t="s">
        <v>1288</v>
      </c>
      <c r="D1056" s="127">
        <v>189535</v>
      </c>
      <c r="E1056" s="128" t="s">
        <v>1779</v>
      </c>
      <c r="F1056" s="127" t="s">
        <v>306</v>
      </c>
      <c r="H1056" s="117" t="str">
        <f t="shared" si="33"/>
        <v>OTHER</v>
      </c>
      <c r="I1056" s="117" t="s">
        <v>68</v>
      </c>
    </row>
    <row r="1057" spans="1:9">
      <c r="A1057" s="114" t="str">
        <f t="shared" si="32"/>
        <v>1823990OTHR REG ASSET-N CST189536Reg Asset-ID ECAM CY 2021OTHER</v>
      </c>
      <c r="B1057" s="127">
        <v>1823990</v>
      </c>
      <c r="C1057" s="128" t="s">
        <v>1288</v>
      </c>
      <c r="D1057" s="127">
        <v>189536</v>
      </c>
      <c r="E1057" s="128" t="s">
        <v>1780</v>
      </c>
      <c r="F1057" s="127" t="s">
        <v>306</v>
      </c>
      <c r="H1057" s="117" t="str">
        <f t="shared" si="33"/>
        <v>OTHER</v>
      </c>
      <c r="I1057" s="117" t="s">
        <v>68</v>
      </c>
    </row>
    <row r="1058" spans="1:9">
      <c r="A1058" s="114" t="str">
        <f t="shared" si="32"/>
        <v>1823990OTHR REG ASSET-N CST189545Contra Reg Asset - ID ECAM CY 2020OTHER</v>
      </c>
      <c r="B1058" s="127">
        <v>1823990</v>
      </c>
      <c r="C1058" s="128" t="s">
        <v>1288</v>
      </c>
      <c r="D1058" s="127">
        <v>189545</v>
      </c>
      <c r="E1058" s="128" t="s">
        <v>1781</v>
      </c>
      <c r="F1058" s="127" t="s">
        <v>306</v>
      </c>
      <c r="H1058" s="117" t="str">
        <f t="shared" si="33"/>
        <v>OTHER</v>
      </c>
      <c r="I1058" s="117" t="s">
        <v>68</v>
      </c>
    </row>
    <row r="1059" spans="1:9">
      <c r="A1059" s="114" t="str">
        <f t="shared" si="32"/>
        <v>1823990OTHR REG ASSET-N CST189546Contra Reg Asset - ID ECAM CY 2021OTHER</v>
      </c>
      <c r="B1059" s="127">
        <v>1823990</v>
      </c>
      <c r="C1059" s="128" t="s">
        <v>1288</v>
      </c>
      <c r="D1059" s="127">
        <v>189546</v>
      </c>
      <c r="E1059" s="128" t="s">
        <v>1782</v>
      </c>
      <c r="F1059" s="127" t="s">
        <v>306</v>
      </c>
      <c r="H1059" s="117" t="str">
        <f t="shared" si="33"/>
        <v>OTHER</v>
      </c>
      <c r="I1059" s="117" t="s">
        <v>68</v>
      </c>
    </row>
    <row r="1060" spans="1:9">
      <c r="A1060" s="114" t="str">
        <f t="shared" si="32"/>
        <v>1823990OTHR REG ASSET-N CST189570Reg Asset - OR TAM CY2020OTHER</v>
      </c>
      <c r="B1060" s="127">
        <v>1823990</v>
      </c>
      <c r="C1060" s="128" t="s">
        <v>1288</v>
      </c>
      <c r="D1060" s="127">
        <v>189570</v>
      </c>
      <c r="E1060" s="128" t="s">
        <v>1783</v>
      </c>
      <c r="F1060" s="127" t="s">
        <v>306</v>
      </c>
      <c r="H1060" s="117" t="str">
        <f t="shared" si="33"/>
        <v>OTHER</v>
      </c>
      <c r="I1060" s="117" t="s">
        <v>68</v>
      </c>
    </row>
    <row r="1061" spans="1:9">
      <c r="A1061" s="114" t="str">
        <f t="shared" si="32"/>
        <v>1823990OTHR REG ASSET-N CST189571Reg Asset - OR TAM CY2021OTHER</v>
      </c>
      <c r="B1061" s="127">
        <v>1823990</v>
      </c>
      <c r="C1061" s="128" t="s">
        <v>1288</v>
      </c>
      <c r="D1061" s="127">
        <v>189571</v>
      </c>
      <c r="E1061" s="128" t="s">
        <v>1784</v>
      </c>
      <c r="F1061" s="127" t="s">
        <v>306</v>
      </c>
      <c r="H1061" s="117" t="str">
        <f t="shared" si="33"/>
        <v>OTHER</v>
      </c>
      <c r="I1061" s="117" t="s">
        <v>68</v>
      </c>
    </row>
    <row r="1062" spans="1:9">
      <c r="A1062" s="114" t="str">
        <f t="shared" si="32"/>
        <v>1823990OTHR REG ASSET-N CST189580Contra Reg Asset - OR TAM CY2020OTHER</v>
      </c>
      <c r="B1062" s="127">
        <v>1823990</v>
      </c>
      <c r="C1062" s="128" t="s">
        <v>1288</v>
      </c>
      <c r="D1062" s="127">
        <v>189580</v>
      </c>
      <c r="E1062" s="128" t="s">
        <v>1785</v>
      </c>
      <c r="F1062" s="127" t="s">
        <v>306</v>
      </c>
      <c r="H1062" s="117" t="str">
        <f t="shared" si="33"/>
        <v>OTHER</v>
      </c>
      <c r="I1062" s="117" t="s">
        <v>68</v>
      </c>
    </row>
    <row r="1063" spans="1:9">
      <c r="A1063" s="114" t="str">
        <f t="shared" si="32"/>
        <v>1823990OTHR REG ASSET-N CST189581Contra Reg Asset - OR TAM CY2021OTHER</v>
      </c>
      <c r="B1063" s="127">
        <v>1823990</v>
      </c>
      <c r="C1063" s="128" t="s">
        <v>1288</v>
      </c>
      <c r="D1063" s="127">
        <v>189581</v>
      </c>
      <c r="E1063" s="128" t="s">
        <v>1786</v>
      </c>
      <c r="F1063" s="127" t="s">
        <v>306</v>
      </c>
      <c r="H1063" s="117" t="str">
        <f t="shared" si="33"/>
        <v>OTHER</v>
      </c>
      <c r="I1063" s="117" t="s">
        <v>68</v>
      </c>
    </row>
    <row r="1064" spans="1:9">
      <c r="A1064" s="114" t="str">
        <f t="shared" si="32"/>
        <v>1823990OTHR REG ASSET-N CST189610Reg Asset - UT EBA CY2020OTHER</v>
      </c>
      <c r="B1064" s="127">
        <v>1823990</v>
      </c>
      <c r="C1064" s="128" t="s">
        <v>1288</v>
      </c>
      <c r="D1064" s="127">
        <v>189610</v>
      </c>
      <c r="E1064" s="128" t="s">
        <v>1787</v>
      </c>
      <c r="F1064" s="127" t="s">
        <v>306</v>
      </c>
      <c r="H1064" s="117" t="str">
        <f t="shared" si="33"/>
        <v>OTHER</v>
      </c>
      <c r="I1064" s="117" t="s">
        <v>68</v>
      </c>
    </row>
    <row r="1065" spans="1:9">
      <c r="A1065" s="114" t="str">
        <f t="shared" si="32"/>
        <v>1823990OTHR REG ASSET-N CST189611Reg Asset - UT EBA CY2021OTHER</v>
      </c>
      <c r="B1065" s="127">
        <v>1823990</v>
      </c>
      <c r="C1065" s="128" t="s">
        <v>1288</v>
      </c>
      <c r="D1065" s="127">
        <v>189611</v>
      </c>
      <c r="E1065" s="128" t="s">
        <v>1788</v>
      </c>
      <c r="F1065" s="127" t="s">
        <v>306</v>
      </c>
      <c r="H1065" s="117" t="str">
        <f t="shared" si="33"/>
        <v>OTHER</v>
      </c>
      <c r="I1065" s="117" t="s">
        <v>68</v>
      </c>
    </row>
    <row r="1066" spans="1:9">
      <c r="A1066" s="114" t="str">
        <f t="shared" si="32"/>
        <v>1823990OTHR REG ASSET-N CST189620Contra Reg Asset - UT EBA CY2020OTHER</v>
      </c>
      <c r="B1066" s="127">
        <v>1823990</v>
      </c>
      <c r="C1066" s="128" t="s">
        <v>1288</v>
      </c>
      <c r="D1066" s="127">
        <v>189620</v>
      </c>
      <c r="E1066" s="128" t="s">
        <v>1789</v>
      </c>
      <c r="F1066" s="127" t="s">
        <v>306</v>
      </c>
      <c r="H1066" s="117" t="str">
        <f t="shared" si="33"/>
        <v>OTHER</v>
      </c>
      <c r="I1066" s="117" t="s">
        <v>68</v>
      </c>
    </row>
    <row r="1067" spans="1:9">
      <c r="A1067" s="114" t="str">
        <f t="shared" si="32"/>
        <v>1823990OTHR REG ASSET-N CST189621Contra Reg Asset - UT EBA CY2021OTHER</v>
      </c>
      <c r="B1067" s="127">
        <v>1823990</v>
      </c>
      <c r="C1067" s="128" t="s">
        <v>1288</v>
      </c>
      <c r="D1067" s="127">
        <v>189621</v>
      </c>
      <c r="E1067" s="128" t="s">
        <v>1790</v>
      </c>
      <c r="F1067" s="127" t="s">
        <v>306</v>
      </c>
      <c r="H1067" s="117" t="str">
        <f t="shared" si="33"/>
        <v>OTHER</v>
      </c>
      <c r="I1067" s="117" t="s">
        <v>68</v>
      </c>
    </row>
    <row r="1068" spans="1:9">
      <c r="A1068" s="114" t="str">
        <f t="shared" si="32"/>
        <v>1823990OTHR REG ASSET-N CST189650Reg Asset - WY ECAM CY2020OTHER</v>
      </c>
      <c r="B1068" s="127">
        <v>1823990</v>
      </c>
      <c r="C1068" s="128" t="s">
        <v>1288</v>
      </c>
      <c r="D1068" s="127">
        <v>189650</v>
      </c>
      <c r="E1068" s="128" t="s">
        <v>1791</v>
      </c>
      <c r="F1068" s="127" t="s">
        <v>306</v>
      </c>
      <c r="H1068" s="117" t="str">
        <f t="shared" si="33"/>
        <v>OTHER</v>
      </c>
      <c r="I1068" s="117" t="s">
        <v>68</v>
      </c>
    </row>
    <row r="1069" spans="1:9">
      <c r="A1069" s="114" t="str">
        <f t="shared" si="32"/>
        <v>1823990OTHR REG ASSET-N CST189651Reg Asset - WY ECAM CY2021OTHER</v>
      </c>
      <c r="B1069" s="127">
        <v>1823990</v>
      </c>
      <c r="C1069" s="128" t="s">
        <v>1288</v>
      </c>
      <c r="D1069" s="127">
        <v>189651</v>
      </c>
      <c r="E1069" s="128" t="s">
        <v>1792</v>
      </c>
      <c r="F1069" s="127" t="s">
        <v>306</v>
      </c>
      <c r="H1069" s="117" t="str">
        <f t="shared" si="33"/>
        <v>OTHER</v>
      </c>
      <c r="I1069" s="117" t="s">
        <v>68</v>
      </c>
    </row>
    <row r="1070" spans="1:9">
      <c r="A1070" s="114" t="str">
        <f t="shared" si="32"/>
        <v>1823990OTHR REG ASSET-N CST189660Contra Reg Asset - WY ECAM CY2020OTHER</v>
      </c>
      <c r="B1070" s="127">
        <v>1823990</v>
      </c>
      <c r="C1070" s="128" t="s">
        <v>1288</v>
      </c>
      <c r="D1070" s="127">
        <v>189660</v>
      </c>
      <c r="E1070" s="128" t="s">
        <v>1793</v>
      </c>
      <c r="F1070" s="127" t="s">
        <v>306</v>
      </c>
      <c r="H1070" s="117" t="str">
        <f t="shared" si="33"/>
        <v>OTHER</v>
      </c>
      <c r="I1070" s="117" t="s">
        <v>68</v>
      </c>
    </row>
    <row r="1071" spans="1:9">
      <c r="A1071" s="114" t="str">
        <f t="shared" si="32"/>
        <v>1823990OTHR REG ASSET-N CST189661Contra Reg Asset - WY ECAM CY2021OTHER</v>
      </c>
      <c r="B1071" s="127">
        <v>1823990</v>
      </c>
      <c r="C1071" s="128" t="s">
        <v>1288</v>
      </c>
      <c r="D1071" s="127">
        <v>189661</v>
      </c>
      <c r="E1071" s="128" t="s">
        <v>1794</v>
      </c>
      <c r="F1071" s="127" t="s">
        <v>306</v>
      </c>
      <c r="H1071" s="117" t="str">
        <f t="shared" si="33"/>
        <v>OTHER</v>
      </c>
      <c r="I1071" s="117" t="s">
        <v>68</v>
      </c>
    </row>
    <row r="1072" spans="1:9">
      <c r="A1072" s="114" t="str">
        <f t="shared" si="32"/>
        <v>1823870DEFERRED PENSION187608Reg Asset - Pension Settlement - CAOTHER</v>
      </c>
      <c r="B1072" s="127">
        <v>1823870</v>
      </c>
      <c r="C1072" s="128" t="s">
        <v>631</v>
      </c>
      <c r="D1072" s="127">
        <v>187608</v>
      </c>
      <c r="E1072" s="128" t="s">
        <v>1830</v>
      </c>
      <c r="F1072" s="127" t="s">
        <v>306</v>
      </c>
      <c r="G1072" s="129">
        <f>SUBTOTAL(109,'REGASSET Lookup'!$G$2:$G$1071)</f>
        <v>0</v>
      </c>
      <c r="H1072" s="117" t="str">
        <f t="shared" si="33"/>
        <v>OTHER</v>
      </c>
      <c r="I1072" s="117" t="s">
        <v>102</v>
      </c>
    </row>
    <row r="1073" spans="1:9">
      <c r="A1073" s="114" t="str">
        <f t="shared" si="32"/>
        <v>1823870DEFERRED PENSION187629Reg Asset - Post-Ret - Settlement LossOTHER</v>
      </c>
      <c r="B1073" s="127">
        <v>1823870</v>
      </c>
      <c r="C1073" s="128" t="s">
        <v>631</v>
      </c>
      <c r="D1073" s="127">
        <v>187629</v>
      </c>
      <c r="E1073" s="128" t="s">
        <v>641</v>
      </c>
      <c r="F1073" s="127" t="s">
        <v>306</v>
      </c>
      <c r="H1073" s="117" t="str">
        <f t="shared" si="33"/>
        <v>OTHER</v>
      </c>
      <c r="I1073" s="117" t="s">
        <v>102</v>
      </c>
    </row>
    <row r="1074" spans="1:9">
      <c r="A1074" s="114" t="str">
        <f t="shared" si="32"/>
        <v>1823910ENVIR CST UNDR AMORT104237Naughton Oil Spill - WASITUS</v>
      </c>
      <c r="B1074" s="127">
        <v>1823910</v>
      </c>
      <c r="C1074" s="128" t="s">
        <v>644</v>
      </c>
      <c r="D1074" s="127">
        <v>104237</v>
      </c>
      <c r="E1074" s="128" t="s">
        <v>1768</v>
      </c>
      <c r="F1074" s="127" t="s">
        <v>367</v>
      </c>
      <c r="H1074" s="117" t="str">
        <f t="shared" si="33"/>
        <v>SITUS</v>
      </c>
      <c r="I1074" s="117" t="s">
        <v>100</v>
      </c>
    </row>
    <row r="1075" spans="1:9">
      <c r="A1075" s="114" t="str">
        <f t="shared" si="32"/>
        <v>1823910ENVIR CST UNDR AMORT104248Hunter Fuel Oil Spill-WASITUS</v>
      </c>
      <c r="B1075" s="127">
        <v>1823910</v>
      </c>
      <c r="C1075" s="128" t="s">
        <v>644</v>
      </c>
      <c r="D1075" s="127">
        <v>104248</v>
      </c>
      <c r="E1075" s="128" t="s">
        <v>1769</v>
      </c>
      <c r="F1075" s="127" t="s">
        <v>367</v>
      </c>
      <c r="H1075" s="117" t="str">
        <f t="shared" si="33"/>
        <v>SITUS</v>
      </c>
      <c r="I1075" s="117" t="s">
        <v>100</v>
      </c>
    </row>
    <row r="1076" spans="1:9">
      <c r="A1076" s="114" t="str">
        <f t="shared" si="32"/>
        <v>1823990OTHR REG ASSET-N CST138014Reg Asset Current - Cholla ClosureOTHER</v>
      </c>
      <c r="B1076" s="127">
        <v>1823990</v>
      </c>
      <c r="C1076" s="128" t="s">
        <v>1288</v>
      </c>
      <c r="D1076" s="127">
        <v>138014</v>
      </c>
      <c r="E1076" s="128" t="s">
        <v>1831</v>
      </c>
      <c r="F1076" s="127" t="s">
        <v>306</v>
      </c>
      <c r="H1076" s="117" t="str">
        <f t="shared" si="33"/>
        <v>OTHER</v>
      </c>
      <c r="I1076" s="117" t="s">
        <v>68</v>
      </c>
    </row>
    <row r="1077" spans="1:9">
      <c r="A1077" s="114" t="str">
        <f t="shared" si="32"/>
        <v>1823990OTHR REG ASSET-N CST185879Reg A - Cholla Closure - Recl to CurrOTHER</v>
      </c>
      <c r="B1077" s="127">
        <v>1823990</v>
      </c>
      <c r="C1077" s="128" t="s">
        <v>1288</v>
      </c>
      <c r="D1077" s="127">
        <v>185879</v>
      </c>
      <c r="E1077" s="128" t="s">
        <v>1832</v>
      </c>
      <c r="F1077" s="127" t="s">
        <v>306</v>
      </c>
      <c r="H1077" s="117" t="str">
        <f t="shared" si="33"/>
        <v>OTHER</v>
      </c>
      <c r="I1077" s="117" t="s">
        <v>68</v>
      </c>
    </row>
    <row r="1078" spans="1:9">
      <c r="A1078" s="114" t="str">
        <f t="shared" si="32"/>
        <v>1823990OTHR REG ASSET-N CST186127RegA - DSM - ID - Reclass to CurrentOTHER</v>
      </c>
      <c r="B1078" s="127">
        <v>1823990</v>
      </c>
      <c r="C1078" s="128" t="s">
        <v>1288</v>
      </c>
      <c r="D1078" s="127">
        <v>186127</v>
      </c>
      <c r="E1078" s="128" t="s">
        <v>1833</v>
      </c>
      <c r="F1078" s="127" t="s">
        <v>306</v>
      </c>
      <c r="H1078" s="117" t="str">
        <f t="shared" si="33"/>
        <v>OTHER</v>
      </c>
      <c r="I1078" s="117" t="s">
        <v>68</v>
      </c>
    </row>
    <row r="1079" spans="1:9">
      <c r="A1079" s="114" t="str">
        <f t="shared" si="32"/>
        <v>1823990OTHR REG ASSET-N CST187230RegA - Oregon OCAT Expense DeferralOTHER</v>
      </c>
      <c r="B1079" s="127">
        <v>1823990</v>
      </c>
      <c r="C1079" s="128" t="s">
        <v>1288</v>
      </c>
      <c r="D1079" s="127">
        <v>187230</v>
      </c>
      <c r="E1079" s="128" t="s">
        <v>1834</v>
      </c>
      <c r="F1079" s="127" t="s">
        <v>306</v>
      </c>
      <c r="H1079" s="117" t="str">
        <f t="shared" si="33"/>
        <v>OTHER</v>
      </c>
      <c r="I1079" s="117" t="s">
        <v>68</v>
      </c>
    </row>
    <row r="1080" spans="1:9">
      <c r="A1080" s="114" t="str">
        <f t="shared" si="32"/>
        <v>1823990OTHR REG ASSET-N CST187301Reg Asset - CA - CEMA Costs DeferralOTHER</v>
      </c>
      <c r="B1080" s="127">
        <v>1823990</v>
      </c>
      <c r="C1080" s="128" t="s">
        <v>1288</v>
      </c>
      <c r="D1080" s="127">
        <v>187301</v>
      </c>
      <c r="E1080" s="128" t="s">
        <v>1835</v>
      </c>
      <c r="F1080" s="127" t="s">
        <v>306</v>
      </c>
      <c r="H1080" s="117" t="str">
        <f t="shared" si="33"/>
        <v>OTHER</v>
      </c>
      <c r="I1080" s="117" t="s">
        <v>68</v>
      </c>
    </row>
    <row r="1081" spans="1:9">
      <c r="A1081" s="114" t="str">
        <f t="shared" si="32"/>
        <v>1823990OTHR REG ASSET-N CST187304RegA-CA Emerg Svc Prgms-Battery StorageOTHER</v>
      </c>
      <c r="B1081" s="127">
        <v>1823990</v>
      </c>
      <c r="C1081" s="128" t="s">
        <v>1288</v>
      </c>
      <c r="D1081" s="127">
        <v>187304</v>
      </c>
      <c r="E1081" s="128" t="s">
        <v>1836</v>
      </c>
      <c r="F1081" s="127" t="s">
        <v>306</v>
      </c>
      <c r="H1081" s="117" t="str">
        <f t="shared" si="33"/>
        <v>OTHER</v>
      </c>
      <c r="I1081" s="117" t="s">
        <v>68</v>
      </c>
    </row>
    <row r="1082" spans="1:9">
      <c r="A1082" s="114" t="str">
        <f t="shared" si="32"/>
        <v>1823990OTHR REG ASSET-N CST187312Contra Reg Asset-Carbon Plt Dec/Inv-WYSITUS</v>
      </c>
      <c r="B1082" s="127">
        <v>1823990</v>
      </c>
      <c r="C1082" s="128" t="s">
        <v>1288</v>
      </c>
      <c r="D1082" s="127">
        <v>187312</v>
      </c>
      <c r="E1082" s="128" t="s">
        <v>1837</v>
      </c>
      <c r="F1082" s="127" t="s">
        <v>386</v>
      </c>
      <c r="H1082" s="117" t="str">
        <f t="shared" si="33"/>
        <v>SITUS</v>
      </c>
      <c r="I1082" s="117" t="s">
        <v>68</v>
      </c>
    </row>
    <row r="1083" spans="1:9">
      <c r="A1083" s="114" t="str">
        <f t="shared" si="32"/>
        <v>1823990OTHR REG ASSET-N CST187329RegA-Depr/Amortz Deferral-Bal ReclassOTHER</v>
      </c>
      <c r="B1083" s="127">
        <v>1823990</v>
      </c>
      <c r="C1083" s="128" t="s">
        <v>1288</v>
      </c>
      <c r="D1083" s="127">
        <v>187329</v>
      </c>
      <c r="E1083" s="128" t="s">
        <v>1838</v>
      </c>
      <c r="F1083" s="127" t="s">
        <v>306</v>
      </c>
      <c r="H1083" s="117" t="str">
        <f t="shared" si="33"/>
        <v>OTHER</v>
      </c>
      <c r="I1083" s="117" t="s">
        <v>68</v>
      </c>
    </row>
    <row r="1084" spans="1:9">
      <c r="A1084" s="114" t="str">
        <f t="shared" si="32"/>
        <v>1823990OTHR REG ASSET-N CST187337Reg Asset - Carbon Decomm - CASITUS</v>
      </c>
      <c r="B1084" s="127">
        <v>1823990</v>
      </c>
      <c r="C1084" s="128" t="s">
        <v>1288</v>
      </c>
      <c r="D1084" s="127">
        <v>187337</v>
      </c>
      <c r="E1084" s="128" t="s">
        <v>1839</v>
      </c>
      <c r="F1084" s="127" t="s">
        <v>387</v>
      </c>
      <c r="H1084" s="117" t="str">
        <f t="shared" si="33"/>
        <v>SITUS</v>
      </c>
      <c r="I1084" s="117" t="s">
        <v>68</v>
      </c>
    </row>
    <row r="1085" spans="1:9">
      <c r="A1085" s="114" t="str">
        <f t="shared" si="32"/>
        <v>1823990OTHR REG ASSET-N CST187338REG ASSET - CARBON PLT DECOM/INVENTORYSITUS</v>
      </c>
      <c r="B1085" s="127">
        <v>1823990</v>
      </c>
      <c r="C1085" s="128" t="s">
        <v>1288</v>
      </c>
      <c r="D1085" s="127">
        <v>187338</v>
      </c>
      <c r="E1085" s="128" t="s">
        <v>1439</v>
      </c>
      <c r="F1085" s="127" t="s">
        <v>387</v>
      </c>
      <c r="H1085" s="117" t="str">
        <f t="shared" si="33"/>
        <v>SITUS</v>
      </c>
      <c r="I1085" s="117" t="s">
        <v>68</v>
      </c>
    </row>
    <row r="1086" spans="1:9">
      <c r="A1086" s="114" t="str">
        <f t="shared" si="32"/>
        <v>1823990OTHR REG ASSET-N CST187354RegA-OR 2020 GRC-Meters Replcd by AMIOTHER</v>
      </c>
      <c r="B1086" s="127">
        <v>1823990</v>
      </c>
      <c r="C1086" s="128" t="s">
        <v>1288</v>
      </c>
      <c r="D1086" s="127">
        <v>187354</v>
      </c>
      <c r="E1086" s="128" t="s">
        <v>1840</v>
      </c>
      <c r="F1086" s="127" t="s">
        <v>306</v>
      </c>
      <c r="H1086" s="117" t="str">
        <f t="shared" si="33"/>
        <v>OTHER</v>
      </c>
      <c r="I1086" s="117" t="s">
        <v>68</v>
      </c>
    </row>
    <row r="1087" spans="1:9">
      <c r="A1087" s="114" t="str">
        <f t="shared" si="32"/>
        <v>1823990OTHR REG ASSET-N CST187382Reg Asset-OR Solar Feed-In Tariff 2020OTHER</v>
      </c>
      <c r="B1087" s="127">
        <v>1823990</v>
      </c>
      <c r="C1087" s="128" t="s">
        <v>1288</v>
      </c>
      <c r="D1087" s="127">
        <v>187382</v>
      </c>
      <c r="E1087" s="128" t="s">
        <v>1841</v>
      </c>
      <c r="F1087" s="127" t="s">
        <v>306</v>
      </c>
      <c r="H1087" s="117" t="str">
        <f t="shared" si="33"/>
        <v>OTHER</v>
      </c>
      <c r="I1087" s="117" t="s">
        <v>68</v>
      </c>
    </row>
    <row r="1088" spans="1:9">
      <c r="A1088" s="114" t="str">
        <f t="shared" si="32"/>
        <v>1823990OTHR REG ASSET-N CST187386Reg Asset-OR Solar Feed-In Tariff 2021OTHER</v>
      </c>
      <c r="B1088" s="127">
        <v>1823990</v>
      </c>
      <c r="C1088" s="128" t="s">
        <v>1288</v>
      </c>
      <c r="D1088" s="127">
        <v>187386</v>
      </c>
      <c r="E1088" s="128" t="s">
        <v>1842</v>
      </c>
      <c r="F1088" s="127" t="s">
        <v>306</v>
      </c>
      <c r="H1088" s="117" t="str">
        <f t="shared" si="33"/>
        <v>OTHER</v>
      </c>
      <c r="I1088" s="117" t="s">
        <v>68</v>
      </c>
    </row>
    <row r="1089" spans="1:9">
      <c r="A1089" s="114" t="str">
        <f t="shared" si="32"/>
        <v>1823990OTHR REG ASSET-N CST187648Reg A - Post-Retirement - Recl to CurrOTHER</v>
      </c>
      <c r="B1089" s="127">
        <v>1823990</v>
      </c>
      <c r="C1089" s="128" t="s">
        <v>1288</v>
      </c>
      <c r="D1089" s="127">
        <v>187648</v>
      </c>
      <c r="E1089" s="128" t="s">
        <v>1843</v>
      </c>
      <c r="F1089" s="127" t="s">
        <v>306</v>
      </c>
      <c r="H1089" s="117" t="str">
        <f t="shared" si="33"/>
        <v>OTHER</v>
      </c>
      <c r="I1089" s="117" t="s">
        <v>102</v>
      </c>
    </row>
    <row r="1090" spans="1:9">
      <c r="A1090" s="114" t="str">
        <f t="shared" si="32"/>
        <v>1823990OTHR REG ASSET-N CST187882Reg Asset - UT RBA CY2020OTHER</v>
      </c>
      <c r="B1090" s="127">
        <v>1823990</v>
      </c>
      <c r="C1090" s="128" t="s">
        <v>1288</v>
      </c>
      <c r="D1090" s="127">
        <v>187882</v>
      </c>
      <c r="E1090" s="128" t="s">
        <v>1844</v>
      </c>
      <c r="F1090" s="127" t="s">
        <v>306</v>
      </c>
      <c r="H1090" s="117" t="str">
        <f t="shared" si="33"/>
        <v>OTHER</v>
      </c>
      <c r="I1090" s="117" t="s">
        <v>68</v>
      </c>
    </row>
    <row r="1091" spans="1:9">
      <c r="A1091" s="114" t="str">
        <f t="shared" ref="A1091:A1154" si="34">CONCATENATE($B1091,$C1091,$D1091,$E1091,$H1091)</f>
        <v>1823990OTHR REG ASSET-N CST187884Reg Asset - WY RRA CY2020OTHER</v>
      </c>
      <c r="B1091" s="127">
        <v>1823990</v>
      </c>
      <c r="C1091" s="128" t="s">
        <v>1288</v>
      </c>
      <c r="D1091" s="127">
        <v>187884</v>
      </c>
      <c r="E1091" s="128" t="s">
        <v>1845</v>
      </c>
      <c r="F1091" s="127" t="s">
        <v>306</v>
      </c>
      <c r="H1091" s="117" t="str">
        <f t="shared" ref="H1091:H1154" si="35">IF(OR(F1091="IDU",F1091="OR",F1091="UT",F1091="WYU",F1091="WYP",F1091="CA",F1091="WA"),"SITUS",F1091)</f>
        <v>OTHER</v>
      </c>
      <c r="I1091" s="117" t="s">
        <v>68</v>
      </c>
    </row>
    <row r="1092" spans="1:9">
      <c r="A1092" s="114" t="str">
        <f t="shared" si="34"/>
        <v>1823990OTHR REG ASSET-N CST187966RegA - CA (CARE) Program - Recl to LiabOTHER</v>
      </c>
      <c r="B1092" s="127">
        <v>1823990</v>
      </c>
      <c r="C1092" s="128" t="s">
        <v>1288</v>
      </c>
      <c r="D1092" s="127">
        <v>187966</v>
      </c>
      <c r="E1092" s="128" t="s">
        <v>1449</v>
      </c>
      <c r="F1092" s="127" t="s">
        <v>306</v>
      </c>
      <c r="H1092" s="117" t="str">
        <f t="shared" si="35"/>
        <v>OTHER</v>
      </c>
      <c r="I1092" s="117" t="s">
        <v>68</v>
      </c>
    </row>
    <row r="1093" spans="1:9">
      <c r="A1093" s="114" t="str">
        <f t="shared" si="34"/>
        <v>1823990OTHR REG ASSET-N CST189001RegA-CA Fire Risk Mitigation (FRMMA)OTHER</v>
      </c>
      <c r="B1093" s="127">
        <v>1823990</v>
      </c>
      <c r="C1093" s="128" t="s">
        <v>1288</v>
      </c>
      <c r="D1093" s="127">
        <v>189001</v>
      </c>
      <c r="E1093" s="128" t="s">
        <v>1846</v>
      </c>
      <c r="F1093" s="127" t="s">
        <v>306</v>
      </c>
      <c r="H1093" s="117" t="str">
        <f t="shared" si="35"/>
        <v>OTHER</v>
      </c>
      <c r="I1093" s="117" t="s">
        <v>68</v>
      </c>
    </row>
    <row r="1094" spans="1:9">
      <c r="A1094" s="114" t="str">
        <f t="shared" si="34"/>
        <v>1823990OTHR REG ASSET-N CST189002RegA-CA Wildfire Mitigation Plan(WMPMA)OTHER</v>
      </c>
      <c r="B1094" s="127">
        <v>1823990</v>
      </c>
      <c r="C1094" s="128" t="s">
        <v>1288</v>
      </c>
      <c r="D1094" s="127">
        <v>189002</v>
      </c>
      <c r="E1094" s="128" t="s">
        <v>1847</v>
      </c>
      <c r="F1094" s="127" t="s">
        <v>306</v>
      </c>
      <c r="H1094" s="117" t="str">
        <f t="shared" si="35"/>
        <v>OTHER</v>
      </c>
      <c r="I1094" s="117" t="s">
        <v>68</v>
      </c>
    </row>
    <row r="1095" spans="1:9">
      <c r="A1095" s="114" t="str">
        <f t="shared" si="34"/>
        <v>1823990OTHR REG ASSET-N CST189003Contra RegA-CA Fire/Wildlife MitigationOTHER</v>
      </c>
      <c r="B1095" s="127">
        <v>1823990</v>
      </c>
      <c r="C1095" s="128" t="s">
        <v>1288</v>
      </c>
      <c r="D1095" s="127">
        <v>189003</v>
      </c>
      <c r="E1095" s="128" t="s">
        <v>1848</v>
      </c>
      <c r="F1095" s="127" t="s">
        <v>306</v>
      </c>
      <c r="H1095" s="117" t="str">
        <f t="shared" si="35"/>
        <v>OTHER</v>
      </c>
      <c r="I1095" s="117" t="s">
        <v>68</v>
      </c>
    </row>
    <row r="1096" spans="1:9">
      <c r="A1096" s="114" t="str">
        <f t="shared" si="34"/>
        <v>1823990OTHR REG ASSET-N CST189004RegA-CA Fire Hazard Prevention (FHPMA)OTHER</v>
      </c>
      <c r="B1096" s="127">
        <v>1823990</v>
      </c>
      <c r="C1096" s="128" t="s">
        <v>1288</v>
      </c>
      <c r="D1096" s="127">
        <v>189004</v>
      </c>
      <c r="E1096" s="128" t="s">
        <v>1849</v>
      </c>
      <c r="F1096" s="127" t="s">
        <v>306</v>
      </c>
      <c r="H1096" s="117" t="str">
        <f t="shared" si="35"/>
        <v>OTHER</v>
      </c>
      <c r="I1096" s="117" t="s">
        <v>68</v>
      </c>
    </row>
    <row r="1097" spans="1:9">
      <c r="A1097" s="114" t="str">
        <f t="shared" si="34"/>
        <v>1823990OTHR REG ASSET-N CST189506Reg Asset - CA ECAC CY2022OTHER</v>
      </c>
      <c r="B1097" s="127">
        <v>1823990</v>
      </c>
      <c r="C1097" s="128" t="s">
        <v>1288</v>
      </c>
      <c r="D1097" s="127">
        <v>189506</v>
      </c>
      <c r="E1097" s="128" t="s">
        <v>1850</v>
      </c>
      <c r="F1097" s="127" t="s">
        <v>306</v>
      </c>
      <c r="H1097" s="117" t="str">
        <f t="shared" si="35"/>
        <v>OTHER</v>
      </c>
      <c r="I1097" s="117" t="s">
        <v>68</v>
      </c>
    </row>
    <row r="1098" spans="1:9">
      <c r="A1098" s="114" t="str">
        <f t="shared" si="34"/>
        <v>1823990OTHR REG ASSET-N CST189507Contra Reg Asset - CA ECAC CY2022OTHER</v>
      </c>
      <c r="B1098" s="127">
        <v>1823990</v>
      </c>
      <c r="C1098" s="128" t="s">
        <v>1288</v>
      </c>
      <c r="D1098" s="127">
        <v>189507</v>
      </c>
      <c r="E1098" s="128" t="s">
        <v>1851</v>
      </c>
      <c r="F1098" s="127" t="s">
        <v>306</v>
      </c>
      <c r="H1098" s="117" t="str">
        <f t="shared" si="35"/>
        <v>OTHER</v>
      </c>
      <c r="I1098" s="117" t="s">
        <v>68</v>
      </c>
    </row>
    <row r="1099" spans="1:9">
      <c r="A1099" s="114" t="str">
        <f t="shared" si="34"/>
        <v>1823990OTHR REG ASSET-N CST189529RegA - CA Def Exc NPC - Recl to LiabOTHER</v>
      </c>
      <c r="B1099" s="127">
        <v>1823990</v>
      </c>
      <c r="C1099" s="128" t="s">
        <v>1288</v>
      </c>
      <c r="D1099" s="127">
        <v>189529</v>
      </c>
      <c r="E1099" s="128" t="s">
        <v>1852</v>
      </c>
      <c r="F1099" s="127" t="s">
        <v>306</v>
      </c>
      <c r="H1099" s="117" t="str">
        <f t="shared" si="35"/>
        <v>OTHER</v>
      </c>
      <c r="I1099" s="117" t="s">
        <v>68</v>
      </c>
    </row>
    <row r="1100" spans="1:9">
      <c r="A1100" s="114" t="str">
        <f t="shared" si="34"/>
        <v>1823990OTHR REG ASSET-N CST189537Reg Asset-ID ECAM CY 2022OTHER</v>
      </c>
      <c r="B1100" s="127">
        <v>1823990</v>
      </c>
      <c r="C1100" s="128" t="s">
        <v>1288</v>
      </c>
      <c r="D1100" s="127">
        <v>189537</v>
      </c>
      <c r="E1100" s="128" t="s">
        <v>1853</v>
      </c>
      <c r="F1100" s="127" t="s">
        <v>306</v>
      </c>
      <c r="H1100" s="117" t="str">
        <f t="shared" si="35"/>
        <v>OTHER</v>
      </c>
      <c r="I1100" s="117" t="s">
        <v>68</v>
      </c>
    </row>
    <row r="1101" spans="1:9">
      <c r="A1101" s="114" t="str">
        <f t="shared" si="34"/>
        <v>1823990OTHR REG ASSET-N CST189547Contra Reg Asset - ID ECAM CY 2022OTHER</v>
      </c>
      <c r="B1101" s="127">
        <v>1823990</v>
      </c>
      <c r="C1101" s="128" t="s">
        <v>1288</v>
      </c>
      <c r="D1101" s="127">
        <v>189547</v>
      </c>
      <c r="E1101" s="128" t="s">
        <v>1854</v>
      </c>
      <c r="F1101" s="127" t="s">
        <v>306</v>
      </c>
      <c r="H1101" s="117" t="str">
        <f t="shared" si="35"/>
        <v>OTHER</v>
      </c>
      <c r="I1101" s="117" t="s">
        <v>68</v>
      </c>
    </row>
    <row r="1102" spans="1:9">
      <c r="A1102" s="114" t="str">
        <f t="shared" si="34"/>
        <v>1823990OTHR REG ASSET-N CST189598RegA - OR Def Exc NPC - Recl to CurrOTHER</v>
      </c>
      <c r="B1102" s="127">
        <v>1823990</v>
      </c>
      <c r="C1102" s="128" t="s">
        <v>1288</v>
      </c>
      <c r="D1102" s="127">
        <v>189598</v>
      </c>
      <c r="E1102" s="128" t="s">
        <v>1855</v>
      </c>
      <c r="F1102" s="127" t="s">
        <v>306</v>
      </c>
      <c r="H1102" s="117" t="str">
        <f t="shared" si="35"/>
        <v>OTHER</v>
      </c>
      <c r="I1102" s="117" t="s">
        <v>68</v>
      </c>
    </row>
    <row r="1103" spans="1:9">
      <c r="A1103" s="114" t="str">
        <f t="shared" si="34"/>
        <v>1823990OTHR REG ASSET-N CST189612Reg Asset - UT EBA CY2022OTHER</v>
      </c>
      <c r="B1103" s="127">
        <v>1823990</v>
      </c>
      <c r="C1103" s="128" t="s">
        <v>1288</v>
      </c>
      <c r="D1103" s="127">
        <v>189612</v>
      </c>
      <c r="E1103" s="128" t="s">
        <v>1856</v>
      </c>
      <c r="F1103" s="127" t="s">
        <v>306</v>
      </c>
      <c r="H1103" s="117" t="str">
        <f t="shared" si="35"/>
        <v>OTHER</v>
      </c>
      <c r="I1103" s="117" t="s">
        <v>68</v>
      </c>
    </row>
    <row r="1104" spans="1:9">
      <c r="A1104" s="114" t="str">
        <f t="shared" si="34"/>
        <v>1823990OTHR REG ASSET-N CST189622Contra Reg Asset - UT EBA CY2022OTHER</v>
      </c>
      <c r="B1104" s="127">
        <v>1823990</v>
      </c>
      <c r="C1104" s="128" t="s">
        <v>1288</v>
      </c>
      <c r="D1104" s="127">
        <v>189622</v>
      </c>
      <c r="E1104" s="128" t="s">
        <v>1857</v>
      </c>
      <c r="F1104" s="127" t="s">
        <v>306</v>
      </c>
      <c r="H1104" s="117" t="str">
        <f t="shared" si="35"/>
        <v>OTHER</v>
      </c>
      <c r="I1104" s="117" t="s">
        <v>68</v>
      </c>
    </row>
    <row r="1105" spans="1:9">
      <c r="A1105" s="114" t="str">
        <f t="shared" si="34"/>
        <v>1823990OTHR REG ASSET-N CST189652Reg Asset - WY ECAM CY2022OTHER</v>
      </c>
      <c r="B1105" s="127">
        <v>1823990</v>
      </c>
      <c r="C1105" s="128" t="s">
        <v>1288</v>
      </c>
      <c r="D1105" s="127">
        <v>189652</v>
      </c>
      <c r="E1105" s="128" t="s">
        <v>1858</v>
      </c>
      <c r="F1105" s="127" t="s">
        <v>306</v>
      </c>
      <c r="H1105" s="117" t="str">
        <f t="shared" si="35"/>
        <v>OTHER</v>
      </c>
      <c r="I1105" s="117" t="s">
        <v>68</v>
      </c>
    </row>
    <row r="1106" spans="1:9">
      <c r="A1106" s="114" t="str">
        <f t="shared" si="34"/>
        <v>1823990OTHR REG ASSET-N CST189662Contra Reg Asset - WY ECAM CY2022OTHER</v>
      </c>
      <c r="B1106" s="127">
        <v>1823990</v>
      </c>
      <c r="C1106" s="128" t="s">
        <v>1288</v>
      </c>
      <c r="D1106" s="127">
        <v>189662</v>
      </c>
      <c r="E1106" s="128" t="s">
        <v>1859</v>
      </c>
      <c r="F1106" s="127" t="s">
        <v>306</v>
      </c>
      <c r="H1106" s="117" t="str">
        <f t="shared" si="35"/>
        <v>OTHER</v>
      </c>
      <c r="I1106" s="117" t="s">
        <v>68</v>
      </c>
    </row>
    <row r="1107" spans="1:9">
      <c r="A1107" s="114" t="str">
        <f t="shared" si="34"/>
        <v>1823700OTH REGA-ENERGY WEST186837Contra RA-DCM Closure-Amortz &amp; Oth AdjsOTHER</v>
      </c>
      <c r="B1107" s="126">
        <v>1823700</v>
      </c>
      <c r="C1107" s="128" t="s">
        <v>590</v>
      </c>
      <c r="D1107" s="126">
        <v>186837</v>
      </c>
      <c r="E1107" s="128" t="s">
        <v>608</v>
      </c>
      <c r="F1107" s="127" t="s">
        <v>306</v>
      </c>
      <c r="H1107" s="117" t="str">
        <f t="shared" si="35"/>
        <v>OTHER</v>
      </c>
      <c r="I1107" s="117" t="s">
        <v>68</v>
      </c>
    </row>
    <row r="1108" spans="1:9">
      <c r="A1108" s="114" t="str">
        <f t="shared" si="34"/>
        <v>1823750OTHER REG A-CHLA U4185831Reg Asset - Cholla Unrec Plant - CASITUS</v>
      </c>
      <c r="B1108" s="126">
        <v>1823750</v>
      </c>
      <c r="C1108" s="128" t="s">
        <v>2200</v>
      </c>
      <c r="D1108" s="126">
        <v>185831</v>
      </c>
      <c r="E1108" s="128" t="s">
        <v>2202</v>
      </c>
      <c r="F1108" s="127" t="s">
        <v>387</v>
      </c>
      <c r="H1108" s="117" t="str">
        <f t="shared" si="35"/>
        <v>SITUS</v>
      </c>
      <c r="I1108" s="117" t="s">
        <v>68</v>
      </c>
    </row>
    <row r="1109" spans="1:9">
      <c r="A1109" s="114" t="str">
        <f t="shared" si="34"/>
        <v>1823750OTHER REG A-CHLA U4185836Reg Asset - Cholla Unrec Plant - WYSITUS</v>
      </c>
      <c r="B1109" s="126">
        <v>1823750</v>
      </c>
      <c r="C1109" s="128" t="s">
        <v>2200</v>
      </c>
      <c r="D1109" s="126">
        <v>185836</v>
      </c>
      <c r="E1109" s="128" t="s">
        <v>2204</v>
      </c>
      <c r="F1109" s="127" t="s">
        <v>386</v>
      </c>
      <c r="H1109" s="117" t="str">
        <f t="shared" si="35"/>
        <v>SITUS</v>
      </c>
      <c r="I1109" s="117" t="s">
        <v>68</v>
      </c>
    </row>
    <row r="1110" spans="1:9">
      <c r="A1110" s="114" t="str">
        <f t="shared" si="34"/>
        <v>1823750OTHER REG A-CHLA U4185864Reg Asset-Cholla U4-Property Taxes-OROTHER</v>
      </c>
      <c r="B1110" s="126">
        <v>1823750</v>
      </c>
      <c r="C1110" s="128" t="s">
        <v>2200</v>
      </c>
      <c r="D1110" s="126">
        <v>185864</v>
      </c>
      <c r="E1110" s="128" t="s">
        <v>2206</v>
      </c>
      <c r="F1110" s="127" t="s">
        <v>306</v>
      </c>
      <c r="H1110" s="117" t="str">
        <f t="shared" si="35"/>
        <v>OTHER</v>
      </c>
      <c r="I1110" s="117" t="s">
        <v>68</v>
      </c>
    </row>
    <row r="1111" spans="1:9">
      <c r="A1111" s="114" t="str">
        <f t="shared" si="34"/>
        <v>1823750OTHER REG A-CHLA U4185866Reg Asset-Cholla U4-Nonunion SeveranceSG</v>
      </c>
      <c r="B1111" s="126">
        <v>1823750</v>
      </c>
      <c r="C1111" s="128" t="s">
        <v>2200</v>
      </c>
      <c r="D1111" s="126">
        <v>185866</v>
      </c>
      <c r="E1111" s="128" t="s">
        <v>2208</v>
      </c>
      <c r="F1111" s="127" t="s">
        <v>87</v>
      </c>
      <c r="H1111" s="117" t="str">
        <f t="shared" si="35"/>
        <v>SG</v>
      </c>
      <c r="I1111" s="117" t="s">
        <v>68</v>
      </c>
    </row>
    <row r="1112" spans="1:9">
      <c r="A1112" s="114" t="str">
        <f t="shared" si="34"/>
        <v>1823750OTHER REG A-CHLA U4185867Reg Asset-Cholla U4-Safe Harbor LeaseSG</v>
      </c>
      <c r="B1112" s="126">
        <v>1823750</v>
      </c>
      <c r="C1112" s="128" t="s">
        <v>2200</v>
      </c>
      <c r="D1112" s="126">
        <v>185867</v>
      </c>
      <c r="E1112" s="128" t="s">
        <v>2210</v>
      </c>
      <c r="F1112" s="127" t="s">
        <v>87</v>
      </c>
      <c r="H1112" s="117" t="str">
        <f t="shared" si="35"/>
        <v>SG</v>
      </c>
      <c r="I1112" s="117" t="s">
        <v>68</v>
      </c>
    </row>
    <row r="1113" spans="1:9">
      <c r="A1113" s="114" t="str">
        <f t="shared" si="34"/>
        <v>1823750OTHER REG A-CHLA U4185868Reg Asset-Cholla U4-Tax Flow-ThroughSG</v>
      </c>
      <c r="B1113" s="126">
        <v>1823750</v>
      </c>
      <c r="C1113" s="128" t="s">
        <v>2200</v>
      </c>
      <c r="D1113" s="126">
        <v>185868</v>
      </c>
      <c r="E1113" s="128" t="s">
        <v>2211</v>
      </c>
      <c r="F1113" s="127" t="s">
        <v>87</v>
      </c>
      <c r="H1113" s="117" t="str">
        <f t="shared" si="35"/>
        <v>SG</v>
      </c>
      <c r="I1113" s="117" t="s">
        <v>68</v>
      </c>
    </row>
    <row r="1114" spans="1:9">
      <c r="A1114" s="114" t="str">
        <f t="shared" si="34"/>
        <v>1823750OTHER REG A-CHLA U4185869Reg Asset-Cholla U4-ID-O&amp;M/Depr SavingsSITUS</v>
      </c>
      <c r="B1114" s="126">
        <v>1823750</v>
      </c>
      <c r="C1114" s="128" t="s">
        <v>2200</v>
      </c>
      <c r="D1114" s="126">
        <v>185869</v>
      </c>
      <c r="E1114" s="128" t="s">
        <v>2213</v>
      </c>
      <c r="F1114" s="127" t="s">
        <v>372</v>
      </c>
      <c r="H1114" s="117" t="str">
        <f t="shared" si="35"/>
        <v>SITUS</v>
      </c>
      <c r="I1114" s="117" t="s">
        <v>68</v>
      </c>
    </row>
    <row r="1115" spans="1:9">
      <c r="A1115" s="114" t="str">
        <f t="shared" si="34"/>
        <v>1823750OTHER REG A-CHLA U4185873Contra Reg Asset-Cholla U4 Closure-ORSITUS</v>
      </c>
      <c r="B1115" s="126">
        <v>1823750</v>
      </c>
      <c r="C1115" s="128" t="s">
        <v>2200</v>
      </c>
      <c r="D1115" s="126">
        <v>185873</v>
      </c>
      <c r="E1115" s="128" t="s">
        <v>2215</v>
      </c>
      <c r="F1115" s="127" t="s">
        <v>343</v>
      </c>
      <c r="H1115" s="117" t="str">
        <f t="shared" si="35"/>
        <v>SITUS</v>
      </c>
      <c r="I1115" s="117" t="s">
        <v>68</v>
      </c>
    </row>
    <row r="1116" spans="1:9">
      <c r="A1116" s="114" t="str">
        <f t="shared" si="34"/>
        <v>1823750OTHER REG A-CHLA U4185874Contra Reg Asset-Cholla U4 Closure-UTSITUS</v>
      </c>
      <c r="B1116" s="126">
        <v>1823750</v>
      </c>
      <c r="C1116" s="128" t="s">
        <v>2200</v>
      </c>
      <c r="D1116" s="126">
        <v>185874</v>
      </c>
      <c r="E1116" s="128" t="s">
        <v>2217</v>
      </c>
      <c r="F1116" s="127" t="s">
        <v>370</v>
      </c>
      <c r="H1116" s="117" t="str">
        <f t="shared" si="35"/>
        <v>SITUS</v>
      </c>
      <c r="I1116" s="117" t="s">
        <v>68</v>
      </c>
    </row>
    <row r="1117" spans="1:9">
      <c r="A1117" s="114" t="str">
        <f t="shared" si="34"/>
        <v>1823750OTHER REG A-CHLA U4185876Contra Reg Asset-Cholla U4 Closure-WYSITUS</v>
      </c>
      <c r="B1117" s="126">
        <v>1823750</v>
      </c>
      <c r="C1117" s="128" t="s">
        <v>2200</v>
      </c>
      <c r="D1117" s="126">
        <v>185876</v>
      </c>
      <c r="E1117" s="128" t="s">
        <v>2219</v>
      </c>
      <c r="F1117" s="127" t="s">
        <v>386</v>
      </c>
      <c r="H1117" s="117" t="str">
        <f t="shared" si="35"/>
        <v>SITUS</v>
      </c>
      <c r="I1117" s="117" t="s">
        <v>68</v>
      </c>
    </row>
    <row r="1118" spans="1:9">
      <c r="A1118" s="114" t="str">
        <f t="shared" si="34"/>
        <v>1823870DEFERRED PENSION187611Reg Asset - Pension Settlement - OROTHER</v>
      </c>
      <c r="B1118" s="126">
        <v>1823870</v>
      </c>
      <c r="C1118" s="128" t="s">
        <v>631</v>
      </c>
      <c r="D1118" s="126">
        <v>187611</v>
      </c>
      <c r="E1118" s="128" t="s">
        <v>2080</v>
      </c>
      <c r="F1118" s="127" t="s">
        <v>306</v>
      </c>
      <c r="H1118" s="117" t="str">
        <f t="shared" si="35"/>
        <v>OTHER</v>
      </c>
      <c r="I1118" s="117" t="s">
        <v>102</v>
      </c>
    </row>
    <row r="1119" spans="1:9">
      <c r="A1119" s="114" t="str">
        <f t="shared" si="34"/>
        <v>1823870DEFERRED PENSION187612Reg Asset - Pension Settlement - UTOTHER</v>
      </c>
      <c r="B1119" s="126">
        <v>1823870</v>
      </c>
      <c r="C1119" s="128" t="s">
        <v>631</v>
      </c>
      <c r="D1119" s="126">
        <v>187612</v>
      </c>
      <c r="E1119" s="128" t="s">
        <v>2082</v>
      </c>
      <c r="F1119" s="127" t="s">
        <v>306</v>
      </c>
      <c r="H1119" s="117" t="str">
        <f t="shared" si="35"/>
        <v>OTHER</v>
      </c>
      <c r="I1119" s="117" t="s">
        <v>102</v>
      </c>
    </row>
    <row r="1120" spans="1:9">
      <c r="A1120" s="114" t="str">
        <f t="shared" si="34"/>
        <v>1823870DEFERRED PENSION187613Reg Asset - Pension Settlement - WYSITUS</v>
      </c>
      <c r="B1120" s="126">
        <v>1823870</v>
      </c>
      <c r="C1120" s="128" t="s">
        <v>631</v>
      </c>
      <c r="D1120" s="126">
        <v>187613</v>
      </c>
      <c r="E1120" s="128" t="s">
        <v>2084</v>
      </c>
      <c r="F1120" s="127" t="s">
        <v>378</v>
      </c>
      <c r="H1120" s="117" t="str">
        <f t="shared" si="35"/>
        <v>SITUS</v>
      </c>
      <c r="I1120" s="117" t="s">
        <v>102</v>
      </c>
    </row>
    <row r="1121" spans="1:9">
      <c r="A1121" s="114" t="str">
        <f t="shared" si="34"/>
        <v>1823910ENVIR CST UNDR AMORT104394Klamath FallsSO</v>
      </c>
      <c r="B1121" s="126">
        <v>1823910</v>
      </c>
      <c r="C1121" s="128" t="s">
        <v>644</v>
      </c>
      <c r="D1121" s="126">
        <v>104394</v>
      </c>
      <c r="E1121" s="128" t="s">
        <v>2226</v>
      </c>
      <c r="F1121" s="127" t="s">
        <v>89</v>
      </c>
      <c r="H1121" s="117" t="str">
        <f t="shared" si="35"/>
        <v>SO</v>
      </c>
      <c r="I1121" s="117" t="s">
        <v>100</v>
      </c>
    </row>
    <row r="1122" spans="1:9">
      <c r="A1122" s="114" t="str">
        <f t="shared" si="34"/>
        <v>1823910ENVIR CST UNDR AMORT104395Klamath Falls - WA 2021SITUS</v>
      </c>
      <c r="B1122" s="126">
        <v>1823910</v>
      </c>
      <c r="C1122" s="128" t="s">
        <v>644</v>
      </c>
      <c r="D1122" s="126">
        <v>104395</v>
      </c>
      <c r="E1122" s="128" t="s">
        <v>2227</v>
      </c>
      <c r="F1122" s="127" t="s">
        <v>367</v>
      </c>
      <c r="H1122" s="117" t="str">
        <f t="shared" si="35"/>
        <v>SITUS</v>
      </c>
      <c r="I1122" s="117" t="s">
        <v>100</v>
      </c>
    </row>
    <row r="1123" spans="1:9">
      <c r="A1123" s="114" t="str">
        <f t="shared" si="34"/>
        <v>1823910ENVIR CST UNDR AMORT104399Portland Harbor Service  InsuranceSO</v>
      </c>
      <c r="B1123" s="126">
        <v>1823910</v>
      </c>
      <c r="C1123" s="128" t="s">
        <v>644</v>
      </c>
      <c r="D1123" s="126">
        <v>104399</v>
      </c>
      <c r="E1123" s="128" t="s">
        <v>2228</v>
      </c>
      <c r="F1123" s="127" t="s">
        <v>89</v>
      </c>
      <c r="H1123" s="117" t="str">
        <f t="shared" si="35"/>
        <v>SO</v>
      </c>
      <c r="I1123" s="117" t="s">
        <v>100</v>
      </c>
    </row>
    <row r="1124" spans="1:9">
      <c r="A1124" s="114" t="str">
        <f t="shared" si="34"/>
        <v>1823910ENVIR CST UNDR AMORT104404North Temple OfficeSO</v>
      </c>
      <c r="B1124" s="126">
        <v>1823910</v>
      </c>
      <c r="C1124" s="128" t="s">
        <v>644</v>
      </c>
      <c r="D1124" s="126">
        <v>104404</v>
      </c>
      <c r="E1124" s="128" t="s">
        <v>2229</v>
      </c>
      <c r="F1124" s="127" t="s">
        <v>89</v>
      </c>
      <c r="H1124" s="117" t="str">
        <f t="shared" si="35"/>
        <v>SO</v>
      </c>
      <c r="I1124" s="117" t="s">
        <v>100</v>
      </c>
    </row>
    <row r="1125" spans="1:9">
      <c r="A1125" s="114" t="str">
        <f t="shared" si="34"/>
        <v>1823910ENVIR CST UNDR AMORT104405North Temple Office WASITUS</v>
      </c>
      <c r="B1125" s="126">
        <v>1823910</v>
      </c>
      <c r="C1125" s="128" t="s">
        <v>644</v>
      </c>
      <c r="D1125" s="126">
        <v>104405</v>
      </c>
      <c r="E1125" s="128" t="s">
        <v>2230</v>
      </c>
      <c r="F1125" s="127" t="s">
        <v>367</v>
      </c>
      <c r="H1125" s="117" t="str">
        <f t="shared" si="35"/>
        <v>SITUS</v>
      </c>
      <c r="I1125" s="117" t="s">
        <v>100</v>
      </c>
    </row>
    <row r="1126" spans="1:9">
      <c r="A1126" s="114" t="str">
        <f t="shared" si="34"/>
        <v>1823930DSR COSTS NOT AMORT102573ENERGY FINANSWER ID/UT 2006OTHER</v>
      </c>
      <c r="B1126" s="126">
        <v>1823930</v>
      </c>
      <c r="C1126" s="128" t="s">
        <v>1170</v>
      </c>
      <c r="D1126" s="126">
        <v>102573</v>
      </c>
      <c r="E1126" s="128" t="s">
        <v>1181</v>
      </c>
      <c r="F1126" s="127" t="s">
        <v>306</v>
      </c>
      <c r="H1126" s="117" t="str">
        <f t="shared" si="35"/>
        <v>OTHER</v>
      </c>
      <c r="I1126" s="117" t="s">
        <v>74</v>
      </c>
    </row>
    <row r="1127" spans="1:9">
      <c r="A1127" s="114" t="str">
        <f t="shared" si="34"/>
        <v>1823930DSR COSTS NOT AMORT102574INDUSTRIAL FINANSWER-ID-UT 2006OTHER</v>
      </c>
      <c r="B1127" s="126">
        <v>1823930</v>
      </c>
      <c r="C1127" s="128" t="s">
        <v>1170</v>
      </c>
      <c r="D1127" s="126">
        <v>102574</v>
      </c>
      <c r="E1127" s="128" t="s">
        <v>1182</v>
      </c>
      <c r="F1127" s="127" t="s">
        <v>306</v>
      </c>
      <c r="H1127" s="117" t="str">
        <f t="shared" si="35"/>
        <v>OTHER</v>
      </c>
      <c r="I1127" s="117" t="s">
        <v>74</v>
      </c>
    </row>
    <row r="1128" spans="1:9">
      <c r="A1128" s="114" t="str">
        <f t="shared" si="34"/>
        <v>1823930DSR COSTS NOT AMORT102575LOW INCOME WZ -ID-UT 2006OTHER</v>
      </c>
      <c r="B1128" s="126">
        <v>1823930</v>
      </c>
      <c r="C1128" s="128" t="s">
        <v>1170</v>
      </c>
      <c r="D1128" s="126">
        <v>102575</v>
      </c>
      <c r="E1128" s="128" t="s">
        <v>1183</v>
      </c>
      <c r="F1128" s="127" t="s">
        <v>306</v>
      </c>
      <c r="H1128" s="117" t="str">
        <f t="shared" si="35"/>
        <v>OTHER</v>
      </c>
      <c r="I1128" s="117" t="s">
        <v>74</v>
      </c>
    </row>
    <row r="1129" spans="1:9">
      <c r="A1129" s="114" t="str">
        <f t="shared" si="34"/>
        <v>1823930DSR COSTS NOT AMORT102576NEEA-IDAHO-UTAH 2006OTHER</v>
      </c>
      <c r="B1129" s="126">
        <v>1823930</v>
      </c>
      <c r="C1129" s="128" t="s">
        <v>1170</v>
      </c>
      <c r="D1129" s="126">
        <v>102576</v>
      </c>
      <c r="E1129" s="128" t="s">
        <v>1184</v>
      </c>
      <c r="F1129" s="127" t="s">
        <v>306</v>
      </c>
      <c r="H1129" s="117" t="str">
        <f t="shared" si="35"/>
        <v>OTHER</v>
      </c>
      <c r="I1129" s="117" t="s">
        <v>74</v>
      </c>
    </row>
    <row r="1130" spans="1:9">
      <c r="A1130" s="114" t="str">
        <f t="shared" si="34"/>
        <v>1823930DSR COSTS NOT AMORT102577IRRIGATION INTERRUPTIBLE ID-UT 2006OTHER</v>
      </c>
      <c r="B1130" s="126">
        <v>1823930</v>
      </c>
      <c r="C1130" s="128" t="s">
        <v>1170</v>
      </c>
      <c r="D1130" s="126">
        <v>102577</v>
      </c>
      <c r="E1130" s="128" t="s">
        <v>1185</v>
      </c>
      <c r="F1130" s="127" t="s">
        <v>306</v>
      </c>
      <c r="H1130" s="117" t="str">
        <f t="shared" si="35"/>
        <v>OTHER</v>
      </c>
      <c r="I1130" s="117" t="s">
        <v>74</v>
      </c>
    </row>
    <row r="1131" spans="1:9">
      <c r="A1131" s="114" t="str">
        <f t="shared" si="34"/>
        <v>1823930DSR COSTS NOT AMORT102578WEATHERIZATION LOANS-RESDL/ID-UT 2006OTHER</v>
      </c>
      <c r="B1131" s="126">
        <v>1823930</v>
      </c>
      <c r="C1131" s="128" t="s">
        <v>1170</v>
      </c>
      <c r="D1131" s="126">
        <v>102578</v>
      </c>
      <c r="E1131" s="128" t="s">
        <v>1186</v>
      </c>
      <c r="F1131" s="127" t="s">
        <v>306</v>
      </c>
      <c r="H1131" s="117" t="str">
        <f t="shared" si="35"/>
        <v>OTHER</v>
      </c>
      <c r="I1131" s="117" t="s">
        <v>74</v>
      </c>
    </row>
    <row r="1132" spans="1:9">
      <c r="A1132" s="114" t="str">
        <f t="shared" si="34"/>
        <v>1823930DSR COSTS NOT AMORT102579REFRIGERATOR RECYCLING PGM-ID-UT 2006OTHER</v>
      </c>
      <c r="B1132" s="126">
        <v>1823930</v>
      </c>
      <c r="C1132" s="128" t="s">
        <v>1170</v>
      </c>
      <c r="D1132" s="126">
        <v>102579</v>
      </c>
      <c r="E1132" s="128" t="s">
        <v>1187</v>
      </c>
      <c r="F1132" s="127" t="s">
        <v>306</v>
      </c>
      <c r="H1132" s="117" t="str">
        <f t="shared" si="35"/>
        <v>OTHER</v>
      </c>
      <c r="I1132" s="117" t="s">
        <v>74</v>
      </c>
    </row>
    <row r="1133" spans="1:9">
      <c r="A1133" s="114" t="str">
        <f t="shared" si="34"/>
        <v>1823930DSR COSTS NOT AMORT102580COMMERCIAL FINANSWER EXPR-ID-UT 2006OTHER</v>
      </c>
      <c r="B1133" s="126">
        <v>1823930</v>
      </c>
      <c r="C1133" s="128" t="s">
        <v>1170</v>
      </c>
      <c r="D1133" s="126">
        <v>102580</v>
      </c>
      <c r="E1133" s="128" t="s">
        <v>1188</v>
      </c>
      <c r="F1133" s="127" t="s">
        <v>306</v>
      </c>
      <c r="H1133" s="117" t="str">
        <f t="shared" si="35"/>
        <v>OTHER</v>
      </c>
      <c r="I1133" s="117" t="s">
        <v>74</v>
      </c>
    </row>
    <row r="1134" spans="1:9">
      <c r="A1134" s="114" t="str">
        <f t="shared" si="34"/>
        <v>1823930DSR COSTS NOT AMORT102581INDUSTRIAL FINANSWER EXPR-ID-UT 2006OTHER</v>
      </c>
      <c r="B1134" s="126">
        <v>1823930</v>
      </c>
      <c r="C1134" s="128" t="s">
        <v>1170</v>
      </c>
      <c r="D1134" s="126">
        <v>102581</v>
      </c>
      <c r="E1134" s="128" t="s">
        <v>1189</v>
      </c>
      <c r="F1134" s="127" t="s">
        <v>306</v>
      </c>
      <c r="H1134" s="117" t="str">
        <f t="shared" si="35"/>
        <v>OTHER</v>
      </c>
      <c r="I1134" s="117" t="s">
        <v>74</v>
      </c>
    </row>
    <row r="1135" spans="1:9">
      <c r="A1135" s="114" t="str">
        <f t="shared" si="34"/>
        <v>1823930DSR COSTS NOT AMORT102582IRRIGATION EFFICIENCY PRGRM-ID-UT 2006OTHER</v>
      </c>
      <c r="B1135" s="126">
        <v>1823930</v>
      </c>
      <c r="C1135" s="128" t="s">
        <v>1170</v>
      </c>
      <c r="D1135" s="126">
        <v>102582</v>
      </c>
      <c r="E1135" s="128" t="s">
        <v>1190</v>
      </c>
      <c r="F1135" s="127" t="s">
        <v>306</v>
      </c>
      <c r="H1135" s="117" t="str">
        <f t="shared" si="35"/>
        <v>OTHER</v>
      </c>
      <c r="I1135" s="117" t="s">
        <v>74</v>
      </c>
    </row>
    <row r="1136" spans="1:9">
      <c r="A1136" s="114" t="str">
        <f t="shared" si="34"/>
        <v>1823930DSR COSTS NOT AMORT102758HOME ENERGY EFFICIENCY INCENTIVE PROGM-IOTHER</v>
      </c>
      <c r="B1136" s="126">
        <v>1823930</v>
      </c>
      <c r="C1136" s="128" t="s">
        <v>1170</v>
      </c>
      <c r="D1136" s="126">
        <v>102758</v>
      </c>
      <c r="E1136" s="128" t="s">
        <v>1191</v>
      </c>
      <c r="F1136" s="127" t="s">
        <v>306</v>
      </c>
      <c r="H1136" s="117" t="str">
        <f t="shared" si="35"/>
        <v>OTHER</v>
      </c>
      <c r="I1136" s="117" t="s">
        <v>74</v>
      </c>
    </row>
    <row r="1137" spans="1:9">
      <c r="A1137" s="114" t="str">
        <f t="shared" si="34"/>
        <v>1823940DSR CARRYING CHARGES102766DSR CARRYING CHARGESOTHER</v>
      </c>
      <c r="B1137" s="126">
        <v>1823940</v>
      </c>
      <c r="C1137" s="128" t="s">
        <v>1281</v>
      </c>
      <c r="D1137" s="126">
        <v>102766</v>
      </c>
      <c r="E1137" s="128" t="s">
        <v>1281</v>
      </c>
      <c r="F1137" s="127" t="s">
        <v>306</v>
      </c>
      <c r="H1137" s="117" t="str">
        <f t="shared" si="35"/>
        <v>OTHER</v>
      </c>
      <c r="I1137" s="117" t="s">
        <v>74</v>
      </c>
    </row>
    <row r="1138" spans="1:9">
      <c r="A1138" s="114" t="str">
        <f t="shared" si="34"/>
        <v>1823990OTHR REG ASSET-N CST186117RegA - DSM - CA - Reclass to CurrentOTHER</v>
      </c>
      <c r="B1138" s="126">
        <v>1823990</v>
      </c>
      <c r="C1138" s="128" t="s">
        <v>1288</v>
      </c>
      <c r="D1138" s="126">
        <v>186117</v>
      </c>
      <c r="E1138" s="128" t="s">
        <v>2862</v>
      </c>
      <c r="F1138" s="127" t="s">
        <v>306</v>
      </c>
      <c r="H1138" s="117" t="str">
        <f t="shared" si="35"/>
        <v>OTHER</v>
      </c>
      <c r="I1138" s="117" t="s">
        <v>74</v>
      </c>
    </row>
    <row r="1139" spans="1:9">
      <c r="A1139" s="114" t="str">
        <f t="shared" si="34"/>
        <v>1823990OTHR REG ASSET-N CST187231Reg Asset - Oregon Metro BITOTHER</v>
      </c>
      <c r="B1139" s="126">
        <v>1823990</v>
      </c>
      <c r="C1139" s="128" t="s">
        <v>1288</v>
      </c>
      <c r="D1139" s="126">
        <v>187231</v>
      </c>
      <c r="E1139" s="128" t="s">
        <v>2877</v>
      </c>
      <c r="F1139" s="127" t="s">
        <v>306</v>
      </c>
      <c r="H1139" s="117" t="str">
        <f t="shared" si="35"/>
        <v>OTHER</v>
      </c>
      <c r="I1139" s="117" t="s">
        <v>74</v>
      </c>
    </row>
    <row r="1140" spans="1:9">
      <c r="A1140" s="114" t="str">
        <f t="shared" si="34"/>
        <v>1823990OTHR REG ASSET-N CST187361Reg A-OR-COVID-19 Bill Assistance ProgOTHER</v>
      </c>
      <c r="B1140" s="126">
        <v>1823990</v>
      </c>
      <c r="C1140" s="128" t="s">
        <v>1288</v>
      </c>
      <c r="D1140" s="126">
        <v>187361</v>
      </c>
      <c r="E1140" s="128" t="s">
        <v>2899</v>
      </c>
      <c r="F1140" s="127" t="s">
        <v>306</v>
      </c>
      <c r="H1140" s="117" t="str">
        <f t="shared" si="35"/>
        <v>OTHER</v>
      </c>
      <c r="I1140" s="117" t="s">
        <v>73</v>
      </c>
    </row>
    <row r="1141" spans="1:9">
      <c r="A1141" s="114" t="str">
        <f t="shared" si="34"/>
        <v>1823990OTHR REG ASSET-N CST187362Reg A-WA-COVID-19 Bill Assistance ProgOTHER</v>
      </c>
      <c r="B1141" s="126">
        <v>1823990</v>
      </c>
      <c r="C1141" s="128" t="s">
        <v>1288</v>
      </c>
      <c r="D1141" s="126">
        <v>187362</v>
      </c>
      <c r="E1141" s="128" t="s">
        <v>2901</v>
      </c>
      <c r="F1141" s="127" t="s">
        <v>306</v>
      </c>
      <c r="H1141" s="117" t="str">
        <f t="shared" si="35"/>
        <v>OTHER</v>
      </c>
      <c r="I1141" s="117" t="s">
        <v>73</v>
      </c>
    </row>
    <row r="1142" spans="1:9">
      <c r="A1142" s="114" t="str">
        <f t="shared" si="34"/>
        <v>1823990OTHR REG ASSET-N CST187369RegA -WA Equity Advisory Group (CETA)SITUS</v>
      </c>
      <c r="B1142" s="126">
        <v>1823990</v>
      </c>
      <c r="C1142" s="128" t="s">
        <v>1288</v>
      </c>
      <c r="D1142" s="126">
        <v>187369</v>
      </c>
      <c r="E1142" s="128" t="s">
        <v>2903</v>
      </c>
      <c r="F1142" s="127" t="s">
        <v>367</v>
      </c>
      <c r="H1142" s="117" t="str">
        <f t="shared" si="35"/>
        <v>SITUS</v>
      </c>
      <c r="I1142" s="117" t="s">
        <v>73</v>
      </c>
    </row>
    <row r="1143" spans="1:9">
      <c r="A1143" s="114" t="str">
        <f t="shared" si="34"/>
        <v>1823990OTHR REG ASSET-N CST187392Reg Asset-OR Solar Feed-In Tariff 2022OTHER</v>
      </c>
      <c r="B1143" s="126">
        <v>1823990</v>
      </c>
      <c r="C1143" s="128" t="s">
        <v>1288</v>
      </c>
      <c r="D1143" s="126">
        <v>187392</v>
      </c>
      <c r="E1143" s="128" t="s">
        <v>2912</v>
      </c>
      <c r="F1143" s="127" t="s">
        <v>306</v>
      </c>
      <c r="H1143" s="117" t="str">
        <f t="shared" si="35"/>
        <v>OTHER</v>
      </c>
      <c r="I1143" s="117" t="s">
        <v>68</v>
      </c>
    </row>
    <row r="1144" spans="1:9">
      <c r="A1144" s="114" t="str">
        <f t="shared" si="34"/>
        <v>1823990OTHR REG ASSET-N CST187488RegA-WA Decoupling Mech - Recl to CurrOTHER</v>
      </c>
      <c r="B1144" s="126">
        <v>1823990</v>
      </c>
      <c r="C1144" s="128" t="s">
        <v>1288</v>
      </c>
      <c r="D1144" s="126">
        <v>187488</v>
      </c>
      <c r="E1144" s="128" t="s">
        <v>2917</v>
      </c>
      <c r="F1144" s="127" t="s">
        <v>306</v>
      </c>
      <c r="H1144" s="117" t="str">
        <f t="shared" si="35"/>
        <v>OTHER</v>
      </c>
      <c r="I1144" s="117" t="s">
        <v>68</v>
      </c>
    </row>
    <row r="1145" spans="1:9">
      <c r="A1145" s="114" t="str">
        <f t="shared" si="34"/>
        <v>1823990OTHR REG ASSET-N CST187648Reg A - Post-Retirement - Recl to CurrSE</v>
      </c>
      <c r="B1145" s="126">
        <v>1823990</v>
      </c>
      <c r="C1145" s="128" t="s">
        <v>1288</v>
      </c>
      <c r="D1145" s="126">
        <v>187648</v>
      </c>
      <c r="E1145" s="128" t="s">
        <v>1843</v>
      </c>
      <c r="F1145" s="127" t="s">
        <v>85</v>
      </c>
      <c r="H1145" s="117" t="str">
        <f t="shared" si="35"/>
        <v>SE</v>
      </c>
      <c r="I1145" s="117" t="s">
        <v>102</v>
      </c>
    </row>
    <row r="1146" spans="1:9">
      <c r="A1146" s="114" t="str">
        <f t="shared" si="34"/>
        <v>1823990OTHR REG ASSET-N CST187658RegA-WA Insurance Reserves-Recl to LiabOTHER</v>
      </c>
      <c r="B1146" s="126">
        <v>1823990</v>
      </c>
      <c r="C1146" s="128" t="s">
        <v>1288</v>
      </c>
      <c r="D1146" s="126">
        <v>187658</v>
      </c>
      <c r="E1146" s="128" t="s">
        <v>2922</v>
      </c>
      <c r="F1146" s="127" t="s">
        <v>306</v>
      </c>
      <c r="H1146" s="117" t="str">
        <f t="shared" si="35"/>
        <v>OTHER</v>
      </c>
      <c r="I1146" s="117" t="s">
        <v>102</v>
      </c>
    </row>
    <row r="1147" spans="1:9">
      <c r="A1147" s="114" t="str">
        <f t="shared" si="34"/>
        <v>1823990OTHR REG ASSET-N CST187667RegA-OR Outreach and Research PilotOTHER</v>
      </c>
      <c r="B1147" s="126">
        <v>1823990</v>
      </c>
      <c r="C1147" s="128" t="s">
        <v>1288</v>
      </c>
      <c r="D1147" s="126">
        <v>187667</v>
      </c>
      <c r="E1147" s="128" t="s">
        <v>2927</v>
      </c>
      <c r="F1147" s="127" t="s">
        <v>306</v>
      </c>
      <c r="H1147" s="117" t="str">
        <f t="shared" si="35"/>
        <v>OTHER</v>
      </c>
      <c r="I1147" s="117" t="s">
        <v>73</v>
      </c>
    </row>
    <row r="1148" spans="1:9">
      <c r="A1148" s="114" t="str">
        <f t="shared" si="34"/>
        <v>1823990OTHR REG ASSET-N CST187830Reg Asset - UT RBA CY2021OTHER</v>
      </c>
      <c r="B1148" s="126">
        <v>1823990</v>
      </c>
      <c r="C1148" s="128" t="s">
        <v>1288</v>
      </c>
      <c r="D1148" s="126">
        <v>187830</v>
      </c>
      <c r="E1148" s="128" t="s">
        <v>2929</v>
      </c>
      <c r="F1148" s="127" t="s">
        <v>306</v>
      </c>
      <c r="H1148" s="117" t="str">
        <f t="shared" si="35"/>
        <v>OTHER</v>
      </c>
      <c r="I1148" s="117" t="s">
        <v>68</v>
      </c>
    </row>
    <row r="1149" spans="1:9">
      <c r="A1149" s="114" t="str">
        <f t="shared" si="34"/>
        <v>1823990OTHR REG ASSET-N CST187885Reg Asset - WY RRA CY2021OTHER</v>
      </c>
      <c r="B1149" s="126">
        <v>1823990</v>
      </c>
      <c r="C1149" s="128" t="s">
        <v>1288</v>
      </c>
      <c r="D1149" s="126">
        <v>187885</v>
      </c>
      <c r="E1149" s="128" t="s">
        <v>2937</v>
      </c>
      <c r="F1149" s="127" t="s">
        <v>306</v>
      </c>
      <c r="H1149" s="117" t="str">
        <f t="shared" si="35"/>
        <v>OTHER</v>
      </c>
      <c r="I1149" s="117" t="s">
        <v>68</v>
      </c>
    </row>
    <row r="1150" spans="1:9">
      <c r="A1150" s="114" t="str">
        <f t="shared" si="34"/>
        <v>1823990OTHR REG ASSET-N CST187916Reg Asset-WY Wind Test Energy DeferralOTHER</v>
      </c>
      <c r="B1150" s="126">
        <v>1823990</v>
      </c>
      <c r="C1150" s="128" t="s">
        <v>1288</v>
      </c>
      <c r="D1150" s="126">
        <v>187916</v>
      </c>
      <c r="E1150" s="128" t="s">
        <v>2088</v>
      </c>
      <c r="F1150" s="127" t="s">
        <v>306</v>
      </c>
      <c r="H1150" s="117" t="str">
        <f t="shared" si="35"/>
        <v>OTHER</v>
      </c>
      <c r="I1150" s="117" t="s">
        <v>68</v>
      </c>
    </row>
    <row r="1151" spans="1:9">
      <c r="A1151" s="114" t="str">
        <f t="shared" si="34"/>
        <v>1823990OTHR REG ASSET-N CST187989Reg Asset - OR PCAM FY2021OTHER</v>
      </c>
      <c r="B1151" s="126">
        <v>1823990</v>
      </c>
      <c r="C1151" s="128" t="s">
        <v>1288</v>
      </c>
      <c r="D1151" s="126">
        <v>187989</v>
      </c>
      <c r="E1151" s="128" t="s">
        <v>2959</v>
      </c>
      <c r="F1151" s="127" t="s">
        <v>306</v>
      </c>
      <c r="H1151" s="117" t="str">
        <f t="shared" si="35"/>
        <v>OTHER</v>
      </c>
      <c r="I1151" s="117" t="s">
        <v>68</v>
      </c>
    </row>
    <row r="1152" spans="1:9">
      <c r="A1152" s="114" t="str">
        <f t="shared" si="34"/>
        <v>1823990OTHR REG ASSET-N CST187990Contra Reg Asset - OR PCAM FY2021OTHER</v>
      </c>
      <c r="B1152" s="126">
        <v>1823990</v>
      </c>
      <c r="C1152" s="128" t="s">
        <v>1288</v>
      </c>
      <c r="D1152" s="126">
        <v>187990</v>
      </c>
      <c r="E1152" s="128" t="s">
        <v>2961</v>
      </c>
      <c r="F1152" s="127" t="s">
        <v>306</v>
      </c>
      <c r="H1152" s="117" t="str">
        <f t="shared" si="35"/>
        <v>OTHER</v>
      </c>
      <c r="I1152" s="117" t="s">
        <v>68</v>
      </c>
    </row>
    <row r="1153" spans="1:9">
      <c r="A1153" s="114" t="str">
        <f t="shared" si="34"/>
        <v>1823990OTHR REG ASSET-N CST189011Reg Asset-UT Wildland Fire ProtectionOTHER</v>
      </c>
      <c r="B1153" s="126">
        <v>1823990</v>
      </c>
      <c r="C1153" s="128" t="s">
        <v>1288</v>
      </c>
      <c r="D1153" s="126">
        <v>189011</v>
      </c>
      <c r="E1153" s="128" t="s">
        <v>2046</v>
      </c>
      <c r="F1153" s="127" t="s">
        <v>306</v>
      </c>
      <c r="H1153" s="117" t="str">
        <f t="shared" si="35"/>
        <v>OTHER</v>
      </c>
      <c r="I1153" s="117" t="s">
        <v>70</v>
      </c>
    </row>
    <row r="1154" spans="1:9">
      <c r="A1154" s="114" t="str">
        <f t="shared" si="34"/>
        <v>1823990OTHR REG ASSET-N CST189028RegA-Wildland Fire Mitigat-Recl to LiabOTHER</v>
      </c>
      <c r="B1154" s="126">
        <v>1823990</v>
      </c>
      <c r="C1154" s="128" t="s">
        <v>1288</v>
      </c>
      <c r="D1154" s="126">
        <v>189028</v>
      </c>
      <c r="E1154" s="128" t="s">
        <v>2968</v>
      </c>
      <c r="F1154" s="127" t="s">
        <v>306</v>
      </c>
      <c r="H1154" s="117" t="str">
        <f t="shared" si="35"/>
        <v>OTHER</v>
      </c>
      <c r="I1154" s="117" t="s">
        <v>70</v>
      </c>
    </row>
    <row r="1155" spans="1:9">
      <c r="A1155" s="114" t="str">
        <f t="shared" ref="A1155:A1201" si="36">CONCATENATE($B1155,$C1155,$D1155,$E1155,$H1155)</f>
        <v>1823990OTHR REG ASSET-N CST189572Reg Asset-OR TAM CY 2022OTHER</v>
      </c>
      <c r="B1155" s="126">
        <v>1823990</v>
      </c>
      <c r="C1155" s="128" t="s">
        <v>1288</v>
      </c>
      <c r="D1155" s="126">
        <v>189572</v>
      </c>
      <c r="E1155" s="128" t="s">
        <v>2987</v>
      </c>
      <c r="F1155" s="127" t="s">
        <v>306</v>
      </c>
      <c r="H1155" s="117" t="str">
        <f t="shared" ref="H1155:H1201" si="37">IF(OR(F1155="IDU",F1155="OR",F1155="UT",F1155="WYU",F1155="WYP",F1155="CA",F1155="WA"),"SITUS",F1155)</f>
        <v>OTHER</v>
      </c>
      <c r="I1155" s="117" t="s">
        <v>68</v>
      </c>
    </row>
    <row r="1156" spans="1:9">
      <c r="A1156" s="114" t="str">
        <f t="shared" si="36"/>
        <v>1823990OTHR REG ASSET-N CST189582Contra Reg Asset - OR TAM CY 2022OTHER</v>
      </c>
      <c r="B1156" s="126">
        <v>1823990</v>
      </c>
      <c r="C1156" s="128" t="s">
        <v>1288</v>
      </c>
      <c r="D1156" s="126">
        <v>189582</v>
      </c>
      <c r="E1156" s="128" t="s">
        <v>2990</v>
      </c>
      <c r="F1156" s="127" t="s">
        <v>306</v>
      </c>
      <c r="H1156" s="117" t="str">
        <f t="shared" si="37"/>
        <v>OTHER</v>
      </c>
      <c r="I1156" s="117" t="s">
        <v>68</v>
      </c>
    </row>
    <row r="1157" spans="1:9">
      <c r="A1157" s="114" t="str">
        <f t="shared" si="36"/>
        <v>1823990OTHR REG ASSET-N CST189642Reg Asset-WA-Major Mtc Exp-Colstrip U4SITUS</v>
      </c>
      <c r="B1157" s="126">
        <v>1823990</v>
      </c>
      <c r="C1157" s="128" t="s">
        <v>1288</v>
      </c>
      <c r="D1157" s="126">
        <v>189642</v>
      </c>
      <c r="E1157" s="128" t="s">
        <v>3001</v>
      </c>
      <c r="F1157" s="127" t="s">
        <v>367</v>
      </c>
      <c r="H1157" s="117" t="str">
        <f t="shared" si="37"/>
        <v>SITUS</v>
      </c>
      <c r="I1157" s="117" t="s">
        <v>68</v>
      </c>
    </row>
    <row r="1158" spans="1:9">
      <c r="A1158" s="114" t="str">
        <f t="shared" si="36"/>
        <v>1823990OTHR REG ASSET-N CST189648RegA - WA Def Exc NPC - Recl to CurrOTHER</v>
      </c>
      <c r="B1158" s="126">
        <v>1823990</v>
      </c>
      <c r="C1158" s="128" t="s">
        <v>1288</v>
      </c>
      <c r="D1158" s="126">
        <v>189648</v>
      </c>
      <c r="E1158" s="128" t="s">
        <v>3003</v>
      </c>
      <c r="F1158" s="127" t="s">
        <v>306</v>
      </c>
      <c r="H1158" s="117" t="str">
        <f t="shared" si="37"/>
        <v>OTHER</v>
      </c>
      <c r="I1158" s="117" t="s">
        <v>68</v>
      </c>
    </row>
    <row r="1159" spans="1:9">
      <c r="A1159" s="114" t="str">
        <f t="shared" si="36"/>
        <v>1823700OTH REGA-ENERGY WEST186801Reg Asset-Deer Creek-Elec Plt In SvcCAEE</v>
      </c>
      <c r="B1159" s="126">
        <v>1823700</v>
      </c>
      <c r="C1159" s="128" t="s">
        <v>590</v>
      </c>
      <c r="D1159" s="126">
        <v>186801</v>
      </c>
      <c r="E1159" s="128" t="s">
        <v>591</v>
      </c>
      <c r="F1159" s="127" t="s">
        <v>3110</v>
      </c>
      <c r="H1159" s="117" t="str">
        <f t="shared" si="37"/>
        <v>CAEE</v>
      </c>
      <c r="I1159" s="113" t="s">
        <v>68</v>
      </c>
    </row>
    <row r="1160" spans="1:9">
      <c r="A1160" s="114" t="str">
        <f t="shared" si="36"/>
        <v>1823700OTH REGA-ENERGY WEST186802Reg Asset-Deer Creek-EPIS IntangiblesCAEE</v>
      </c>
      <c r="B1160" s="126">
        <v>1823700</v>
      </c>
      <c r="C1160" s="128" t="s">
        <v>590</v>
      </c>
      <c r="D1160" s="126">
        <v>186802</v>
      </c>
      <c r="E1160" s="128" t="s">
        <v>592</v>
      </c>
      <c r="F1160" s="127" t="s">
        <v>3110</v>
      </c>
      <c r="H1160" s="117" t="str">
        <f t="shared" si="37"/>
        <v>CAEE</v>
      </c>
      <c r="I1160" s="113" t="s">
        <v>68</v>
      </c>
    </row>
    <row r="1161" spans="1:9">
      <c r="A1161" s="114" t="str">
        <f t="shared" si="36"/>
        <v>1823700OTH REGA-ENERGY WEST186805Reg Asset-Deer Creek-CWIPCAEE</v>
      </c>
      <c r="B1161" s="126">
        <v>1823700</v>
      </c>
      <c r="C1161" s="128" t="s">
        <v>590</v>
      </c>
      <c r="D1161" s="126">
        <v>186805</v>
      </c>
      <c r="E1161" s="128" t="s">
        <v>593</v>
      </c>
      <c r="F1161" s="127" t="s">
        <v>3110</v>
      </c>
      <c r="H1161" s="117" t="str">
        <f t="shared" si="37"/>
        <v>CAEE</v>
      </c>
      <c r="I1161" s="113" t="s">
        <v>68</v>
      </c>
    </row>
    <row r="1162" spans="1:9">
      <c r="A1162" s="114" t="str">
        <f t="shared" si="36"/>
        <v>1823700OTH REGA-ENERGY WEST186806Reg Asset-Deer Creek-PS&amp;ICAEE</v>
      </c>
      <c r="B1162" s="126">
        <v>1823700</v>
      </c>
      <c r="C1162" s="128" t="s">
        <v>590</v>
      </c>
      <c r="D1162" s="126">
        <v>186806</v>
      </c>
      <c r="E1162" s="128" t="s">
        <v>594</v>
      </c>
      <c r="F1162" s="127" t="s">
        <v>3110</v>
      </c>
      <c r="H1162" s="117" t="str">
        <f t="shared" si="37"/>
        <v>CAEE</v>
      </c>
      <c r="I1162" s="113" t="s">
        <v>68</v>
      </c>
    </row>
    <row r="1163" spans="1:9">
      <c r="A1163" s="114" t="str">
        <f t="shared" si="36"/>
        <v>1823700OTH REGA-ENERGY WEST186811Reg Asset-Deer Creek Sale-EPISCAEE</v>
      </c>
      <c r="B1163" s="126">
        <v>1823700</v>
      </c>
      <c r="C1163" s="128" t="s">
        <v>590</v>
      </c>
      <c r="D1163" s="126">
        <v>186811</v>
      </c>
      <c r="E1163" s="128" t="s">
        <v>595</v>
      </c>
      <c r="F1163" s="127" t="s">
        <v>3110</v>
      </c>
      <c r="H1163" s="117" t="str">
        <f t="shared" si="37"/>
        <v>CAEE</v>
      </c>
      <c r="I1163" s="113" t="s">
        <v>68</v>
      </c>
    </row>
    <row r="1164" spans="1:9">
      <c r="A1164" s="114" t="str">
        <f t="shared" si="36"/>
        <v>1823700OTH REGA-ENERGY WEST186815Reg Asset-Deer Creek Sale-CWIPCAEE</v>
      </c>
      <c r="B1164" s="126">
        <v>1823700</v>
      </c>
      <c r="C1164" s="128" t="s">
        <v>590</v>
      </c>
      <c r="D1164" s="126">
        <v>186815</v>
      </c>
      <c r="E1164" s="128" t="s">
        <v>597</v>
      </c>
      <c r="F1164" s="127" t="s">
        <v>3110</v>
      </c>
      <c r="H1164" s="117" t="str">
        <f t="shared" si="37"/>
        <v>CAEE</v>
      </c>
      <c r="I1164" s="113" t="s">
        <v>68</v>
      </c>
    </row>
    <row r="1165" spans="1:9">
      <c r="A1165" s="114" t="str">
        <f t="shared" si="36"/>
        <v>1823700OTH REGA-ENERGY WEST186816Contra RA-DCM PP&amp;E-To Joint OwnersCAEE</v>
      </c>
      <c r="B1165" s="126">
        <v>1823700</v>
      </c>
      <c r="C1165" s="128" t="s">
        <v>590</v>
      </c>
      <c r="D1165" s="126">
        <v>186816</v>
      </c>
      <c r="E1165" s="128" t="s">
        <v>598</v>
      </c>
      <c r="F1165" s="127" t="s">
        <v>3110</v>
      </c>
      <c r="H1165" s="117" t="str">
        <f t="shared" si="37"/>
        <v>CAEE</v>
      </c>
      <c r="I1165" s="113" t="s">
        <v>68</v>
      </c>
    </row>
    <row r="1166" spans="1:9">
      <c r="A1166" s="114" t="str">
        <f t="shared" si="36"/>
        <v>1823700OTH REGA-ENERGY WEST186817Contra RA-DCM PP&amp;E-Amortz &amp; Oth AdjsCAEE</v>
      </c>
      <c r="B1166" s="126">
        <v>1823700</v>
      </c>
      <c r="C1166" s="128" t="s">
        <v>590</v>
      </c>
      <c r="D1166" s="126">
        <v>186817</v>
      </c>
      <c r="E1166" s="128" t="s">
        <v>599</v>
      </c>
      <c r="F1166" s="127" t="s">
        <v>3110</v>
      </c>
      <c r="H1166" s="117" t="str">
        <f t="shared" si="37"/>
        <v>CAEE</v>
      </c>
      <c r="I1166" s="113" t="s">
        <v>68</v>
      </c>
    </row>
    <row r="1167" spans="1:9">
      <c r="A1167" s="114" t="str">
        <f t="shared" si="36"/>
        <v>1823700OTH REGA-ENERGY WEST186820Reg Asset-Deer Creek Mine AROCAEE</v>
      </c>
      <c r="B1167" s="126">
        <v>1823700</v>
      </c>
      <c r="C1167" s="128" t="s">
        <v>590</v>
      </c>
      <c r="D1167" s="126">
        <v>186820</v>
      </c>
      <c r="E1167" s="128" t="s">
        <v>600</v>
      </c>
      <c r="F1167" s="127" t="s">
        <v>3110</v>
      </c>
      <c r="H1167" s="117" t="str">
        <f t="shared" si="37"/>
        <v>CAEE</v>
      </c>
      <c r="I1167" s="113" t="s">
        <v>68</v>
      </c>
    </row>
    <row r="1168" spans="1:9">
      <c r="A1168" s="114" t="str">
        <f t="shared" si="36"/>
        <v>1823700OTH REGA-ENERGY WEST186825Reg Asset-Deer Creek Mine M&amp;SCAEE</v>
      </c>
      <c r="B1168" s="126">
        <v>1823700</v>
      </c>
      <c r="C1168" s="128" t="s">
        <v>590</v>
      </c>
      <c r="D1168" s="126">
        <v>186825</v>
      </c>
      <c r="E1168" s="128" t="s">
        <v>601</v>
      </c>
      <c r="F1168" s="127" t="s">
        <v>3110</v>
      </c>
      <c r="H1168" s="117" t="str">
        <f t="shared" si="37"/>
        <v>CAEE</v>
      </c>
      <c r="I1168" s="113" t="s">
        <v>68</v>
      </c>
    </row>
    <row r="1169" spans="1:9">
      <c r="A1169" s="114" t="str">
        <f t="shared" si="36"/>
        <v>1823700OTH REGA-ENERGY WEST186826Reg Asset-Deer Creek-Prepaid RoyaltiesCAEE</v>
      </c>
      <c r="B1169" s="126">
        <v>1823700</v>
      </c>
      <c r="C1169" s="128" t="s">
        <v>590</v>
      </c>
      <c r="D1169" s="126">
        <v>186826</v>
      </c>
      <c r="E1169" s="128" t="s">
        <v>602</v>
      </c>
      <c r="F1169" s="127" t="s">
        <v>3110</v>
      </c>
      <c r="H1169" s="117" t="str">
        <f t="shared" si="37"/>
        <v>CAEE</v>
      </c>
      <c r="I1169" s="113" t="s">
        <v>68</v>
      </c>
    </row>
    <row r="1170" spans="1:9">
      <c r="A1170" s="114" t="str">
        <f t="shared" si="36"/>
        <v>1823700OTH REGA-ENERGY WEST186828Reg Asset-Deer Creek-Recovery RoyaltiesCAEE</v>
      </c>
      <c r="B1170" s="126">
        <v>1823700</v>
      </c>
      <c r="C1170" s="128" t="s">
        <v>590</v>
      </c>
      <c r="D1170" s="126">
        <v>186828</v>
      </c>
      <c r="E1170" s="128" t="s">
        <v>603</v>
      </c>
      <c r="F1170" s="127" t="s">
        <v>3110</v>
      </c>
      <c r="H1170" s="117" t="str">
        <f t="shared" si="37"/>
        <v>CAEE</v>
      </c>
      <c r="I1170" s="113" t="s">
        <v>68</v>
      </c>
    </row>
    <row r="1171" spans="1:9">
      <c r="A1171" s="114" t="str">
        <f t="shared" si="36"/>
        <v>1823700OTH REGA-ENERGY WEST186830Reg Asset-Deer Creek-Union Suppl BenCAEE</v>
      </c>
      <c r="B1171" s="126">
        <v>1823700</v>
      </c>
      <c r="C1171" s="128" t="s">
        <v>590</v>
      </c>
      <c r="D1171" s="126">
        <v>186830</v>
      </c>
      <c r="E1171" s="128" t="s">
        <v>604</v>
      </c>
      <c r="F1171" s="127" t="s">
        <v>3110</v>
      </c>
      <c r="H1171" s="117" t="str">
        <f t="shared" si="37"/>
        <v>CAEE</v>
      </c>
      <c r="I1171" s="113" t="s">
        <v>68</v>
      </c>
    </row>
    <row r="1172" spans="1:9">
      <c r="A1172" s="114" t="str">
        <f t="shared" si="36"/>
        <v>1823700OTH REGA-ENERGY WEST186833Reg Asset-Deer Creek-Nonunion SeveranceCAEE</v>
      </c>
      <c r="B1172" s="126">
        <v>1823700</v>
      </c>
      <c r="C1172" s="128" t="s">
        <v>590</v>
      </c>
      <c r="D1172" s="126">
        <v>186833</v>
      </c>
      <c r="E1172" s="128" t="s">
        <v>605</v>
      </c>
      <c r="F1172" s="127" t="s">
        <v>3110</v>
      </c>
      <c r="H1172" s="117" t="str">
        <f t="shared" si="37"/>
        <v>CAEE</v>
      </c>
      <c r="I1172" s="113" t="s">
        <v>68</v>
      </c>
    </row>
    <row r="1173" spans="1:9">
      <c r="A1173" s="114" t="str">
        <f t="shared" si="36"/>
        <v>1823700OTH REGA-ENERGY WEST186835Reg Asset-Deer Creek-Misc Closure CostsCAEE</v>
      </c>
      <c r="B1173" s="126">
        <v>1823700</v>
      </c>
      <c r="C1173" s="128" t="s">
        <v>590</v>
      </c>
      <c r="D1173" s="126">
        <v>186835</v>
      </c>
      <c r="E1173" s="128" t="s">
        <v>606</v>
      </c>
      <c r="F1173" s="127" t="s">
        <v>3110</v>
      </c>
      <c r="H1173" s="117" t="str">
        <f t="shared" si="37"/>
        <v>CAEE</v>
      </c>
      <c r="I1173" s="113" t="s">
        <v>68</v>
      </c>
    </row>
    <row r="1174" spans="1:9">
      <c r="A1174" s="114" t="str">
        <f t="shared" si="36"/>
        <v>1823700OTH REGA-ENERGY WEST186836Contra RA-DCM Closure-To Joint OwnersCAEE</v>
      </c>
      <c r="B1174" s="126">
        <v>1823700</v>
      </c>
      <c r="C1174" s="128" t="s">
        <v>590</v>
      </c>
      <c r="D1174" s="126">
        <v>186836</v>
      </c>
      <c r="E1174" s="128" t="s">
        <v>607</v>
      </c>
      <c r="F1174" s="127" t="s">
        <v>3110</v>
      </c>
      <c r="H1174" s="117" t="str">
        <f t="shared" si="37"/>
        <v>CAEE</v>
      </c>
      <c r="I1174" s="113" t="s">
        <v>68</v>
      </c>
    </row>
    <row r="1175" spans="1:9">
      <c r="A1175" s="114" t="str">
        <f t="shared" si="36"/>
        <v>1823700OTH REGA-ENERGY WEST186839Reg Asset-Deer Creek-Tax Flow-ThroughCAEE</v>
      </c>
      <c r="B1175" s="126">
        <v>1823700</v>
      </c>
      <c r="C1175" s="128" t="s">
        <v>590</v>
      </c>
      <c r="D1175" s="126">
        <v>186839</v>
      </c>
      <c r="E1175" s="128" t="s">
        <v>609</v>
      </c>
      <c r="F1175" s="127" t="s">
        <v>3110</v>
      </c>
      <c r="H1175" s="117" t="str">
        <f t="shared" si="37"/>
        <v>CAEE</v>
      </c>
      <c r="I1175" s="113" t="s">
        <v>68</v>
      </c>
    </row>
    <row r="1176" spans="1:9">
      <c r="A1176" s="114" t="str">
        <f t="shared" si="36"/>
        <v>1823700OTH REGA-ENERGY WEST186873RA-DC ROR Offset-Note Interest-AmortzSITUS</v>
      </c>
      <c r="B1176" s="126">
        <v>1823700</v>
      </c>
      <c r="C1176" s="128" t="s">
        <v>590</v>
      </c>
      <c r="D1176" s="126">
        <v>186873</v>
      </c>
      <c r="E1176" s="128" t="s">
        <v>3366</v>
      </c>
      <c r="F1176" s="127" t="s">
        <v>372</v>
      </c>
      <c r="H1176" s="117" t="str">
        <f t="shared" si="37"/>
        <v>SITUS</v>
      </c>
      <c r="I1176" s="113" t="s">
        <v>68</v>
      </c>
    </row>
    <row r="1177" spans="1:9">
      <c r="A1177" s="114" t="str">
        <f t="shared" si="36"/>
        <v>1823700OTH REGA-ENERGY WEST186881Reg Asset-UMWA Pension Trust ObligCAEE</v>
      </c>
      <c r="B1177" s="126">
        <v>1823700</v>
      </c>
      <c r="C1177" s="128" t="s">
        <v>590</v>
      </c>
      <c r="D1177" s="126">
        <v>186881</v>
      </c>
      <c r="E1177" s="128" t="s">
        <v>627</v>
      </c>
      <c r="F1177" s="127" t="s">
        <v>3110</v>
      </c>
      <c r="H1177" s="117" t="str">
        <f t="shared" si="37"/>
        <v>CAEE</v>
      </c>
      <c r="I1177" s="113" t="s">
        <v>68</v>
      </c>
    </row>
    <row r="1178" spans="1:9">
      <c r="A1178" s="114" t="str">
        <f t="shared" si="36"/>
        <v>1823750OTHER REG A-CHLA U4185866Reg Asset-Cholla U4-Nonunion SeveranceCAGE</v>
      </c>
      <c r="B1178" s="126">
        <v>1823750</v>
      </c>
      <c r="C1178" s="128" t="s">
        <v>2200</v>
      </c>
      <c r="D1178" s="126">
        <v>185866</v>
      </c>
      <c r="E1178" s="128" t="s">
        <v>2208</v>
      </c>
      <c r="F1178" s="127" t="s">
        <v>3106</v>
      </c>
      <c r="H1178" s="117" t="str">
        <f t="shared" si="37"/>
        <v>CAGE</v>
      </c>
      <c r="I1178" s="113" t="s">
        <v>68</v>
      </c>
    </row>
    <row r="1179" spans="1:9">
      <c r="A1179" s="114" t="str">
        <f t="shared" si="36"/>
        <v>1823750OTHER REG A-CHLA U4185867Reg Asset-Cholla U4-Safe Harbor LeaseCAGE</v>
      </c>
      <c r="B1179" s="126">
        <v>1823750</v>
      </c>
      <c r="C1179" s="128" t="s">
        <v>2200</v>
      </c>
      <c r="D1179" s="126">
        <v>185867</v>
      </c>
      <c r="E1179" s="128" t="s">
        <v>2210</v>
      </c>
      <c r="F1179" s="127" t="s">
        <v>3106</v>
      </c>
      <c r="H1179" s="117" t="str">
        <f t="shared" si="37"/>
        <v>CAGE</v>
      </c>
      <c r="I1179" s="113" t="s">
        <v>68</v>
      </c>
    </row>
    <row r="1180" spans="1:9">
      <c r="A1180" s="114" t="str">
        <f t="shared" si="36"/>
        <v>1823920DSR COSTS AMORTIZED102883CALIFORNIA DSM EXPENSE - 2008OTHER</v>
      </c>
      <c r="B1180" s="126">
        <v>1823920</v>
      </c>
      <c r="C1180" s="128" t="s">
        <v>695</v>
      </c>
      <c r="D1180" s="126">
        <v>102883</v>
      </c>
      <c r="E1180" s="128" t="s">
        <v>823</v>
      </c>
      <c r="F1180" s="127" t="s">
        <v>306</v>
      </c>
      <c r="H1180" s="117" t="str">
        <f t="shared" si="37"/>
        <v>OTHER</v>
      </c>
      <c r="I1180" s="113" t="s">
        <v>74</v>
      </c>
    </row>
    <row r="1181" spans="1:9">
      <c r="A1181" s="114" t="str">
        <f t="shared" si="36"/>
        <v>1823990OTHR REG ASSET-N CST138015Reg Asset Current - Energy West MiningCAEE</v>
      </c>
      <c r="B1181" s="126">
        <v>1823990</v>
      </c>
      <c r="C1181" s="128" t="s">
        <v>1288</v>
      </c>
      <c r="D1181" s="126">
        <v>138015</v>
      </c>
      <c r="E1181" s="128" t="s">
        <v>1289</v>
      </c>
      <c r="F1181" s="127" t="s">
        <v>3110</v>
      </c>
      <c r="H1181" s="117" t="str">
        <f t="shared" si="37"/>
        <v>CAEE</v>
      </c>
      <c r="I1181" s="113" t="s">
        <v>68</v>
      </c>
    </row>
    <row r="1182" spans="1:9">
      <c r="A1182" s="114" t="str">
        <f t="shared" si="36"/>
        <v>1823990OTHR REG ASSET-N CST186793RegA - Deer Creek - OR - Recl to CurrCAEE</v>
      </c>
      <c r="B1182" s="126">
        <v>1823990</v>
      </c>
      <c r="C1182" s="128" t="s">
        <v>1288</v>
      </c>
      <c r="D1182" s="126">
        <v>186793</v>
      </c>
      <c r="E1182" s="128" t="s">
        <v>1309</v>
      </c>
      <c r="F1182" s="127" t="s">
        <v>3110</v>
      </c>
      <c r="H1182" s="117" t="str">
        <f t="shared" si="37"/>
        <v>CAEE</v>
      </c>
      <c r="I1182" s="113" t="s">
        <v>68</v>
      </c>
    </row>
    <row r="1183" spans="1:9">
      <c r="A1183" s="114" t="str">
        <f t="shared" si="36"/>
        <v>1823990OTHR REG ASSET-N CST187303RegA-OR Low Income Bill Disc Admin CostOTHER</v>
      </c>
      <c r="B1183" s="126">
        <v>1823990</v>
      </c>
      <c r="C1183" s="128" t="s">
        <v>1288</v>
      </c>
      <c r="D1183" s="126">
        <v>187303</v>
      </c>
      <c r="E1183" s="128" t="s">
        <v>3386</v>
      </c>
      <c r="F1183" s="127" t="s">
        <v>306</v>
      </c>
      <c r="H1183" s="117" t="str">
        <f t="shared" si="37"/>
        <v>OTHER</v>
      </c>
      <c r="I1183" s="113" t="s">
        <v>74</v>
      </c>
    </row>
    <row r="1184" spans="1:9">
      <c r="A1184" s="114" t="str">
        <f t="shared" si="36"/>
        <v>1823990OTHR REG ASSET-N CST187308RegA - WY Low-Carbon Energy StandardsOTHER</v>
      </c>
      <c r="B1184" s="126">
        <v>1823990</v>
      </c>
      <c r="C1184" s="128" t="s">
        <v>1288</v>
      </c>
      <c r="D1184" s="126">
        <v>187308</v>
      </c>
      <c r="E1184" s="128" t="s">
        <v>3388</v>
      </c>
      <c r="F1184" s="127" t="s">
        <v>306</v>
      </c>
      <c r="H1184" s="117" t="str">
        <f t="shared" si="37"/>
        <v>OTHER</v>
      </c>
      <c r="I1184" s="113" t="s">
        <v>68</v>
      </c>
    </row>
    <row r="1185" spans="1:9">
      <c r="A1185" s="114" t="str">
        <f t="shared" si="36"/>
        <v>1823990OTHR REG ASSET-N CST187309RegA-OR Utility Community Advisory GroupOTHER</v>
      </c>
      <c r="B1185" s="126">
        <v>1823990</v>
      </c>
      <c r="C1185" s="128" t="s">
        <v>1288</v>
      </c>
      <c r="D1185" s="126">
        <v>187309</v>
      </c>
      <c r="E1185" s="128" t="s">
        <v>3390</v>
      </c>
      <c r="F1185" s="127" t="s">
        <v>306</v>
      </c>
      <c r="H1185" s="117" t="str">
        <f t="shared" si="37"/>
        <v>OTHER</v>
      </c>
      <c r="I1185" s="113" t="s">
        <v>74</v>
      </c>
    </row>
    <row r="1186" spans="1:9">
      <c r="A1186" s="114" t="str">
        <f t="shared" si="36"/>
        <v>1823990OTHR REG ASSET-N CST187338REG ASSET - CARBON PLT DECOM/INVENTORYCAGE</v>
      </c>
      <c r="B1186" s="126">
        <v>1823990</v>
      </c>
      <c r="C1186" s="128" t="s">
        <v>1288</v>
      </c>
      <c r="D1186" s="126">
        <v>187338</v>
      </c>
      <c r="E1186" s="128" t="s">
        <v>1439</v>
      </c>
      <c r="F1186" s="127" t="s">
        <v>3106</v>
      </c>
      <c r="H1186" s="117" t="str">
        <f t="shared" si="37"/>
        <v>CAGE</v>
      </c>
      <c r="I1186" s="113" t="s">
        <v>68</v>
      </c>
    </row>
    <row r="1187" spans="1:9">
      <c r="A1187" s="114" t="str">
        <f t="shared" si="36"/>
        <v>1823990OTHR REG ASSET-N CST187648Reg A - Post-Retirement - Recl to CurrCAEE</v>
      </c>
      <c r="B1187" s="126">
        <v>1823990</v>
      </c>
      <c r="C1187" s="128" t="s">
        <v>1288</v>
      </c>
      <c r="D1187" s="126">
        <v>187648</v>
      </c>
      <c r="E1187" s="128" t="s">
        <v>1843</v>
      </c>
      <c r="F1187" s="127" t="s">
        <v>3110</v>
      </c>
      <c r="H1187" s="117" t="str">
        <f t="shared" si="37"/>
        <v>CAEE</v>
      </c>
      <c r="I1187" s="113" t="s">
        <v>68</v>
      </c>
    </row>
    <row r="1188" spans="1:9">
      <c r="A1188" s="114" t="str">
        <f t="shared" si="36"/>
        <v>1823990OTHR REG ASSET-N CST187661RegA-UT Elec Vehicle Charging InfrastOTHER</v>
      </c>
      <c r="B1188" s="126">
        <v>1823990</v>
      </c>
      <c r="C1188" s="128" t="s">
        <v>1288</v>
      </c>
      <c r="D1188" s="126">
        <v>187661</v>
      </c>
      <c r="E1188" s="128" t="s">
        <v>3392</v>
      </c>
      <c r="F1188" s="127" t="s">
        <v>306</v>
      </c>
      <c r="H1188" s="117" t="str">
        <f t="shared" si="37"/>
        <v>OTHER</v>
      </c>
      <c r="I1188" s="113" t="s">
        <v>74</v>
      </c>
    </row>
    <row r="1189" spans="1:9">
      <c r="A1189" s="114" t="str">
        <f t="shared" si="36"/>
        <v>1823990OTHR REG ASSET-N CST187665RegA-OR Residential Charging PilotOTHER</v>
      </c>
      <c r="B1189" s="126">
        <v>1823990</v>
      </c>
      <c r="C1189" s="128" t="s">
        <v>1288</v>
      </c>
      <c r="D1189" s="126">
        <v>187665</v>
      </c>
      <c r="E1189" s="128" t="s">
        <v>3394</v>
      </c>
      <c r="F1189" s="127" t="s">
        <v>306</v>
      </c>
      <c r="H1189" s="117" t="str">
        <f t="shared" si="37"/>
        <v>OTHER</v>
      </c>
      <c r="I1189" s="113" t="s">
        <v>74</v>
      </c>
    </row>
    <row r="1190" spans="1:9">
      <c r="A1190" s="114" t="str">
        <f t="shared" si="36"/>
        <v>1823990OTHR REG ASSET-N CST187666RegA-OR Non-Residential Charging PilotOTHER</v>
      </c>
      <c r="B1190" s="126">
        <v>1823990</v>
      </c>
      <c r="C1190" s="128" t="s">
        <v>1288</v>
      </c>
      <c r="D1190" s="126">
        <v>187666</v>
      </c>
      <c r="E1190" s="128" t="s">
        <v>3396</v>
      </c>
      <c r="F1190" s="127" t="s">
        <v>306</v>
      </c>
      <c r="H1190" s="117" t="str">
        <f t="shared" si="37"/>
        <v>OTHER</v>
      </c>
      <c r="I1190" s="113" t="s">
        <v>74</v>
      </c>
    </row>
    <row r="1191" spans="1:9">
      <c r="A1191" s="114" t="str">
        <f t="shared" si="36"/>
        <v>1823990OTHR REG ASSET-N CST187831Reg Asset - UT RBA CY2022OTHER</v>
      </c>
      <c r="B1191" s="126">
        <v>1823990</v>
      </c>
      <c r="C1191" s="128" t="s">
        <v>1288</v>
      </c>
      <c r="D1191" s="126">
        <v>187831</v>
      </c>
      <c r="E1191" s="128" t="s">
        <v>3398</v>
      </c>
      <c r="F1191" s="127" t="s">
        <v>306</v>
      </c>
      <c r="H1191" s="117" t="str">
        <f t="shared" si="37"/>
        <v>OTHER</v>
      </c>
      <c r="I1191" s="113" t="s">
        <v>68</v>
      </c>
    </row>
    <row r="1192" spans="1:9">
      <c r="A1192" s="114" t="str">
        <f t="shared" si="36"/>
        <v>1823990OTHR REG ASSET-N CST187860Reg Asset - WY RRA CY2022OTHER</v>
      </c>
      <c r="B1192" s="126">
        <v>1823990</v>
      </c>
      <c r="C1192" s="128" t="s">
        <v>1288</v>
      </c>
      <c r="D1192" s="126">
        <v>187860</v>
      </c>
      <c r="E1192" s="128" t="s">
        <v>3400</v>
      </c>
      <c r="F1192" s="127" t="s">
        <v>306</v>
      </c>
      <c r="H1192" s="117" t="str">
        <f t="shared" si="37"/>
        <v>OTHER</v>
      </c>
      <c r="I1192" s="113" t="s">
        <v>68</v>
      </c>
    </row>
    <row r="1193" spans="1:9">
      <c r="A1193" s="114" t="str">
        <f t="shared" si="36"/>
        <v>1823990OTHR REG ASSET-N CST189005RegA-CA Wildfire/Natl Disaster (WNDRR)OTHER</v>
      </c>
      <c r="B1193" s="126">
        <v>1823990</v>
      </c>
      <c r="C1193" s="128" t="s">
        <v>1288</v>
      </c>
      <c r="D1193" s="126">
        <v>189005</v>
      </c>
      <c r="E1193" s="128" t="s">
        <v>3402</v>
      </c>
      <c r="F1193" s="127" t="s">
        <v>306</v>
      </c>
      <c r="H1193" s="117" t="str">
        <f t="shared" si="37"/>
        <v>OTHER</v>
      </c>
      <c r="I1193" s="113" t="s">
        <v>70</v>
      </c>
    </row>
    <row r="1194" spans="1:9">
      <c r="A1194" s="114" t="str">
        <f t="shared" si="36"/>
        <v>1823990OTHR REG ASSET-N CST189016Reg Asset-OR Wildfire Mitigation AcctOTHER</v>
      </c>
      <c r="B1194" s="126">
        <v>1823990</v>
      </c>
      <c r="C1194" s="128" t="s">
        <v>1288</v>
      </c>
      <c r="D1194" s="126">
        <v>189016</v>
      </c>
      <c r="E1194" s="128" t="s">
        <v>3404</v>
      </c>
      <c r="F1194" s="127" t="s">
        <v>306</v>
      </c>
      <c r="H1194" s="117" t="str">
        <f t="shared" si="37"/>
        <v>OTHER</v>
      </c>
      <c r="I1194" s="113" t="s">
        <v>70</v>
      </c>
    </row>
    <row r="1195" spans="1:9">
      <c r="A1195" s="114" t="str">
        <f t="shared" si="36"/>
        <v>1823990OTHR REG ASSET-N CST189017RegA-OR Wildfire – Damaged Asset NBVSITUS</v>
      </c>
      <c r="B1195" s="126">
        <v>1823990</v>
      </c>
      <c r="C1195" s="128" t="s">
        <v>1288</v>
      </c>
      <c r="D1195" s="126">
        <v>189017</v>
      </c>
      <c r="E1195" s="128" t="s">
        <v>3406</v>
      </c>
      <c r="F1195" s="127" t="s">
        <v>343</v>
      </c>
      <c r="H1195" s="117" t="str">
        <f t="shared" si="37"/>
        <v>SITUS</v>
      </c>
      <c r="I1195" s="113" t="s">
        <v>70</v>
      </c>
    </row>
    <row r="1196" spans="1:9">
      <c r="A1196" s="114" t="str">
        <f t="shared" si="36"/>
        <v>1823990OTHR REG ASSET-N CST189020Contra RegA-OR Wildfire MitigationOTHER</v>
      </c>
      <c r="B1196" s="126">
        <v>1823990</v>
      </c>
      <c r="C1196" s="128" t="s">
        <v>1288</v>
      </c>
      <c r="D1196" s="126">
        <v>189020</v>
      </c>
      <c r="E1196" s="128" t="s">
        <v>3408</v>
      </c>
      <c r="F1196" s="127" t="s">
        <v>306</v>
      </c>
      <c r="H1196" s="117" t="str">
        <f t="shared" si="37"/>
        <v>OTHER</v>
      </c>
      <c r="I1196" s="113" t="s">
        <v>70</v>
      </c>
    </row>
    <row r="1197" spans="1:9">
      <c r="A1197" s="114" t="str">
        <f t="shared" si="36"/>
        <v>1823990OTHR REG ASSET-N CST189586Reg Asset - OR PCAM FY2022OTHER</v>
      </c>
      <c r="B1197" s="126">
        <v>1823990</v>
      </c>
      <c r="C1197" s="128" t="s">
        <v>1288</v>
      </c>
      <c r="D1197" s="126">
        <v>189586</v>
      </c>
      <c r="E1197" s="128" t="s">
        <v>3410</v>
      </c>
      <c r="F1197" s="127" t="s">
        <v>306</v>
      </c>
      <c r="H1197" s="117" t="str">
        <f t="shared" si="37"/>
        <v>OTHER</v>
      </c>
      <c r="I1197" s="113" t="s">
        <v>68</v>
      </c>
    </row>
    <row r="1198" spans="1:9">
      <c r="A1198" s="114" t="str">
        <f t="shared" si="36"/>
        <v>1823990OTHR REG ASSET-N CST189587Contra Reg Asset - OR PCAM FY2022OTHER</v>
      </c>
      <c r="B1198" s="126">
        <v>1823990</v>
      </c>
      <c r="C1198" s="128" t="s">
        <v>1288</v>
      </c>
      <c r="D1198" s="126">
        <v>189587</v>
      </c>
      <c r="E1198" s="128" t="s">
        <v>3412</v>
      </c>
      <c r="F1198" s="127" t="s">
        <v>306</v>
      </c>
      <c r="H1198" s="117" t="str">
        <f t="shared" si="37"/>
        <v>OTHER</v>
      </c>
      <c r="I1198" s="113" t="s">
        <v>68</v>
      </c>
    </row>
    <row r="1199" spans="1:9">
      <c r="A1199" s="114" t="str">
        <f t="shared" si="36"/>
        <v>1823990OTHR REG ASSET-N CST610000BlankOTHER</v>
      </c>
      <c r="B1199" s="126">
        <v>1823990</v>
      </c>
      <c r="C1199" s="128" t="s">
        <v>1288</v>
      </c>
      <c r="D1199" s="126">
        <v>610000</v>
      </c>
      <c r="E1199" s="128" t="s">
        <v>2139</v>
      </c>
      <c r="F1199" s="127" t="s">
        <v>306</v>
      </c>
      <c r="H1199" s="117" t="str">
        <f t="shared" si="37"/>
        <v>OTHER</v>
      </c>
      <c r="I1199" s="113" t="s">
        <v>92</v>
      </c>
    </row>
    <row r="1200" spans="1:9">
      <c r="A1200" s="114" t="str">
        <f t="shared" si="36"/>
        <v>1823990OTHR REG ASSET-N CST610099BlankOTHER</v>
      </c>
      <c r="B1200" s="126">
        <v>1823990</v>
      </c>
      <c r="C1200" s="128" t="s">
        <v>1288</v>
      </c>
      <c r="D1200" s="126">
        <v>610099</v>
      </c>
      <c r="E1200" s="128" t="s">
        <v>2139</v>
      </c>
      <c r="F1200" s="127" t="s">
        <v>306</v>
      </c>
      <c r="H1200" s="117" t="str">
        <f t="shared" si="37"/>
        <v>OTHER</v>
      </c>
      <c r="I1200" s="113" t="s">
        <v>92</v>
      </c>
    </row>
    <row r="1201" spans="1:9">
      <c r="A1201" s="114" t="str">
        <f t="shared" si="36"/>
        <v>1823990OTHR REG ASSET-N CST701010LABOR COSTS SETTLED TO CAPITALOTHER</v>
      </c>
      <c r="B1201" s="126">
        <v>1823990</v>
      </c>
      <c r="C1201" s="128" t="s">
        <v>1288</v>
      </c>
      <c r="D1201" s="126">
        <v>701010</v>
      </c>
      <c r="E1201" s="128" t="s">
        <v>3414</v>
      </c>
      <c r="F1201" s="127" t="s">
        <v>306</v>
      </c>
      <c r="H1201" s="117" t="str">
        <f t="shared" si="37"/>
        <v>OTHER</v>
      </c>
      <c r="I1201" s="113" t="s">
        <v>102</v>
      </c>
    </row>
  </sheetData>
  <autoFilter ref="A1:I1201" xr:uid="{00000000-0009-0000-0000-000017000000}"/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CCFFFF"/>
  </sheetPr>
  <dimension ref="A1:K40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18.7109375" style="114" customWidth="1"/>
    <col min="2" max="2" width="18.7109375" style="119" customWidth="1"/>
    <col min="3" max="3" width="18.7109375" style="121" customWidth="1"/>
    <col min="4" max="4" width="18.7109375" style="119" customWidth="1"/>
    <col min="5" max="5" width="38.85546875" style="121" customWidth="1"/>
    <col min="6" max="6" width="18.7109375" style="119" customWidth="1"/>
    <col min="7" max="7" width="18.7109375" style="138" customWidth="1"/>
    <col min="8" max="9" width="18.7109375" style="115" customWidth="1"/>
    <col min="10" max="10" width="18.7109375" customWidth="1"/>
    <col min="11" max="11" width="18.7109375" style="115" customWidth="1"/>
    <col min="12" max="14" width="18.7109375" customWidth="1"/>
  </cols>
  <sheetData>
    <row r="1" spans="1:11">
      <c r="A1" s="114" t="s">
        <v>1672</v>
      </c>
      <c r="B1" s="119" t="s">
        <v>345</v>
      </c>
      <c r="C1" s="121" t="s">
        <v>346</v>
      </c>
      <c r="D1" s="119" t="s">
        <v>347</v>
      </c>
      <c r="E1" s="121" t="s">
        <v>348</v>
      </c>
      <c r="F1" s="119" t="s">
        <v>349</v>
      </c>
      <c r="G1" s="135" t="s">
        <v>350</v>
      </c>
      <c r="H1" s="113" t="s">
        <v>351</v>
      </c>
      <c r="I1" s="113" t="s">
        <v>352</v>
      </c>
      <c r="J1" s="113" t="s">
        <v>353</v>
      </c>
      <c r="K1"/>
    </row>
    <row r="2" spans="1:11">
      <c r="A2" s="114" t="str">
        <f>CONCATENATE($B2,$C2,$D2,$E2,$H2)</f>
        <v>1861000MS DEF DB-OTH WIP185016EMISSION REDUCTION CREDITS PURCHASEDSE</v>
      </c>
      <c r="B2" s="125" t="s">
        <v>3029</v>
      </c>
      <c r="C2" s="121" t="s">
        <v>554</v>
      </c>
      <c r="D2" s="125" t="s">
        <v>3030</v>
      </c>
      <c r="E2" s="121" t="s">
        <v>555</v>
      </c>
      <c r="F2" s="119" t="s">
        <v>3110</v>
      </c>
      <c r="G2" s="138">
        <v>2346.5100000000002</v>
      </c>
      <c r="H2" s="113" t="str">
        <f t="shared" ref="H2:H40" si="0">IF(OR(F2="IDU",F2="OR",F2="UT",F2="WYU",F2="WYP",F2="CA",F2="WA"),"SITUS",IF(OR(F2="CAEE",F2="JBE"),"SE",IF(OR(F2="CAGE",F2="CAGW",F2="JBG"),"SG",F2)))</f>
        <v>SE</v>
      </c>
      <c r="I2" s="113" t="str">
        <f>INDEX('DDS Lookup'!$I:$I,MATCH($A2,'DDS Lookup'!$A:$A,0))</f>
        <v>P</v>
      </c>
      <c r="J2" s="113" t="str">
        <f>IF($G2=0,"NO",IF(ISNA($I2),"YES",IF(_xlfn.ISFORMULA($I2),"NO","YES")))</f>
        <v>NO</v>
      </c>
      <c r="K2"/>
    </row>
    <row r="3" spans="1:11">
      <c r="A3" s="114" t="str">
        <f t="shared" ref="A3:A40" si="1">CONCATENATE($B3,$C3,$D3,$E3,$H3)</f>
        <v>1861000MS DEF DB-OTH WIP185017ERCs - Impairment ReserveSE</v>
      </c>
      <c r="B3" s="125" t="s">
        <v>3029</v>
      </c>
      <c r="C3" s="121" t="s">
        <v>554</v>
      </c>
      <c r="D3" s="125" t="s">
        <v>3031</v>
      </c>
      <c r="E3" s="121" t="s">
        <v>556</v>
      </c>
      <c r="F3" s="119" t="s">
        <v>3110</v>
      </c>
      <c r="G3" s="138">
        <v>-2040</v>
      </c>
      <c r="H3" s="113" t="str">
        <f t="shared" si="0"/>
        <v>SE</v>
      </c>
      <c r="I3" s="113" t="str">
        <f>INDEX('DDS Lookup'!$I:$I,MATCH($A3,'DDS Lookup'!$A:$A,0))</f>
        <v>P</v>
      </c>
      <c r="J3" s="113" t="str">
        <f t="shared" ref="J3:J40" si="2">IF($G3=0,"NO",IF(ISNA($I3),"YES",IF(_xlfn.ISFORMULA($I3),"NO","YES")))</f>
        <v>NO</v>
      </c>
      <c r="K3"/>
    </row>
    <row r="4" spans="1:11">
      <c r="A4" s="114" t="str">
        <f t="shared" si="1"/>
        <v>1861200FINANCING COSTS DEFR185025FINANCING COST DEFERREDSO</v>
      </c>
      <c r="B4" s="125" t="s">
        <v>3032</v>
      </c>
      <c r="C4" s="121" t="s">
        <v>557</v>
      </c>
      <c r="D4" s="125" t="s">
        <v>3033</v>
      </c>
      <c r="E4" s="121" t="s">
        <v>558</v>
      </c>
      <c r="F4" s="119" t="s">
        <v>89</v>
      </c>
      <c r="G4" s="138">
        <v>224.61852500000001</v>
      </c>
      <c r="H4" s="113" t="str">
        <f t="shared" si="0"/>
        <v>SO</v>
      </c>
      <c r="I4" s="113" t="str">
        <f>INDEX('DDS Lookup'!$I:$I,MATCH($A4,'DDS Lookup'!$A:$A,0))</f>
        <v>DMSC</v>
      </c>
      <c r="J4" s="113" t="str">
        <f t="shared" si="2"/>
        <v>NO</v>
      </c>
      <c r="K4"/>
    </row>
    <row r="5" spans="1:11">
      <c r="A5" s="114" t="str">
        <f t="shared" si="1"/>
        <v>1861200FINANCING COSTS DEFR185026DEFERRED - S-3 SHELF REGISTRATION COSTSSO</v>
      </c>
      <c r="B5" s="125" t="s">
        <v>3032</v>
      </c>
      <c r="C5" s="121" t="s">
        <v>557</v>
      </c>
      <c r="D5" s="125" t="s">
        <v>3034</v>
      </c>
      <c r="E5" s="121" t="s">
        <v>559</v>
      </c>
      <c r="F5" s="119" t="s">
        <v>89</v>
      </c>
      <c r="G5" s="138">
        <v>40.225937500000001</v>
      </c>
      <c r="H5" s="113" t="str">
        <f t="shared" si="0"/>
        <v>SO</v>
      </c>
      <c r="I5" s="113" t="str">
        <f>INDEX('DDS Lookup'!$I:$I,MATCH($A5,'DDS Lookup'!$A:$A,0))</f>
        <v>DMSC</v>
      </c>
      <c r="J5" s="113" t="str">
        <f t="shared" si="2"/>
        <v>NO</v>
      </c>
      <c r="K5"/>
    </row>
    <row r="6" spans="1:11">
      <c r="A6" s="114" t="str">
        <f t="shared" si="1"/>
        <v>1861200FINANCING COSTS DEFR185027UNAMORTIZED CREDIT AGREEMENT COSTSOTHER</v>
      </c>
      <c r="B6" s="125" t="s">
        <v>3032</v>
      </c>
      <c r="C6" s="121" t="s">
        <v>557</v>
      </c>
      <c r="D6" s="125" t="s">
        <v>3035</v>
      </c>
      <c r="E6" s="121" t="s">
        <v>560</v>
      </c>
      <c r="F6" s="119" t="s">
        <v>306</v>
      </c>
      <c r="G6" s="138">
        <v>1611.2963050000001</v>
      </c>
      <c r="H6" s="113" t="str">
        <f t="shared" si="0"/>
        <v>OTHER</v>
      </c>
      <c r="I6" s="113" t="str">
        <f>INDEX('DDS Lookup'!$I:$I,MATCH($A6,'DDS Lookup'!$A:$A,0))</f>
        <v>DMSC</v>
      </c>
      <c r="J6" s="113" t="str">
        <f t="shared" si="2"/>
        <v>NO</v>
      </c>
      <c r="K6"/>
    </row>
    <row r="7" spans="1:11">
      <c r="A7" s="114" t="str">
        <f t="shared" si="1"/>
        <v>1861200FINANCING COSTS DEFR185029UNAMORTIZED PCRB MADE CONVERSION COSTSOTHER</v>
      </c>
      <c r="B7" s="125" t="s">
        <v>3032</v>
      </c>
      <c r="C7" s="121" t="s">
        <v>557</v>
      </c>
      <c r="D7" s="125" t="s">
        <v>3036</v>
      </c>
      <c r="E7" s="121" t="s">
        <v>562</v>
      </c>
      <c r="F7" s="119" t="s">
        <v>306</v>
      </c>
      <c r="G7" s="138">
        <v>221.24915999999999</v>
      </c>
      <c r="H7" s="113" t="str">
        <f t="shared" si="0"/>
        <v>OTHER</v>
      </c>
      <c r="I7" s="113" t="str">
        <f>INDEX('DDS Lookup'!$I:$I,MATCH($A7,'DDS Lookup'!$A:$A,0))</f>
        <v>DMSC</v>
      </c>
      <c r="J7" s="113" t="str">
        <f t="shared" si="2"/>
        <v>NO</v>
      </c>
      <c r="K7"/>
    </row>
    <row r="8" spans="1:11">
      <c r="A8" s="114" t="str">
        <f t="shared" si="1"/>
        <v>1861200FINANCING COSTS DEFR185030UNAMORTIZED '94 SERIES RESTRUCTURING COSOTHER</v>
      </c>
      <c r="B8" s="125" t="s">
        <v>3032</v>
      </c>
      <c r="C8" s="121" t="s">
        <v>557</v>
      </c>
      <c r="D8" s="125" t="s">
        <v>3037</v>
      </c>
      <c r="E8" s="121" t="s">
        <v>563</v>
      </c>
      <c r="F8" s="119" t="s">
        <v>306</v>
      </c>
      <c r="G8" s="138">
        <v>166.51276999999999</v>
      </c>
      <c r="H8" s="113" t="str">
        <f t="shared" si="0"/>
        <v>OTHER</v>
      </c>
      <c r="I8" s="113" t="str">
        <f>INDEX('DDS Lookup'!$I:$I,MATCH($A8,'DDS Lookup'!$A:$A,0))</f>
        <v>DMSC</v>
      </c>
      <c r="J8" s="113" t="str">
        <f t="shared" si="2"/>
        <v>NO</v>
      </c>
      <c r="K8"/>
    </row>
    <row r="9" spans="1:11">
      <c r="A9" s="114" t="str">
        <f t="shared" si="1"/>
        <v>1865000DEF COAL MINE COSTS184414DEFERRED COAL COSTS - WYODAK SETTLEMENTSE</v>
      </c>
      <c r="B9" s="125" t="s">
        <v>3038</v>
      </c>
      <c r="C9" s="121" t="s">
        <v>564</v>
      </c>
      <c r="D9" s="125" t="s">
        <v>3039</v>
      </c>
      <c r="E9" s="121" t="s">
        <v>565</v>
      </c>
      <c r="F9" s="119" t="s">
        <v>3110</v>
      </c>
      <c r="G9" s="138">
        <v>335.18135999999998</v>
      </c>
      <c r="H9" s="113" t="str">
        <f t="shared" si="0"/>
        <v>SE</v>
      </c>
      <c r="I9" s="113" t="str">
        <f>INDEX('DDS Lookup'!$I:$I,MATCH($A9,'DDS Lookup'!$A:$A,0))</f>
        <v>P</v>
      </c>
      <c r="J9" s="113" t="str">
        <f t="shared" si="2"/>
        <v>NO</v>
      </c>
      <c r="K9"/>
    </row>
    <row r="10" spans="1:11">
      <c r="A10" s="114" t="str">
        <f t="shared" si="1"/>
        <v>1867000MSC DF DR-BAL TRAN134300DEFERRED CHARGESSE</v>
      </c>
      <c r="B10" s="125" t="s">
        <v>3040</v>
      </c>
      <c r="C10" s="121" t="s">
        <v>566</v>
      </c>
      <c r="D10" s="125" t="s">
        <v>3041</v>
      </c>
      <c r="E10" s="121" t="s">
        <v>567</v>
      </c>
      <c r="F10" s="119" t="s">
        <v>3110</v>
      </c>
      <c r="G10" s="138">
        <v>7.0383333333333296E-3</v>
      </c>
      <c r="H10" s="113" t="str">
        <f t="shared" si="0"/>
        <v>SE</v>
      </c>
      <c r="I10" s="113" t="str">
        <f>INDEX('DDS Lookup'!$I:$I,MATCH($A10,'DDS Lookup'!$A:$A,0))</f>
        <v>P</v>
      </c>
      <c r="J10" s="113" t="str">
        <f t="shared" si="2"/>
        <v>NO</v>
      </c>
      <c r="K10"/>
    </row>
    <row r="11" spans="1:11">
      <c r="A11" s="114" t="str">
        <f t="shared" si="1"/>
        <v>1867000MSC DF DR-BAL TRAN134300DEFERRED CHARGESSE</v>
      </c>
      <c r="B11" s="125" t="s">
        <v>3040</v>
      </c>
      <c r="C11" s="121" t="s">
        <v>566</v>
      </c>
      <c r="D11" s="125" t="s">
        <v>3041</v>
      </c>
      <c r="E11" s="121" t="s">
        <v>567</v>
      </c>
      <c r="F11" s="119" t="s">
        <v>3134</v>
      </c>
      <c r="G11" s="138">
        <v>1.1441170833333301</v>
      </c>
      <c r="H11" s="113" t="str">
        <f t="shared" si="0"/>
        <v>SE</v>
      </c>
      <c r="I11" s="113" t="str">
        <f>INDEX('DDS Lookup'!$I:$I,MATCH($A11,'DDS Lookup'!$A:$A,0))</f>
        <v>P</v>
      </c>
      <c r="J11" s="113" t="str">
        <f t="shared" si="2"/>
        <v>NO</v>
      </c>
      <c r="K11"/>
    </row>
    <row r="12" spans="1:11">
      <c r="A12" s="114" t="str">
        <f t="shared" si="1"/>
        <v>1868000MISC DF DR-OTH-CST134305Oth Def Chrg - IT Licenses/MaintenanceOTHER</v>
      </c>
      <c r="B12" s="125" t="s">
        <v>3042</v>
      </c>
      <c r="C12" s="121" t="s">
        <v>568</v>
      </c>
      <c r="D12" s="125" t="s">
        <v>3045</v>
      </c>
      <c r="E12" s="121" t="s">
        <v>569</v>
      </c>
      <c r="F12" s="119" t="s">
        <v>306</v>
      </c>
      <c r="G12" s="138">
        <v>108.48773</v>
      </c>
      <c r="H12" s="113" t="str">
        <f t="shared" si="0"/>
        <v>OTHER</v>
      </c>
      <c r="I12" s="113" t="str">
        <f>INDEX('DDS Lookup'!$I:$I,MATCH($A12,'DDS Lookup'!$A:$A,0))</f>
        <v>PTD</v>
      </c>
      <c r="J12" s="113" t="str">
        <f t="shared" si="2"/>
        <v>NO</v>
      </c>
      <c r="K12"/>
    </row>
    <row r="13" spans="1:11">
      <c r="A13" s="114" t="str">
        <f t="shared" si="1"/>
        <v>1868000MISC DF DR-OTH-CST185313MEAD-PHOENIX-AVAILABILITY &amp; TRANS CHARGESG</v>
      </c>
      <c r="B13" s="125" t="s">
        <v>3042</v>
      </c>
      <c r="C13" s="121" t="s">
        <v>568</v>
      </c>
      <c r="D13" s="125" t="s">
        <v>3060</v>
      </c>
      <c r="E13" s="121" t="s">
        <v>575</v>
      </c>
      <c r="F13" s="119" t="s">
        <v>87</v>
      </c>
      <c r="G13" s="138">
        <v>1133.6420770833299</v>
      </c>
      <c r="H13" s="113" t="str">
        <f t="shared" si="0"/>
        <v>SG</v>
      </c>
      <c r="I13" s="113" t="str">
        <f>INDEX('DDS Lookup'!$I:$I,MATCH($A13,'DDS Lookup'!$A:$A,0))</f>
        <v>T</v>
      </c>
      <c r="J13" s="113" t="str">
        <f t="shared" si="2"/>
        <v>NO</v>
      </c>
      <c r="K13"/>
    </row>
    <row r="14" spans="1:11">
      <c r="A14" s="114" t="str">
        <f t="shared" si="1"/>
        <v>1868000MISC DF DR-OTH-CST185335LACOMB IRRIGATIONSG</v>
      </c>
      <c r="B14" s="125" t="s">
        <v>3042</v>
      </c>
      <c r="C14" s="121" t="s">
        <v>568</v>
      </c>
      <c r="D14" s="125" t="s">
        <v>3067</v>
      </c>
      <c r="E14" s="121" t="s">
        <v>576</v>
      </c>
      <c r="F14" s="119" t="s">
        <v>87</v>
      </c>
      <c r="G14" s="138">
        <v>7.7787499999999996</v>
      </c>
      <c r="H14" s="113" t="str">
        <f t="shared" si="0"/>
        <v>SG</v>
      </c>
      <c r="I14" s="113" t="str">
        <f>INDEX('DDS Lookup'!$I:$I,MATCH($A14,'DDS Lookup'!$A:$A,0))</f>
        <v>P</v>
      </c>
      <c r="J14" s="113" t="str">
        <f t="shared" si="2"/>
        <v>NO</v>
      </c>
      <c r="K14"/>
    </row>
    <row r="15" spans="1:11">
      <c r="A15" s="114" t="str">
        <f t="shared" si="1"/>
        <v>1868000MISC DF DR-OTH-CST185336BOGUS CREEKSG</v>
      </c>
      <c r="B15" s="125" t="s">
        <v>3042</v>
      </c>
      <c r="C15" s="121" t="s">
        <v>568</v>
      </c>
      <c r="D15" s="125" t="s">
        <v>3068</v>
      </c>
      <c r="E15" s="121" t="s">
        <v>577</v>
      </c>
      <c r="F15" s="119" t="s">
        <v>87</v>
      </c>
      <c r="G15" s="138">
        <v>746.48</v>
      </c>
      <c r="H15" s="113" t="str">
        <f t="shared" si="0"/>
        <v>SG</v>
      </c>
      <c r="I15" s="113" t="str">
        <f>INDEX('DDS Lookup'!$I:$I,MATCH($A15,'DDS Lookup'!$A:$A,0))</f>
        <v>P</v>
      </c>
      <c r="J15" s="113" t="str">
        <f t="shared" si="2"/>
        <v>NO</v>
      </c>
      <c r="K15"/>
    </row>
    <row r="16" spans="1:11">
      <c r="A16" s="114" t="str">
        <f t="shared" si="1"/>
        <v>1868000MISC DF DR-OTH-CST185337POINT-TO-POINT TRANS RESERVATIONSSG</v>
      </c>
      <c r="B16" s="125" t="s">
        <v>3042</v>
      </c>
      <c r="C16" s="121" t="s">
        <v>568</v>
      </c>
      <c r="D16" s="125" t="s">
        <v>3069</v>
      </c>
      <c r="E16" s="121" t="s">
        <v>578</v>
      </c>
      <c r="F16" s="119" t="s">
        <v>87</v>
      </c>
      <c r="G16" s="138">
        <v>1681.3037283333299</v>
      </c>
      <c r="H16" s="113" t="str">
        <f t="shared" si="0"/>
        <v>SG</v>
      </c>
      <c r="I16" s="113" t="str">
        <f>INDEX('DDS Lookup'!$I:$I,MATCH($A16,'DDS Lookup'!$A:$A,0))</f>
        <v>T</v>
      </c>
      <c r="J16" s="113" t="str">
        <f t="shared" si="2"/>
        <v>NO</v>
      </c>
      <c r="K16"/>
    </row>
    <row r="17" spans="1:11">
      <c r="A17" s="114" t="str">
        <f t="shared" si="1"/>
        <v>1868000MISC DF DR-OTH-CST185359LT Lake Side 2 Maint. PrepaymentSG</v>
      </c>
      <c r="B17" s="125" t="s">
        <v>3042</v>
      </c>
      <c r="C17" s="121" t="s">
        <v>568</v>
      </c>
      <c r="D17" s="125" t="s">
        <v>3078</v>
      </c>
      <c r="E17" s="121" t="s">
        <v>582</v>
      </c>
      <c r="F17" s="119" t="s">
        <v>3106</v>
      </c>
      <c r="G17" s="138">
        <v>24203.087877499998</v>
      </c>
      <c r="H17" s="113" t="str">
        <f t="shared" si="0"/>
        <v>SG</v>
      </c>
      <c r="I17" s="113" t="str">
        <f>INDEX('DDS Lookup'!$I:$I,MATCH($A17,'DDS Lookup'!$A:$A,0))</f>
        <v>P</v>
      </c>
      <c r="J17" s="113" t="str">
        <f t="shared" si="2"/>
        <v>NO</v>
      </c>
      <c r="K17"/>
    </row>
    <row r="18" spans="1:11">
      <c r="A18" s="114" t="str">
        <f t="shared" si="1"/>
        <v>1868000MISC DF DR-OTH-CST185360LT LAKE SIDE MAINT PREPAYMENTSG</v>
      </c>
      <c r="B18" s="125" t="s">
        <v>3042</v>
      </c>
      <c r="C18" s="121" t="s">
        <v>568</v>
      </c>
      <c r="D18" s="125" t="s">
        <v>3079</v>
      </c>
      <c r="E18" s="121" t="s">
        <v>583</v>
      </c>
      <c r="F18" s="119" t="s">
        <v>3106</v>
      </c>
      <c r="G18" s="138">
        <v>14817.09205625</v>
      </c>
      <c r="H18" s="113" t="str">
        <f t="shared" si="0"/>
        <v>SG</v>
      </c>
      <c r="I18" s="113" t="str">
        <f>INDEX('DDS Lookup'!$I:$I,MATCH($A18,'DDS Lookup'!$A:$A,0))</f>
        <v>P</v>
      </c>
      <c r="J18" s="113" t="str">
        <f t="shared" si="2"/>
        <v>NO</v>
      </c>
      <c r="K18"/>
    </row>
    <row r="19" spans="1:11">
      <c r="A19" s="114" t="str">
        <f t="shared" si="1"/>
        <v>1868000MISC DF DR-OTH-CST185361LT CHEHALIS CSA MAINT. PREPAYMENTSG</v>
      </c>
      <c r="B19" s="125" t="s">
        <v>3042</v>
      </c>
      <c r="C19" s="121" t="s">
        <v>568</v>
      </c>
      <c r="D19" s="125" t="s">
        <v>3080</v>
      </c>
      <c r="E19" s="121" t="s">
        <v>584</v>
      </c>
      <c r="F19" s="119" t="s">
        <v>3108</v>
      </c>
      <c r="G19" s="138">
        <v>25222.437502500001</v>
      </c>
      <c r="H19" s="113" t="str">
        <f t="shared" si="0"/>
        <v>SG</v>
      </c>
      <c r="I19" s="113" t="str">
        <f>INDEX('DDS Lookup'!$I:$I,MATCH($A19,'DDS Lookup'!$A:$A,0))</f>
        <v>P</v>
      </c>
      <c r="J19" s="113" t="str">
        <f t="shared" si="2"/>
        <v>NO</v>
      </c>
      <c r="K19"/>
    </row>
    <row r="20" spans="1:11">
      <c r="A20" s="114" t="str">
        <f t="shared" si="1"/>
        <v>1868000MISC DF DR-OTH-CST185362LT Currant Creek CSA Maint PrepaymentSG</v>
      </c>
      <c r="B20" s="125" t="s">
        <v>3042</v>
      </c>
      <c r="C20" s="121" t="s">
        <v>568</v>
      </c>
      <c r="D20" s="125" t="s">
        <v>3081</v>
      </c>
      <c r="E20" s="121" t="s">
        <v>585</v>
      </c>
      <c r="F20" s="119" t="s">
        <v>3106</v>
      </c>
      <c r="G20" s="138">
        <v>7846.6304841666697</v>
      </c>
      <c r="H20" s="113" t="str">
        <f t="shared" si="0"/>
        <v>SG</v>
      </c>
      <c r="I20" s="113" t="str">
        <f>INDEX('DDS Lookup'!$I:$I,MATCH($A20,'DDS Lookup'!$A:$A,0))</f>
        <v>P</v>
      </c>
      <c r="J20" s="113" t="str">
        <f t="shared" si="2"/>
        <v>NO</v>
      </c>
      <c r="K20"/>
    </row>
    <row r="21" spans="1:11">
      <c r="A21" s="114" t="str">
        <f t="shared" si="1"/>
        <v>1868000MISC DF DR-OTH-CST185371LT Chehalis CSA Prepaid O&amp;MSG</v>
      </c>
      <c r="B21" s="125" t="s">
        <v>3042</v>
      </c>
      <c r="C21" s="121" t="s">
        <v>568</v>
      </c>
      <c r="D21" s="125" t="s">
        <v>3082</v>
      </c>
      <c r="E21" s="121" t="s">
        <v>586</v>
      </c>
      <c r="F21" s="119" t="s">
        <v>3108</v>
      </c>
      <c r="G21" s="138">
        <v>1233.46881333333</v>
      </c>
      <c r="H21" s="113" t="str">
        <f t="shared" si="0"/>
        <v>SG</v>
      </c>
      <c r="I21" s="113" t="str">
        <f>INDEX('DDS Lookup'!$I:$I,MATCH($A21,'DDS Lookup'!$A:$A,0))</f>
        <v>P</v>
      </c>
      <c r="J21" s="113" t="str">
        <f t="shared" si="2"/>
        <v>NO</v>
      </c>
      <c r="K21"/>
    </row>
    <row r="22" spans="1:11">
      <c r="A22" s="114" t="str">
        <f t="shared" si="1"/>
        <v>1868000MISC DF DR-OTH-CST185372LT Currant Creek CSA Prepaid O&amp;MSG</v>
      </c>
      <c r="B22" s="125" t="s">
        <v>3042</v>
      </c>
      <c r="C22" s="121" t="s">
        <v>568</v>
      </c>
      <c r="D22" s="125" t="s">
        <v>3083</v>
      </c>
      <c r="E22" s="121" t="s">
        <v>587</v>
      </c>
      <c r="F22" s="119" t="s">
        <v>3106</v>
      </c>
      <c r="G22" s="138">
        <v>69.529882083333305</v>
      </c>
      <c r="H22" s="113" t="str">
        <f t="shared" si="0"/>
        <v>SG</v>
      </c>
      <c r="I22" s="113" t="str">
        <f>INDEX('DDS Lookup'!$I:$I,MATCH($A22,'DDS Lookup'!$A:$A,0))</f>
        <v>P</v>
      </c>
      <c r="J22" s="113" t="str">
        <f t="shared" si="2"/>
        <v>NO</v>
      </c>
      <c r="K22"/>
    </row>
    <row r="23" spans="1:11">
      <c r="A23" s="114" t="str">
        <f t="shared" si="1"/>
        <v>1868000MISC DF DR-OTH-CST185551LT Prepaid-FSA Capital - DunlapSG</v>
      </c>
      <c r="B23" s="125" t="s">
        <v>3042</v>
      </c>
      <c r="C23" s="121" t="s">
        <v>568</v>
      </c>
      <c r="D23" s="125" t="s">
        <v>3084</v>
      </c>
      <c r="E23" s="121" t="s">
        <v>1860</v>
      </c>
      <c r="F23" s="119" t="s">
        <v>87</v>
      </c>
      <c r="G23" s="138">
        <v>2350.58440833333</v>
      </c>
      <c r="H23" s="113" t="str">
        <f t="shared" si="0"/>
        <v>SG</v>
      </c>
      <c r="I23" s="113" t="str">
        <f>INDEX('DDS Lookup'!$I:$I,MATCH($A23,'DDS Lookup'!$A:$A,0))</f>
        <v>P</v>
      </c>
      <c r="J23" s="113" t="str">
        <f t="shared" si="2"/>
        <v>NO</v>
      </c>
      <c r="K23"/>
    </row>
    <row r="24" spans="1:11">
      <c r="A24" s="114" t="str">
        <f t="shared" si="1"/>
        <v>1868000MISC DF DR-OTH-CST185552LT Prepaid-FSA Capital - Ekola FlatsSG</v>
      </c>
      <c r="B24" s="125" t="s">
        <v>3042</v>
      </c>
      <c r="C24" s="121" t="s">
        <v>568</v>
      </c>
      <c r="D24" s="125" t="s">
        <v>3085</v>
      </c>
      <c r="E24" s="121" t="s">
        <v>3086</v>
      </c>
      <c r="F24" s="119" t="s">
        <v>87</v>
      </c>
      <c r="G24" s="138">
        <v>1522.56739541667</v>
      </c>
      <c r="H24" s="113" t="str">
        <f t="shared" si="0"/>
        <v>SG</v>
      </c>
      <c r="I24" s="113" t="str">
        <f>INDEX('DDS Lookup'!$I:$I,MATCH($A24,'DDS Lookup'!$A:$A,0))</f>
        <v>P</v>
      </c>
      <c r="J24" s="113" t="str">
        <f t="shared" si="2"/>
        <v>NO</v>
      </c>
      <c r="K24"/>
    </row>
    <row r="25" spans="1:11">
      <c r="A25" s="114" t="str">
        <f t="shared" si="1"/>
        <v>1868000MISC DF DR-OTH-CST185554LT Prepaid-FSA Capital - Foote CreekSG</v>
      </c>
      <c r="B25" s="125" t="s">
        <v>3042</v>
      </c>
      <c r="C25" s="121" t="s">
        <v>568</v>
      </c>
      <c r="D25" s="125" t="s">
        <v>3087</v>
      </c>
      <c r="E25" s="121" t="s">
        <v>3088</v>
      </c>
      <c r="F25" s="119" t="s">
        <v>87</v>
      </c>
      <c r="G25" s="138">
        <v>365.17433541666702</v>
      </c>
      <c r="H25" s="113" t="str">
        <f t="shared" si="0"/>
        <v>SG</v>
      </c>
      <c r="I25" s="113" t="str">
        <f>INDEX('DDS Lookup'!$I:$I,MATCH($A25,'DDS Lookup'!$A:$A,0))</f>
        <v>P</v>
      </c>
      <c r="J25" s="113" t="str">
        <f t="shared" si="2"/>
        <v>NO</v>
      </c>
      <c r="K25"/>
    </row>
    <row r="26" spans="1:11">
      <c r="A26" s="114" t="str">
        <f t="shared" si="1"/>
        <v>1868000MISC DF DR-OTH-CST185557LT Prepaid-FSA Capital - Glenrock ISG</v>
      </c>
      <c r="B26" s="125" t="s">
        <v>3042</v>
      </c>
      <c r="C26" s="121" t="s">
        <v>568</v>
      </c>
      <c r="D26" s="125" t="s">
        <v>3089</v>
      </c>
      <c r="E26" s="121" t="s">
        <v>1861</v>
      </c>
      <c r="F26" s="119" t="s">
        <v>87</v>
      </c>
      <c r="G26" s="138">
        <v>3376.3484162499999</v>
      </c>
      <c r="H26" s="113" t="str">
        <f t="shared" si="0"/>
        <v>SG</v>
      </c>
      <c r="I26" s="113" t="str">
        <f>INDEX('DDS Lookup'!$I:$I,MATCH($A26,'DDS Lookup'!$A:$A,0))</f>
        <v>P</v>
      </c>
      <c r="J26" s="113" t="str">
        <f t="shared" si="2"/>
        <v>NO</v>
      </c>
      <c r="K26"/>
    </row>
    <row r="27" spans="1:11">
      <c r="A27" s="114" t="str">
        <f t="shared" si="1"/>
        <v>1868000MISC DF DR-OTH-CST185558LT Prepaid-FSA Capital - Glenrock IIISG</v>
      </c>
      <c r="B27" s="125" t="s">
        <v>3042</v>
      </c>
      <c r="C27" s="121" t="s">
        <v>568</v>
      </c>
      <c r="D27" s="125" t="s">
        <v>3090</v>
      </c>
      <c r="E27" s="121" t="s">
        <v>1862</v>
      </c>
      <c r="F27" s="119" t="s">
        <v>87</v>
      </c>
      <c r="G27" s="138">
        <v>1234.34082458333</v>
      </c>
      <c r="H27" s="113" t="str">
        <f t="shared" si="0"/>
        <v>SG</v>
      </c>
      <c r="I27" s="113" t="str">
        <f>INDEX('DDS Lookup'!$I:$I,MATCH($A27,'DDS Lookup'!$A:$A,0))</f>
        <v>P</v>
      </c>
      <c r="J27" s="113" t="str">
        <f t="shared" si="2"/>
        <v>NO</v>
      </c>
      <c r="K27"/>
    </row>
    <row r="28" spans="1:11">
      <c r="A28" s="114" t="str">
        <f t="shared" si="1"/>
        <v>1868000MISC DF DR-OTH-CST185561LT Prepaid-FSA Capital - Goodnoe HillsSG</v>
      </c>
      <c r="B28" s="125" t="s">
        <v>3042</v>
      </c>
      <c r="C28" s="121" t="s">
        <v>568</v>
      </c>
      <c r="D28" s="125" t="s">
        <v>3091</v>
      </c>
      <c r="E28" s="121" t="s">
        <v>1863</v>
      </c>
      <c r="F28" s="119" t="s">
        <v>87</v>
      </c>
      <c r="G28" s="138">
        <v>2331.0947099999998</v>
      </c>
      <c r="H28" s="113" t="str">
        <f t="shared" si="0"/>
        <v>SG</v>
      </c>
      <c r="I28" s="113" t="str">
        <f>INDEX('DDS Lookup'!$I:$I,MATCH($A28,'DDS Lookup'!$A:$A,0))</f>
        <v>P</v>
      </c>
      <c r="J28" s="113" t="str">
        <f t="shared" si="2"/>
        <v>NO</v>
      </c>
      <c r="K28"/>
    </row>
    <row r="29" spans="1:11">
      <c r="A29" s="114" t="str">
        <f t="shared" si="1"/>
        <v>1868000MISC DF DR-OTH-CST185564LT Prepaid-FSA Capital - High PlainsSG</v>
      </c>
      <c r="B29" s="125" t="s">
        <v>3042</v>
      </c>
      <c r="C29" s="121" t="s">
        <v>568</v>
      </c>
      <c r="D29" s="125" t="s">
        <v>3092</v>
      </c>
      <c r="E29" s="121" t="s">
        <v>1864</v>
      </c>
      <c r="F29" s="119" t="s">
        <v>87</v>
      </c>
      <c r="G29" s="138">
        <v>2898.3094445833299</v>
      </c>
      <c r="H29" s="113" t="str">
        <f t="shared" si="0"/>
        <v>SG</v>
      </c>
      <c r="I29" s="113" t="str">
        <f>INDEX('DDS Lookup'!$I:$I,MATCH($A29,'DDS Lookup'!$A:$A,0))</f>
        <v>P</v>
      </c>
      <c r="J29" s="113" t="str">
        <f t="shared" si="2"/>
        <v>NO</v>
      </c>
      <c r="K29"/>
    </row>
    <row r="30" spans="1:11">
      <c r="A30" s="114" t="str">
        <f t="shared" si="1"/>
        <v>1868000MISC DF DR-OTH-CST185567LT Prepaid-FSA Capital - Leaning JuniperSG</v>
      </c>
      <c r="B30" s="125" t="s">
        <v>3042</v>
      </c>
      <c r="C30" s="121" t="s">
        <v>568</v>
      </c>
      <c r="D30" s="125" t="s">
        <v>3093</v>
      </c>
      <c r="E30" s="121" t="s">
        <v>1865</v>
      </c>
      <c r="F30" s="119" t="s">
        <v>87</v>
      </c>
      <c r="G30" s="138">
        <v>3341.4311937500001</v>
      </c>
      <c r="H30" s="113" t="str">
        <f t="shared" si="0"/>
        <v>SG</v>
      </c>
      <c r="I30" s="113" t="str">
        <f>INDEX('DDS Lookup'!$I:$I,MATCH($A30,'DDS Lookup'!$A:$A,0))</f>
        <v>P</v>
      </c>
      <c r="J30" s="113" t="str">
        <f t="shared" si="2"/>
        <v>NO</v>
      </c>
      <c r="K30"/>
    </row>
    <row r="31" spans="1:11">
      <c r="A31" s="114" t="str">
        <f t="shared" si="1"/>
        <v>1868000MISC DF DR-OTH-CST185570LT Prepaid-FSA Capital - Marengo ISG</v>
      </c>
      <c r="B31" s="125" t="s">
        <v>3042</v>
      </c>
      <c r="C31" s="121" t="s">
        <v>568</v>
      </c>
      <c r="D31" s="125" t="s">
        <v>3094</v>
      </c>
      <c r="E31" s="121" t="s">
        <v>1866</v>
      </c>
      <c r="F31" s="119" t="s">
        <v>87</v>
      </c>
      <c r="G31" s="138">
        <v>3280.32214916667</v>
      </c>
      <c r="H31" s="113" t="str">
        <f t="shared" si="0"/>
        <v>SG</v>
      </c>
      <c r="I31" s="113" t="str">
        <f>INDEX('DDS Lookup'!$I:$I,MATCH($A31,'DDS Lookup'!$A:$A,0))</f>
        <v>P</v>
      </c>
      <c r="J31" s="113" t="str">
        <f t="shared" si="2"/>
        <v>NO</v>
      </c>
      <c r="K31"/>
    </row>
    <row r="32" spans="1:11">
      <c r="A32" s="114" t="str">
        <f t="shared" si="1"/>
        <v>1868000MISC DF DR-OTH-CST185571LT Prepaid-FSA Capital - Marengo IISG</v>
      </c>
      <c r="B32" s="125" t="s">
        <v>3042</v>
      </c>
      <c r="C32" s="121" t="s">
        <v>568</v>
      </c>
      <c r="D32" s="125" t="s">
        <v>3095</v>
      </c>
      <c r="E32" s="121" t="s">
        <v>1867</v>
      </c>
      <c r="F32" s="119" t="s">
        <v>87</v>
      </c>
      <c r="G32" s="138">
        <v>1627.1542308333301</v>
      </c>
      <c r="H32" s="113" t="str">
        <f t="shared" si="0"/>
        <v>SG</v>
      </c>
      <c r="I32" s="113" t="str">
        <f>INDEX('DDS Lookup'!$I:$I,MATCH($A32,'DDS Lookup'!$A:$A,0))</f>
        <v>P</v>
      </c>
      <c r="J32" s="113" t="str">
        <f t="shared" si="2"/>
        <v>NO</v>
      </c>
      <c r="K32"/>
    </row>
    <row r="33" spans="1:11">
      <c r="A33" s="114" t="str">
        <f t="shared" si="1"/>
        <v>1868000MISC DF DR-OTH-CST185574LT Prepaid-FSA Capital - McFadden RidgeSG</v>
      </c>
      <c r="B33" s="125" t="s">
        <v>3042</v>
      </c>
      <c r="C33" s="121" t="s">
        <v>568</v>
      </c>
      <c r="D33" s="125" t="s">
        <v>3096</v>
      </c>
      <c r="E33" s="121" t="s">
        <v>1868</v>
      </c>
      <c r="F33" s="119" t="s">
        <v>87</v>
      </c>
      <c r="G33" s="138">
        <v>931.95095458333299</v>
      </c>
      <c r="H33" s="113" t="str">
        <f t="shared" si="0"/>
        <v>SG</v>
      </c>
      <c r="I33" s="113" t="str">
        <f>INDEX('DDS Lookup'!$I:$I,MATCH($A33,'DDS Lookup'!$A:$A,0))</f>
        <v>P</v>
      </c>
      <c r="J33" s="113" t="str">
        <f t="shared" si="2"/>
        <v>NO</v>
      </c>
      <c r="K33"/>
    </row>
    <row r="34" spans="1:11">
      <c r="A34" s="114" t="str">
        <f t="shared" si="1"/>
        <v>1868000MISC DF DR-OTH-CST185576LT Prepaid-FSA Capital - Pryor MtnSG</v>
      </c>
      <c r="B34" s="119" t="s">
        <v>3042</v>
      </c>
      <c r="C34" s="121" t="s">
        <v>568</v>
      </c>
      <c r="D34" s="119" t="s">
        <v>3097</v>
      </c>
      <c r="E34" s="121" t="s">
        <v>3098</v>
      </c>
      <c r="F34" s="119" t="s">
        <v>87</v>
      </c>
      <c r="G34" s="139">
        <v>1348.68984791667</v>
      </c>
      <c r="H34" s="113" t="str">
        <f t="shared" si="0"/>
        <v>SG</v>
      </c>
      <c r="I34" s="113" t="str">
        <f>INDEX('DDS Lookup'!$I:$I,MATCH($A34,'DDS Lookup'!$A:$A,0))</f>
        <v>P</v>
      </c>
      <c r="J34" s="113" t="str">
        <f t="shared" si="2"/>
        <v>NO</v>
      </c>
      <c r="K34"/>
    </row>
    <row r="35" spans="1:11">
      <c r="A35" s="114" t="str">
        <f t="shared" si="1"/>
        <v>1868000MISC DF DR-OTH-CST185577LT Prepaid-FSA Capital - Rolling HillsSG</v>
      </c>
      <c r="B35" s="119" t="s">
        <v>3042</v>
      </c>
      <c r="C35" s="121" t="s">
        <v>568</v>
      </c>
      <c r="D35" s="119" t="s">
        <v>3099</v>
      </c>
      <c r="E35" s="121" t="s">
        <v>1869</v>
      </c>
      <c r="F35" s="119" t="s">
        <v>87</v>
      </c>
      <c r="G35" s="138">
        <v>3273.4132441666702</v>
      </c>
      <c r="H35" s="113" t="str">
        <f t="shared" si="0"/>
        <v>SG</v>
      </c>
      <c r="I35" s="113" t="str">
        <f>INDEX('DDS Lookup'!$I:$I,MATCH($A35,'DDS Lookup'!$A:$A,0))</f>
        <v>P</v>
      </c>
      <c r="J35" s="113" t="str">
        <f t="shared" si="2"/>
        <v>NO</v>
      </c>
      <c r="K35" s="113"/>
    </row>
    <row r="36" spans="1:11">
      <c r="A36" s="114" t="str">
        <f t="shared" si="1"/>
        <v>1868000MISC DF DR-OTH-CST185580LT Prepaid-FSA Capital - Seven Mile ISG</v>
      </c>
      <c r="B36" s="119" t="s">
        <v>3042</v>
      </c>
      <c r="C36" s="121" t="s">
        <v>568</v>
      </c>
      <c r="D36" s="119" t="s">
        <v>3100</v>
      </c>
      <c r="E36" s="121" t="s">
        <v>1870</v>
      </c>
      <c r="F36" s="119" t="s">
        <v>87</v>
      </c>
      <c r="G36" s="138">
        <v>3416.5288787499999</v>
      </c>
      <c r="H36" s="113" t="str">
        <f t="shared" si="0"/>
        <v>SG</v>
      </c>
      <c r="I36" s="113" t="str">
        <f>INDEX('DDS Lookup'!$I:$I,MATCH($A36,'DDS Lookup'!$A:$A,0))</f>
        <v>P</v>
      </c>
      <c r="J36" s="113" t="str">
        <f t="shared" si="2"/>
        <v>NO</v>
      </c>
    </row>
    <row r="37" spans="1:11">
      <c r="A37" s="114" t="str">
        <f t="shared" si="1"/>
        <v>1868000MISC DF DR-OTH-CST185581LT Prepaid-FSA Capital - Seven Mile IISG</v>
      </c>
      <c r="B37" s="119" t="s">
        <v>3042</v>
      </c>
      <c r="C37" s="121" t="s">
        <v>568</v>
      </c>
      <c r="D37" s="119" t="s">
        <v>3101</v>
      </c>
      <c r="E37" s="121" t="s">
        <v>1871</v>
      </c>
      <c r="F37" s="119" t="s">
        <v>87</v>
      </c>
      <c r="G37" s="138">
        <v>640.91502125</v>
      </c>
      <c r="H37" s="113" t="str">
        <f t="shared" si="0"/>
        <v>SG</v>
      </c>
      <c r="I37" s="113" t="str">
        <f>INDEX('DDS Lookup'!$I:$I,MATCH($A37,'DDS Lookup'!$A:$A,0))</f>
        <v>P</v>
      </c>
      <c r="J37" s="113" t="str">
        <f t="shared" si="2"/>
        <v>NO</v>
      </c>
    </row>
    <row r="38" spans="1:11">
      <c r="A38" s="114" t="str">
        <f t="shared" si="1"/>
        <v>1868000MISC DF DR-OTH-CST185584LT Prepaid-FSA Capital - TB Flats ISG</v>
      </c>
      <c r="B38" s="119" t="s">
        <v>3042</v>
      </c>
      <c r="C38" s="121" t="s">
        <v>568</v>
      </c>
      <c r="D38" s="119" t="s">
        <v>3415</v>
      </c>
      <c r="E38" s="121" t="s">
        <v>3416</v>
      </c>
      <c r="F38" s="119" t="s">
        <v>87</v>
      </c>
      <c r="G38" s="138">
        <v>182.36479750000001</v>
      </c>
      <c r="H38" s="113" t="str">
        <f t="shared" si="0"/>
        <v>SG</v>
      </c>
      <c r="I38" s="113" t="str">
        <f>INDEX('DDS Lookup'!$I:$I,MATCH($A38,'DDS Lookup'!$A:$A,0))</f>
        <v>P</v>
      </c>
      <c r="J38" s="113" t="str">
        <f t="shared" si="2"/>
        <v>NO</v>
      </c>
    </row>
    <row r="39" spans="1:11">
      <c r="A39" s="114" t="str">
        <f t="shared" si="1"/>
        <v>1868000MISC DF DR-OTH-CST185585LT Prepaid-FSA Capital - TB Flats IISG</v>
      </c>
      <c r="B39" s="119" t="s">
        <v>3042</v>
      </c>
      <c r="C39" s="121" t="s">
        <v>568</v>
      </c>
      <c r="D39" s="119" t="s">
        <v>3417</v>
      </c>
      <c r="E39" s="121" t="s">
        <v>3418</v>
      </c>
      <c r="F39" s="119" t="s">
        <v>87</v>
      </c>
      <c r="G39" s="138">
        <v>189.80825999999999</v>
      </c>
      <c r="H39" s="113" t="str">
        <f t="shared" si="0"/>
        <v>SG</v>
      </c>
      <c r="I39" s="113" t="str">
        <f>INDEX('DDS Lookup'!$I:$I,MATCH($A39,'DDS Lookup'!$A:$A,0))</f>
        <v>P</v>
      </c>
      <c r="J39" s="113" t="str">
        <f t="shared" si="2"/>
        <v>NO</v>
      </c>
    </row>
    <row r="40" spans="1:11">
      <c r="A40" s="114" t="str">
        <f t="shared" si="1"/>
        <v>1869000MISC DF DR-OTH-NC185334HERMISTON SWAPSG</v>
      </c>
      <c r="B40" s="119" t="s">
        <v>3102</v>
      </c>
      <c r="C40" s="121" t="s">
        <v>588</v>
      </c>
      <c r="D40" s="119" t="s">
        <v>3103</v>
      </c>
      <c r="E40" s="121" t="s">
        <v>589</v>
      </c>
      <c r="F40" s="119" t="s">
        <v>3108</v>
      </c>
      <c r="G40" s="138">
        <v>2503.8587600000001</v>
      </c>
      <c r="H40" s="113" t="str">
        <f t="shared" si="0"/>
        <v>SG</v>
      </c>
      <c r="I40" s="113" t="str">
        <f>INDEX('DDS Lookup'!$I:$I,MATCH($A40,'DDS Lookup'!$A:$A,0))</f>
        <v>P</v>
      </c>
      <c r="J40" s="113" t="str">
        <f t="shared" si="2"/>
        <v>NO</v>
      </c>
    </row>
  </sheetData>
  <autoFilter ref="A1:J40" xr:uid="{00000000-0009-0000-0000-000018000000}"/>
  <conditionalFormatting sqref="J1:J2 K35:K1048576">
    <cfRule type="cellIs" dxfId="2" priority="3" operator="equal">
      <formula>"YES"</formula>
    </cfRule>
  </conditionalFormatting>
  <conditionalFormatting sqref="J3:J40">
    <cfRule type="cellIs" dxfId="1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76"/>
  <sheetViews>
    <sheetView zoomScale="85" zoomScaleNormal="85" workbookViewId="0">
      <pane ySplit="1" topLeftCell="A2" activePane="bottomLeft" state="frozen"/>
      <selection activeCell="A7" sqref="A7"/>
      <selection pane="bottomLeft"/>
    </sheetView>
  </sheetViews>
  <sheetFormatPr defaultRowHeight="12.75"/>
  <cols>
    <col min="1" max="1" width="18.7109375" style="114" customWidth="1"/>
    <col min="2" max="2" width="18.7109375" style="119" customWidth="1"/>
    <col min="3" max="3" width="18.7109375" style="121" customWidth="1"/>
    <col min="4" max="4" width="18.7109375" style="119" customWidth="1"/>
    <col min="5" max="5" width="38.85546875" style="121" customWidth="1"/>
    <col min="6" max="6" width="18.7109375" style="119" customWidth="1"/>
    <col min="7" max="7" width="18.7109375" style="123" customWidth="1"/>
    <col min="8" max="10" width="18.7109375" style="115" customWidth="1"/>
    <col min="11" max="13" width="18.7109375" customWidth="1"/>
  </cols>
  <sheetData>
    <row r="1" spans="1:10">
      <c r="A1" s="114" t="s">
        <v>1672</v>
      </c>
      <c r="B1" s="119" t="s">
        <v>345</v>
      </c>
      <c r="C1" s="121" t="s">
        <v>346</v>
      </c>
      <c r="D1" s="119" t="s">
        <v>347</v>
      </c>
      <c r="E1" s="121" t="s">
        <v>348</v>
      </c>
      <c r="F1" s="119" t="s">
        <v>349</v>
      </c>
      <c r="G1" s="119" t="s">
        <v>350</v>
      </c>
      <c r="H1" s="113" t="s">
        <v>351</v>
      </c>
      <c r="I1" s="113" t="s">
        <v>352</v>
      </c>
      <c r="J1"/>
    </row>
    <row r="2" spans="1:10">
      <c r="A2" s="114" t="str">
        <f t="shared" ref="A2:A33" si="0">CONCATENATE($B2,$C2,$D2,$E2,$H2)</f>
        <v>1861000MS DEF DB-OTH WIP185016EMISSION REDUCTION CREDITS PURCHASEDSE</v>
      </c>
      <c r="B2" s="119">
        <v>1861000</v>
      </c>
      <c r="C2" s="121" t="s">
        <v>554</v>
      </c>
      <c r="D2" s="119">
        <v>185016</v>
      </c>
      <c r="E2" s="121" t="s">
        <v>555</v>
      </c>
      <c r="F2" s="119" t="s">
        <v>85</v>
      </c>
      <c r="G2" s="122"/>
      <c r="H2" s="113" t="str">
        <f>IF(OR(F2="IDU",F2="OR",F2="UT",F2="WYU",F2="WYP",F2="CA",F2="WA"),"SITUS",F2)</f>
        <v>SE</v>
      </c>
      <c r="I2" s="113" t="s">
        <v>68</v>
      </c>
      <c r="J2"/>
    </row>
    <row r="3" spans="1:10">
      <c r="A3" s="114" t="str">
        <f t="shared" si="0"/>
        <v>1861000MS DEF DB-OTH WIP185017ERCs - Impairment ReserveSE</v>
      </c>
      <c r="B3" s="119">
        <v>1861000</v>
      </c>
      <c r="C3" s="121" t="s">
        <v>554</v>
      </c>
      <c r="D3" s="119">
        <v>185017</v>
      </c>
      <c r="E3" s="121" t="s">
        <v>556</v>
      </c>
      <c r="F3" s="119" t="s">
        <v>85</v>
      </c>
      <c r="G3" s="122"/>
      <c r="H3" s="113" t="str">
        <f t="shared" ref="H3:H66" si="1">IF(OR(F3="IDU",F3="OR",F3="UT",F3="WYU",F3="WYP",F3="CA",F3="WA"),"SITUS",F3)</f>
        <v>SE</v>
      </c>
      <c r="I3" s="113" t="s">
        <v>68</v>
      </c>
      <c r="J3"/>
    </row>
    <row r="4" spans="1:10">
      <c r="A4" s="114" t="str">
        <f t="shared" si="0"/>
        <v>1861200FINANCING COSTS DEFR185025FINANCING COST DEFERREDSO</v>
      </c>
      <c r="B4" s="119">
        <v>1861200</v>
      </c>
      <c r="C4" s="121" t="s">
        <v>557</v>
      </c>
      <c r="D4" s="119">
        <v>185025</v>
      </c>
      <c r="E4" s="121" t="s">
        <v>558</v>
      </c>
      <c r="F4" s="119" t="s">
        <v>89</v>
      </c>
      <c r="G4" s="122"/>
      <c r="H4" s="113" t="str">
        <f t="shared" si="1"/>
        <v>SO</v>
      </c>
      <c r="I4" s="113" t="s">
        <v>74</v>
      </c>
      <c r="J4"/>
    </row>
    <row r="5" spans="1:10">
      <c r="A5" s="114" t="str">
        <f t="shared" si="0"/>
        <v>1861200FINANCING COSTS DEFR185026DEFERRED - S-3 SHELF REGISTRATION COSTSSO</v>
      </c>
      <c r="B5" s="119">
        <v>1861200</v>
      </c>
      <c r="C5" s="121" t="s">
        <v>557</v>
      </c>
      <c r="D5" s="119">
        <v>185026</v>
      </c>
      <c r="E5" s="121" t="s">
        <v>559</v>
      </c>
      <c r="F5" s="119" t="s">
        <v>89</v>
      </c>
      <c r="G5" s="122"/>
      <c r="H5" s="113" t="str">
        <f t="shared" si="1"/>
        <v>SO</v>
      </c>
      <c r="I5" s="113" t="s">
        <v>74</v>
      </c>
      <c r="J5"/>
    </row>
    <row r="6" spans="1:10">
      <c r="A6" s="114" t="str">
        <f t="shared" si="0"/>
        <v>1861200FINANCING COSTS DEFR185027UNAMORTIZED CREDIT AGREEMENT COSTSOTHER</v>
      </c>
      <c r="B6" s="119">
        <v>1861200</v>
      </c>
      <c r="C6" s="121" t="s">
        <v>557</v>
      </c>
      <c r="D6" s="119">
        <v>185027</v>
      </c>
      <c r="E6" s="121" t="s">
        <v>560</v>
      </c>
      <c r="F6" s="119" t="s">
        <v>306</v>
      </c>
      <c r="G6" s="122"/>
      <c r="H6" s="113" t="str">
        <f t="shared" si="1"/>
        <v>OTHER</v>
      </c>
      <c r="I6" s="113" t="s">
        <v>74</v>
      </c>
      <c r="J6"/>
    </row>
    <row r="7" spans="1:10">
      <c r="A7" s="114" t="str">
        <f t="shared" si="0"/>
        <v>1861200FINANCING COSTS DEFR185028UNAMORTIZED PCRB LOC/SBBPA COSTSOTHER</v>
      </c>
      <c r="B7" s="119">
        <v>1861200</v>
      </c>
      <c r="C7" s="121" t="s">
        <v>557</v>
      </c>
      <c r="D7" s="119">
        <v>185028</v>
      </c>
      <c r="E7" s="121" t="s">
        <v>561</v>
      </c>
      <c r="F7" s="119" t="s">
        <v>306</v>
      </c>
      <c r="G7" s="122"/>
      <c r="H7" s="113" t="str">
        <f t="shared" si="1"/>
        <v>OTHER</v>
      </c>
      <c r="I7" s="113" t="s">
        <v>74</v>
      </c>
      <c r="J7"/>
    </row>
    <row r="8" spans="1:10">
      <c r="A8" s="114" t="str">
        <f t="shared" si="0"/>
        <v>1861200FINANCING COSTS DEFR185029UNAMORTIZED PCRB MADE CONVERSION COSTSOTHER</v>
      </c>
      <c r="B8" s="119">
        <v>1861200</v>
      </c>
      <c r="C8" s="121" t="s">
        <v>557</v>
      </c>
      <c r="D8" s="119">
        <v>185029</v>
      </c>
      <c r="E8" s="121" t="s">
        <v>562</v>
      </c>
      <c r="F8" s="119" t="s">
        <v>306</v>
      </c>
      <c r="G8" s="122"/>
      <c r="H8" s="113" t="str">
        <f t="shared" si="1"/>
        <v>OTHER</v>
      </c>
      <c r="I8" s="113" t="s">
        <v>74</v>
      </c>
      <c r="J8"/>
    </row>
    <row r="9" spans="1:10">
      <c r="A9" s="114" t="str">
        <f t="shared" si="0"/>
        <v>1861200FINANCING COSTS DEFR185030UNAMORTIZED '94 SERIES RESTRUCTURING COSOTHER</v>
      </c>
      <c r="B9" s="119">
        <v>1861200</v>
      </c>
      <c r="C9" s="121" t="s">
        <v>557</v>
      </c>
      <c r="D9" s="119">
        <v>185030</v>
      </c>
      <c r="E9" s="121" t="s">
        <v>563</v>
      </c>
      <c r="F9" s="119" t="s">
        <v>306</v>
      </c>
      <c r="G9" s="122"/>
      <c r="H9" s="113" t="str">
        <f t="shared" si="1"/>
        <v>OTHER</v>
      </c>
      <c r="I9" s="113" t="s">
        <v>74</v>
      </c>
      <c r="J9"/>
    </row>
    <row r="10" spans="1:10">
      <c r="A10" s="114" t="str">
        <f t="shared" si="0"/>
        <v>1865000DEF COAL MINE COSTS184414DEFERRED COAL COSTS - WYODAK SETTLEMENTSE</v>
      </c>
      <c r="B10" s="119">
        <v>1865000</v>
      </c>
      <c r="C10" s="121" t="s">
        <v>564</v>
      </c>
      <c r="D10" s="119">
        <v>184414</v>
      </c>
      <c r="E10" s="121" t="s">
        <v>565</v>
      </c>
      <c r="F10" s="119" t="s">
        <v>85</v>
      </c>
      <c r="G10" s="122"/>
      <c r="H10" s="113" t="str">
        <f t="shared" si="1"/>
        <v>SE</v>
      </c>
      <c r="I10" s="113" t="s">
        <v>68</v>
      </c>
      <c r="J10"/>
    </row>
    <row r="11" spans="1:10">
      <c r="A11" s="114" t="str">
        <f t="shared" si="0"/>
        <v>1865000DEF COAL MINE COSTS184416Deferred Coal Costs - Naughton ContractSE</v>
      </c>
      <c r="B11" s="119">
        <v>1865000</v>
      </c>
      <c r="C11" s="121" t="s">
        <v>564</v>
      </c>
      <c r="D11" s="119">
        <v>184416</v>
      </c>
      <c r="E11" s="121" t="s">
        <v>407</v>
      </c>
      <c r="F11" s="119" t="s">
        <v>85</v>
      </c>
      <c r="G11" s="122"/>
      <c r="H11" s="113" t="str">
        <f t="shared" si="1"/>
        <v>SE</v>
      </c>
      <c r="I11" s="113" t="s">
        <v>68</v>
      </c>
      <c r="J11"/>
    </row>
    <row r="12" spans="1:10">
      <c r="A12" s="114" t="str">
        <f t="shared" si="0"/>
        <v>1867000MSC DF DR-BAL TRAN134300DEFERRED CHARGESSE</v>
      </c>
      <c r="B12" s="119">
        <v>1867000</v>
      </c>
      <c r="C12" s="121" t="s">
        <v>566</v>
      </c>
      <c r="D12" s="119">
        <v>134300</v>
      </c>
      <c r="E12" s="121" t="s">
        <v>567</v>
      </c>
      <c r="F12" s="119" t="s">
        <v>85</v>
      </c>
      <c r="G12" s="122"/>
      <c r="H12" s="113" t="str">
        <f t="shared" si="1"/>
        <v>SE</v>
      </c>
      <c r="I12" s="113" t="s">
        <v>68</v>
      </c>
      <c r="J12"/>
    </row>
    <row r="13" spans="1:10">
      <c r="A13" s="114" t="str">
        <f t="shared" si="0"/>
        <v>1868000MISC DF DR-OTH-CST134305Oth Def Chrg - IT Licenses/MaintenanceOTHER</v>
      </c>
      <c r="B13" s="119">
        <v>1868000</v>
      </c>
      <c r="C13" s="121" t="s">
        <v>568</v>
      </c>
      <c r="D13" s="119">
        <v>134305</v>
      </c>
      <c r="E13" s="121" t="s">
        <v>569</v>
      </c>
      <c r="F13" s="119" t="s">
        <v>306</v>
      </c>
      <c r="G13" s="122"/>
      <c r="H13" s="113" t="str">
        <f t="shared" si="1"/>
        <v>OTHER</v>
      </c>
      <c r="I13" s="113" t="s">
        <v>92</v>
      </c>
      <c r="J13"/>
    </row>
    <row r="14" spans="1:10">
      <c r="A14" s="114" t="str">
        <f t="shared" si="0"/>
        <v>1868000MISC DF DR-OTH-CST185306TGS BUYOUTSG</v>
      </c>
      <c r="B14" s="119">
        <v>1868000</v>
      </c>
      <c r="C14" s="121" t="s">
        <v>568</v>
      </c>
      <c r="D14" s="119">
        <v>185306</v>
      </c>
      <c r="E14" s="121" t="s">
        <v>570</v>
      </c>
      <c r="F14" s="119" t="s">
        <v>87</v>
      </c>
      <c r="G14" s="122"/>
      <c r="H14" s="113" t="str">
        <f t="shared" si="1"/>
        <v>SG</v>
      </c>
      <c r="I14" s="113" t="s">
        <v>68</v>
      </c>
      <c r="J14"/>
    </row>
    <row r="15" spans="1:10">
      <c r="A15" s="114" t="str">
        <f t="shared" si="0"/>
        <v>1868000MISC DF DR-OTH-CST185309LAKEVIEW BUYOUTSG</v>
      </c>
      <c r="B15" s="119">
        <v>1868000</v>
      </c>
      <c r="C15" s="121" t="s">
        <v>568</v>
      </c>
      <c r="D15" s="119">
        <v>185309</v>
      </c>
      <c r="E15" s="121" t="s">
        <v>571</v>
      </c>
      <c r="F15" s="119" t="s">
        <v>87</v>
      </c>
      <c r="G15" s="122"/>
      <c r="H15" s="113" t="str">
        <f t="shared" si="1"/>
        <v>SG</v>
      </c>
      <c r="I15" s="113" t="s">
        <v>68</v>
      </c>
      <c r="J15"/>
    </row>
    <row r="16" spans="1:10">
      <c r="A16" s="114" t="str">
        <f t="shared" si="0"/>
        <v>1868000MISC DF DR-OTH-CST185310BUFFALO SETTLEMENTSG</v>
      </c>
      <c r="B16" s="119">
        <v>1868000</v>
      </c>
      <c r="C16" s="121" t="s">
        <v>568</v>
      </c>
      <c r="D16" s="119">
        <v>185310</v>
      </c>
      <c r="E16" s="121" t="s">
        <v>572</v>
      </c>
      <c r="F16" s="119" t="s">
        <v>87</v>
      </c>
      <c r="G16" s="122"/>
      <c r="H16" s="113" t="str">
        <f t="shared" si="1"/>
        <v>SG</v>
      </c>
      <c r="I16" s="113" t="s">
        <v>68</v>
      </c>
      <c r="J16"/>
    </row>
    <row r="17" spans="1:10">
      <c r="A17" s="114" t="str">
        <f t="shared" si="0"/>
        <v>1868000MISC DF DR-OTH-CST185311JOSEPH SETTLEMENTSG</v>
      </c>
      <c r="B17" s="119">
        <v>1868000</v>
      </c>
      <c r="C17" s="121" t="s">
        <v>568</v>
      </c>
      <c r="D17" s="119">
        <v>185311</v>
      </c>
      <c r="E17" s="121" t="s">
        <v>573</v>
      </c>
      <c r="F17" s="119" t="s">
        <v>87</v>
      </c>
      <c r="G17" s="122"/>
      <c r="H17" s="113" t="str">
        <f t="shared" si="1"/>
        <v>SG</v>
      </c>
      <c r="I17" s="113" t="s">
        <v>68</v>
      </c>
      <c r="J17"/>
    </row>
    <row r="18" spans="1:10">
      <c r="A18" s="114" t="str">
        <f t="shared" si="0"/>
        <v>1868000MISC DF DR-OTH-CST185312TRI-STATE FIRM WHEELINGSG</v>
      </c>
      <c r="B18" s="119">
        <v>1868000</v>
      </c>
      <c r="C18" s="121" t="s">
        <v>568</v>
      </c>
      <c r="D18" s="119">
        <v>185312</v>
      </c>
      <c r="E18" s="121" t="s">
        <v>574</v>
      </c>
      <c r="F18" s="119" t="s">
        <v>87</v>
      </c>
      <c r="G18" s="122"/>
      <c r="H18" s="113" t="str">
        <f t="shared" si="1"/>
        <v>SG</v>
      </c>
      <c r="I18" s="113" t="s">
        <v>68</v>
      </c>
      <c r="J18"/>
    </row>
    <row r="19" spans="1:10">
      <c r="A19" s="114" t="str">
        <f t="shared" si="0"/>
        <v>1868000MISC DF DR-OTH-CST185313MEAD-PHOENIX-AVAILABILITY &amp; TRANS CHARGESG</v>
      </c>
      <c r="B19" s="119">
        <v>1868000</v>
      </c>
      <c r="C19" s="121" t="s">
        <v>568</v>
      </c>
      <c r="D19" s="119">
        <v>185313</v>
      </c>
      <c r="E19" s="121" t="s">
        <v>575</v>
      </c>
      <c r="F19" s="119" t="s">
        <v>87</v>
      </c>
      <c r="G19" s="122"/>
      <c r="H19" s="113" t="str">
        <f t="shared" si="1"/>
        <v>SG</v>
      </c>
      <c r="I19" s="113" t="s">
        <v>69</v>
      </c>
      <c r="J19"/>
    </row>
    <row r="20" spans="1:10">
      <c r="A20" s="114" t="str">
        <f t="shared" si="0"/>
        <v>1868000MISC DF DR-OTH-CST185335LACOMB IRRIGATIONSG</v>
      </c>
      <c r="B20" s="119">
        <v>1868000</v>
      </c>
      <c r="C20" s="121" t="s">
        <v>568</v>
      </c>
      <c r="D20" s="119">
        <v>185335</v>
      </c>
      <c r="E20" s="121" t="s">
        <v>576</v>
      </c>
      <c r="F20" s="119" t="s">
        <v>87</v>
      </c>
      <c r="G20" s="122"/>
      <c r="H20" s="113" t="str">
        <f t="shared" si="1"/>
        <v>SG</v>
      </c>
      <c r="I20" s="113" t="s">
        <v>68</v>
      </c>
      <c r="J20"/>
    </row>
    <row r="21" spans="1:10">
      <c r="A21" s="114" t="str">
        <f t="shared" si="0"/>
        <v>1868000MISC DF DR-OTH-CST185336BOGUS CREEKSG</v>
      </c>
      <c r="B21" s="119">
        <v>1868000</v>
      </c>
      <c r="C21" s="121" t="s">
        <v>568</v>
      </c>
      <c r="D21" s="119">
        <v>185336</v>
      </c>
      <c r="E21" s="121" t="s">
        <v>577</v>
      </c>
      <c r="F21" s="119" t="s">
        <v>87</v>
      </c>
      <c r="G21" s="122"/>
      <c r="H21" s="113" t="str">
        <f t="shared" si="1"/>
        <v>SG</v>
      </c>
      <c r="I21" s="113" t="s">
        <v>68</v>
      </c>
      <c r="J21"/>
    </row>
    <row r="22" spans="1:10">
      <c r="A22" s="114" t="str">
        <f t="shared" si="0"/>
        <v>1868000MISC DF DR-OTH-CST185337POINT-TO-POINT TRANS RESERVATIONSSG</v>
      </c>
      <c r="B22" s="119">
        <v>1868000</v>
      </c>
      <c r="C22" s="121" t="s">
        <v>568</v>
      </c>
      <c r="D22" s="119">
        <v>185337</v>
      </c>
      <c r="E22" s="121" t="s">
        <v>578</v>
      </c>
      <c r="F22" s="119" t="s">
        <v>87</v>
      </c>
      <c r="G22" s="122"/>
      <c r="H22" s="113" t="str">
        <f t="shared" si="1"/>
        <v>SG</v>
      </c>
      <c r="I22" s="113" t="s">
        <v>69</v>
      </c>
      <c r="J22"/>
    </row>
    <row r="23" spans="1:10">
      <c r="A23" s="114" t="str">
        <f t="shared" si="0"/>
        <v>1868000MISC DF DR-OTH-CST185351BPA LT TRANSMISSION PREPAIDOTHER</v>
      </c>
      <c r="B23" s="119">
        <v>1868000</v>
      </c>
      <c r="C23" s="121" t="s">
        <v>568</v>
      </c>
      <c r="D23" s="119">
        <v>185351</v>
      </c>
      <c r="E23" s="121" t="s">
        <v>579</v>
      </c>
      <c r="F23" s="119" t="s">
        <v>306</v>
      </c>
      <c r="G23" s="122"/>
      <c r="H23" s="113" t="str">
        <f t="shared" si="1"/>
        <v>OTHER</v>
      </c>
      <c r="I23" s="113" t="s">
        <v>69</v>
      </c>
      <c r="J23"/>
    </row>
    <row r="24" spans="1:10">
      <c r="A24" s="114" t="str">
        <f t="shared" si="0"/>
        <v>1868000MISC DF DR-OTH-CST185357LT Prepaid RECs for RPS (OR)OTHER</v>
      </c>
      <c r="B24" s="119">
        <v>1868000</v>
      </c>
      <c r="C24" s="121" t="s">
        <v>568</v>
      </c>
      <c r="D24" s="119">
        <v>185357</v>
      </c>
      <c r="E24" s="121" t="s">
        <v>580</v>
      </c>
      <c r="F24" s="119" t="s">
        <v>306</v>
      </c>
      <c r="G24" s="122"/>
      <c r="H24" s="113" t="str">
        <f t="shared" si="1"/>
        <v>OTHER</v>
      </c>
      <c r="I24" s="113" t="s">
        <v>68</v>
      </c>
      <c r="J24"/>
    </row>
    <row r="25" spans="1:10">
      <c r="A25" s="114" t="str">
        <f t="shared" si="0"/>
        <v>1868000MISC DF DR-OTH-CST185358LT Prepaid RECs for RPS (CA)OTHER</v>
      </c>
      <c r="B25" s="119">
        <v>1868000</v>
      </c>
      <c r="C25" s="121" t="s">
        <v>568</v>
      </c>
      <c r="D25" s="119">
        <v>185358</v>
      </c>
      <c r="E25" s="121" t="s">
        <v>581</v>
      </c>
      <c r="F25" s="119" t="s">
        <v>306</v>
      </c>
      <c r="G25" s="122"/>
      <c r="H25" s="113" t="str">
        <f t="shared" si="1"/>
        <v>OTHER</v>
      </c>
      <c r="I25" s="113" t="s">
        <v>68</v>
      </c>
      <c r="J25"/>
    </row>
    <row r="26" spans="1:10">
      <c r="A26" s="114" t="str">
        <f t="shared" si="0"/>
        <v>1868000MISC DF DR-OTH-CST185359LT Lake Side 2 Maint. PrepaymentSG</v>
      </c>
      <c r="B26" s="119">
        <v>1868000</v>
      </c>
      <c r="C26" s="121" t="s">
        <v>568</v>
      </c>
      <c r="D26" s="119">
        <v>185359</v>
      </c>
      <c r="E26" s="121" t="s">
        <v>582</v>
      </c>
      <c r="F26" s="119" t="s">
        <v>87</v>
      </c>
      <c r="G26" s="122"/>
      <c r="H26" s="113" t="str">
        <f t="shared" si="1"/>
        <v>SG</v>
      </c>
      <c r="I26" s="113" t="s">
        <v>68</v>
      </c>
      <c r="J26"/>
    </row>
    <row r="27" spans="1:10">
      <c r="A27" s="114" t="str">
        <f t="shared" si="0"/>
        <v>1868000MISC DF DR-OTH-CST185360LT LAKE SIDE MAINT PREPAYMENTSG</v>
      </c>
      <c r="B27" s="119">
        <v>1868000</v>
      </c>
      <c r="C27" s="121" t="s">
        <v>568</v>
      </c>
      <c r="D27" s="119">
        <v>185360</v>
      </c>
      <c r="E27" s="121" t="s">
        <v>583</v>
      </c>
      <c r="F27" s="119" t="s">
        <v>87</v>
      </c>
      <c r="G27" s="122"/>
      <c r="H27" s="113" t="str">
        <f t="shared" si="1"/>
        <v>SG</v>
      </c>
      <c r="I27" s="113" t="s">
        <v>68</v>
      </c>
      <c r="J27"/>
    </row>
    <row r="28" spans="1:10">
      <c r="A28" s="114" t="str">
        <f t="shared" si="0"/>
        <v>1868000MISC DF DR-OTH-CST185361LT CHEHALIS CSA MAINT. PREPAYMENTSG</v>
      </c>
      <c r="B28" s="119">
        <v>1868000</v>
      </c>
      <c r="C28" s="121" t="s">
        <v>568</v>
      </c>
      <c r="D28" s="119">
        <v>185361</v>
      </c>
      <c r="E28" s="121" t="s">
        <v>584</v>
      </c>
      <c r="F28" s="119" t="s">
        <v>87</v>
      </c>
      <c r="G28" s="122"/>
      <c r="H28" s="113" t="str">
        <f t="shared" si="1"/>
        <v>SG</v>
      </c>
      <c r="I28" s="113" t="s">
        <v>68</v>
      </c>
      <c r="J28"/>
    </row>
    <row r="29" spans="1:10">
      <c r="A29" s="114" t="str">
        <f t="shared" si="0"/>
        <v>1868000MISC DF DR-OTH-CST185362LT Currant Creek CSA Maint PrepaymentSG</v>
      </c>
      <c r="B29" s="119">
        <v>1868000</v>
      </c>
      <c r="C29" s="121" t="s">
        <v>568</v>
      </c>
      <c r="D29" s="119">
        <v>185362</v>
      </c>
      <c r="E29" s="121" t="s">
        <v>585</v>
      </c>
      <c r="F29" s="119" t="s">
        <v>87</v>
      </c>
      <c r="G29" s="122"/>
      <c r="H29" s="113" t="str">
        <f t="shared" si="1"/>
        <v>SG</v>
      </c>
      <c r="I29" s="113" t="s">
        <v>68</v>
      </c>
      <c r="J29"/>
    </row>
    <row r="30" spans="1:10">
      <c r="A30" s="114" t="str">
        <f t="shared" si="0"/>
        <v>1868000MISC DF DR-OTH-CST185371LT Chehalis CSA Prepaid O&amp;MSG</v>
      </c>
      <c r="B30" s="119">
        <v>1868000</v>
      </c>
      <c r="C30" s="121" t="s">
        <v>568</v>
      </c>
      <c r="D30" s="119">
        <v>185371</v>
      </c>
      <c r="E30" s="121" t="s">
        <v>586</v>
      </c>
      <c r="F30" s="119" t="s">
        <v>87</v>
      </c>
      <c r="G30" s="122"/>
      <c r="H30" s="113" t="str">
        <f t="shared" si="1"/>
        <v>SG</v>
      </c>
      <c r="I30" s="113" t="s">
        <v>68</v>
      </c>
      <c r="J30"/>
    </row>
    <row r="31" spans="1:10">
      <c r="A31" s="114" t="str">
        <f t="shared" si="0"/>
        <v>1868000MISC DF DR-OTH-CST185372LT Currant Creek CSA Prepaid O&amp;MSG</v>
      </c>
      <c r="B31" s="119">
        <v>1868000</v>
      </c>
      <c r="C31" s="121" t="s">
        <v>568</v>
      </c>
      <c r="D31" s="119">
        <v>185372</v>
      </c>
      <c r="E31" s="121" t="s">
        <v>587</v>
      </c>
      <c r="F31" s="119" t="s">
        <v>87</v>
      </c>
      <c r="G31" s="122"/>
      <c r="H31" s="113" t="str">
        <f t="shared" si="1"/>
        <v>SG</v>
      </c>
      <c r="I31" s="113" t="s">
        <v>68</v>
      </c>
      <c r="J31"/>
    </row>
    <row r="32" spans="1:10">
      <c r="A32" s="114" t="str">
        <f t="shared" si="0"/>
        <v>1869000MISC DF DR-OTH-NC185334HERMISTON SWAPSG</v>
      </c>
      <c r="B32" s="119">
        <v>1869000</v>
      </c>
      <c r="C32" s="121" t="s">
        <v>588</v>
      </c>
      <c r="D32" s="119">
        <v>185334</v>
      </c>
      <c r="E32" s="121" t="s">
        <v>589</v>
      </c>
      <c r="F32" s="119" t="s">
        <v>87</v>
      </c>
      <c r="G32" s="122"/>
      <c r="H32" s="113" t="str">
        <f t="shared" si="1"/>
        <v>SG</v>
      </c>
      <c r="I32" s="113" t="s">
        <v>68</v>
      </c>
      <c r="J32"/>
    </row>
    <row r="33" spans="1:10">
      <c r="A33" s="114" t="str">
        <f t="shared" si="0"/>
        <v>1868000MISC DF DR-OTH-CST185551LT Prepaid-FSA Capital - DunlapSG</v>
      </c>
      <c r="B33" s="125">
        <v>1868000</v>
      </c>
      <c r="C33" s="121" t="s">
        <v>568</v>
      </c>
      <c r="D33" s="125">
        <v>185551</v>
      </c>
      <c r="E33" s="121" t="s">
        <v>1860</v>
      </c>
      <c r="F33" s="119" t="s">
        <v>87</v>
      </c>
      <c r="G33" s="122"/>
      <c r="H33" s="113" t="str">
        <f t="shared" si="1"/>
        <v>SG</v>
      </c>
      <c r="I33" s="113" t="s">
        <v>68</v>
      </c>
      <c r="J33"/>
    </row>
    <row r="34" spans="1:10">
      <c r="A34" s="114" t="str">
        <f t="shared" ref="A34:A65" si="2">CONCATENATE($B34,$C34,$D34,$E34,$H34)</f>
        <v>1868000MISC DF DR-OTH-CST185557LT Prepaid-FSA Capital - Glenrock ISG</v>
      </c>
      <c r="B34" s="125">
        <v>1868000</v>
      </c>
      <c r="C34" s="121" t="s">
        <v>568</v>
      </c>
      <c r="D34" s="125">
        <v>185557</v>
      </c>
      <c r="E34" s="121" t="s">
        <v>1861</v>
      </c>
      <c r="F34" s="119" t="s">
        <v>87</v>
      </c>
      <c r="G34" s="122"/>
      <c r="H34" s="113" t="str">
        <f t="shared" si="1"/>
        <v>SG</v>
      </c>
      <c r="I34" s="113" t="s">
        <v>68</v>
      </c>
      <c r="J34" s="113"/>
    </row>
    <row r="35" spans="1:10">
      <c r="A35" s="114" t="str">
        <f t="shared" si="2"/>
        <v>1868000MISC DF DR-OTH-CST185558LT Prepaid-FSA Capital - Glenrock IIISG</v>
      </c>
      <c r="B35" s="125">
        <v>1868000</v>
      </c>
      <c r="C35" s="121" t="s">
        <v>568</v>
      </c>
      <c r="D35" s="125">
        <v>185558</v>
      </c>
      <c r="E35" s="121" t="s">
        <v>1862</v>
      </c>
      <c r="F35" s="119" t="s">
        <v>87</v>
      </c>
      <c r="G35" s="122"/>
      <c r="H35" s="113" t="str">
        <f t="shared" si="1"/>
        <v>SG</v>
      </c>
      <c r="I35" s="113" t="s">
        <v>68</v>
      </c>
      <c r="J35" s="113"/>
    </row>
    <row r="36" spans="1:10">
      <c r="A36" s="114" t="str">
        <f t="shared" si="2"/>
        <v>1868000MISC DF DR-OTH-CST185561LT Prepaid-FSA Capital - Goodnoe HillsSG</v>
      </c>
      <c r="B36" s="125">
        <v>1868000</v>
      </c>
      <c r="C36" s="121" t="s">
        <v>568</v>
      </c>
      <c r="D36" s="125">
        <v>185561</v>
      </c>
      <c r="E36" s="121" t="s">
        <v>1863</v>
      </c>
      <c r="F36" s="119" t="s">
        <v>87</v>
      </c>
      <c r="G36" s="122"/>
      <c r="H36" s="113" t="str">
        <f t="shared" si="1"/>
        <v>SG</v>
      </c>
      <c r="I36" s="113" t="s">
        <v>68</v>
      </c>
    </row>
    <row r="37" spans="1:10">
      <c r="A37" s="114" t="str">
        <f t="shared" si="2"/>
        <v>1868000MISC DF DR-OTH-CST185564LT Prepaid-FSA Capital - High PlainsSG</v>
      </c>
      <c r="B37" s="125">
        <v>1868000</v>
      </c>
      <c r="C37" s="121" t="s">
        <v>568</v>
      </c>
      <c r="D37" s="125">
        <v>185564</v>
      </c>
      <c r="E37" s="121" t="s">
        <v>1864</v>
      </c>
      <c r="F37" s="119" t="s">
        <v>87</v>
      </c>
      <c r="G37" s="122"/>
      <c r="H37" s="113" t="str">
        <f t="shared" si="1"/>
        <v>SG</v>
      </c>
      <c r="I37" s="113" t="s">
        <v>68</v>
      </c>
    </row>
    <row r="38" spans="1:10">
      <c r="A38" s="114" t="str">
        <f t="shared" si="2"/>
        <v>1868000MISC DF DR-OTH-CST185567LT Prepaid-FSA Capital - Leaning JuniperSG</v>
      </c>
      <c r="B38" s="125">
        <v>1868000</v>
      </c>
      <c r="C38" s="121" t="s">
        <v>568</v>
      </c>
      <c r="D38" s="125">
        <v>185567</v>
      </c>
      <c r="E38" s="121" t="s">
        <v>1865</v>
      </c>
      <c r="F38" s="119" t="s">
        <v>87</v>
      </c>
      <c r="G38" s="122"/>
      <c r="H38" s="113" t="str">
        <f t="shared" si="1"/>
        <v>SG</v>
      </c>
      <c r="I38" s="113" t="s">
        <v>68</v>
      </c>
    </row>
    <row r="39" spans="1:10">
      <c r="A39" s="114" t="str">
        <f t="shared" si="2"/>
        <v>1868000MISC DF DR-OTH-CST185570LT Prepaid-FSA Capital - Marengo ISG</v>
      </c>
      <c r="B39" s="125">
        <v>1868000</v>
      </c>
      <c r="C39" s="121" t="s">
        <v>568</v>
      </c>
      <c r="D39" s="125">
        <v>185570</v>
      </c>
      <c r="E39" s="121" t="s">
        <v>1866</v>
      </c>
      <c r="F39" s="119" t="s">
        <v>87</v>
      </c>
      <c r="G39" s="122"/>
      <c r="H39" s="113" t="str">
        <f t="shared" si="1"/>
        <v>SG</v>
      </c>
      <c r="I39" s="113" t="s">
        <v>68</v>
      </c>
    </row>
    <row r="40" spans="1:10">
      <c r="A40" s="114" t="str">
        <f t="shared" si="2"/>
        <v>1868000MISC DF DR-OTH-CST185571LT Prepaid-FSA Capital - Marengo IISG</v>
      </c>
      <c r="B40" s="125">
        <v>1868000</v>
      </c>
      <c r="C40" s="121" t="s">
        <v>568</v>
      </c>
      <c r="D40" s="125">
        <v>185571</v>
      </c>
      <c r="E40" s="121" t="s">
        <v>1867</v>
      </c>
      <c r="F40" s="119" t="s">
        <v>87</v>
      </c>
      <c r="G40" s="122"/>
      <c r="H40" s="113" t="str">
        <f t="shared" si="1"/>
        <v>SG</v>
      </c>
      <c r="I40" s="113" t="s">
        <v>68</v>
      </c>
    </row>
    <row r="41" spans="1:10">
      <c r="A41" s="114" t="str">
        <f t="shared" si="2"/>
        <v>1868000MISC DF DR-OTH-CST185574LT Prepaid-FSA Capital - McFadden RidgeSG</v>
      </c>
      <c r="B41" s="125">
        <v>1868000</v>
      </c>
      <c r="C41" s="121" t="s">
        <v>568</v>
      </c>
      <c r="D41" s="125">
        <v>185574</v>
      </c>
      <c r="E41" s="121" t="s">
        <v>1868</v>
      </c>
      <c r="F41" s="119" t="s">
        <v>87</v>
      </c>
      <c r="G41" s="122"/>
      <c r="H41" s="113" t="str">
        <f t="shared" si="1"/>
        <v>SG</v>
      </c>
      <c r="I41" s="113" t="s">
        <v>68</v>
      </c>
    </row>
    <row r="42" spans="1:10">
      <c r="A42" s="114" t="str">
        <f t="shared" si="2"/>
        <v>1868000MISC DF DR-OTH-CST185577LT Prepaid-FSA Capital - Rolling HillsSG</v>
      </c>
      <c r="B42" s="125">
        <v>1868000</v>
      </c>
      <c r="C42" s="121" t="s">
        <v>568</v>
      </c>
      <c r="D42" s="125">
        <v>185577</v>
      </c>
      <c r="E42" s="121" t="s">
        <v>1869</v>
      </c>
      <c r="F42" s="119" t="s">
        <v>87</v>
      </c>
      <c r="G42" s="122"/>
      <c r="H42" s="113" t="str">
        <f t="shared" si="1"/>
        <v>SG</v>
      </c>
      <c r="I42" s="113" t="s">
        <v>68</v>
      </c>
    </row>
    <row r="43" spans="1:10">
      <c r="A43" s="114" t="str">
        <f t="shared" si="2"/>
        <v>1868000MISC DF DR-OTH-CST185580LT Prepaid-FSA Capital - Seven Mile ISG</v>
      </c>
      <c r="B43" s="125">
        <v>1868000</v>
      </c>
      <c r="C43" s="121" t="s">
        <v>568</v>
      </c>
      <c r="D43" s="125">
        <v>185580</v>
      </c>
      <c r="E43" s="121" t="s">
        <v>1870</v>
      </c>
      <c r="F43" s="119" t="s">
        <v>87</v>
      </c>
      <c r="G43" s="122"/>
      <c r="H43" s="113" t="str">
        <f t="shared" si="1"/>
        <v>SG</v>
      </c>
      <c r="I43" s="113" t="s">
        <v>68</v>
      </c>
    </row>
    <row r="44" spans="1:10">
      <c r="A44" s="114" t="str">
        <f t="shared" si="2"/>
        <v>1868000MISC DF DR-OTH-CST185581LT Prepaid-FSA Capital - Seven Mile IISG</v>
      </c>
      <c r="B44" s="125">
        <v>1868000</v>
      </c>
      <c r="C44" s="121" t="s">
        <v>568</v>
      </c>
      <c r="D44" s="125">
        <v>185581</v>
      </c>
      <c r="E44" s="121" t="s">
        <v>1871</v>
      </c>
      <c r="F44" s="119" t="s">
        <v>87</v>
      </c>
      <c r="G44" s="122"/>
      <c r="H44" s="113" t="str">
        <f t="shared" si="1"/>
        <v>SG</v>
      </c>
      <c r="I44" s="113" t="s">
        <v>68</v>
      </c>
    </row>
    <row r="45" spans="1:10">
      <c r="A45" s="114" t="str">
        <f t="shared" si="2"/>
        <v>1868000MISC DF DR-OTH-CST134304Def Chrg - Cloud Based Software ImplSO</v>
      </c>
      <c r="B45" s="127" t="s">
        <v>3042</v>
      </c>
      <c r="C45" s="128" t="s">
        <v>568</v>
      </c>
      <c r="D45" s="127" t="s">
        <v>3043</v>
      </c>
      <c r="E45" s="128" t="s">
        <v>3044</v>
      </c>
      <c r="F45" s="127" t="s">
        <v>89</v>
      </c>
      <c r="G45" s="122"/>
      <c r="H45" s="113" t="str">
        <f t="shared" si="1"/>
        <v>SO</v>
      </c>
      <c r="I45" s="113" t="s">
        <v>92</v>
      </c>
    </row>
    <row r="46" spans="1:10">
      <c r="A46" s="114" t="str">
        <f t="shared" si="2"/>
        <v>1868000MISC DF DR-OTH-CST134359Lake Side 2 Maint. Prepayment - CurrentSG</v>
      </c>
      <c r="B46" s="127" t="s">
        <v>3042</v>
      </c>
      <c r="C46" s="128" t="s">
        <v>568</v>
      </c>
      <c r="D46" s="127" t="s">
        <v>3046</v>
      </c>
      <c r="E46" s="128" t="s">
        <v>3047</v>
      </c>
      <c r="F46" s="127" t="s">
        <v>87</v>
      </c>
      <c r="H46" s="113" t="str">
        <f t="shared" si="1"/>
        <v>SG</v>
      </c>
      <c r="I46" s="113" t="s">
        <v>68</v>
      </c>
    </row>
    <row r="47" spans="1:10">
      <c r="A47" s="114" t="str">
        <f t="shared" si="2"/>
        <v>1868000MISC DF DR-OTH-CST134360LAKE SIDE MAINT. PREPAYMENT - CURRENTSG</v>
      </c>
      <c r="B47" s="127" t="s">
        <v>3042</v>
      </c>
      <c r="C47" s="128" t="s">
        <v>568</v>
      </c>
      <c r="D47" s="127" t="s">
        <v>3048</v>
      </c>
      <c r="E47" s="128" t="s">
        <v>3049</v>
      </c>
      <c r="F47" s="127" t="s">
        <v>87</v>
      </c>
      <c r="H47" s="113" t="str">
        <f t="shared" si="1"/>
        <v>SG</v>
      </c>
      <c r="I47" s="113" t="s">
        <v>68</v>
      </c>
    </row>
    <row r="48" spans="1:10">
      <c r="A48" s="114" t="str">
        <f t="shared" si="2"/>
        <v>1868000MISC DF DR-OTH-CST134361PREPAID OUTAGE MAINTENANCESG</v>
      </c>
      <c r="B48" s="127" t="s">
        <v>3042</v>
      </c>
      <c r="C48" s="128" t="s">
        <v>568</v>
      </c>
      <c r="D48" s="127" t="s">
        <v>3050</v>
      </c>
      <c r="E48" s="128" t="s">
        <v>3051</v>
      </c>
      <c r="F48" s="127" t="s">
        <v>87</v>
      </c>
      <c r="H48" s="113" t="str">
        <f t="shared" si="1"/>
        <v>SG</v>
      </c>
      <c r="I48" s="113" t="s">
        <v>68</v>
      </c>
    </row>
    <row r="49" spans="1:9">
      <c r="A49" s="114" t="str">
        <f t="shared" si="2"/>
        <v>1868000MISC DF DR-OTH-CST134362Currant Creek Maint Prepayment - CurrentSG</v>
      </c>
      <c r="B49" s="127" t="s">
        <v>3042</v>
      </c>
      <c r="C49" s="128" t="s">
        <v>568</v>
      </c>
      <c r="D49" s="127" t="s">
        <v>3052</v>
      </c>
      <c r="E49" s="128" t="s">
        <v>3053</v>
      </c>
      <c r="F49" s="127" t="s">
        <v>87</v>
      </c>
      <c r="H49" s="113" t="str">
        <f t="shared" si="1"/>
        <v>SG</v>
      </c>
      <c r="I49" s="113" t="s">
        <v>68</v>
      </c>
    </row>
    <row r="50" spans="1:9">
      <c r="A50" s="114" t="str">
        <f t="shared" si="2"/>
        <v>1868000MISC DF DR-OTH-CST184413HAYDEN FUEL CONTRACT NEGOTIATION COSTSSG</v>
      </c>
      <c r="B50" s="127" t="s">
        <v>3042</v>
      </c>
      <c r="C50" s="128" t="s">
        <v>568</v>
      </c>
      <c r="D50" s="127" t="s">
        <v>3054</v>
      </c>
      <c r="E50" s="128" t="s">
        <v>3055</v>
      </c>
      <c r="F50" s="127" t="s">
        <v>87</v>
      </c>
      <c r="H50" s="113" t="str">
        <f t="shared" si="1"/>
        <v>SG</v>
      </c>
      <c r="I50" s="113" t="s">
        <v>68</v>
      </c>
    </row>
    <row r="51" spans="1:9">
      <c r="A51" s="114" t="str">
        <f t="shared" si="2"/>
        <v>1868000MISC DF DR-OTH-CST185010MILL FORK COAL LEASESE</v>
      </c>
      <c r="B51" s="127" t="s">
        <v>3042</v>
      </c>
      <c r="C51" s="128" t="s">
        <v>568</v>
      </c>
      <c r="D51" s="127" t="s">
        <v>3056</v>
      </c>
      <c r="E51" s="128" t="s">
        <v>3057</v>
      </c>
      <c r="F51" s="127" t="s">
        <v>85</v>
      </c>
      <c r="H51" s="113" t="str">
        <f t="shared" si="1"/>
        <v>SE</v>
      </c>
      <c r="I51" s="113" t="s">
        <v>68</v>
      </c>
    </row>
    <row r="52" spans="1:9">
      <c r="A52" s="114" t="str">
        <f t="shared" si="2"/>
        <v>1868000MISC DF DR-OTH-CST185303HPT OPTIONSG</v>
      </c>
      <c r="B52" s="127" t="s">
        <v>3042</v>
      </c>
      <c r="C52" s="128" t="s">
        <v>568</v>
      </c>
      <c r="D52" s="127" t="s">
        <v>3058</v>
      </c>
      <c r="E52" s="128" t="s">
        <v>3059</v>
      </c>
      <c r="F52" s="127" t="s">
        <v>87</v>
      </c>
      <c r="H52" s="113" t="str">
        <f t="shared" si="1"/>
        <v>SG</v>
      </c>
      <c r="I52" s="113" t="s">
        <v>68</v>
      </c>
    </row>
    <row r="53" spans="1:9">
      <c r="A53" s="114" t="str">
        <f t="shared" si="2"/>
        <v>1868000MISC DF DR-OTH-CST185314CLARK FIRM TRANSMISSIONSG</v>
      </c>
      <c r="B53" s="127" t="s">
        <v>3042</v>
      </c>
      <c r="C53" s="128" t="s">
        <v>568</v>
      </c>
      <c r="D53" s="127" t="s">
        <v>3061</v>
      </c>
      <c r="E53" s="128" t="s">
        <v>3062</v>
      </c>
      <c r="F53" s="127" t="s">
        <v>87</v>
      </c>
      <c r="H53" s="113" t="str">
        <f t="shared" si="1"/>
        <v>SG</v>
      </c>
      <c r="I53" s="113" t="s">
        <v>69</v>
      </c>
    </row>
    <row r="54" spans="1:9">
      <c r="A54" s="114" t="str">
        <f t="shared" si="2"/>
        <v>1868000MISC DF DR-OTH-CST185315BIOMASS ONE POST COD PREPAYMENTSG</v>
      </c>
      <c r="B54" s="127" t="s">
        <v>3042</v>
      </c>
      <c r="C54" s="128" t="s">
        <v>568</v>
      </c>
      <c r="D54" s="127" t="s">
        <v>3063</v>
      </c>
      <c r="E54" s="128" t="s">
        <v>3064</v>
      </c>
      <c r="F54" s="127" t="s">
        <v>87</v>
      </c>
      <c r="H54" s="113" t="str">
        <f t="shared" si="1"/>
        <v>SG</v>
      </c>
      <c r="I54" s="113" t="s">
        <v>68</v>
      </c>
    </row>
    <row r="55" spans="1:9">
      <c r="A55" s="114" t="str">
        <f t="shared" si="2"/>
        <v>1868000MISC DF DR-OTH-CST185318BOGUS CREEK SETTLEMENTSG</v>
      </c>
      <c r="B55" s="127" t="s">
        <v>3042</v>
      </c>
      <c r="C55" s="128" t="s">
        <v>568</v>
      </c>
      <c r="D55" s="127" t="s">
        <v>3065</v>
      </c>
      <c r="E55" s="128" t="s">
        <v>3066</v>
      </c>
      <c r="F55" s="127" t="s">
        <v>87</v>
      </c>
      <c r="H55" s="113" t="str">
        <f t="shared" si="1"/>
        <v>SG</v>
      </c>
      <c r="I55" s="113" t="s">
        <v>68</v>
      </c>
    </row>
    <row r="56" spans="1:9">
      <c r="A56" s="114" t="str">
        <f t="shared" si="2"/>
        <v>1868000MISC DF DR-OTH-CST185340TRANSITION COSTS - WASHINGTON STATESITUS</v>
      </c>
      <c r="B56" s="127" t="s">
        <v>3042</v>
      </c>
      <c r="C56" s="128" t="s">
        <v>568</v>
      </c>
      <c r="D56" s="127" t="s">
        <v>3070</v>
      </c>
      <c r="E56" s="128" t="s">
        <v>3071</v>
      </c>
      <c r="F56" s="127" t="s">
        <v>367</v>
      </c>
      <c r="H56" s="113" t="str">
        <f t="shared" si="1"/>
        <v>SITUS</v>
      </c>
      <c r="I56" s="113" t="s">
        <v>68</v>
      </c>
    </row>
    <row r="57" spans="1:9">
      <c r="A57" s="114" t="str">
        <f t="shared" si="2"/>
        <v>1868000MISC DF DR-OTH-CST185342JIM BOYD HYDRO BUYOUTSG</v>
      </c>
      <c r="B57" s="127" t="s">
        <v>3042</v>
      </c>
      <c r="C57" s="128" t="s">
        <v>568</v>
      </c>
      <c r="D57" s="127" t="s">
        <v>3072</v>
      </c>
      <c r="E57" s="128" t="s">
        <v>3073</v>
      </c>
      <c r="F57" s="127" t="s">
        <v>87</v>
      </c>
      <c r="H57" s="113" t="str">
        <f t="shared" si="1"/>
        <v>SG</v>
      </c>
      <c r="I57" s="113" t="s">
        <v>68</v>
      </c>
    </row>
    <row r="58" spans="1:9">
      <c r="A58" s="114" t="str">
        <f t="shared" si="2"/>
        <v>1868000MISC DF DR-OTH-CST185346RTO Grid West N/R w/o - WASITUS</v>
      </c>
      <c r="B58" s="127" t="s">
        <v>3042</v>
      </c>
      <c r="C58" s="128" t="s">
        <v>568</v>
      </c>
      <c r="D58" s="127" t="s">
        <v>3074</v>
      </c>
      <c r="E58" s="128" t="s">
        <v>3075</v>
      </c>
      <c r="F58" s="127" t="s">
        <v>367</v>
      </c>
      <c r="H58" s="113" t="str">
        <f t="shared" si="1"/>
        <v>SITUS</v>
      </c>
      <c r="I58" s="113" t="s">
        <v>69</v>
      </c>
    </row>
    <row r="59" spans="1:9">
      <c r="A59" s="114" t="str">
        <f t="shared" si="2"/>
        <v>1868000MISC DF DR-OTH-CST185349LGIA LT Transmission PrepaidOTHER</v>
      </c>
      <c r="B59" s="127" t="s">
        <v>3042</v>
      </c>
      <c r="C59" s="128" t="s">
        <v>568</v>
      </c>
      <c r="D59" s="127" t="s">
        <v>3076</v>
      </c>
      <c r="E59" s="128" t="s">
        <v>3077</v>
      </c>
      <c r="F59" s="127" t="s">
        <v>306</v>
      </c>
      <c r="H59" s="113" t="str">
        <f t="shared" si="1"/>
        <v>OTHER</v>
      </c>
      <c r="I59" s="113" t="s">
        <v>69</v>
      </c>
    </row>
    <row r="60" spans="1:9">
      <c r="A60" s="114" t="str">
        <f t="shared" si="2"/>
        <v>1868000MISC DF DR-OTH-CST185552LT Prepaid-FSA Capital - Ekola FlatsSG</v>
      </c>
      <c r="B60" s="127" t="s">
        <v>3042</v>
      </c>
      <c r="C60" s="128" t="s">
        <v>568</v>
      </c>
      <c r="D60" s="127" t="s">
        <v>3085</v>
      </c>
      <c r="E60" s="128" t="s">
        <v>3086</v>
      </c>
      <c r="F60" s="127" t="s">
        <v>87</v>
      </c>
      <c r="H60" s="113" t="str">
        <f t="shared" si="1"/>
        <v>SG</v>
      </c>
      <c r="I60" s="113" t="s">
        <v>68</v>
      </c>
    </row>
    <row r="61" spans="1:9">
      <c r="A61" s="114" t="str">
        <f t="shared" si="2"/>
        <v>1868000MISC DF DR-OTH-CST185554LT Prepaid-FSA Capital - Foote CreekSG</v>
      </c>
      <c r="B61" s="127" t="s">
        <v>3042</v>
      </c>
      <c r="C61" s="128" t="s">
        <v>568</v>
      </c>
      <c r="D61" s="127" t="s">
        <v>3087</v>
      </c>
      <c r="E61" s="128" t="s">
        <v>3088</v>
      </c>
      <c r="F61" s="127" t="s">
        <v>87</v>
      </c>
      <c r="H61" s="113" t="str">
        <f t="shared" si="1"/>
        <v>SG</v>
      </c>
      <c r="I61" s="113" t="s">
        <v>68</v>
      </c>
    </row>
    <row r="62" spans="1:9">
      <c r="A62" s="114" t="str">
        <f t="shared" si="2"/>
        <v>1868000MISC DF DR-OTH-CST185576LT Prepaid-FSA Capital - Pryor MtnSG</v>
      </c>
      <c r="B62" s="127" t="s">
        <v>3042</v>
      </c>
      <c r="C62" s="128" t="s">
        <v>568</v>
      </c>
      <c r="D62" s="127" t="s">
        <v>3097</v>
      </c>
      <c r="E62" s="128" t="s">
        <v>3098</v>
      </c>
      <c r="F62" s="127" t="s">
        <v>87</v>
      </c>
      <c r="H62" s="113" t="str">
        <f t="shared" si="1"/>
        <v>SG</v>
      </c>
      <c r="I62" s="113" t="s">
        <v>68</v>
      </c>
    </row>
    <row r="63" spans="1:9">
      <c r="A63" s="114" t="str">
        <f t="shared" si="2"/>
        <v>1861000MS DEF DB-OTH WIP185016EMISSION REDUCTION CREDITS PURCHASEDCAEE</v>
      </c>
      <c r="B63" s="125" t="s">
        <v>3029</v>
      </c>
      <c r="C63" s="121" t="s">
        <v>554</v>
      </c>
      <c r="D63" s="125" t="s">
        <v>3030</v>
      </c>
      <c r="E63" s="121" t="s">
        <v>555</v>
      </c>
      <c r="F63" s="119" t="s">
        <v>3110</v>
      </c>
      <c r="H63" s="113" t="str">
        <f t="shared" si="1"/>
        <v>CAEE</v>
      </c>
      <c r="I63" s="113" t="s">
        <v>68</v>
      </c>
    </row>
    <row r="64" spans="1:9">
      <c r="A64" s="114" t="str">
        <f t="shared" si="2"/>
        <v>1861000MS DEF DB-OTH WIP185017ERCs - Impairment ReserveCAEE</v>
      </c>
      <c r="B64" s="125" t="s">
        <v>3029</v>
      </c>
      <c r="C64" s="121" t="s">
        <v>554</v>
      </c>
      <c r="D64" s="125" t="s">
        <v>3031</v>
      </c>
      <c r="E64" s="121" t="s">
        <v>556</v>
      </c>
      <c r="F64" s="119" t="s">
        <v>3110</v>
      </c>
      <c r="H64" s="113" t="str">
        <f t="shared" si="1"/>
        <v>CAEE</v>
      </c>
      <c r="I64" s="113" t="s">
        <v>68</v>
      </c>
    </row>
    <row r="65" spans="1:9">
      <c r="A65" s="114" t="str">
        <f t="shared" si="2"/>
        <v>1865000DEF COAL MINE COSTS184414DEFERRED COAL COSTS - WYODAK SETTLEMENTCAEE</v>
      </c>
      <c r="B65" s="125" t="s">
        <v>3038</v>
      </c>
      <c r="C65" s="121" t="s">
        <v>564</v>
      </c>
      <c r="D65" s="125" t="s">
        <v>3039</v>
      </c>
      <c r="E65" s="121" t="s">
        <v>565</v>
      </c>
      <c r="F65" s="119" t="s">
        <v>3110</v>
      </c>
      <c r="H65" s="113" t="str">
        <f t="shared" si="1"/>
        <v>CAEE</v>
      </c>
      <c r="I65" s="113" t="s">
        <v>68</v>
      </c>
    </row>
    <row r="66" spans="1:9">
      <c r="A66" s="114" t="str">
        <f t="shared" ref="A66:A76" si="3">CONCATENATE($B66,$C66,$D66,$E66,$H66)</f>
        <v>1867000MSC DF DR-BAL TRAN134300DEFERRED CHARGESCAEE</v>
      </c>
      <c r="B66" s="125" t="s">
        <v>3040</v>
      </c>
      <c r="C66" s="121" t="s">
        <v>566</v>
      </c>
      <c r="D66" s="125" t="s">
        <v>3041</v>
      </c>
      <c r="E66" s="121" t="s">
        <v>567</v>
      </c>
      <c r="F66" s="119" t="s">
        <v>3110</v>
      </c>
      <c r="H66" s="113" t="str">
        <f t="shared" si="1"/>
        <v>CAEE</v>
      </c>
      <c r="I66" s="113" t="s">
        <v>68</v>
      </c>
    </row>
    <row r="67" spans="1:9">
      <c r="A67" s="114" t="str">
        <f t="shared" si="3"/>
        <v>1867000MSC DF DR-BAL TRAN134300DEFERRED CHARGESJBE</v>
      </c>
      <c r="B67" s="125" t="s">
        <v>3040</v>
      </c>
      <c r="C67" s="121" t="s">
        <v>566</v>
      </c>
      <c r="D67" s="125" t="s">
        <v>3041</v>
      </c>
      <c r="E67" s="121" t="s">
        <v>567</v>
      </c>
      <c r="F67" s="119" t="s">
        <v>3134</v>
      </c>
      <c r="H67" s="113" t="str">
        <f t="shared" ref="H67:H76" si="4">IF(OR(F67="IDU",F67="OR",F67="UT",F67="WYU",F67="WYP",F67="CA",F67="WA"),"SITUS",F67)</f>
        <v>JBE</v>
      </c>
      <c r="I67" s="113" t="s">
        <v>68</v>
      </c>
    </row>
    <row r="68" spans="1:9">
      <c r="A68" s="114" t="str">
        <f t="shared" si="3"/>
        <v>1868000MISC DF DR-OTH-CST185359LT Lake Side 2 Maint. PrepaymentCAGE</v>
      </c>
      <c r="B68" s="125" t="s">
        <v>3042</v>
      </c>
      <c r="C68" s="121" t="s">
        <v>568</v>
      </c>
      <c r="D68" s="125" t="s">
        <v>3078</v>
      </c>
      <c r="E68" s="121" t="s">
        <v>582</v>
      </c>
      <c r="F68" s="119" t="s">
        <v>3106</v>
      </c>
      <c r="H68" s="113" t="str">
        <f t="shared" si="4"/>
        <v>CAGE</v>
      </c>
      <c r="I68" s="113" t="s">
        <v>68</v>
      </c>
    </row>
    <row r="69" spans="1:9">
      <c r="A69" s="114" t="str">
        <f t="shared" si="3"/>
        <v>1868000MISC DF DR-OTH-CST185360LT LAKE SIDE MAINT PREPAYMENTCAGE</v>
      </c>
      <c r="B69" s="125" t="s">
        <v>3042</v>
      </c>
      <c r="C69" s="121" t="s">
        <v>568</v>
      </c>
      <c r="D69" s="125" t="s">
        <v>3079</v>
      </c>
      <c r="E69" s="121" t="s">
        <v>583</v>
      </c>
      <c r="F69" s="119" t="s">
        <v>3106</v>
      </c>
      <c r="H69" s="113" t="str">
        <f t="shared" si="4"/>
        <v>CAGE</v>
      </c>
      <c r="I69" s="113" t="s">
        <v>68</v>
      </c>
    </row>
    <row r="70" spans="1:9">
      <c r="A70" s="114" t="str">
        <f t="shared" si="3"/>
        <v>1868000MISC DF DR-OTH-CST185361LT CHEHALIS CSA MAINT. PREPAYMENTCAGW</v>
      </c>
      <c r="B70" s="125" t="s">
        <v>3042</v>
      </c>
      <c r="C70" s="121" t="s">
        <v>568</v>
      </c>
      <c r="D70" s="125" t="s">
        <v>3080</v>
      </c>
      <c r="E70" s="121" t="s">
        <v>584</v>
      </c>
      <c r="F70" s="119" t="s">
        <v>3108</v>
      </c>
      <c r="H70" s="113" t="str">
        <f t="shared" si="4"/>
        <v>CAGW</v>
      </c>
      <c r="I70" s="113" t="s">
        <v>68</v>
      </c>
    </row>
    <row r="71" spans="1:9">
      <c r="A71" s="114" t="str">
        <f t="shared" si="3"/>
        <v>1868000MISC DF DR-OTH-CST185362LT Currant Creek CSA Maint PrepaymentCAGE</v>
      </c>
      <c r="B71" s="125" t="s">
        <v>3042</v>
      </c>
      <c r="C71" s="121" t="s">
        <v>568</v>
      </c>
      <c r="D71" s="125" t="s">
        <v>3081</v>
      </c>
      <c r="E71" s="121" t="s">
        <v>585</v>
      </c>
      <c r="F71" s="119" t="s">
        <v>3106</v>
      </c>
      <c r="H71" s="113" t="str">
        <f t="shared" si="4"/>
        <v>CAGE</v>
      </c>
      <c r="I71" s="113" t="s">
        <v>68</v>
      </c>
    </row>
    <row r="72" spans="1:9">
      <c r="A72" s="114" t="str">
        <f t="shared" si="3"/>
        <v>1868000MISC DF DR-OTH-CST185371LT Chehalis CSA Prepaid O&amp;MCAGW</v>
      </c>
      <c r="B72" s="125" t="s">
        <v>3042</v>
      </c>
      <c r="C72" s="121" t="s">
        <v>568</v>
      </c>
      <c r="D72" s="125" t="s">
        <v>3082</v>
      </c>
      <c r="E72" s="121" t="s">
        <v>586</v>
      </c>
      <c r="F72" s="119" t="s">
        <v>3108</v>
      </c>
      <c r="H72" s="113" t="str">
        <f t="shared" si="4"/>
        <v>CAGW</v>
      </c>
      <c r="I72" s="113" t="s">
        <v>68</v>
      </c>
    </row>
    <row r="73" spans="1:9">
      <c r="A73" s="114" t="str">
        <f t="shared" si="3"/>
        <v>1868000MISC DF DR-OTH-CST185372LT Currant Creek CSA Prepaid O&amp;MCAGE</v>
      </c>
      <c r="B73" s="125" t="s">
        <v>3042</v>
      </c>
      <c r="C73" s="121" t="s">
        <v>568</v>
      </c>
      <c r="D73" s="125" t="s">
        <v>3083</v>
      </c>
      <c r="E73" s="121" t="s">
        <v>587</v>
      </c>
      <c r="F73" s="119" t="s">
        <v>3106</v>
      </c>
      <c r="H73" s="113" t="str">
        <f t="shared" si="4"/>
        <v>CAGE</v>
      </c>
      <c r="I73" s="113" t="s">
        <v>68</v>
      </c>
    </row>
    <row r="74" spans="1:9">
      <c r="A74" s="114" t="str">
        <f t="shared" si="3"/>
        <v>1868000MISC DF DR-OTH-CST185584LT Prepaid-FSA Capital - TB Flats ISG</v>
      </c>
      <c r="B74" s="119" t="s">
        <v>3042</v>
      </c>
      <c r="C74" s="121" t="s">
        <v>568</v>
      </c>
      <c r="D74" s="119" t="s">
        <v>3415</v>
      </c>
      <c r="E74" s="121" t="s">
        <v>3416</v>
      </c>
      <c r="F74" s="119" t="s">
        <v>87</v>
      </c>
      <c r="H74" s="113" t="str">
        <f t="shared" si="4"/>
        <v>SG</v>
      </c>
      <c r="I74" s="113" t="s">
        <v>68</v>
      </c>
    </row>
    <row r="75" spans="1:9">
      <c r="A75" s="114" t="str">
        <f t="shared" si="3"/>
        <v>1868000MISC DF DR-OTH-CST185585LT Prepaid-FSA Capital - TB Flats IISG</v>
      </c>
      <c r="B75" s="119" t="s">
        <v>3042</v>
      </c>
      <c r="C75" s="121" t="s">
        <v>568</v>
      </c>
      <c r="D75" s="119" t="s">
        <v>3417</v>
      </c>
      <c r="E75" s="121" t="s">
        <v>3418</v>
      </c>
      <c r="F75" s="119" t="s">
        <v>87</v>
      </c>
      <c r="H75" s="113" t="str">
        <f t="shared" si="4"/>
        <v>SG</v>
      </c>
      <c r="I75" s="113" t="s">
        <v>68</v>
      </c>
    </row>
    <row r="76" spans="1:9">
      <c r="A76" s="114" t="str">
        <f t="shared" si="3"/>
        <v>1869000MISC DF DR-OTH-NC185334HERMISTON SWAPCAGW</v>
      </c>
      <c r="B76" s="119" t="s">
        <v>3102</v>
      </c>
      <c r="C76" s="121" t="s">
        <v>588</v>
      </c>
      <c r="D76" s="119" t="s">
        <v>3103</v>
      </c>
      <c r="E76" s="121" t="s">
        <v>589</v>
      </c>
      <c r="F76" s="119" t="s">
        <v>3108</v>
      </c>
      <c r="H76" s="113" t="str">
        <f t="shared" si="4"/>
        <v>CAGW</v>
      </c>
      <c r="I76" s="113" t="s">
        <v>68</v>
      </c>
    </row>
  </sheetData>
  <autoFilter ref="A1:I1" xr:uid="{00000000-0009-0000-0000-000019000000}"/>
  <conditionalFormatting sqref="J34:J1048576">
    <cfRule type="cellIs" dxfId="0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9">
    <tabColor rgb="FFCCFFFF"/>
  </sheetPr>
  <dimension ref="A1:P55"/>
  <sheetViews>
    <sheetView defaultGridColor="0" view="pageBreakPreview" colorId="22" zoomScaleNormal="85" zoomScaleSheetLayoutView="100" workbookViewId="0"/>
  </sheetViews>
  <sheetFormatPr defaultColWidth="12.5703125" defaultRowHeight="12.75"/>
  <cols>
    <col min="1" max="1" width="26.7109375" style="181" customWidth="1"/>
    <col min="2" max="2" width="10" style="181" customWidth="1"/>
    <col min="3" max="3" width="8.7109375" style="181" customWidth="1"/>
    <col min="4" max="9" width="15.7109375" style="181" customWidth="1"/>
    <col min="10" max="10" width="8.85546875" style="8" bestFit="1" customWidth="1"/>
    <col min="11" max="11" width="9.85546875" style="8" bestFit="1" customWidth="1"/>
    <col min="12" max="12" width="24.85546875" style="8" customWidth="1"/>
    <col min="13" max="13" width="2.140625" style="8" bestFit="1" customWidth="1"/>
    <col min="14" max="14" width="49.140625" style="8" bestFit="1" customWidth="1"/>
    <col min="15" max="15" width="2.140625" style="8" bestFit="1" customWidth="1"/>
    <col min="16" max="16" width="49.7109375" style="8" bestFit="1" customWidth="1"/>
    <col min="17" max="18" width="15.7109375" style="8" customWidth="1"/>
    <col min="19" max="16384" width="12.5703125" style="8"/>
  </cols>
  <sheetData>
    <row r="1" spans="1:16">
      <c r="A1" s="25"/>
      <c r="B1" s="176"/>
      <c r="C1" s="176"/>
      <c r="D1" s="176"/>
      <c r="E1" s="176"/>
      <c r="F1" s="176"/>
      <c r="G1" s="176"/>
      <c r="H1" s="177"/>
      <c r="I1" s="177"/>
    </row>
    <row r="2" spans="1:16">
      <c r="A2" s="26" t="str">
        <f>'TOTAL FUNCFAC'!$A$2</f>
        <v>12 Months Ended June 2022</v>
      </c>
      <c r="B2" s="176"/>
      <c r="C2" s="176"/>
      <c r="D2" s="176"/>
      <c r="E2" s="176"/>
      <c r="F2" s="176"/>
      <c r="G2" s="176"/>
      <c r="H2" s="177"/>
      <c r="I2" s="177"/>
    </row>
    <row r="3" spans="1:16">
      <c r="A3" s="26" t="s">
        <v>243</v>
      </c>
      <c r="B3" s="176"/>
      <c r="C3" s="176"/>
      <c r="D3" s="176"/>
      <c r="E3" s="176"/>
      <c r="F3" s="176"/>
      <c r="G3" s="176"/>
      <c r="H3" s="177"/>
      <c r="I3" s="177"/>
    </row>
    <row r="4" spans="1:16">
      <c r="A4" s="178" t="s">
        <v>255</v>
      </c>
      <c r="B4" s="26"/>
      <c r="C4" s="176"/>
      <c r="D4" s="176"/>
      <c r="E4" s="176"/>
      <c r="F4" s="176"/>
      <c r="G4" s="176"/>
      <c r="H4" s="177"/>
      <c r="I4" s="177"/>
    </row>
    <row r="5" spans="1:16">
      <c r="A5" s="179"/>
      <c r="B5" s="180"/>
      <c r="D5" s="182"/>
    </row>
    <row r="6" spans="1:16">
      <c r="B6" s="27" t="s">
        <v>119</v>
      </c>
    </row>
    <row r="7" spans="1:16">
      <c r="A7" s="28" t="s">
        <v>95</v>
      </c>
      <c r="B7" s="28" t="s">
        <v>79</v>
      </c>
      <c r="C7" s="28" t="s">
        <v>120</v>
      </c>
      <c r="D7" s="28" t="s">
        <v>81</v>
      </c>
      <c r="E7" s="28" t="s">
        <v>63</v>
      </c>
      <c r="F7" s="28" t="s">
        <v>121</v>
      </c>
      <c r="G7" s="28" t="s">
        <v>70</v>
      </c>
      <c r="H7" s="29" t="s">
        <v>113</v>
      </c>
      <c r="I7" s="29" t="s">
        <v>122</v>
      </c>
    </row>
    <row r="8" spans="1:16">
      <c r="A8" s="30"/>
      <c r="B8" s="31"/>
      <c r="C8" s="31"/>
      <c r="D8" s="31"/>
      <c r="E8" s="31"/>
      <c r="F8" s="31"/>
      <c r="G8" s="31"/>
      <c r="H8" s="32"/>
      <c r="I8" s="33"/>
    </row>
    <row r="9" spans="1:16">
      <c r="A9" s="183" t="s">
        <v>132</v>
      </c>
      <c r="B9" s="184"/>
      <c r="C9" s="184" t="s">
        <v>68</v>
      </c>
      <c r="D9" s="290">
        <v>12429933.72985</v>
      </c>
      <c r="E9" s="185">
        <f>$D9*VLOOKUP(+$C9,$C$45:$I$51,3)</f>
        <v>12429933.72985</v>
      </c>
      <c r="F9" s="185">
        <f>$D9*VLOOKUP(+$C9,$C$45:$I$51,4)</f>
        <v>0</v>
      </c>
      <c r="G9" s="185">
        <f>$D9*VLOOKUP(+$C9,$C$45:$I$51,5)</f>
        <v>0</v>
      </c>
      <c r="H9" s="185">
        <f>$D9*VLOOKUP(+$C9,$C$45:$I$51,6)</f>
        <v>0</v>
      </c>
      <c r="I9" s="185">
        <f>$D9*VLOOKUP(+$C9,$C$45:$I$51,7)</f>
        <v>0</v>
      </c>
      <c r="J9" s="110" t="s">
        <v>305</v>
      </c>
      <c r="K9" s="132" t="s">
        <v>3464</v>
      </c>
      <c r="L9" s="141" t="s">
        <v>1887</v>
      </c>
      <c r="M9" s="142"/>
      <c r="N9" s="143"/>
    </row>
    <row r="10" spans="1:16">
      <c r="A10" s="183" t="s">
        <v>133</v>
      </c>
      <c r="B10" s="184"/>
      <c r="C10" s="184" t="s">
        <v>69</v>
      </c>
      <c r="D10" s="290">
        <v>6446373.86252</v>
      </c>
      <c r="E10" s="185">
        <f>$D10*VLOOKUP(+$C10,$C$45:$I$51,3)</f>
        <v>0</v>
      </c>
      <c r="F10" s="185">
        <f>$D10*VLOOKUP(+$C10,$C$45:$I$51,4)</f>
        <v>6446373.86252</v>
      </c>
      <c r="G10" s="185">
        <f>$D10*VLOOKUP(+$C10,$C$45:$I$51,5)</f>
        <v>0</v>
      </c>
      <c r="H10" s="185">
        <f>$D10*VLOOKUP(+$C10,$C$45:$I$51,6)</f>
        <v>0</v>
      </c>
      <c r="I10" s="185">
        <f>$D10*VLOOKUP(+$C10,$C$45:$I$51,7)</f>
        <v>0</v>
      </c>
      <c r="J10" s="110" t="s">
        <v>305</v>
      </c>
      <c r="K10" s="132" t="s">
        <v>3465</v>
      </c>
      <c r="L10" s="141" t="s">
        <v>1887</v>
      </c>
      <c r="M10" s="142"/>
      <c r="N10" s="143"/>
    </row>
    <row r="11" spans="1:16">
      <c r="A11" s="183" t="s">
        <v>134</v>
      </c>
      <c r="B11" s="184"/>
      <c r="C11" s="184" t="s">
        <v>70</v>
      </c>
      <c r="D11" s="290">
        <v>7138586.56544</v>
      </c>
      <c r="E11" s="185">
        <f>$D11*VLOOKUP(+$C11,$C$45:$I$51,3)</f>
        <v>0</v>
      </c>
      <c r="F11" s="185">
        <f>$D11*VLOOKUP(+$C11,$C$45:$I$51,4)</f>
        <v>0</v>
      </c>
      <c r="G11" s="185">
        <f>$D11*VLOOKUP(+$C11,$C$45:$I$51,5)</f>
        <v>7138586.56544</v>
      </c>
      <c r="H11" s="185">
        <f>$D11*VLOOKUP(+$C11,$C$45:$I$51,6)</f>
        <v>0</v>
      </c>
      <c r="I11" s="185">
        <f>$D11*VLOOKUP(+$C11,$C$45:$I$51,7)</f>
        <v>0</v>
      </c>
      <c r="J11" s="110" t="s">
        <v>305</v>
      </c>
      <c r="K11" s="132" t="s">
        <v>3466</v>
      </c>
      <c r="L11" s="141" t="s">
        <v>1887</v>
      </c>
      <c r="M11" s="142"/>
      <c r="N11" s="143"/>
    </row>
    <row r="12" spans="1:16">
      <c r="A12" s="183" t="s">
        <v>135</v>
      </c>
      <c r="B12" s="186" t="s">
        <v>85</v>
      </c>
      <c r="C12" s="184" t="s">
        <v>68</v>
      </c>
      <c r="D12" s="290">
        <f>1822.90072+6493.11563698527+33280.2308170806</f>
        <v>41596.247174065866</v>
      </c>
      <c r="E12" s="185">
        <f>$D12*VLOOKUP(+$C12,$C$45:$I$51,3)</f>
        <v>41596.247174065866</v>
      </c>
      <c r="F12" s="185">
        <f>$D12*VLOOKUP(+$C12,$C$45:$I$51,4)</f>
        <v>0</v>
      </c>
      <c r="G12" s="185">
        <f>$D12*VLOOKUP(+$C12,$C$45:$I$51,5)</f>
        <v>0</v>
      </c>
      <c r="H12" s="185">
        <f>$D12*VLOOKUP(+$C12,$C$45:$I$51,6)</f>
        <v>0</v>
      </c>
      <c r="I12" s="185">
        <f>$D12*VLOOKUP(+$C12,$C$45:$I$51,7)</f>
        <v>0</v>
      </c>
      <c r="J12" s="110" t="s">
        <v>305</v>
      </c>
      <c r="K12" s="132" t="s">
        <v>3467</v>
      </c>
      <c r="L12" s="141" t="s">
        <v>1887</v>
      </c>
      <c r="M12" s="133" t="s">
        <v>344</v>
      </c>
      <c r="N12" s="132" t="s">
        <v>1674</v>
      </c>
      <c r="O12" s="133" t="s">
        <v>344</v>
      </c>
      <c r="P12" s="132" t="s">
        <v>1675</v>
      </c>
    </row>
    <row r="13" spans="1:16">
      <c r="A13" s="187" t="s">
        <v>125</v>
      </c>
      <c r="B13" s="34"/>
      <c r="C13" s="34"/>
      <c r="D13" s="43"/>
      <c r="E13" s="43"/>
      <c r="F13" s="43"/>
      <c r="G13" s="43"/>
      <c r="H13" s="43"/>
      <c r="I13" s="104"/>
    </row>
    <row r="14" spans="1:16">
      <c r="A14" s="188" t="s">
        <v>123</v>
      </c>
      <c r="B14" s="189" t="str">
        <f>GP!B7</f>
        <v>CN</v>
      </c>
      <c r="C14" s="189" t="str">
        <f>GP!C7</f>
        <v>CUST</v>
      </c>
      <c r="D14" s="185">
        <f>GP!D7</f>
        <v>16639.669956639667</v>
      </c>
      <c r="E14" s="185">
        <f>$D14*VLOOKUP(+$C14,$C$45:$I$51,3)</f>
        <v>0</v>
      </c>
      <c r="F14" s="185">
        <f t="shared" ref="F14:F23" si="0">$D14*VLOOKUP(+$C14,$C$45:$I$51,4)</f>
        <v>0</v>
      </c>
      <c r="G14" s="185">
        <f t="shared" ref="G14:G23" si="1">$D14*VLOOKUP(+$C14,$C$45:$I$51,5)</f>
        <v>0</v>
      </c>
      <c r="H14" s="185">
        <f t="shared" ref="H14:H23" si="2">$D14*VLOOKUP(+$C14,$C$45:$I$51,6)</f>
        <v>16639.669956639667</v>
      </c>
      <c r="I14" s="185">
        <f t="shared" ref="I14:I23" si="3">$D14*VLOOKUP(+$C14,$C$45:$I$51,7)</f>
        <v>0</v>
      </c>
    </row>
    <row r="15" spans="1:16">
      <c r="A15" s="188" t="s">
        <v>124</v>
      </c>
      <c r="B15" s="189" t="str">
        <f>GP!B8</f>
        <v>SE</v>
      </c>
      <c r="C15" s="189" t="str">
        <f>GP!C8</f>
        <v>P</v>
      </c>
      <c r="D15" s="185">
        <f>GP!D8</f>
        <v>5138.1432829166661</v>
      </c>
      <c r="E15" s="185">
        <f>$D15*VLOOKUP(+$C15,$C$45:$I$51,3)</f>
        <v>5138.1432829166661</v>
      </c>
      <c r="F15" s="185">
        <f t="shared" si="0"/>
        <v>0</v>
      </c>
      <c r="G15" s="185">
        <f t="shared" si="1"/>
        <v>0</v>
      </c>
      <c r="H15" s="185">
        <f t="shared" si="2"/>
        <v>0</v>
      </c>
      <c r="I15" s="190">
        <f t="shared" si="3"/>
        <v>0</v>
      </c>
    </row>
    <row r="16" spans="1:16">
      <c r="A16" s="188"/>
      <c r="B16" s="189" t="str">
        <f>GP!B9</f>
        <v>SG</v>
      </c>
      <c r="C16" s="189" t="str">
        <f>GP!C9</f>
        <v>P</v>
      </c>
      <c r="D16" s="185">
        <f>GP!D9</f>
        <v>128042.47471958335</v>
      </c>
      <c r="E16" s="185">
        <f>$D16*VLOOKUP(+$C16,$C$45:$I$51,3)</f>
        <v>128042.47471958335</v>
      </c>
      <c r="F16" s="185">
        <f t="shared" si="0"/>
        <v>0</v>
      </c>
      <c r="G16" s="185">
        <f t="shared" si="1"/>
        <v>0</v>
      </c>
      <c r="H16" s="185">
        <f t="shared" si="2"/>
        <v>0</v>
      </c>
      <c r="I16" s="190">
        <f t="shared" si="3"/>
        <v>0</v>
      </c>
    </row>
    <row r="17" spans="1:9">
      <c r="A17" s="188"/>
      <c r="B17" s="189" t="str">
        <f>GP!B10</f>
        <v>SG</v>
      </c>
      <c r="C17" s="189" t="str">
        <f>GP!C10</f>
        <v>T</v>
      </c>
      <c r="D17" s="185">
        <f>GP!D10</f>
        <v>180413.51112500031</v>
      </c>
      <c r="E17" s="185">
        <f t="shared" ref="E17:E23" si="4">$D17*VLOOKUP(+$C17,$C$45:$I$51,3)</f>
        <v>0</v>
      </c>
      <c r="F17" s="185">
        <f t="shared" si="0"/>
        <v>180413.51112500031</v>
      </c>
      <c r="G17" s="185">
        <f t="shared" si="1"/>
        <v>0</v>
      </c>
      <c r="H17" s="185">
        <f t="shared" si="2"/>
        <v>0</v>
      </c>
      <c r="I17" s="190">
        <f t="shared" si="3"/>
        <v>0</v>
      </c>
    </row>
    <row r="18" spans="1:9">
      <c r="A18" s="188"/>
      <c r="B18" s="189" t="str">
        <f>GP!B12</f>
        <v>SO</v>
      </c>
      <c r="C18" s="189" t="str">
        <f>GP!C12</f>
        <v>DPW</v>
      </c>
      <c r="D18" s="185">
        <f>GP!D12</f>
        <v>0</v>
      </c>
      <c r="E18" s="185">
        <f t="shared" si="4"/>
        <v>0</v>
      </c>
      <c r="F18" s="185">
        <f t="shared" si="0"/>
        <v>0</v>
      </c>
      <c r="G18" s="185">
        <f t="shared" si="1"/>
        <v>0</v>
      </c>
      <c r="H18" s="185">
        <f t="shared" si="2"/>
        <v>0</v>
      </c>
      <c r="I18" s="190">
        <f t="shared" si="3"/>
        <v>0</v>
      </c>
    </row>
    <row r="19" spans="1:9">
      <c r="A19" s="188"/>
      <c r="B19" s="189" t="str">
        <f>GP!B17</f>
        <v>SSGCT</v>
      </c>
      <c r="C19" s="189" t="str">
        <f>GP!C17</f>
        <v>DPW</v>
      </c>
      <c r="D19" s="185">
        <f>GP!D17</f>
        <v>0</v>
      </c>
      <c r="E19" s="185">
        <f t="shared" si="4"/>
        <v>0</v>
      </c>
      <c r="F19" s="185">
        <f t="shared" si="0"/>
        <v>0</v>
      </c>
      <c r="G19" s="185">
        <f t="shared" si="1"/>
        <v>0</v>
      </c>
      <c r="H19" s="185">
        <f t="shared" si="2"/>
        <v>0</v>
      </c>
      <c r="I19" s="190">
        <f t="shared" si="3"/>
        <v>0</v>
      </c>
    </row>
    <row r="20" spans="1:9">
      <c r="A20" s="188"/>
      <c r="B20" s="189" t="str">
        <f>GP!B18</f>
        <v>SSGCT</v>
      </c>
      <c r="C20" s="189" t="str">
        <f>GP!C18</f>
        <v>P</v>
      </c>
      <c r="D20" s="185">
        <f>GP!D18</f>
        <v>0</v>
      </c>
      <c r="E20" s="185">
        <f t="shared" si="4"/>
        <v>0</v>
      </c>
      <c r="F20" s="185">
        <f t="shared" si="0"/>
        <v>0</v>
      </c>
      <c r="G20" s="185">
        <f t="shared" si="1"/>
        <v>0</v>
      </c>
      <c r="H20" s="185">
        <f t="shared" si="2"/>
        <v>0</v>
      </c>
      <c r="I20" s="190">
        <f t="shared" si="3"/>
        <v>0</v>
      </c>
    </row>
    <row r="21" spans="1:9">
      <c r="A21" s="188" t="s">
        <v>125</v>
      </c>
      <c r="B21" s="189" t="str">
        <f>GP!B19</f>
        <v>SITUS</v>
      </c>
      <c r="C21" s="189" t="str">
        <f>GP!C19</f>
        <v>DPW</v>
      </c>
      <c r="D21" s="185">
        <f>GP!D19</f>
        <v>276823.04938583338</v>
      </c>
      <c r="E21" s="185">
        <f t="shared" si="4"/>
        <v>0</v>
      </c>
      <c r="F21" s="185">
        <f t="shared" si="0"/>
        <v>0</v>
      </c>
      <c r="G21" s="185">
        <f t="shared" si="1"/>
        <v>276823.04938583338</v>
      </c>
      <c r="H21" s="185">
        <f t="shared" si="2"/>
        <v>0</v>
      </c>
      <c r="I21" s="190">
        <f t="shared" si="3"/>
        <v>0</v>
      </c>
    </row>
    <row r="22" spans="1:9">
      <c r="A22" s="188" t="s">
        <v>125</v>
      </c>
      <c r="B22" s="189" t="str">
        <f>GP!B20</f>
        <v>SITUS</v>
      </c>
      <c r="C22" s="189" t="str">
        <f>GP!C20</f>
        <v>P</v>
      </c>
      <c r="D22" s="185">
        <f>GP!D20</f>
        <v>0</v>
      </c>
      <c r="E22" s="185">
        <f t="shared" si="4"/>
        <v>0</v>
      </c>
      <c r="F22" s="185">
        <f t="shared" si="0"/>
        <v>0</v>
      </c>
      <c r="G22" s="185">
        <f t="shared" si="1"/>
        <v>0</v>
      </c>
      <c r="H22" s="185">
        <f t="shared" si="2"/>
        <v>0</v>
      </c>
      <c r="I22" s="190">
        <f t="shared" si="3"/>
        <v>0</v>
      </c>
    </row>
    <row r="23" spans="1:9">
      <c r="A23" s="188" t="s">
        <v>125</v>
      </c>
      <c r="B23" s="189" t="str">
        <f>GP!B21</f>
        <v>SITUS</v>
      </c>
      <c r="C23" s="189" t="str">
        <f>GP!C21</f>
        <v>TD</v>
      </c>
      <c r="D23" s="185">
        <f>GP!D21</f>
        <v>423775.78418083326</v>
      </c>
      <c r="E23" s="185">
        <f t="shared" si="4"/>
        <v>0</v>
      </c>
      <c r="F23" s="185">
        <f t="shared" si="0"/>
        <v>201091.28423294687</v>
      </c>
      <c r="G23" s="185">
        <f t="shared" si="1"/>
        <v>222684.49994788636</v>
      </c>
      <c r="H23" s="185">
        <f t="shared" si="2"/>
        <v>0</v>
      </c>
      <c r="I23" s="190">
        <f t="shared" si="3"/>
        <v>0</v>
      </c>
    </row>
    <row r="24" spans="1:9">
      <c r="A24" s="187" t="s">
        <v>127</v>
      </c>
      <c r="D24" s="191">
        <f t="shared" ref="D24:I24" si="5">SUBTOTAL(9,D14:D23)</f>
        <v>1030832.6326508066</v>
      </c>
      <c r="E24" s="191">
        <f t="shared" si="5"/>
        <v>133180.61800250001</v>
      </c>
      <c r="F24" s="191">
        <f t="shared" si="5"/>
        <v>381504.79535794718</v>
      </c>
      <c r="G24" s="191">
        <f t="shared" si="5"/>
        <v>499507.54933371977</v>
      </c>
      <c r="H24" s="191">
        <f t="shared" si="5"/>
        <v>16639.669956639667</v>
      </c>
      <c r="I24" s="191">
        <f t="shared" si="5"/>
        <v>0</v>
      </c>
    </row>
    <row r="25" spans="1:9">
      <c r="A25" s="187"/>
      <c r="B25" s="187"/>
      <c r="C25" s="187"/>
      <c r="D25" s="185"/>
      <c r="E25" s="185"/>
      <c r="F25" s="185"/>
      <c r="G25" s="185"/>
      <c r="H25" s="185"/>
    </row>
    <row r="26" spans="1:9">
      <c r="A26" s="187" t="s">
        <v>136</v>
      </c>
      <c r="B26" s="187"/>
      <c r="C26" s="187"/>
      <c r="D26" s="185"/>
      <c r="E26" s="185"/>
      <c r="F26" s="185"/>
      <c r="G26" s="185"/>
      <c r="H26" s="185"/>
    </row>
    <row r="27" spans="1:9">
      <c r="A27" s="183" t="s">
        <v>137</v>
      </c>
      <c r="B27" s="192" t="str">
        <f>IP!A7</f>
        <v>CN</v>
      </c>
      <c r="C27" s="192" t="str">
        <f>IP!B7</f>
        <v>CUST</v>
      </c>
      <c r="D27" s="185">
        <f>IP!C7</f>
        <v>223012.15884842901</v>
      </c>
      <c r="E27" s="185">
        <f t="shared" ref="E27:E37" si="6">$D27*VLOOKUP(+$C27,$C$45:$I$52,3)</f>
        <v>0</v>
      </c>
      <c r="F27" s="185">
        <f t="shared" ref="F27:F37" si="7">$D27*VLOOKUP(+$C27,$C$45:$I$52,4)</f>
        <v>0</v>
      </c>
      <c r="G27" s="185">
        <f t="shared" ref="G27:G37" si="8">$D27*VLOOKUP(+$C27,$C$45:$I$52,5)</f>
        <v>0</v>
      </c>
      <c r="H27" s="185">
        <f t="shared" ref="H27:H37" si="9">$D27*VLOOKUP(+$C27,$C$45:$I$52,6)</f>
        <v>223012.15884842901</v>
      </c>
      <c r="I27" s="190">
        <f t="shared" ref="I27:I37" si="10">$D27*VLOOKUP(+$C27,$C$45:$I$52,7)</f>
        <v>0</v>
      </c>
    </row>
    <row r="28" spans="1:9">
      <c r="A28" s="183" t="s">
        <v>137</v>
      </c>
      <c r="B28" s="192" t="str">
        <f>IP!A8</f>
        <v>SE</v>
      </c>
      <c r="C28" s="192" t="str">
        <f>IP!B8</f>
        <v>P</v>
      </c>
      <c r="D28" s="185">
        <f>IP!C8</f>
        <v>9.1057799999999993</v>
      </c>
      <c r="E28" s="185">
        <f t="shared" si="6"/>
        <v>9.1057799999999993</v>
      </c>
      <c r="F28" s="185">
        <f t="shared" si="7"/>
        <v>0</v>
      </c>
      <c r="G28" s="185">
        <f t="shared" si="8"/>
        <v>0</v>
      </c>
      <c r="H28" s="185">
        <f t="shared" si="9"/>
        <v>0</v>
      </c>
      <c r="I28" s="190">
        <f t="shared" si="10"/>
        <v>0</v>
      </c>
    </row>
    <row r="29" spans="1:9">
      <c r="A29" s="187" t="s">
        <v>138</v>
      </c>
      <c r="B29" s="192" t="str">
        <f>IP!A9</f>
        <v>SG</v>
      </c>
      <c r="C29" s="192" t="str">
        <f>IP!B9</f>
        <v>P</v>
      </c>
      <c r="D29" s="185">
        <f>IP!C9</f>
        <v>138562.31179958335</v>
      </c>
      <c r="E29" s="185">
        <f t="shared" si="6"/>
        <v>138562.31179958335</v>
      </c>
      <c r="F29" s="185">
        <f t="shared" si="7"/>
        <v>0</v>
      </c>
      <c r="G29" s="185">
        <f t="shared" si="8"/>
        <v>0</v>
      </c>
      <c r="H29" s="185">
        <f t="shared" si="9"/>
        <v>0</v>
      </c>
      <c r="I29" s="190">
        <f t="shared" si="10"/>
        <v>0</v>
      </c>
    </row>
    <row r="30" spans="1:9">
      <c r="A30" s="187" t="s">
        <v>139</v>
      </c>
      <c r="B30" s="192" t="str">
        <f>IP!A10</f>
        <v>SG</v>
      </c>
      <c r="C30" s="192" t="str">
        <f>IP!B10</f>
        <v>T</v>
      </c>
      <c r="D30" s="185">
        <f>IP!C10</f>
        <v>70983.906620416601</v>
      </c>
      <c r="E30" s="185">
        <f t="shared" si="6"/>
        <v>0</v>
      </c>
      <c r="F30" s="185">
        <f t="shared" si="7"/>
        <v>70983.906620416601</v>
      </c>
      <c r="G30" s="185">
        <f t="shared" si="8"/>
        <v>0</v>
      </c>
      <c r="H30" s="185">
        <f t="shared" si="9"/>
        <v>0</v>
      </c>
      <c r="I30" s="190">
        <f t="shared" si="10"/>
        <v>0</v>
      </c>
    </row>
    <row r="31" spans="1:9">
      <c r="A31" s="187" t="s">
        <v>140</v>
      </c>
      <c r="B31" s="192" t="str">
        <f>IP!A11</f>
        <v>SG-P</v>
      </c>
      <c r="C31" s="192" t="str">
        <f>IP!B11</f>
        <v>P</v>
      </c>
      <c r="D31" s="185">
        <f>IP!C11</f>
        <v>177566.82464000001</v>
      </c>
      <c r="E31" s="185">
        <f t="shared" si="6"/>
        <v>177566.82464000001</v>
      </c>
      <c r="F31" s="185">
        <f t="shared" si="7"/>
        <v>0</v>
      </c>
      <c r="G31" s="185">
        <f t="shared" si="8"/>
        <v>0</v>
      </c>
      <c r="H31" s="185">
        <f t="shared" si="9"/>
        <v>0</v>
      </c>
      <c r="I31" s="190">
        <f t="shared" si="10"/>
        <v>0</v>
      </c>
    </row>
    <row r="32" spans="1:9">
      <c r="A32" s="187"/>
      <c r="B32" s="192" t="str">
        <f>IP!A12</f>
        <v>SG-U</v>
      </c>
      <c r="C32" s="192" t="str">
        <f>IP!B12</f>
        <v>P</v>
      </c>
      <c r="D32" s="185">
        <f>IP!C12</f>
        <v>10497.825382499999</v>
      </c>
      <c r="E32" s="185">
        <f t="shared" si="6"/>
        <v>10497.825382499999</v>
      </c>
      <c r="F32" s="185">
        <f t="shared" si="7"/>
        <v>0</v>
      </c>
      <c r="G32" s="185">
        <f t="shared" si="8"/>
        <v>0</v>
      </c>
      <c r="H32" s="185">
        <f t="shared" si="9"/>
        <v>0</v>
      </c>
      <c r="I32" s="190">
        <f t="shared" si="10"/>
        <v>0</v>
      </c>
    </row>
    <row r="33" spans="1:9">
      <c r="A33" s="187" t="s">
        <v>141</v>
      </c>
      <c r="B33" s="192" t="str">
        <f>IP!A15</f>
        <v>SO</v>
      </c>
      <c r="C33" s="192" t="str">
        <f>IP!B15</f>
        <v>P</v>
      </c>
      <c r="D33" s="185">
        <f>IP!C15</f>
        <v>34027.875224166732</v>
      </c>
      <c r="E33" s="185">
        <f t="shared" si="6"/>
        <v>34027.875224166732</v>
      </c>
      <c r="F33" s="185">
        <f t="shared" si="7"/>
        <v>0</v>
      </c>
      <c r="G33" s="185">
        <f t="shared" si="8"/>
        <v>0</v>
      </c>
      <c r="H33" s="185">
        <f t="shared" si="9"/>
        <v>0</v>
      </c>
      <c r="I33" s="190">
        <f t="shared" si="10"/>
        <v>0</v>
      </c>
    </row>
    <row r="34" spans="1:9">
      <c r="A34" s="187" t="s">
        <v>124</v>
      </c>
      <c r="B34" s="192" t="str">
        <f>IP!A16</f>
        <v>SO</v>
      </c>
      <c r="C34" s="192" t="str">
        <f>IP!B16</f>
        <v>PTD</v>
      </c>
      <c r="D34" s="185">
        <f>IP!C16</f>
        <v>295950.59395958326</v>
      </c>
      <c r="E34" s="185">
        <f t="shared" si="6"/>
        <v>141405.39061632083</v>
      </c>
      <c r="F34" s="185">
        <f t="shared" si="7"/>
        <v>73335.227194287043</v>
      </c>
      <c r="G34" s="185">
        <f t="shared" si="8"/>
        <v>81209.976148975402</v>
      </c>
      <c r="H34" s="185">
        <f t="shared" si="9"/>
        <v>0</v>
      </c>
      <c r="I34" s="190">
        <f t="shared" si="10"/>
        <v>0</v>
      </c>
    </row>
    <row r="35" spans="1:9">
      <c r="A35" s="187" t="s">
        <v>142</v>
      </c>
      <c r="B35" s="192" t="str">
        <f>IP!A18</f>
        <v>SO</v>
      </c>
      <c r="C35" s="192" t="str">
        <f>IP!B18</f>
        <v>TD</v>
      </c>
      <c r="D35" s="185">
        <f>IP!C18</f>
        <v>49880.305705000006</v>
      </c>
      <c r="E35" s="185">
        <f t="shared" si="6"/>
        <v>0</v>
      </c>
      <c r="F35" s="185">
        <f t="shared" si="7"/>
        <v>23669.343805332286</v>
      </c>
      <c r="G35" s="185">
        <f t="shared" si="8"/>
        <v>26210.961899667716</v>
      </c>
      <c r="H35" s="185">
        <f t="shared" si="9"/>
        <v>0</v>
      </c>
      <c r="I35" s="190">
        <f t="shared" si="10"/>
        <v>0</v>
      </c>
    </row>
    <row r="36" spans="1:9">
      <c r="A36" s="187" t="s">
        <v>143</v>
      </c>
      <c r="B36" s="192" t="str">
        <f>IP!A19</f>
        <v>SO</v>
      </c>
      <c r="C36" s="192" t="str">
        <f>IP!B19</f>
        <v>LABOR</v>
      </c>
      <c r="D36" s="185">
        <f>IP!C19</f>
        <v>0</v>
      </c>
      <c r="E36" s="185">
        <f>$D36*VLOOKUP(+$C36,$C$45:$I$52,3)</f>
        <v>0</v>
      </c>
      <c r="F36" s="185">
        <f t="shared" si="7"/>
        <v>0</v>
      </c>
      <c r="G36" s="185">
        <f t="shared" si="8"/>
        <v>0</v>
      </c>
      <c r="H36" s="185">
        <f t="shared" si="9"/>
        <v>0</v>
      </c>
      <c r="I36" s="190">
        <f t="shared" si="10"/>
        <v>0</v>
      </c>
    </row>
    <row r="37" spans="1:9">
      <c r="A37" s="187" t="s">
        <v>143</v>
      </c>
      <c r="B37" s="192" t="str">
        <f>IP!A25</f>
        <v>SITUS</v>
      </c>
      <c r="C37" s="192" t="str">
        <f>IP!B25</f>
        <v>TD</v>
      </c>
      <c r="D37" s="185">
        <f>IP!C25</f>
        <v>-15526.296297500001</v>
      </c>
      <c r="E37" s="185">
        <f t="shared" si="6"/>
        <v>0</v>
      </c>
      <c r="F37" s="185">
        <f t="shared" si="7"/>
        <v>-7367.5820525724503</v>
      </c>
      <c r="G37" s="185">
        <f t="shared" si="8"/>
        <v>-8158.7142449275489</v>
      </c>
      <c r="H37" s="185">
        <f t="shared" si="9"/>
        <v>0</v>
      </c>
      <c r="I37" s="190">
        <f t="shared" si="10"/>
        <v>0</v>
      </c>
    </row>
    <row r="38" spans="1:9">
      <c r="A38" s="187" t="s">
        <v>144</v>
      </c>
      <c r="B38" s="187"/>
      <c r="C38" s="187"/>
      <c r="D38" s="191">
        <f t="shared" ref="D38:I38" si="11">SUBTOTAL(9,D27:D37)</f>
        <v>984964.61166217888</v>
      </c>
      <c r="E38" s="191">
        <f t="shared" si="11"/>
        <v>502069.33344257093</v>
      </c>
      <c r="F38" s="191">
        <f t="shared" si="11"/>
        <v>160620.89556746348</v>
      </c>
      <c r="G38" s="191">
        <f t="shared" si="11"/>
        <v>99262.223803715577</v>
      </c>
      <c r="H38" s="191">
        <f t="shared" si="11"/>
        <v>223012.15884842901</v>
      </c>
      <c r="I38" s="191">
        <f t="shared" si="11"/>
        <v>0</v>
      </c>
    </row>
    <row r="39" spans="1:9">
      <c r="A39" s="187"/>
      <c r="B39" s="187"/>
      <c r="C39" s="187"/>
      <c r="D39" s="185"/>
      <c r="E39" s="185"/>
      <c r="F39" s="185"/>
      <c r="G39" s="185"/>
      <c r="H39" s="185"/>
    </row>
    <row r="40" spans="1:9" ht="13.5" thickBot="1">
      <c r="A40" s="187" t="s">
        <v>145</v>
      </c>
      <c r="B40" s="187"/>
      <c r="C40" s="187"/>
      <c r="D40" s="193">
        <f t="shared" ref="D40:I40" si="12">SUBTOTAL(9,D8:D38)</f>
        <v>28072287.649297051</v>
      </c>
      <c r="E40" s="193">
        <f t="shared" si="12"/>
        <v>13106779.928469138</v>
      </c>
      <c r="F40" s="193">
        <f t="shared" si="12"/>
        <v>6988499.5534454109</v>
      </c>
      <c r="G40" s="193">
        <f t="shared" si="12"/>
        <v>7737356.3385774354</v>
      </c>
      <c r="H40" s="193">
        <f t="shared" si="12"/>
        <v>239651.82880506868</v>
      </c>
      <c r="I40" s="193">
        <f t="shared" si="12"/>
        <v>0</v>
      </c>
    </row>
    <row r="41" spans="1:9" ht="13.5" thickTop="1">
      <c r="D41" s="194"/>
    </row>
    <row r="42" spans="1:9">
      <c r="B42" s="172" t="s">
        <v>146</v>
      </c>
      <c r="C42" s="173"/>
      <c r="D42" s="174">
        <f>SUM(E42:I42)</f>
        <v>1</v>
      </c>
      <c r="E42" s="174">
        <f>E40/$D40</f>
        <v>0.46689390234989775</v>
      </c>
      <c r="F42" s="174">
        <f>F40/$D40</f>
        <v>0.24894656398337411</v>
      </c>
      <c r="G42" s="174">
        <f>G40/$D40</f>
        <v>0.27562257965004799</v>
      </c>
      <c r="H42" s="174">
        <f>H40/$D40</f>
        <v>8.5369540166802087E-3</v>
      </c>
      <c r="I42" s="175">
        <f>I40/$D40</f>
        <v>0</v>
      </c>
    </row>
    <row r="43" spans="1:9">
      <c r="A43" s="187"/>
      <c r="B43" s="187"/>
      <c r="C43" s="187"/>
      <c r="D43" s="195"/>
      <c r="E43" s="196"/>
      <c r="F43" s="196"/>
      <c r="G43" s="196"/>
      <c r="H43" s="196"/>
      <c r="I43" s="196"/>
    </row>
    <row r="44" spans="1:9">
      <c r="A44" s="112"/>
      <c r="D44" s="196"/>
      <c r="E44" s="196"/>
      <c r="F44" s="196"/>
      <c r="G44" s="196"/>
      <c r="H44" s="196"/>
      <c r="I44" s="196"/>
    </row>
    <row r="45" spans="1:9">
      <c r="A45" s="112"/>
      <c r="B45" s="187" t="s">
        <v>129</v>
      </c>
      <c r="C45" s="187"/>
      <c r="D45" s="196"/>
      <c r="E45" s="35" t="s">
        <v>130</v>
      </c>
      <c r="F45" s="35" t="s">
        <v>131</v>
      </c>
      <c r="G45" s="36" t="s">
        <v>70</v>
      </c>
      <c r="H45" s="36" t="s">
        <v>73</v>
      </c>
      <c r="I45" s="36" t="s">
        <v>122</v>
      </c>
    </row>
    <row r="46" spans="1:9">
      <c r="A46" s="112"/>
      <c r="C46" s="181" t="s">
        <v>68</v>
      </c>
      <c r="D46" s="102">
        <f>SUM(E46:F46)</f>
        <v>1</v>
      </c>
      <c r="E46" s="102">
        <f>'FORM 1'!$C$13</f>
        <v>1</v>
      </c>
      <c r="F46" s="102">
        <f>'FORM 1'!$D$13</f>
        <v>0</v>
      </c>
      <c r="G46" s="102">
        <f>'FORM 1'!$E$13</f>
        <v>0</v>
      </c>
      <c r="H46" s="102">
        <f>'FORM 1'!$F$13</f>
        <v>0</v>
      </c>
      <c r="I46" s="102">
        <f>'FORM 1'!$G$13</f>
        <v>0</v>
      </c>
    </row>
    <row r="47" spans="1:9">
      <c r="C47" s="181" t="s">
        <v>69</v>
      </c>
      <c r="D47" s="102">
        <f>SUM(E47:F47)</f>
        <v>1</v>
      </c>
      <c r="E47" s="102">
        <f>'FORM 1'!$C$14</f>
        <v>0</v>
      </c>
      <c r="F47" s="102">
        <f>'FORM 1'!$D$14</f>
        <v>1</v>
      </c>
      <c r="G47" s="102">
        <f>'FORM 1'!$E$14</f>
        <v>0</v>
      </c>
      <c r="H47" s="102">
        <f>'FORM 1'!$F$14</f>
        <v>0</v>
      </c>
      <c r="I47" s="102">
        <f>'FORM 1'!$G$14</f>
        <v>0</v>
      </c>
    </row>
    <row r="48" spans="1:9">
      <c r="C48" s="181" t="s">
        <v>96</v>
      </c>
      <c r="D48" s="102">
        <f>SUM(E48:I48)</f>
        <v>0.99999999999999989</v>
      </c>
      <c r="E48" s="102">
        <f>'FORM 1'!$C$18</f>
        <v>0</v>
      </c>
      <c r="F48" s="102">
        <f>'FORM 1'!$D$18</f>
        <v>0.47452282961769554</v>
      </c>
      <c r="G48" s="102">
        <f>'FORM 1'!$E$18</f>
        <v>0.52547717038230435</v>
      </c>
      <c r="H48" s="102">
        <f>'FORM 1'!$F$18</f>
        <v>0</v>
      </c>
      <c r="I48" s="102">
        <f>'FORM 1'!$G$18</f>
        <v>0</v>
      </c>
    </row>
    <row r="49" spans="2:9">
      <c r="C49" s="181" t="s">
        <v>73</v>
      </c>
      <c r="D49" s="102">
        <f>SUM(E49:I49)</f>
        <v>1</v>
      </c>
      <c r="E49" s="102">
        <v>0</v>
      </c>
      <c r="F49" s="102">
        <v>0</v>
      </c>
      <c r="G49" s="102">
        <v>0</v>
      </c>
      <c r="H49" s="102">
        <v>1</v>
      </c>
      <c r="I49" s="102">
        <v>0</v>
      </c>
    </row>
    <row r="50" spans="2:9">
      <c r="C50" s="181" t="s">
        <v>70</v>
      </c>
      <c r="D50" s="102">
        <f>SUM(E50:I50)</f>
        <v>1</v>
      </c>
      <c r="E50" s="102">
        <v>0</v>
      </c>
      <c r="F50" s="102">
        <v>0</v>
      </c>
      <c r="G50" s="102">
        <v>1</v>
      </c>
      <c r="H50" s="102">
        <v>0</v>
      </c>
      <c r="I50" s="102">
        <v>0</v>
      </c>
    </row>
    <row r="51" spans="2:9">
      <c r="B51" s="187"/>
      <c r="C51" s="197" t="s">
        <v>92</v>
      </c>
      <c r="D51" s="102">
        <f>SUM(E51:I51)</f>
        <v>1</v>
      </c>
      <c r="E51" s="102">
        <f>'FORM 1'!$C$16</f>
        <v>0.47780066505165375</v>
      </c>
      <c r="F51" s="102">
        <f>'FORM 1'!$D$16</f>
        <v>0.24779550604416806</v>
      </c>
      <c r="G51" s="102">
        <f>'FORM 1'!$E$16</f>
        <v>0.27440382890417819</v>
      </c>
      <c r="H51" s="102">
        <f>'FORM 1'!$F$16</f>
        <v>0</v>
      </c>
      <c r="I51" s="102">
        <f>'FORM 1'!$G$16</f>
        <v>0</v>
      </c>
    </row>
    <row r="52" spans="2:9">
      <c r="C52" s="181" t="s">
        <v>102</v>
      </c>
      <c r="D52" s="102">
        <f>SUM(E52:I52)</f>
        <v>1</v>
      </c>
      <c r="E52" s="196">
        <f>'SCH M'!F149</f>
        <v>0.43435191300617138</v>
      </c>
      <c r="F52" s="196">
        <f>'SCH M'!G149</f>
        <v>9.1865268433291722E-2</v>
      </c>
      <c r="G52" s="196">
        <f>'SCH M'!H149</f>
        <v>0.35567736073799106</v>
      </c>
      <c r="H52" s="196">
        <f>'SCH M'!I149</f>
        <v>0.11810545782254585</v>
      </c>
      <c r="I52" s="196">
        <f>'SCH M'!J149</f>
        <v>0</v>
      </c>
    </row>
    <row r="53" spans="2:9">
      <c r="D53" s="196"/>
      <c r="E53" s="196"/>
      <c r="F53" s="196"/>
      <c r="G53" s="196"/>
      <c r="H53" s="196"/>
      <c r="I53" s="196"/>
    </row>
    <row r="54" spans="2:9" s="47" customFormat="1">
      <c r="D54" s="46"/>
      <c r="E54" s="46"/>
      <c r="F54" s="46"/>
      <c r="G54" s="46"/>
      <c r="H54" s="46"/>
      <c r="I54" s="46"/>
    </row>
    <row r="55" spans="2:9">
      <c r="D55" s="196"/>
      <c r="E55" s="196"/>
      <c r="F55" s="196"/>
      <c r="G55" s="196"/>
      <c r="H55" s="196"/>
      <c r="I55" s="196"/>
    </row>
  </sheetData>
  <customSheetViews>
    <customSheetView guid="{20A63875-964B-11D5-AAED-0004762A99E9}" scale="87" colorId="22" fitToPage="1" showRuler="0">
      <selection activeCell="A3" sqref="A3"/>
      <pageMargins left="0.5" right="0.5" top="0.5" bottom="0.75" header="0.5" footer="0.5"/>
      <printOptions horizontalCentered="1"/>
      <pageSetup scale="69" orientation="landscape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6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CCFFFF"/>
  </sheetPr>
  <dimension ref="A1:I72"/>
  <sheetViews>
    <sheetView view="pageBreakPreview" zoomScale="80" zoomScaleNormal="90" zoomScaleSheetLayoutView="80" workbookViewId="0"/>
  </sheetViews>
  <sheetFormatPr defaultColWidth="9.140625" defaultRowHeight="12.75"/>
  <cols>
    <col min="1" max="1" width="21.7109375" style="4" customWidth="1"/>
    <col min="2" max="2" width="21.7109375" style="22" customWidth="1"/>
    <col min="3" max="4" width="20.140625" style="22" bestFit="1" customWidth="1"/>
    <col min="5" max="5" width="20" style="22" customWidth="1"/>
    <col min="6" max="6" width="20.140625" style="22" bestFit="1" customWidth="1"/>
    <col min="7" max="7" width="23.5703125" style="22" customWidth="1"/>
    <col min="8" max="8" width="8.85546875" style="4" bestFit="1" customWidth="1"/>
    <col min="9" max="9" width="67.28515625" style="4" bestFit="1" customWidth="1"/>
    <col min="10" max="16384" width="9.140625" style="4"/>
  </cols>
  <sheetData>
    <row r="1" spans="1:9">
      <c r="A1" s="15" t="str">
        <f>+'TOTAL FUNCFAC'!A1</f>
        <v>PacifiCorp</v>
      </c>
      <c r="B1" s="15"/>
      <c r="C1" s="15"/>
      <c r="D1" s="15"/>
      <c r="E1" s="15"/>
      <c r="F1" s="15"/>
      <c r="G1" s="15"/>
    </row>
    <row r="2" spans="1:9">
      <c r="A2" s="108" t="str">
        <f>'TOTAL FUNCFAC'!$A$2</f>
        <v>12 Months Ended June 2022</v>
      </c>
      <c r="B2" s="198"/>
      <c r="C2" s="108"/>
      <c r="D2" s="145"/>
      <c r="E2" s="145"/>
      <c r="F2" s="145"/>
      <c r="G2" s="145"/>
    </row>
    <row r="3" spans="1:9">
      <c r="A3" s="19" t="s">
        <v>166</v>
      </c>
      <c r="B3" s="15"/>
      <c r="C3" s="15"/>
      <c r="D3" s="145"/>
      <c r="E3" s="145"/>
      <c r="F3" s="145"/>
      <c r="G3" s="145"/>
    </row>
    <row r="4" spans="1:9">
      <c r="A4" s="48"/>
      <c r="B4" s="15"/>
      <c r="C4" s="15"/>
      <c r="D4" s="145"/>
      <c r="E4" s="145"/>
      <c r="F4" s="145"/>
      <c r="G4" s="145"/>
    </row>
    <row r="5" spans="1:9">
      <c r="A5" s="19"/>
      <c r="B5" s="15"/>
      <c r="C5" s="15"/>
      <c r="D5" s="145"/>
      <c r="E5" s="145"/>
      <c r="F5" s="145"/>
      <c r="G5" s="145"/>
    </row>
    <row r="6" spans="1:9" ht="13.5" thickBot="1">
      <c r="A6" s="20" t="s">
        <v>79</v>
      </c>
      <c r="B6" s="144" t="s">
        <v>72</v>
      </c>
      <c r="C6" s="144" t="s">
        <v>63</v>
      </c>
      <c r="D6" s="144" t="s">
        <v>64</v>
      </c>
      <c r="E6" s="144" t="s">
        <v>70</v>
      </c>
      <c r="F6" s="144" t="s">
        <v>73</v>
      </c>
      <c r="G6" s="144" t="s">
        <v>74</v>
      </c>
    </row>
    <row r="7" spans="1:9">
      <c r="E7" s="145"/>
      <c r="F7" s="145"/>
      <c r="G7" s="145"/>
    </row>
    <row r="8" spans="1:9">
      <c r="A8" s="12" t="s">
        <v>167</v>
      </c>
      <c r="B8" s="199">
        <f>SUM(C8:G8)</f>
        <v>26014894.157809999</v>
      </c>
      <c r="C8" s="200">
        <f>+'GROSS PLANT'!D9</f>
        <v>12429933.72985</v>
      </c>
      <c r="D8" s="200">
        <f>+'GROSS PLANT'!D10</f>
        <v>6446373.86252</v>
      </c>
      <c r="E8" s="200">
        <f>+'GROSS PLANT'!D11</f>
        <v>7138586.56544</v>
      </c>
      <c r="F8" s="199">
        <v>0</v>
      </c>
      <c r="G8" s="199">
        <v>0</v>
      </c>
      <c r="I8" s="58" t="s">
        <v>244</v>
      </c>
    </row>
    <row r="9" spans="1:9">
      <c r="A9" s="12" t="s">
        <v>168</v>
      </c>
      <c r="B9" s="199">
        <f>SUM(C9:G9)</f>
        <v>0</v>
      </c>
      <c r="C9" s="199"/>
      <c r="D9" s="199"/>
      <c r="E9" s="199"/>
      <c r="F9" s="199">
        <v>0</v>
      </c>
      <c r="G9" s="199">
        <v>0</v>
      </c>
      <c r="H9" s="45"/>
    </row>
    <row r="10" spans="1:9">
      <c r="A10" s="12" t="s">
        <v>169</v>
      </c>
      <c r="B10" s="199">
        <f>SUM(C10:G10)</f>
        <v>26014894.157809999</v>
      </c>
      <c r="C10" s="199">
        <f>C8+C9</f>
        <v>12429933.72985</v>
      </c>
      <c r="D10" s="199">
        <f>D8+D9</f>
        <v>6446373.86252</v>
      </c>
      <c r="E10" s="199">
        <f>E8+E9</f>
        <v>7138586.56544</v>
      </c>
      <c r="F10" s="199">
        <v>0</v>
      </c>
      <c r="G10" s="199">
        <v>0</v>
      </c>
    </row>
    <row r="11" spans="1:9">
      <c r="H11" s="78"/>
    </row>
    <row r="12" spans="1:9">
      <c r="A12" s="12" t="s">
        <v>170</v>
      </c>
      <c r="B12" s="199"/>
      <c r="C12" s="199"/>
      <c r="D12" s="199"/>
      <c r="E12" s="199"/>
      <c r="F12" s="199"/>
      <c r="G12" s="199"/>
      <c r="H12" s="78"/>
    </row>
    <row r="13" spans="1:9">
      <c r="A13" s="12" t="s">
        <v>68</v>
      </c>
      <c r="B13" s="201">
        <f t="shared" ref="B13:B18" si="0">SUM(C13:G13)</f>
        <v>1</v>
      </c>
      <c r="C13" s="201">
        <f>C10/C10</f>
        <v>1</v>
      </c>
      <c r="D13" s="201"/>
      <c r="E13" s="201"/>
      <c r="F13" s="201"/>
      <c r="G13" s="201"/>
      <c r="H13" s="78"/>
    </row>
    <row r="14" spans="1:9">
      <c r="A14" s="12" t="s">
        <v>69</v>
      </c>
      <c r="B14" s="163">
        <f t="shared" si="0"/>
        <v>1</v>
      </c>
      <c r="C14" s="163"/>
      <c r="D14" s="163">
        <f>D10/D10</f>
        <v>1</v>
      </c>
      <c r="E14" s="163"/>
      <c r="F14" s="163"/>
      <c r="G14" s="163"/>
      <c r="H14" s="78"/>
    </row>
    <row r="15" spans="1:9">
      <c r="A15" s="12" t="s">
        <v>70</v>
      </c>
      <c r="B15" s="163">
        <f t="shared" si="0"/>
        <v>1</v>
      </c>
      <c r="C15" s="163"/>
      <c r="D15" s="163"/>
      <c r="E15" s="163">
        <f>E10/E10</f>
        <v>1</v>
      </c>
      <c r="F15" s="163"/>
      <c r="G15" s="163"/>
      <c r="H15" s="78"/>
    </row>
    <row r="16" spans="1:9">
      <c r="A16" s="12" t="s">
        <v>92</v>
      </c>
      <c r="B16" s="163">
        <f t="shared" si="0"/>
        <v>1</v>
      </c>
      <c r="C16" s="163">
        <f>C10/$B10</f>
        <v>0.47780066505165375</v>
      </c>
      <c r="D16" s="163">
        <f>D10/$B10</f>
        <v>0.24779550604416806</v>
      </c>
      <c r="E16" s="163">
        <f>E10/$B10</f>
        <v>0.27440382890417819</v>
      </c>
      <c r="F16" s="163">
        <f>F10/$B10</f>
        <v>0</v>
      </c>
      <c r="G16" s="163">
        <f>G10/$B10</f>
        <v>0</v>
      </c>
      <c r="H16" s="78"/>
    </row>
    <row r="17" spans="1:9">
      <c r="A17" s="12" t="s">
        <v>171</v>
      </c>
      <c r="B17" s="163">
        <f t="shared" si="0"/>
        <v>1</v>
      </c>
      <c r="C17" s="163">
        <f>C10/(C10+D10)</f>
        <v>0.65849391725711803</v>
      </c>
      <c r="D17" s="163">
        <f>D10/(C10+D10)</f>
        <v>0.34150608274288197</v>
      </c>
      <c r="E17" s="163"/>
      <c r="F17" s="163"/>
      <c r="G17" s="163"/>
      <c r="H17" s="78"/>
    </row>
    <row r="18" spans="1:9" ht="13.5" thickBot="1">
      <c r="A18" s="12" t="s">
        <v>96</v>
      </c>
      <c r="B18" s="202">
        <f t="shared" si="0"/>
        <v>0.99999999999999989</v>
      </c>
      <c r="C18" s="202"/>
      <c r="D18" s="202">
        <f>D10/(D10+E10)</f>
        <v>0.47452282961769554</v>
      </c>
      <c r="E18" s="202">
        <f>E10/(D10+E10)</f>
        <v>0.52547717038230435</v>
      </c>
      <c r="F18" s="202"/>
      <c r="G18" s="202"/>
      <c r="H18" s="78"/>
    </row>
    <row r="19" spans="1:9" ht="13.5" thickTop="1">
      <c r="B19" s="163"/>
      <c r="C19" s="163"/>
      <c r="D19" s="163"/>
      <c r="E19" s="145"/>
      <c r="F19" s="145"/>
      <c r="G19" s="145"/>
      <c r="H19" s="78"/>
    </row>
    <row r="20" spans="1:9">
      <c r="E20" s="145"/>
      <c r="F20" s="203"/>
      <c r="G20" s="145"/>
      <c r="H20" s="78"/>
    </row>
    <row r="21" spans="1:9">
      <c r="A21" s="19"/>
      <c r="B21" s="15"/>
      <c r="C21" s="112"/>
      <c r="D21" s="112"/>
      <c r="E21" s="112"/>
      <c r="F21" s="112"/>
      <c r="G21" s="145"/>
      <c r="H21" s="78"/>
    </row>
    <row r="22" spans="1:9">
      <c r="A22" s="19"/>
      <c r="B22" s="15"/>
      <c r="C22" s="15"/>
      <c r="D22" s="145"/>
      <c r="E22" s="145"/>
      <c r="F22" s="145"/>
      <c r="G22" s="145"/>
      <c r="H22" s="78"/>
    </row>
    <row r="23" spans="1:9">
      <c r="A23" s="12" t="s">
        <v>102</v>
      </c>
      <c r="B23" s="199">
        <f>SUM(C23:G23)</f>
        <v>317346833</v>
      </c>
      <c r="C23" s="199">
        <v>137840204</v>
      </c>
      <c r="D23" s="199">
        <v>29153152</v>
      </c>
      <c r="E23" s="199">
        <v>112873084</v>
      </c>
      <c r="F23" s="199">
        <f>29931652+7548741</f>
        <v>37480393</v>
      </c>
      <c r="G23" s="199">
        <v>0</v>
      </c>
      <c r="H23" s="110" t="s">
        <v>305</v>
      </c>
      <c r="I23" s="131" t="s">
        <v>1888</v>
      </c>
    </row>
    <row r="24" spans="1:9">
      <c r="B24" s="199"/>
      <c r="C24" s="199"/>
      <c r="D24" s="199"/>
      <c r="E24" s="199"/>
      <c r="F24" s="199"/>
      <c r="G24" s="199"/>
      <c r="H24" s="97"/>
    </row>
    <row r="25" spans="1:9" ht="13.5" thickBot="1">
      <c r="A25" s="4" t="s">
        <v>114</v>
      </c>
      <c r="B25" s="204">
        <f t="shared" ref="B25:G25" si="1">B23/$B23</f>
        <v>1</v>
      </c>
      <c r="C25" s="204">
        <f t="shared" si="1"/>
        <v>0.43435191300617138</v>
      </c>
      <c r="D25" s="204">
        <f t="shared" si="1"/>
        <v>9.1865268433291722E-2</v>
      </c>
      <c r="E25" s="204">
        <f t="shared" si="1"/>
        <v>0.35567736073799106</v>
      </c>
      <c r="F25" s="204">
        <f t="shared" si="1"/>
        <v>0.11810545782254585</v>
      </c>
      <c r="G25" s="204">
        <f t="shared" si="1"/>
        <v>0</v>
      </c>
      <c r="H25" s="96"/>
    </row>
    <row r="26" spans="1:9" ht="13.5" thickTop="1">
      <c r="B26" s="199"/>
      <c r="C26" s="199"/>
      <c r="D26" s="199"/>
      <c r="E26" s="199"/>
      <c r="F26" s="199"/>
      <c r="H26" s="98"/>
    </row>
    <row r="27" spans="1:9">
      <c r="C27" s="199"/>
      <c r="D27" s="199"/>
      <c r="E27" s="199"/>
      <c r="F27" s="199"/>
      <c r="H27" s="98"/>
    </row>
    <row r="28" spans="1:9">
      <c r="B28" s="199"/>
      <c r="C28" s="199"/>
      <c r="D28" s="199"/>
      <c r="E28" s="199"/>
      <c r="F28" s="199"/>
      <c r="H28" s="98"/>
    </row>
    <row r="29" spans="1:9">
      <c r="B29" s="199"/>
      <c r="C29" s="199"/>
      <c r="D29" s="199"/>
      <c r="E29" s="199"/>
      <c r="F29" s="199"/>
      <c r="H29" s="98"/>
    </row>
    <row r="30" spans="1:9">
      <c r="A30" s="21" t="s">
        <v>115</v>
      </c>
      <c r="B30" s="199">
        <f>SUM(C30:G30)</f>
        <v>78363441</v>
      </c>
      <c r="C30" s="199">
        <v>63327074</v>
      </c>
      <c r="D30" s="199">
        <v>815425</v>
      </c>
      <c r="E30" s="199">
        <v>14220942</v>
      </c>
      <c r="F30" s="199">
        <v>0</v>
      </c>
      <c r="G30" s="199">
        <v>0</v>
      </c>
      <c r="H30" s="110" t="s">
        <v>305</v>
      </c>
      <c r="I30" s="131" t="s">
        <v>1889</v>
      </c>
    </row>
    <row r="31" spans="1:9">
      <c r="B31" s="199"/>
      <c r="C31" s="199"/>
      <c r="D31" s="199"/>
      <c r="E31" s="199"/>
      <c r="F31" s="199"/>
      <c r="G31" s="199"/>
      <c r="H31" s="97"/>
    </row>
    <row r="32" spans="1:9" ht="13.5" thickBot="1">
      <c r="A32" s="22" t="s">
        <v>116</v>
      </c>
      <c r="B32" s="204">
        <f t="shared" ref="B32:G32" si="2">B30/$B30</f>
        <v>1</v>
      </c>
      <c r="C32" s="204">
        <f t="shared" si="2"/>
        <v>0.80812012836444991</v>
      </c>
      <c r="D32" s="204">
        <f t="shared" si="2"/>
        <v>1.0405681394210343E-2</v>
      </c>
      <c r="E32" s="204">
        <f t="shared" si="2"/>
        <v>0.18147419024133971</v>
      </c>
      <c r="F32" s="204">
        <f t="shared" si="2"/>
        <v>0</v>
      </c>
      <c r="G32" s="204">
        <f t="shared" si="2"/>
        <v>0</v>
      </c>
      <c r="H32" s="96"/>
    </row>
    <row r="33" spans="1:9" ht="13.5" thickTop="1">
      <c r="B33" s="199"/>
      <c r="C33" s="199"/>
      <c r="D33" s="199"/>
      <c r="E33" s="199"/>
      <c r="F33" s="199"/>
      <c r="H33" s="96"/>
    </row>
    <row r="34" spans="1:9">
      <c r="C34" s="199"/>
      <c r="D34" s="199"/>
      <c r="E34" s="199"/>
      <c r="F34" s="199"/>
      <c r="H34" s="98"/>
    </row>
    <row r="35" spans="1:9">
      <c r="B35" s="199"/>
      <c r="C35" s="199"/>
      <c r="D35" s="199"/>
      <c r="E35" s="199"/>
      <c r="F35" s="199"/>
      <c r="H35" s="98"/>
    </row>
    <row r="36" spans="1:9">
      <c r="B36" s="199"/>
      <c r="C36" s="199"/>
      <c r="D36" s="199"/>
      <c r="E36" s="199"/>
      <c r="F36" s="199"/>
      <c r="H36" s="98"/>
    </row>
    <row r="37" spans="1:9">
      <c r="A37" s="12" t="s">
        <v>1754</v>
      </c>
      <c r="B37" s="199">
        <v>32924878</v>
      </c>
      <c r="C37" s="199">
        <f>B37-D37</f>
        <v>15060267</v>
      </c>
      <c r="D37" s="199">
        <v>17864611</v>
      </c>
      <c r="E37" s="199">
        <v>0</v>
      </c>
      <c r="F37" s="199">
        <v>0</v>
      </c>
      <c r="G37" s="199">
        <v>0</v>
      </c>
      <c r="H37" s="110" t="s">
        <v>305</v>
      </c>
      <c r="I37" s="131" t="s">
        <v>3463</v>
      </c>
    </row>
    <row r="38" spans="1:9">
      <c r="B38" s="199"/>
      <c r="C38" s="199"/>
      <c r="D38" s="199"/>
      <c r="E38" s="199"/>
      <c r="F38" s="199"/>
      <c r="G38" s="199"/>
      <c r="H38" s="97"/>
    </row>
    <row r="39" spans="1:9" ht="13.5" thickBot="1">
      <c r="A39" s="4" t="s">
        <v>118</v>
      </c>
      <c r="B39" s="204">
        <f t="shared" ref="B39:G39" si="3">B37/$B37</f>
        <v>1</v>
      </c>
      <c r="C39" s="204">
        <f>C37/$B37</f>
        <v>0.45741299329947405</v>
      </c>
      <c r="D39" s="204">
        <f>D37/$B37</f>
        <v>0.54258700670052595</v>
      </c>
      <c r="E39" s="204">
        <f t="shared" si="3"/>
        <v>0</v>
      </c>
      <c r="F39" s="204">
        <f t="shared" si="3"/>
        <v>0</v>
      </c>
      <c r="G39" s="204">
        <f t="shared" si="3"/>
        <v>0</v>
      </c>
      <c r="H39" s="92"/>
    </row>
    <row r="40" spans="1:9" ht="13.5" thickTop="1">
      <c r="B40" s="199"/>
      <c r="C40" s="199"/>
      <c r="D40" s="199"/>
      <c r="E40" s="199"/>
      <c r="F40" s="199"/>
    </row>
    <row r="41" spans="1:9">
      <c r="C41" s="199"/>
      <c r="D41" s="199"/>
      <c r="E41" s="199"/>
      <c r="F41" s="199"/>
    </row>
    <row r="42" spans="1:9">
      <c r="B42" s="199"/>
      <c r="C42" s="199"/>
      <c r="D42" s="199"/>
      <c r="E42" s="199"/>
      <c r="F42" s="199"/>
    </row>
    <row r="43" spans="1:9">
      <c r="B43" s="205"/>
      <c r="E43" s="206"/>
    </row>
    <row r="44" spans="1:9">
      <c r="B44" s="205"/>
      <c r="E44" s="206"/>
    </row>
    <row r="45" spans="1:9">
      <c r="B45" s="205"/>
      <c r="C45" s="207"/>
      <c r="E45" s="206"/>
    </row>
    <row r="46" spans="1:9">
      <c r="B46" s="205"/>
      <c r="E46" s="206"/>
    </row>
    <row r="47" spans="1:9">
      <c r="E47" s="206"/>
    </row>
    <row r="48" spans="1:9">
      <c r="E48" s="206"/>
    </row>
    <row r="49" spans="2:6">
      <c r="E49" s="206"/>
    </row>
    <row r="50" spans="2:6">
      <c r="E50" s="206"/>
    </row>
    <row r="51" spans="2:6">
      <c r="E51" s="206"/>
    </row>
    <row r="52" spans="2:6">
      <c r="E52" s="206"/>
    </row>
    <row r="53" spans="2:6">
      <c r="E53" s="206"/>
    </row>
    <row r="54" spans="2:6">
      <c r="E54" s="206"/>
    </row>
    <row r="55" spans="2:6">
      <c r="B55" s="93"/>
      <c r="C55" s="93"/>
      <c r="D55" s="93"/>
      <c r="E55" s="206"/>
    </row>
    <row r="56" spans="2:6">
      <c r="B56" s="93"/>
      <c r="C56" s="93"/>
      <c r="D56" s="93"/>
      <c r="E56" s="206"/>
    </row>
    <row r="57" spans="2:6">
      <c r="B57" s="208"/>
      <c r="C57" s="209"/>
      <c r="D57" s="210"/>
      <c r="E57" s="206"/>
    </row>
    <row r="58" spans="2:6">
      <c r="B58" s="93"/>
      <c r="C58" s="87"/>
      <c r="D58" s="87"/>
      <c r="E58" s="206"/>
    </row>
    <row r="59" spans="2:6">
      <c r="B59" s="211"/>
      <c r="C59" s="212"/>
      <c r="D59" s="212"/>
      <c r="E59" s="206"/>
    </row>
    <row r="60" spans="2:6">
      <c r="B60" s="211"/>
      <c r="C60" s="212"/>
      <c r="D60" s="212"/>
      <c r="E60" s="206"/>
    </row>
    <row r="61" spans="2:6">
      <c r="B61" s="211"/>
      <c r="C61" s="212"/>
      <c r="D61" s="212"/>
      <c r="E61" s="206"/>
    </row>
    <row r="62" spans="2:6">
      <c r="B62" s="211"/>
      <c r="C62" s="212"/>
      <c r="D62" s="212"/>
      <c r="E62" s="206"/>
    </row>
    <row r="63" spans="2:6">
      <c r="B63" s="211"/>
      <c r="C63" s="212"/>
      <c r="D63" s="212"/>
      <c r="E63" s="93"/>
      <c r="F63" s="93"/>
    </row>
    <row r="64" spans="2:6">
      <c r="B64" s="211"/>
      <c r="C64" s="213"/>
      <c r="D64" s="213"/>
      <c r="E64" s="93"/>
      <c r="F64" s="93"/>
    </row>
    <row r="65" spans="2:6">
      <c r="B65" s="211"/>
      <c r="C65" s="212"/>
      <c r="D65" s="212"/>
      <c r="E65" s="93"/>
      <c r="F65" s="93"/>
    </row>
    <row r="66" spans="2:6">
      <c r="B66" s="211"/>
      <c r="C66" s="212"/>
      <c r="D66" s="212"/>
      <c r="E66" s="93"/>
      <c r="F66" s="93"/>
    </row>
    <row r="67" spans="2:6">
      <c r="B67" s="211"/>
      <c r="C67" s="212"/>
      <c r="D67" s="212"/>
      <c r="E67" s="93"/>
      <c r="F67" s="93"/>
    </row>
    <row r="68" spans="2:6">
      <c r="B68" s="211"/>
      <c r="C68" s="212"/>
      <c r="D68" s="212"/>
      <c r="E68" s="93"/>
      <c r="F68" s="93"/>
    </row>
    <row r="69" spans="2:6">
      <c r="B69" s="211"/>
      <c r="C69" s="212"/>
      <c r="D69" s="212"/>
      <c r="E69" s="93"/>
      <c r="F69" s="93"/>
    </row>
    <row r="70" spans="2:6">
      <c r="B70" s="211"/>
      <c r="C70" s="212"/>
      <c r="D70" s="212"/>
      <c r="E70" s="93"/>
      <c r="F70" s="93"/>
    </row>
    <row r="71" spans="2:6">
      <c r="B71" s="93"/>
      <c r="C71" s="88"/>
      <c r="D71" s="88"/>
      <c r="E71" s="93"/>
      <c r="F71" s="93"/>
    </row>
    <row r="72" spans="2:6">
      <c r="B72" s="93"/>
      <c r="C72" s="93"/>
      <c r="D72" s="93"/>
      <c r="E72" s="93"/>
      <c r="F72" s="93"/>
    </row>
  </sheetData>
  <customSheetViews>
    <customSheetView guid="{20A63875-964B-11D5-AAED-0004762A99E9}" fitToPage="1" showRuler="0" topLeftCell="A5">
      <selection activeCell="A3" sqref="A3"/>
      <pageMargins left="0.75" right="0.75" top="1" bottom="1" header="0.5" footer="0.5"/>
      <printOptions horizontalCentered="1"/>
      <pageSetup scale="61" orientation="landscape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2" orientation="portrait" r:id="rId2"/>
  <headerFooter alignWithMargins="0"/>
  <colBreaks count="1" manualBreakCount="1">
    <brk id="7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rgb="FFCCFFFF"/>
  </sheetPr>
  <dimension ref="A1:L32"/>
  <sheetViews>
    <sheetView view="pageBreakPreview" zoomScaleNormal="90" zoomScaleSheetLayoutView="100" workbookViewId="0"/>
  </sheetViews>
  <sheetFormatPr defaultColWidth="9.140625" defaultRowHeight="12.75"/>
  <cols>
    <col min="1" max="1" width="18" style="22" bestFit="1" customWidth="1"/>
    <col min="2" max="7" width="15.7109375" style="22" customWidth="1"/>
    <col min="8" max="8" width="8.85546875" style="4" bestFit="1" customWidth="1"/>
    <col min="9" max="9" width="35.7109375" style="4" bestFit="1" customWidth="1"/>
    <col min="10" max="11" width="9.140625" style="4"/>
    <col min="12" max="12" width="14.7109375" style="4" customWidth="1"/>
    <col min="13" max="16384" width="9.140625" style="4"/>
  </cols>
  <sheetData>
    <row r="1" spans="1:12" ht="15.75" customHeight="1">
      <c r="A1" s="100" t="str">
        <f>+'TOTAL FUNCFAC'!$A$1</f>
        <v>PacifiCorp</v>
      </c>
      <c r="B1" s="100"/>
      <c r="C1" s="100"/>
      <c r="D1" s="100"/>
      <c r="E1" s="100"/>
      <c r="F1" s="100"/>
      <c r="G1" s="100"/>
    </row>
    <row r="2" spans="1:12" ht="15.75" customHeight="1">
      <c r="A2" s="100" t="str">
        <f>'TOTAL FUNCFAC'!$A$2</f>
        <v>12 Months Ended June 2022</v>
      </c>
      <c r="B2" s="100"/>
      <c r="C2" s="100"/>
      <c r="D2" s="100"/>
      <c r="E2" s="100"/>
      <c r="F2" s="100"/>
      <c r="G2" s="100"/>
    </row>
    <row r="3" spans="1:12" ht="15.75" customHeight="1">
      <c r="A3" s="100" t="s">
        <v>251</v>
      </c>
      <c r="B3" s="100"/>
      <c r="C3" s="100"/>
      <c r="D3" s="100"/>
      <c r="E3" s="100"/>
      <c r="F3" s="100"/>
      <c r="G3" s="100"/>
    </row>
    <row r="4" spans="1:12">
      <c r="A4" s="179"/>
      <c r="B4" s="9"/>
      <c r="L4" s="3"/>
    </row>
    <row r="5" spans="1:12">
      <c r="H5" s="48"/>
      <c r="L5" s="3"/>
    </row>
    <row r="6" spans="1:12">
      <c r="A6" s="18" t="s">
        <v>80</v>
      </c>
      <c r="B6" s="77" t="s">
        <v>81</v>
      </c>
      <c r="C6" s="77" t="s">
        <v>63</v>
      </c>
      <c r="D6" s="77" t="s">
        <v>64</v>
      </c>
      <c r="E6" s="77" t="s">
        <v>70</v>
      </c>
      <c r="F6" s="77" t="s">
        <v>73</v>
      </c>
      <c r="G6" s="77" t="s">
        <v>74</v>
      </c>
      <c r="H6" s="49"/>
      <c r="L6" s="3"/>
    </row>
    <row r="7" spans="1:12">
      <c r="A7" s="93" t="s">
        <v>73</v>
      </c>
      <c r="B7" s="216">
        <f>SUMIFS('BOOKDEPR Jun22data'!G:G,'BOOKDEPR Jun22data'!I:I,A7)</f>
        <v>916.81810091681916</v>
      </c>
      <c r="C7" s="168">
        <f>INDEX(C$16:C$22,MATCH($A7,$A$16:$A$22,0))*$B7</f>
        <v>0</v>
      </c>
      <c r="D7" s="168">
        <f t="shared" ref="D7:G11" si="0">INDEX(D$16:D$22,MATCH($A7,$A$16:$A$22,0))*$B7</f>
        <v>0</v>
      </c>
      <c r="E7" s="168">
        <f t="shared" si="0"/>
        <v>0</v>
      </c>
      <c r="F7" s="168">
        <f t="shared" si="0"/>
        <v>916.81810091681916</v>
      </c>
      <c r="G7" s="168">
        <f t="shared" si="0"/>
        <v>0</v>
      </c>
      <c r="H7" s="110" t="s">
        <v>305</v>
      </c>
      <c r="I7" s="134" t="s">
        <v>3462</v>
      </c>
    </row>
    <row r="8" spans="1:12">
      <c r="A8" s="93" t="s">
        <v>70</v>
      </c>
      <c r="B8" s="216">
        <f>SUMIFS('BOOKDEPR Jun22data'!G:G,'BOOKDEPR Jun22data'!I:I,A8)</f>
        <v>199926.38608999984</v>
      </c>
      <c r="C8" s="168">
        <f t="shared" ref="C8:C11" si="1">INDEX(C$16:C$22,MATCH($A8,$A$16:$A$22,0))*$B8</f>
        <v>0</v>
      </c>
      <c r="D8" s="168">
        <f t="shared" si="0"/>
        <v>0</v>
      </c>
      <c r="E8" s="168">
        <f t="shared" si="0"/>
        <v>199926.38608999984</v>
      </c>
      <c r="F8" s="168">
        <f t="shared" si="0"/>
        <v>0</v>
      </c>
      <c r="G8" s="168">
        <f t="shared" si="0"/>
        <v>0</v>
      </c>
      <c r="H8" s="110" t="s">
        <v>305</v>
      </c>
      <c r="I8" s="134" t="s">
        <v>3462</v>
      </c>
    </row>
    <row r="9" spans="1:12">
      <c r="A9" s="93" t="s">
        <v>68</v>
      </c>
      <c r="B9" s="216">
        <f>SUMIFS('BOOKDEPR Jun22data'!G:G,'BOOKDEPR Jun22data'!I:I,A9)</f>
        <v>591916.06195</v>
      </c>
      <c r="C9" s="168">
        <f t="shared" si="1"/>
        <v>591916.06195</v>
      </c>
      <c r="D9" s="168">
        <f t="shared" si="0"/>
        <v>0</v>
      </c>
      <c r="E9" s="168">
        <f t="shared" si="0"/>
        <v>0</v>
      </c>
      <c r="F9" s="168">
        <f t="shared" si="0"/>
        <v>0</v>
      </c>
      <c r="G9" s="168">
        <f t="shared" si="0"/>
        <v>0</v>
      </c>
      <c r="H9" s="110" t="s">
        <v>305</v>
      </c>
      <c r="I9" s="134" t="s">
        <v>3462</v>
      </c>
    </row>
    <row r="10" spans="1:12">
      <c r="A10" s="93" t="s">
        <v>92</v>
      </c>
      <c r="B10" s="216">
        <f>SUMIFS('BOOKDEPR Jun22data'!G:G,'BOOKDEPR Jun22data'!I:I,A10)</f>
        <v>17976.740040000001</v>
      </c>
      <c r="C10" s="168">
        <f t="shared" si="1"/>
        <v>8589.298346572692</v>
      </c>
      <c r="D10" s="168">
        <f t="shared" si="0"/>
        <v>4454.5553952362579</v>
      </c>
      <c r="E10" s="168">
        <f t="shared" si="0"/>
        <v>4932.8862981910497</v>
      </c>
      <c r="F10" s="168">
        <f t="shared" si="0"/>
        <v>0</v>
      </c>
      <c r="G10" s="168">
        <f t="shared" si="0"/>
        <v>0</v>
      </c>
      <c r="H10" s="110" t="s">
        <v>305</v>
      </c>
      <c r="I10" s="134" t="s">
        <v>3462</v>
      </c>
    </row>
    <row r="11" spans="1:12">
      <c r="A11" s="93" t="s">
        <v>69</v>
      </c>
      <c r="B11" s="216">
        <f>SUMIFS('BOOKDEPR Jun22data'!G:G,'BOOKDEPR Jun22data'!I:I,A11)</f>
        <v>136429.97279999999</v>
      </c>
      <c r="C11" s="168">
        <f t="shared" si="1"/>
        <v>0</v>
      </c>
      <c r="D11" s="168">
        <f t="shared" si="0"/>
        <v>136429.97279999999</v>
      </c>
      <c r="E11" s="168">
        <f t="shared" si="0"/>
        <v>0</v>
      </c>
      <c r="F11" s="168">
        <f t="shared" si="0"/>
        <v>0</v>
      </c>
      <c r="G11" s="168">
        <f t="shared" si="0"/>
        <v>0</v>
      </c>
      <c r="H11" s="110" t="s">
        <v>305</v>
      </c>
      <c r="I11" s="134" t="s">
        <v>3462</v>
      </c>
    </row>
    <row r="12" spans="1:12">
      <c r="A12" s="65" t="s">
        <v>94</v>
      </c>
      <c r="B12" s="168">
        <f t="shared" ref="B12:G12" si="2">SUM(B7:B11)</f>
        <v>947165.97898091655</v>
      </c>
      <c r="C12" s="168">
        <f t="shared" si="2"/>
        <v>600505.36029657267</v>
      </c>
      <c r="D12" s="168">
        <f t="shared" si="2"/>
        <v>140884.52819523626</v>
      </c>
      <c r="E12" s="168">
        <f t="shared" si="2"/>
        <v>204859.2723881909</v>
      </c>
      <c r="F12" s="168">
        <f t="shared" si="2"/>
        <v>916.81810091681916</v>
      </c>
      <c r="G12" s="168">
        <f t="shared" si="2"/>
        <v>0</v>
      </c>
      <c r="H12" s="13"/>
    </row>
    <row r="13" spans="1:12" s="66" customFormat="1">
      <c r="A13" s="65" t="s">
        <v>97</v>
      </c>
      <c r="B13" s="214">
        <f t="shared" ref="B13:G13" si="3">B12/$B12</f>
        <v>1</v>
      </c>
      <c r="C13" s="215">
        <f t="shared" si="3"/>
        <v>0.63400224841550357</v>
      </c>
      <c r="D13" s="215">
        <f t="shared" si="3"/>
        <v>0.14874323119884228</v>
      </c>
      <c r="E13" s="215">
        <f t="shared" si="3"/>
        <v>0.21628656110368846</v>
      </c>
      <c r="F13" s="215">
        <f t="shared" si="3"/>
        <v>9.6795928196581811E-4</v>
      </c>
      <c r="G13" s="215">
        <f t="shared" si="3"/>
        <v>0</v>
      </c>
    </row>
    <row r="14" spans="1:12" s="66" customFormat="1">
      <c r="A14" s="93"/>
      <c r="B14" s="217"/>
      <c r="C14" s="217"/>
      <c r="D14" s="217"/>
      <c r="E14" s="217"/>
      <c r="F14" s="217"/>
      <c r="G14" s="217"/>
    </row>
    <row r="15" spans="1:12">
      <c r="B15" s="218"/>
    </row>
    <row r="16" spans="1:12">
      <c r="A16" s="22" t="s">
        <v>68</v>
      </c>
      <c r="B16" s="163">
        <f>'FORM 1'!$B$13</f>
        <v>1</v>
      </c>
      <c r="C16" s="163">
        <f>'FORM 1'!$C$13</f>
        <v>1</v>
      </c>
      <c r="D16" s="163">
        <f>'FORM 1'!$D$13</f>
        <v>0</v>
      </c>
      <c r="E16" s="163">
        <f>'FORM 1'!$E$13</f>
        <v>0</v>
      </c>
      <c r="F16" s="163">
        <f>'FORM 1'!$F$13</f>
        <v>0</v>
      </c>
      <c r="G16" s="163">
        <f>'FORM 1'!$G$13</f>
        <v>0</v>
      </c>
    </row>
    <row r="17" spans="1:7">
      <c r="A17" s="22" t="s">
        <v>69</v>
      </c>
      <c r="B17" s="163">
        <f>'FORM 1'!$B$14</f>
        <v>1</v>
      </c>
      <c r="C17" s="163">
        <f>'FORM 1'!$C$14</f>
        <v>0</v>
      </c>
      <c r="D17" s="163">
        <f>'FORM 1'!$D$14</f>
        <v>1</v>
      </c>
      <c r="E17" s="163">
        <f>'FORM 1'!$E$14</f>
        <v>0</v>
      </c>
      <c r="F17" s="163">
        <f>'FORM 1'!$F$14</f>
        <v>0</v>
      </c>
      <c r="G17" s="163">
        <f>'FORM 1'!$G$14</f>
        <v>0</v>
      </c>
    </row>
    <row r="18" spans="1:7">
      <c r="A18" s="22" t="s">
        <v>70</v>
      </c>
      <c r="B18" s="163">
        <f>'FORM 1'!$B$15</f>
        <v>1</v>
      </c>
      <c r="C18" s="163">
        <f>'FORM 1'!$C$15</f>
        <v>0</v>
      </c>
      <c r="D18" s="163">
        <f>'FORM 1'!$D$15</f>
        <v>0</v>
      </c>
      <c r="E18" s="163">
        <f>'FORM 1'!$E$15</f>
        <v>1</v>
      </c>
      <c r="F18" s="163">
        <f>'FORM 1'!$F$15</f>
        <v>0</v>
      </c>
      <c r="G18" s="163">
        <f>'FORM 1'!$G$15</f>
        <v>0</v>
      </c>
    </row>
    <row r="19" spans="1:7">
      <c r="A19" s="22" t="s">
        <v>73</v>
      </c>
      <c r="B19" s="163">
        <f>'FORM 1'!$B$15</f>
        <v>1</v>
      </c>
      <c r="C19" s="163">
        <v>0</v>
      </c>
      <c r="D19" s="163">
        <v>0</v>
      </c>
      <c r="E19" s="163">
        <v>0</v>
      </c>
      <c r="F19" s="163">
        <v>1</v>
      </c>
      <c r="G19" s="163">
        <v>0</v>
      </c>
    </row>
    <row r="20" spans="1:7">
      <c r="A20" s="22" t="s">
        <v>92</v>
      </c>
      <c r="B20" s="163">
        <f>'FORM 1'!$B$16</f>
        <v>1</v>
      </c>
      <c r="C20" s="163">
        <f>'FORM 1'!$C$16</f>
        <v>0.47780066505165375</v>
      </c>
      <c r="D20" s="163">
        <f>'FORM 1'!$D$16</f>
        <v>0.24779550604416806</v>
      </c>
      <c r="E20" s="163">
        <f>'FORM 1'!$E$16</f>
        <v>0.27440382890417819</v>
      </c>
      <c r="F20" s="163">
        <f>'FORM 1'!$F$16</f>
        <v>0</v>
      </c>
      <c r="G20" s="163">
        <f>'FORM 1'!$G$16</f>
        <v>0</v>
      </c>
    </row>
    <row r="21" spans="1:7">
      <c r="A21" s="22" t="s">
        <v>96</v>
      </c>
      <c r="B21" s="163">
        <f>'FORM 1'!$B$18</f>
        <v>0.99999999999999989</v>
      </c>
      <c r="C21" s="163">
        <f>'FORM 1'!$C$18</f>
        <v>0</v>
      </c>
      <c r="D21" s="163">
        <f>'FORM 1'!$D$18</f>
        <v>0.47452282961769554</v>
      </c>
      <c r="E21" s="163">
        <f>'FORM 1'!$E$18</f>
        <v>0.52547717038230435</v>
      </c>
      <c r="F21" s="163">
        <f>'FORM 1'!$F$18</f>
        <v>0</v>
      </c>
      <c r="G21" s="163">
        <f>'FORM 1'!$G$18</f>
        <v>0</v>
      </c>
    </row>
    <row r="22" spans="1:7">
      <c r="A22" s="22" t="s">
        <v>71</v>
      </c>
      <c r="B22" s="163">
        <f>GP!$D$37</f>
        <v>1</v>
      </c>
      <c r="C22" s="163">
        <f>GP!$E$37</f>
        <v>0.20649102451616125</v>
      </c>
      <c r="D22" s="163">
        <f>GP!$F$37</f>
        <v>0.34297731158157324</v>
      </c>
      <c r="E22" s="163">
        <f>GP!$G$37</f>
        <v>0.43796876140567892</v>
      </c>
      <c r="F22" s="163">
        <f>GP!$H$37</f>
        <v>1.2562902496586637E-2</v>
      </c>
      <c r="G22" s="163">
        <f>GP!$I$37</f>
        <v>0</v>
      </c>
    </row>
    <row r="25" spans="1:7">
      <c r="B25" s="112"/>
    </row>
    <row r="27" spans="1:7">
      <c r="B27" s="218"/>
    </row>
    <row r="28" spans="1:7">
      <c r="B28" s="218"/>
    </row>
    <row r="30" spans="1:7">
      <c r="B30" s="219"/>
    </row>
    <row r="31" spans="1:7">
      <c r="B31" s="112"/>
    </row>
    <row r="32" spans="1:7">
      <c r="B32" s="218"/>
    </row>
  </sheetData>
  <customSheetViews>
    <customSheetView guid="{20A63875-964B-11D5-AAED-0004762A99E9}" fitToPage="1" showRuler="0" topLeftCell="A8">
      <pane ySplit="1" topLeftCell="A14" activePane="bottomLeft"/>
      <selection pane="bottomLeft" activeCell="G24" sqref="G24"/>
      <pageMargins left="0.75" right="0.75" top="1" bottom="1" header="0.5" footer="0.5"/>
      <printOptions horizontalCentered="1"/>
      <pageSetup orientation="landscape" horizontalDpi="0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7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rgb="FFCCFFFF"/>
  </sheetPr>
  <dimension ref="A1:K41"/>
  <sheetViews>
    <sheetView view="pageBreakPreview" zoomScale="115" zoomScaleNormal="90" zoomScaleSheetLayoutView="115" workbookViewId="0"/>
  </sheetViews>
  <sheetFormatPr defaultColWidth="9.140625" defaultRowHeight="12.75"/>
  <cols>
    <col min="1" max="3" width="9.140625" style="22"/>
    <col min="4" max="4" width="16.7109375" style="22" customWidth="1"/>
    <col min="5" max="5" width="17.5703125" style="22" customWidth="1"/>
    <col min="6" max="6" width="14.7109375" style="22" customWidth="1"/>
    <col min="7" max="9" width="16.7109375" style="22" customWidth="1"/>
    <col min="10" max="10" width="8.85546875" style="4" bestFit="1" customWidth="1"/>
    <col min="11" max="11" width="37.28515625" style="4" bestFit="1" customWidth="1"/>
    <col min="12" max="16384" width="9.140625" style="4"/>
  </cols>
  <sheetData>
    <row r="1" spans="1:11">
      <c r="A1" s="15" t="str">
        <f>+'TOTAL FUNCFAC'!A1</f>
        <v>PacifiCorp</v>
      </c>
      <c r="B1" s="145"/>
      <c r="C1" s="145"/>
      <c r="D1" s="145"/>
      <c r="E1" s="145"/>
      <c r="F1" s="145"/>
      <c r="G1" s="145"/>
      <c r="H1" s="145"/>
      <c r="I1" s="145"/>
    </row>
    <row r="2" spans="1:11" ht="15.75">
      <c r="A2" s="100" t="str">
        <f>'TOTAL FUNCFAC'!$A$2</f>
        <v>12 Months Ended June 2022</v>
      </c>
      <c r="B2" s="15"/>
      <c r="C2" s="15"/>
      <c r="D2" s="15"/>
      <c r="E2" s="15"/>
      <c r="F2" s="15"/>
      <c r="G2" s="15"/>
      <c r="H2" s="15"/>
      <c r="I2" s="15"/>
    </row>
    <row r="3" spans="1:11">
      <c r="A3" s="15" t="s">
        <v>75</v>
      </c>
      <c r="B3" s="15"/>
      <c r="C3" s="15"/>
      <c r="D3" s="15"/>
      <c r="E3" s="15"/>
      <c r="F3" s="15"/>
      <c r="G3" s="15"/>
      <c r="H3" s="15"/>
      <c r="I3" s="15"/>
    </row>
    <row r="4" spans="1:11">
      <c r="D4" s="179"/>
    </row>
    <row r="5" spans="1:11">
      <c r="A5" s="22" t="s">
        <v>76</v>
      </c>
      <c r="J5" s="48"/>
    </row>
    <row r="6" spans="1:11">
      <c r="A6" s="95" t="s">
        <v>78</v>
      </c>
      <c r="B6" s="95" t="s">
        <v>79</v>
      </c>
      <c r="C6" s="95" t="s">
        <v>80</v>
      </c>
      <c r="D6" s="220" t="s">
        <v>81</v>
      </c>
      <c r="E6" s="220" t="s">
        <v>63</v>
      </c>
      <c r="F6" s="220" t="s">
        <v>64</v>
      </c>
      <c r="G6" s="220" t="s">
        <v>70</v>
      </c>
      <c r="H6" s="220" t="s">
        <v>147</v>
      </c>
      <c r="I6" s="220" t="s">
        <v>74</v>
      </c>
      <c r="J6" s="49"/>
    </row>
    <row r="7" spans="1:11">
      <c r="A7" s="22" t="s">
        <v>82</v>
      </c>
      <c r="B7" s="22" t="s">
        <v>306</v>
      </c>
      <c r="C7" s="22" t="s">
        <v>68</v>
      </c>
      <c r="D7" s="221">
        <f>SUMIFS('ELEC OPS Jun22data'!G:G,'ELEC OPS Jun22data'!H:H,B7,'ELEC OPS Jun22data'!I:I,C7)</f>
        <v>23599.879350000003</v>
      </c>
      <c r="E7" s="222">
        <f>INDEX(E$31:E$37,MATCH($C7,$C$31:$C$37,0))*$D7</f>
        <v>23599.879350000003</v>
      </c>
      <c r="F7" s="222">
        <f t="shared" ref="F7:I16" si="0">INDEX(F$31:F$37,MATCH($C7,$C$31:$C$37,0))*$D7</f>
        <v>0</v>
      </c>
      <c r="G7" s="222">
        <f t="shared" si="0"/>
        <v>0</v>
      </c>
      <c r="H7" s="222">
        <f t="shared" si="0"/>
        <v>0</v>
      </c>
      <c r="I7" s="222">
        <f t="shared" si="0"/>
        <v>0</v>
      </c>
      <c r="J7" s="110" t="s">
        <v>305</v>
      </c>
      <c r="K7" s="134" t="s">
        <v>3461</v>
      </c>
    </row>
    <row r="8" spans="1:11">
      <c r="A8" s="22" t="s">
        <v>82</v>
      </c>
      <c r="B8" s="22" t="s">
        <v>306</v>
      </c>
      <c r="C8" s="22" t="s">
        <v>69</v>
      </c>
      <c r="D8" s="221">
        <f>SUMIFS('ELEC OPS Jun22data'!G:G,'ELEC OPS Jun22data'!H:H,B8,'ELEC OPS Jun22data'!I:I,C8)</f>
        <v>0</v>
      </c>
      <c r="E8" s="222">
        <f t="shared" ref="E8:E16" si="1">INDEX(E$31:E$37,MATCH($C8,$C$31:$C$37,0))*$D8</f>
        <v>0</v>
      </c>
      <c r="F8" s="222">
        <f t="shared" si="0"/>
        <v>0</v>
      </c>
      <c r="G8" s="222">
        <f t="shared" si="0"/>
        <v>0</v>
      </c>
      <c r="H8" s="222">
        <f t="shared" si="0"/>
        <v>0</v>
      </c>
      <c r="I8" s="222">
        <f t="shared" si="0"/>
        <v>0</v>
      </c>
      <c r="J8" s="110" t="s">
        <v>305</v>
      </c>
      <c r="K8" s="134" t="s">
        <v>3461</v>
      </c>
    </row>
    <row r="9" spans="1:11">
      <c r="A9" s="22" t="s">
        <v>82</v>
      </c>
      <c r="B9" s="22" t="s">
        <v>85</v>
      </c>
      <c r="C9" s="22" t="s">
        <v>68</v>
      </c>
      <c r="D9" s="221">
        <f>SUMIFS('ELEC OPS Jun22data'!G:G,'ELEC OPS Jun22data'!H:H,B9,'ELEC OPS Jun22data'!I:I,C9)</f>
        <v>0</v>
      </c>
      <c r="E9" s="222">
        <f t="shared" si="1"/>
        <v>0</v>
      </c>
      <c r="F9" s="222">
        <f t="shared" si="0"/>
        <v>0</v>
      </c>
      <c r="G9" s="222">
        <f t="shared" si="0"/>
        <v>0</v>
      </c>
      <c r="H9" s="222">
        <f t="shared" si="0"/>
        <v>0</v>
      </c>
      <c r="I9" s="222">
        <f t="shared" si="0"/>
        <v>0</v>
      </c>
      <c r="J9" s="110" t="s">
        <v>305</v>
      </c>
      <c r="K9" s="134" t="s">
        <v>3461</v>
      </c>
    </row>
    <row r="10" spans="1:11">
      <c r="A10" s="22" t="s">
        <v>82</v>
      </c>
      <c r="B10" s="22" t="s">
        <v>85</v>
      </c>
      <c r="C10" s="22" t="s">
        <v>69</v>
      </c>
      <c r="D10" s="221">
        <f>SUMIFS('ELEC OPS Jun22data'!G:G,'ELEC OPS Jun22data'!H:H,B10,'ELEC OPS Jun22data'!I:I,C10)</f>
        <v>36474.064289999995</v>
      </c>
      <c r="E10" s="222">
        <f t="shared" si="1"/>
        <v>0</v>
      </c>
      <c r="F10" s="222">
        <f t="shared" si="0"/>
        <v>36474.064289999995</v>
      </c>
      <c r="G10" s="222">
        <f t="shared" si="0"/>
        <v>0</v>
      </c>
      <c r="H10" s="222">
        <f t="shared" si="0"/>
        <v>0</v>
      </c>
      <c r="I10" s="222">
        <f t="shared" si="0"/>
        <v>0</v>
      </c>
      <c r="J10" s="110" t="s">
        <v>305</v>
      </c>
      <c r="K10" s="134" t="s">
        <v>3461</v>
      </c>
    </row>
    <row r="11" spans="1:11">
      <c r="A11" s="22" t="s">
        <v>82</v>
      </c>
      <c r="B11" s="22" t="s">
        <v>87</v>
      </c>
      <c r="C11" s="22" t="s">
        <v>68</v>
      </c>
      <c r="D11" s="221">
        <f>SUMIFS('ELEC OPS Jun22data'!G:G,'ELEC OPS Jun22data'!H:H,B11,'ELEC OPS Jun22data'!I:I,C11)</f>
        <v>24623.98893</v>
      </c>
      <c r="E11" s="222">
        <f t="shared" si="1"/>
        <v>24623.98893</v>
      </c>
      <c r="F11" s="222">
        <f t="shared" si="0"/>
        <v>0</v>
      </c>
      <c r="G11" s="222">
        <f t="shared" si="0"/>
        <v>0</v>
      </c>
      <c r="H11" s="222">
        <f t="shared" si="0"/>
        <v>0</v>
      </c>
      <c r="I11" s="222">
        <f t="shared" si="0"/>
        <v>0</v>
      </c>
      <c r="J11" s="110" t="s">
        <v>305</v>
      </c>
      <c r="K11" s="134" t="s">
        <v>3461</v>
      </c>
    </row>
    <row r="12" spans="1:11">
      <c r="A12" s="22" t="s">
        <v>82</v>
      </c>
      <c r="B12" s="22" t="s">
        <v>87</v>
      </c>
      <c r="C12" s="22" t="s">
        <v>69</v>
      </c>
      <c r="D12" s="221">
        <f>SUMIFS('ELEC OPS Jun22data'!G:G,'ELEC OPS Jun22data'!H:H,B12,'ELEC OPS Jun22data'!I:I,C12)</f>
        <v>141099.67109000002</v>
      </c>
      <c r="E12" s="222">
        <f t="shared" si="1"/>
        <v>0</v>
      </c>
      <c r="F12" s="222">
        <f t="shared" si="0"/>
        <v>141099.67109000002</v>
      </c>
      <c r="G12" s="222">
        <f t="shared" si="0"/>
        <v>0</v>
      </c>
      <c r="H12" s="222">
        <f t="shared" si="0"/>
        <v>0</v>
      </c>
      <c r="I12" s="222">
        <f t="shared" si="0"/>
        <v>0</v>
      </c>
      <c r="J12" s="110" t="s">
        <v>305</v>
      </c>
      <c r="K12" s="134" t="s">
        <v>3461</v>
      </c>
    </row>
    <row r="13" spans="1:11">
      <c r="A13" s="22" t="s">
        <v>82</v>
      </c>
      <c r="B13" s="22" t="s">
        <v>89</v>
      </c>
      <c r="C13" s="22" t="s">
        <v>74</v>
      </c>
      <c r="D13" s="221">
        <f>SUMIFS('ELEC OPS Jun22data'!G:G,'ELEC OPS Jun22data'!H:H,B13,'ELEC OPS Jun22data'!I:I,C13)</f>
        <v>0</v>
      </c>
      <c r="E13" s="222">
        <f t="shared" si="1"/>
        <v>0</v>
      </c>
      <c r="F13" s="222">
        <f t="shared" si="0"/>
        <v>0</v>
      </c>
      <c r="G13" s="222">
        <f t="shared" si="0"/>
        <v>0</v>
      </c>
      <c r="H13" s="222">
        <f t="shared" si="0"/>
        <v>0</v>
      </c>
      <c r="I13" s="222">
        <f t="shared" si="0"/>
        <v>0</v>
      </c>
      <c r="J13" s="110" t="s">
        <v>305</v>
      </c>
      <c r="K13" s="134" t="s">
        <v>3461</v>
      </c>
    </row>
    <row r="14" spans="1:11">
      <c r="A14" s="22" t="s">
        <v>82</v>
      </c>
      <c r="B14" s="22" t="s">
        <v>12</v>
      </c>
      <c r="C14" s="22" t="s">
        <v>74</v>
      </c>
      <c r="D14" s="221">
        <f>SUMIFS('ELEC OPS Jun22data'!G:G,'ELEC OPS Jun22data'!H:H,B14,'ELEC OPS Jun22data'!I:I,C14)</f>
        <v>0</v>
      </c>
      <c r="E14" s="222">
        <f t="shared" si="1"/>
        <v>0</v>
      </c>
      <c r="F14" s="222">
        <f t="shared" si="0"/>
        <v>0</v>
      </c>
      <c r="G14" s="222">
        <f t="shared" si="0"/>
        <v>0</v>
      </c>
      <c r="H14" s="222">
        <f t="shared" si="0"/>
        <v>0</v>
      </c>
      <c r="I14" s="222">
        <f t="shared" si="0"/>
        <v>0</v>
      </c>
      <c r="J14" s="110" t="s">
        <v>305</v>
      </c>
      <c r="K14" s="134" t="s">
        <v>3461</v>
      </c>
    </row>
    <row r="15" spans="1:11">
      <c r="A15" s="22" t="s">
        <v>82</v>
      </c>
      <c r="B15" s="22" t="s">
        <v>12</v>
      </c>
      <c r="C15" s="22" t="s">
        <v>68</v>
      </c>
      <c r="D15" s="221">
        <f>SUMIFS('ELEC OPS Jun22data'!G:G,'ELEC OPS Jun22data'!H:H,B15,'ELEC OPS Jun22data'!I:I,C15)</f>
        <v>216.76944</v>
      </c>
      <c r="E15" s="222">
        <f t="shared" si="1"/>
        <v>216.76944</v>
      </c>
      <c r="F15" s="222">
        <f t="shared" si="0"/>
        <v>0</v>
      </c>
      <c r="G15" s="222">
        <f t="shared" si="0"/>
        <v>0</v>
      </c>
      <c r="H15" s="222">
        <f t="shared" si="0"/>
        <v>0</v>
      </c>
      <c r="I15" s="222">
        <f t="shared" si="0"/>
        <v>0</v>
      </c>
      <c r="J15" s="110" t="s">
        <v>305</v>
      </c>
      <c r="K15" s="134" t="s">
        <v>3461</v>
      </c>
    </row>
    <row r="16" spans="1:11">
      <c r="A16" s="22" t="s">
        <v>82</v>
      </c>
      <c r="B16" s="22" t="s">
        <v>12</v>
      </c>
      <c r="C16" s="22" t="s">
        <v>69</v>
      </c>
      <c r="D16" s="221">
        <f>SUMIFS('ELEC OPS Jun22data'!G:G,'ELEC OPS Jun22data'!H:H,B16,'ELEC OPS Jun22data'!I:I,C16)</f>
        <v>4075.3882800000001</v>
      </c>
      <c r="E16" s="222">
        <f t="shared" si="1"/>
        <v>0</v>
      </c>
      <c r="F16" s="222">
        <f t="shared" si="0"/>
        <v>4075.3882800000001</v>
      </c>
      <c r="G16" s="222">
        <f t="shared" si="0"/>
        <v>0</v>
      </c>
      <c r="H16" s="222">
        <f t="shared" si="0"/>
        <v>0</v>
      </c>
      <c r="I16" s="222">
        <f t="shared" si="0"/>
        <v>0</v>
      </c>
      <c r="J16" s="110" t="s">
        <v>305</v>
      </c>
      <c r="K16" s="134" t="s">
        <v>3461</v>
      </c>
    </row>
    <row r="17" spans="1:10" s="66" customFormat="1">
      <c r="A17" s="18" t="s">
        <v>83</v>
      </c>
      <c r="B17" s="93"/>
      <c r="C17" s="93"/>
      <c r="D17" s="222">
        <f t="shared" ref="D17:I17" si="2">SUMIF($B:$B,"SITUS",D:D)</f>
        <v>4292.1577200000002</v>
      </c>
      <c r="E17" s="222">
        <f t="shared" si="2"/>
        <v>216.76944</v>
      </c>
      <c r="F17" s="222">
        <f t="shared" si="2"/>
        <v>4075.3882800000001</v>
      </c>
      <c r="G17" s="222">
        <f t="shared" si="2"/>
        <v>0</v>
      </c>
      <c r="H17" s="222">
        <f t="shared" si="2"/>
        <v>0</v>
      </c>
      <c r="I17" s="222">
        <f t="shared" si="2"/>
        <v>0</v>
      </c>
    </row>
    <row r="18" spans="1:10" s="66" customFormat="1">
      <c r="A18" s="18" t="s">
        <v>57</v>
      </c>
      <c r="B18" s="93"/>
      <c r="C18" s="93"/>
      <c r="D18" s="222">
        <f t="shared" ref="D18:I18" si="3">SUMIF($B:$B,"CN",D:D)</f>
        <v>0</v>
      </c>
      <c r="E18" s="222">
        <f t="shared" si="3"/>
        <v>0</v>
      </c>
      <c r="F18" s="222">
        <f t="shared" si="3"/>
        <v>0</v>
      </c>
      <c r="G18" s="222">
        <f t="shared" si="3"/>
        <v>0</v>
      </c>
      <c r="H18" s="222">
        <f t="shared" si="3"/>
        <v>0</v>
      </c>
      <c r="I18" s="222">
        <f t="shared" si="3"/>
        <v>0</v>
      </c>
    </row>
    <row r="19" spans="1:10" s="66" customFormat="1">
      <c r="A19" s="18" t="s">
        <v>86</v>
      </c>
      <c r="B19" s="93"/>
      <c r="C19" s="93"/>
      <c r="D19" s="222">
        <f t="shared" ref="D19:I19" si="4">SUMIF($B:$B,"SE",D:D)</f>
        <v>36474.064289999995</v>
      </c>
      <c r="E19" s="222">
        <f t="shared" si="4"/>
        <v>0</v>
      </c>
      <c r="F19" s="222">
        <f t="shared" si="4"/>
        <v>36474.064289999995</v>
      </c>
      <c r="G19" s="222">
        <f t="shared" si="4"/>
        <v>0</v>
      </c>
      <c r="H19" s="222">
        <f t="shared" si="4"/>
        <v>0</v>
      </c>
      <c r="I19" s="222">
        <f t="shared" si="4"/>
        <v>0</v>
      </c>
    </row>
    <row r="20" spans="1:10" s="66" customFormat="1">
      <c r="A20" s="18" t="s">
        <v>88</v>
      </c>
      <c r="B20" s="93"/>
      <c r="C20" s="93"/>
      <c r="D20" s="222">
        <f t="shared" ref="D20:I20" si="5">SUMIF($B:$B,"SG",D:D)</f>
        <v>165723.66002000001</v>
      </c>
      <c r="E20" s="222">
        <f t="shared" si="5"/>
        <v>24623.98893</v>
      </c>
      <c r="F20" s="222">
        <f t="shared" si="5"/>
        <v>141099.67109000002</v>
      </c>
      <c r="G20" s="222">
        <f t="shared" si="5"/>
        <v>0</v>
      </c>
      <c r="H20" s="222">
        <f t="shared" si="5"/>
        <v>0</v>
      </c>
      <c r="I20" s="222">
        <f t="shared" si="5"/>
        <v>0</v>
      </c>
    </row>
    <row r="21" spans="1:10" s="66" customFormat="1">
      <c r="A21" s="18" t="s">
        <v>93</v>
      </c>
      <c r="B21" s="93"/>
      <c r="C21" s="93"/>
      <c r="D21" s="222">
        <f>SUMIF($B:$B,"SO",D:D)</f>
        <v>0</v>
      </c>
      <c r="E21" s="222">
        <f t="shared" ref="E21:I21" si="6">SUMIF($B:$B,"SO",E:E)</f>
        <v>0</v>
      </c>
      <c r="F21" s="222">
        <f t="shared" si="6"/>
        <v>0</v>
      </c>
      <c r="G21" s="222">
        <f t="shared" si="6"/>
        <v>0</v>
      </c>
      <c r="H21" s="222">
        <f t="shared" si="6"/>
        <v>0</v>
      </c>
      <c r="I21" s="222">
        <f t="shared" si="6"/>
        <v>0</v>
      </c>
    </row>
    <row r="22" spans="1:10" s="66" customFormat="1">
      <c r="A22" s="18" t="s">
        <v>296</v>
      </c>
      <c r="B22" s="93"/>
      <c r="C22" s="93"/>
      <c r="D22" s="222">
        <f t="shared" ref="D22:I22" si="7">SUM(D7:D16)</f>
        <v>230089.76138000004</v>
      </c>
      <c r="E22" s="222">
        <f t="shared" si="7"/>
        <v>48440.637719999999</v>
      </c>
      <c r="F22" s="222">
        <f t="shared" si="7"/>
        <v>181649.12366000004</v>
      </c>
      <c r="G22" s="222">
        <f t="shared" si="7"/>
        <v>0</v>
      </c>
      <c r="H22" s="222">
        <f t="shared" si="7"/>
        <v>0</v>
      </c>
      <c r="I22" s="222">
        <f t="shared" si="7"/>
        <v>0</v>
      </c>
    </row>
    <row r="23" spans="1:10" s="18" customFormat="1">
      <c r="A23" s="18" t="s">
        <v>54</v>
      </c>
      <c r="D23" s="215">
        <f t="shared" ref="D23:D28" si="8">SUM(E23:I23)</f>
        <v>1</v>
      </c>
      <c r="E23" s="215">
        <f>E17/$D$17</f>
        <v>5.0503605445328323E-2</v>
      </c>
      <c r="F23" s="215">
        <f>F17/$D$17</f>
        <v>0.94949639455467172</v>
      </c>
      <c r="G23" s="215">
        <f>G17/$D$17</f>
        <v>0</v>
      </c>
      <c r="H23" s="215">
        <f>H17/$D$17</f>
        <v>0</v>
      </c>
      <c r="I23" s="215">
        <f>I17/$D$17</f>
        <v>0</v>
      </c>
    </row>
    <row r="24" spans="1:10" s="18" customFormat="1">
      <c r="A24" s="18" t="s">
        <v>295</v>
      </c>
      <c r="D24" s="215">
        <f t="shared" si="8"/>
        <v>0</v>
      </c>
      <c r="E24" s="215" t="str">
        <f>IF(ISERROR(E18/$D$18)," ",(E18/$D$18))</f>
        <v xml:space="preserve"> </v>
      </c>
      <c r="F24" s="215" t="str">
        <f>IF(ISERROR(F18/$D$18)," ",(F18/$D$18))</f>
        <v xml:space="preserve"> </v>
      </c>
      <c r="G24" s="215" t="str">
        <f>IF(ISERROR(G18/$D$18)," ",(G18/$D$18))</f>
        <v xml:space="preserve"> </v>
      </c>
      <c r="H24" s="215" t="str">
        <f>IF(ISERROR(H18/$D$18)," ",(H18/$D$18))</f>
        <v xml:space="preserve"> </v>
      </c>
      <c r="I24" s="215" t="str">
        <f>IF(ISERROR(I18/$D$18)," ",(I18/$D$18))</f>
        <v xml:space="preserve"> </v>
      </c>
    </row>
    <row r="25" spans="1:10" s="66" customFormat="1">
      <c r="A25" s="18" t="s">
        <v>218</v>
      </c>
      <c r="B25" s="93"/>
      <c r="C25" s="93"/>
      <c r="D25" s="215">
        <f t="shared" si="8"/>
        <v>1</v>
      </c>
      <c r="E25" s="215">
        <f>E19/$D$19</f>
        <v>0</v>
      </c>
      <c r="F25" s="215">
        <f>F19/$D$19</f>
        <v>1</v>
      </c>
      <c r="G25" s="215">
        <f>G19/$D$19</f>
        <v>0</v>
      </c>
      <c r="H25" s="215">
        <f>H19/$D$19</f>
        <v>0</v>
      </c>
      <c r="I25" s="215">
        <f>I19/$D$19</f>
        <v>0</v>
      </c>
      <c r="J25" s="76"/>
    </row>
    <row r="26" spans="1:10" s="66" customFormat="1">
      <c r="A26" s="18" t="s">
        <v>220</v>
      </c>
      <c r="B26" s="93"/>
      <c r="C26" s="93"/>
      <c r="D26" s="215">
        <f t="shared" si="8"/>
        <v>1</v>
      </c>
      <c r="E26" s="215">
        <f>E20/$D$20</f>
        <v>0.14858463134973188</v>
      </c>
      <c r="F26" s="215">
        <f>F20/$D$20</f>
        <v>0.85141536865026812</v>
      </c>
      <c r="G26" s="215">
        <f>G20/$D$20</f>
        <v>0</v>
      </c>
      <c r="H26" s="215">
        <f>H20/$D$20</f>
        <v>0</v>
      </c>
      <c r="I26" s="215">
        <f>I20/$D$20</f>
        <v>0</v>
      </c>
    </row>
    <row r="27" spans="1:10" s="66" customFormat="1">
      <c r="A27" s="18" t="s">
        <v>224</v>
      </c>
      <c r="B27" s="93"/>
      <c r="C27" s="93"/>
      <c r="D27" s="215" t="e">
        <f>SUM(E27:I27)</f>
        <v>#DIV/0!</v>
      </c>
      <c r="E27" s="215" t="e">
        <f>E21/$D$21</f>
        <v>#DIV/0!</v>
      </c>
      <c r="F27" s="215" t="e">
        <f>F21/$D$21</f>
        <v>#DIV/0!</v>
      </c>
      <c r="G27" s="215" t="e">
        <f>G21/$D$21</f>
        <v>#DIV/0!</v>
      </c>
      <c r="H27" s="215" t="e">
        <f>H21/$D$21</f>
        <v>#DIV/0!</v>
      </c>
      <c r="I27" s="215" t="e">
        <f>I21/$D$21</f>
        <v>#DIV/0!</v>
      </c>
    </row>
    <row r="28" spans="1:10" ht="12.75" customHeight="1">
      <c r="A28" s="18" t="s">
        <v>297</v>
      </c>
      <c r="B28" s="18"/>
      <c r="C28" s="18"/>
      <c r="D28" s="215">
        <f t="shared" si="8"/>
        <v>1</v>
      </c>
      <c r="E28" s="215">
        <f>E22/$D$22</f>
        <v>0.21052930573472523</v>
      </c>
      <c r="F28" s="215">
        <f>F22/$D$22</f>
        <v>0.78947069426527483</v>
      </c>
      <c r="G28" s="215">
        <f>G22/$D$22</f>
        <v>0</v>
      </c>
      <c r="H28" s="215">
        <f>H22/$D$22</f>
        <v>0</v>
      </c>
      <c r="I28" s="215">
        <f>I22/$D$22</f>
        <v>0</v>
      </c>
    </row>
    <row r="29" spans="1:10" ht="12.75" customHeight="1">
      <c r="D29" s="112"/>
      <c r="E29" s="112"/>
      <c r="F29" s="112"/>
    </row>
    <row r="30" spans="1:10">
      <c r="C30" s="223"/>
      <c r="D30" s="52" t="s">
        <v>72</v>
      </c>
      <c r="E30" s="51" t="s">
        <v>130</v>
      </c>
      <c r="F30" s="51" t="s">
        <v>131</v>
      </c>
      <c r="G30" s="52" t="s">
        <v>70</v>
      </c>
      <c r="H30" s="52" t="s">
        <v>73</v>
      </c>
      <c r="I30" s="52" t="s">
        <v>74</v>
      </c>
    </row>
    <row r="31" spans="1:10">
      <c r="C31" s="181" t="s">
        <v>68</v>
      </c>
      <c r="D31" s="224">
        <f>SUM(E31:I31)</f>
        <v>1</v>
      </c>
      <c r="E31" s="224">
        <f>'FORM 1'!$C$13</f>
        <v>1</v>
      </c>
      <c r="F31" s="224">
        <f>'FORM 1'!$D$13</f>
        <v>0</v>
      </c>
      <c r="G31" s="224">
        <f>'FORM 1'!$E$13</f>
        <v>0</v>
      </c>
      <c r="H31" s="224">
        <f>'FORM 1'!$F$13</f>
        <v>0</v>
      </c>
      <c r="I31" s="224">
        <f>'FORM 1'!$G$13</f>
        <v>0</v>
      </c>
    </row>
    <row r="32" spans="1:10">
      <c r="C32" s="181" t="s">
        <v>69</v>
      </c>
      <c r="D32" s="224">
        <f t="shared" ref="D32:D37" si="9">SUM(E32:I32)</f>
        <v>1</v>
      </c>
      <c r="E32" s="224">
        <f>'FORM 1'!$C$14</f>
        <v>0</v>
      </c>
      <c r="F32" s="224">
        <f>'FORM 1'!$D$14</f>
        <v>1</v>
      </c>
      <c r="G32" s="224">
        <f>'FORM 1'!$E$14</f>
        <v>0</v>
      </c>
      <c r="H32" s="224">
        <f>'FORM 1'!$F$14</f>
        <v>0</v>
      </c>
      <c r="I32" s="224">
        <f>'FORM 1'!$G$14</f>
        <v>0</v>
      </c>
    </row>
    <row r="33" spans="3:9">
      <c r="C33" s="181" t="s">
        <v>96</v>
      </c>
      <c r="D33" s="224">
        <f t="shared" si="9"/>
        <v>0.99999999999999989</v>
      </c>
      <c r="E33" s="224">
        <f>'FORM 1'!$C$18</f>
        <v>0</v>
      </c>
      <c r="F33" s="224">
        <f>'FORM 1'!$D$18</f>
        <v>0.47452282961769554</v>
      </c>
      <c r="G33" s="224">
        <f>'FORM 1'!$E$18</f>
        <v>0.52547717038230435</v>
      </c>
      <c r="H33" s="224">
        <f>'FORM 1'!$F$18</f>
        <v>0</v>
      </c>
      <c r="I33" s="224">
        <f>'FORM 1'!$G$18</f>
        <v>0</v>
      </c>
    </row>
    <row r="34" spans="3:9">
      <c r="C34" s="181" t="s">
        <v>73</v>
      </c>
      <c r="D34" s="224">
        <f t="shared" si="9"/>
        <v>1</v>
      </c>
      <c r="E34" s="224">
        <v>0</v>
      </c>
      <c r="F34" s="224">
        <v>0</v>
      </c>
      <c r="G34" s="224">
        <v>0</v>
      </c>
      <c r="H34" s="224">
        <v>1</v>
      </c>
      <c r="I34" s="224">
        <v>0</v>
      </c>
    </row>
    <row r="35" spans="3:9">
      <c r="C35" s="181" t="s">
        <v>70</v>
      </c>
      <c r="D35" s="224">
        <f t="shared" si="9"/>
        <v>1</v>
      </c>
      <c r="E35" s="224">
        <v>0</v>
      </c>
      <c r="F35" s="224">
        <v>0</v>
      </c>
      <c r="G35" s="224">
        <v>1</v>
      </c>
      <c r="H35" s="224">
        <v>0</v>
      </c>
      <c r="I35" s="224">
        <v>0</v>
      </c>
    </row>
    <row r="36" spans="3:9">
      <c r="C36" s="197" t="s">
        <v>92</v>
      </c>
      <c r="D36" s="224">
        <f t="shared" si="9"/>
        <v>1</v>
      </c>
      <c r="E36" s="224">
        <f>'FORM 1'!$C$16</f>
        <v>0.47780066505165375</v>
      </c>
      <c r="F36" s="224">
        <f>'FORM 1'!$D$16</f>
        <v>0.24779550604416806</v>
      </c>
      <c r="G36" s="224">
        <f>'FORM 1'!$E$16</f>
        <v>0.27440382890417819</v>
      </c>
      <c r="H36" s="224">
        <f>'FORM 1'!$F$16</f>
        <v>0</v>
      </c>
      <c r="I36" s="224">
        <f>'FORM 1'!$G$16</f>
        <v>0</v>
      </c>
    </row>
    <row r="37" spans="3:9">
      <c r="C37" s="22" t="s">
        <v>74</v>
      </c>
      <c r="D37" s="224">
        <f t="shared" si="9"/>
        <v>1</v>
      </c>
      <c r="E37" s="224">
        <v>0</v>
      </c>
      <c r="F37" s="224">
        <v>0</v>
      </c>
      <c r="G37" s="224">
        <v>0</v>
      </c>
      <c r="H37" s="224">
        <v>0</v>
      </c>
      <c r="I37" s="224">
        <v>1</v>
      </c>
    </row>
    <row r="41" spans="3:9">
      <c r="D41" s="225" t="s">
        <v>247</v>
      </c>
    </row>
  </sheetData>
  <customSheetViews>
    <customSheetView guid="{20A63875-964B-11D5-AAED-0004762A99E9}" showRuler="0">
      <selection activeCell="A3" sqref="A3:I3"/>
      <rowBreaks count="1" manualBreakCount="1">
        <brk id="40" max="11" man="1"/>
      </rowBreaks>
      <pageMargins left="0.75" right="0.75" top="1" bottom="1" header="0.5" footer="0.5"/>
      <printOptions horizontalCentered="1"/>
      <pageSetup scale="75" orientation="landscape" horizontalDpi="0" r:id="rId1"/>
      <headerFooter alignWithMargins="0">
        <oddFooter>&amp;L&amp;D&amp;C&amp;A Page &amp;P of &amp;N&amp;R&amp;F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7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13">
    <tabColor rgb="FFCCFFFF"/>
  </sheetPr>
  <dimension ref="A1:K69"/>
  <sheetViews>
    <sheetView defaultGridColor="0" view="pageBreakPreview" colorId="22" zoomScale="115" zoomScaleNormal="90" zoomScaleSheetLayoutView="115" workbookViewId="0"/>
  </sheetViews>
  <sheetFormatPr defaultColWidth="12.5703125" defaultRowHeight="12.75"/>
  <cols>
    <col min="1" max="1" width="24.28515625" style="231" bestFit="1" customWidth="1"/>
    <col min="2" max="2" width="13" style="231" customWidth="1"/>
    <col min="3" max="3" width="10.7109375" style="231" customWidth="1"/>
    <col min="4" max="4" width="20" style="231" customWidth="1"/>
    <col min="5" max="5" width="13.42578125" style="231" bestFit="1" customWidth="1"/>
    <col min="6" max="9" width="13.42578125" style="231" customWidth="1"/>
    <col min="10" max="10" width="8.85546875" style="37" bestFit="1" customWidth="1"/>
    <col min="11" max="11" width="19.7109375" style="37" bestFit="1" customWidth="1"/>
    <col min="12" max="16384" width="12.5703125" style="37"/>
  </cols>
  <sheetData>
    <row r="1" spans="1:11">
      <c r="A1" s="25" t="str">
        <f>+'TOTAL FUNCFAC'!$A$1</f>
        <v>PacifiCorp</v>
      </c>
      <c r="B1" s="229"/>
      <c r="C1" s="229"/>
      <c r="D1" s="229"/>
      <c r="E1" s="229"/>
      <c r="F1" s="229"/>
      <c r="G1" s="229"/>
      <c r="H1" s="230"/>
      <c r="I1" s="230"/>
    </row>
    <row r="2" spans="1:11">
      <c r="A2" s="25" t="str">
        <f>'TOTAL FUNCFAC'!$A$2</f>
        <v>12 Months Ended June 2022</v>
      </c>
      <c r="B2" s="229"/>
      <c r="C2" s="229"/>
      <c r="D2" s="229"/>
      <c r="E2" s="229"/>
      <c r="F2" s="229"/>
      <c r="G2" s="229"/>
      <c r="H2" s="230"/>
      <c r="I2" s="230"/>
    </row>
    <row r="3" spans="1:11">
      <c r="A3" s="25" t="s">
        <v>125</v>
      </c>
      <c r="B3" s="229"/>
      <c r="C3" s="229"/>
      <c r="D3" s="229"/>
      <c r="E3" s="229"/>
      <c r="F3" s="229"/>
      <c r="G3" s="229"/>
      <c r="H3" s="230"/>
      <c r="I3" s="230"/>
    </row>
    <row r="4" spans="1:11">
      <c r="B4" s="25"/>
    </row>
    <row r="5" spans="1:11">
      <c r="B5" s="38" t="s">
        <v>119</v>
      </c>
    </row>
    <row r="6" spans="1:11">
      <c r="A6" s="73" t="s">
        <v>95</v>
      </c>
      <c r="B6" s="83" t="s">
        <v>79</v>
      </c>
      <c r="C6" s="83" t="s">
        <v>120</v>
      </c>
      <c r="D6" s="83" t="s">
        <v>81</v>
      </c>
      <c r="E6" s="83" t="s">
        <v>130</v>
      </c>
      <c r="F6" s="83" t="s">
        <v>131</v>
      </c>
      <c r="G6" s="83" t="s">
        <v>70</v>
      </c>
      <c r="H6" s="84" t="s">
        <v>73</v>
      </c>
      <c r="I6" s="84" t="s">
        <v>74</v>
      </c>
      <c r="J6" s="48"/>
    </row>
    <row r="7" spans="1:11" s="72" customFormat="1">
      <c r="A7" s="188" t="s">
        <v>123</v>
      </c>
      <c r="B7" s="232" t="s">
        <v>84</v>
      </c>
      <c r="C7" s="283" t="s">
        <v>73</v>
      </c>
      <c r="D7" s="284">
        <f>SUMIFS('GP Jun22data'!G:G,'GP Jun22data'!H:H,B7,'GP Jun22data'!I:I,C7)</f>
        <v>16639.669956639667</v>
      </c>
      <c r="E7" s="285">
        <f t="shared" ref="E7:I21" si="0">INDEX(D$44:D$50,MATCH($C7,$B$44:$B$50,0))*$D7</f>
        <v>0</v>
      </c>
      <c r="F7" s="234">
        <f t="shared" si="0"/>
        <v>0</v>
      </c>
      <c r="G7" s="234">
        <f t="shared" si="0"/>
        <v>0</v>
      </c>
      <c r="H7" s="234">
        <f t="shared" si="0"/>
        <v>16639.669956639667</v>
      </c>
      <c r="I7" s="234">
        <f t="shared" si="0"/>
        <v>0</v>
      </c>
      <c r="J7" s="110" t="s">
        <v>305</v>
      </c>
      <c r="K7" s="134" t="s">
        <v>3460</v>
      </c>
    </row>
    <row r="8" spans="1:11" s="72" customFormat="1">
      <c r="A8" s="188"/>
      <c r="B8" s="232" t="s">
        <v>85</v>
      </c>
      <c r="C8" s="286" t="s">
        <v>68</v>
      </c>
      <c r="D8" s="287">
        <f>SUMIFS('GP Jun22data'!G:G,'GP Jun22data'!H:H,B8,'GP Jun22data'!I:I,C8)</f>
        <v>5138.1432829166661</v>
      </c>
      <c r="E8" s="234">
        <f t="shared" si="0"/>
        <v>5138.1432829166661</v>
      </c>
      <c r="F8" s="234">
        <f t="shared" si="0"/>
        <v>0</v>
      </c>
      <c r="G8" s="234">
        <f t="shared" si="0"/>
        <v>0</v>
      </c>
      <c r="H8" s="234">
        <f t="shared" si="0"/>
        <v>0</v>
      </c>
      <c r="I8" s="234">
        <f t="shared" si="0"/>
        <v>0</v>
      </c>
      <c r="J8" s="110" t="s">
        <v>305</v>
      </c>
      <c r="K8" s="134" t="s">
        <v>3460</v>
      </c>
    </row>
    <row r="9" spans="1:11" s="72" customFormat="1">
      <c r="A9" s="188"/>
      <c r="B9" s="189" t="s">
        <v>87</v>
      </c>
      <c r="C9" s="235" t="s">
        <v>68</v>
      </c>
      <c r="D9" s="233">
        <f>SUMIFS('GP Jun22data'!G:G,'GP Jun22data'!H:H,B9,'GP Jun22data'!I:I,C9)</f>
        <v>128042.47471958335</v>
      </c>
      <c r="E9" s="236">
        <f t="shared" si="0"/>
        <v>128042.47471958335</v>
      </c>
      <c r="F9" s="236">
        <f t="shared" si="0"/>
        <v>0</v>
      </c>
      <c r="G9" s="236">
        <f t="shared" si="0"/>
        <v>0</v>
      </c>
      <c r="H9" s="236">
        <f t="shared" si="0"/>
        <v>0</v>
      </c>
      <c r="I9" s="236">
        <f t="shared" si="0"/>
        <v>0</v>
      </c>
      <c r="J9" s="110" t="s">
        <v>305</v>
      </c>
      <c r="K9" s="134" t="s">
        <v>3460</v>
      </c>
    </row>
    <row r="10" spans="1:11" s="72" customFormat="1">
      <c r="A10" s="188"/>
      <c r="B10" s="189" t="s">
        <v>87</v>
      </c>
      <c r="C10" s="235" t="s">
        <v>69</v>
      </c>
      <c r="D10" s="233">
        <f>SUMIFS('GP Jun22data'!G:G,'GP Jun22data'!H:H,B10,'GP Jun22data'!I:I,C10)</f>
        <v>180413.51112500031</v>
      </c>
      <c r="E10" s="236">
        <f t="shared" si="0"/>
        <v>0</v>
      </c>
      <c r="F10" s="236">
        <f t="shared" si="0"/>
        <v>180413.51112500031</v>
      </c>
      <c r="G10" s="236">
        <f t="shared" si="0"/>
        <v>0</v>
      </c>
      <c r="H10" s="236">
        <f t="shared" si="0"/>
        <v>0</v>
      </c>
      <c r="I10" s="236">
        <f t="shared" si="0"/>
        <v>0</v>
      </c>
      <c r="J10" s="110" t="s">
        <v>305</v>
      </c>
      <c r="K10" s="134" t="s">
        <v>3460</v>
      </c>
    </row>
    <row r="11" spans="1:11" s="72" customFormat="1">
      <c r="A11" s="188"/>
      <c r="B11" s="232" t="s">
        <v>87</v>
      </c>
      <c r="C11" s="109" t="s">
        <v>96</v>
      </c>
      <c r="D11" s="239">
        <f>SUMIFS('GP Jun22data'!G:G,'GP Jun22data'!H:H,B11,'GP Jun22data'!I:I,C11)</f>
        <v>0</v>
      </c>
      <c r="E11" s="234">
        <f t="shared" si="0"/>
        <v>0</v>
      </c>
      <c r="F11" s="234">
        <f t="shared" si="0"/>
        <v>0</v>
      </c>
      <c r="G11" s="234">
        <f t="shared" si="0"/>
        <v>0</v>
      </c>
      <c r="H11" s="234">
        <f t="shared" si="0"/>
        <v>0</v>
      </c>
      <c r="I11" s="234">
        <f t="shared" si="0"/>
        <v>0</v>
      </c>
      <c r="J11" s="110" t="s">
        <v>305</v>
      </c>
      <c r="K11" s="134" t="s">
        <v>3460</v>
      </c>
    </row>
    <row r="12" spans="1:11" s="72" customFormat="1">
      <c r="A12" s="188" t="s">
        <v>125</v>
      </c>
      <c r="B12" s="237" t="s">
        <v>89</v>
      </c>
      <c r="C12" s="235" t="s">
        <v>70</v>
      </c>
      <c r="D12" s="233">
        <f>SUMIFS('GP Jun22data'!G:G,'GP Jun22data'!H:H,B12,'GP Jun22data'!I:I,C12)</f>
        <v>0</v>
      </c>
      <c r="E12" s="238">
        <f t="shared" si="0"/>
        <v>0</v>
      </c>
      <c r="F12" s="238">
        <f t="shared" si="0"/>
        <v>0</v>
      </c>
      <c r="G12" s="238">
        <f t="shared" si="0"/>
        <v>0</v>
      </c>
      <c r="H12" s="238">
        <f t="shared" si="0"/>
        <v>0</v>
      </c>
      <c r="I12" s="238">
        <f t="shared" si="0"/>
        <v>0</v>
      </c>
      <c r="J12" s="110" t="s">
        <v>305</v>
      </c>
      <c r="K12" s="134" t="s">
        <v>3460</v>
      </c>
    </row>
    <row r="13" spans="1:11" s="72" customFormat="1">
      <c r="A13" s="188"/>
      <c r="B13" s="189" t="s">
        <v>89</v>
      </c>
      <c r="C13" s="235" t="s">
        <v>92</v>
      </c>
      <c r="D13" s="233">
        <f>SUMIFS('GP Jun22data'!G:G,'GP Jun22data'!H:H,B13,'GP Jun22data'!I:I,C13)</f>
        <v>293675.77304291702</v>
      </c>
      <c r="E13" s="236">
        <f t="shared" si="0"/>
        <v>140318.47966946429</v>
      </c>
      <c r="F13" s="236">
        <f t="shared" si="0"/>
        <v>72771.536794081869</v>
      </c>
      <c r="G13" s="236">
        <f t="shared" si="0"/>
        <v>80585.756579370864</v>
      </c>
      <c r="H13" s="236">
        <f t="shared" si="0"/>
        <v>0</v>
      </c>
      <c r="I13" s="236">
        <f t="shared" si="0"/>
        <v>0</v>
      </c>
      <c r="J13" s="110" t="s">
        <v>305</v>
      </c>
      <c r="K13" s="134" t="s">
        <v>3460</v>
      </c>
    </row>
    <row r="14" spans="1:11" s="72" customFormat="1">
      <c r="A14" s="188"/>
      <c r="B14" s="189" t="s">
        <v>89</v>
      </c>
      <c r="C14" s="235" t="s">
        <v>96</v>
      </c>
      <c r="D14" s="233">
        <v>0</v>
      </c>
      <c r="E14" s="236">
        <f t="shared" si="0"/>
        <v>0</v>
      </c>
      <c r="F14" s="236">
        <f t="shared" si="0"/>
        <v>0</v>
      </c>
      <c r="G14" s="236">
        <f t="shared" si="0"/>
        <v>0</v>
      </c>
      <c r="H14" s="236">
        <f t="shared" si="0"/>
        <v>0</v>
      </c>
      <c r="I14" s="236">
        <f t="shared" si="0"/>
        <v>0</v>
      </c>
      <c r="J14" s="110" t="s">
        <v>305</v>
      </c>
      <c r="K14" s="134" t="s">
        <v>3460</v>
      </c>
    </row>
    <row r="15" spans="1:11" s="72" customFormat="1">
      <c r="A15" s="188"/>
      <c r="B15" s="232" t="s">
        <v>89</v>
      </c>
      <c r="C15" s="109" t="s">
        <v>68</v>
      </c>
      <c r="D15" s="239">
        <v>0</v>
      </c>
      <c r="E15" s="234">
        <f t="shared" si="0"/>
        <v>0</v>
      </c>
      <c r="F15" s="234">
        <f t="shared" si="0"/>
        <v>0</v>
      </c>
      <c r="G15" s="234">
        <f t="shared" si="0"/>
        <v>0</v>
      </c>
      <c r="H15" s="234">
        <f t="shared" si="0"/>
        <v>0</v>
      </c>
      <c r="I15" s="234">
        <f t="shared" si="0"/>
        <v>0</v>
      </c>
      <c r="J15" s="110" t="s">
        <v>305</v>
      </c>
      <c r="K15" s="134" t="s">
        <v>3460</v>
      </c>
    </row>
    <row r="16" spans="1:11" s="72" customFormat="1">
      <c r="A16" s="85"/>
      <c r="B16" s="189" t="s">
        <v>248</v>
      </c>
      <c r="C16" s="235" t="s">
        <v>68</v>
      </c>
      <c r="D16" s="233">
        <v>0</v>
      </c>
      <c r="E16" s="236">
        <f t="shared" si="0"/>
        <v>0</v>
      </c>
      <c r="F16" s="236">
        <f t="shared" si="0"/>
        <v>0</v>
      </c>
      <c r="G16" s="236">
        <f t="shared" si="0"/>
        <v>0</v>
      </c>
      <c r="H16" s="236">
        <f t="shared" si="0"/>
        <v>0</v>
      </c>
      <c r="I16" s="236">
        <f t="shared" si="0"/>
        <v>0</v>
      </c>
      <c r="J16" s="110" t="s">
        <v>305</v>
      </c>
      <c r="K16" s="134" t="s">
        <v>3460</v>
      </c>
    </row>
    <row r="17" spans="1:11" s="72" customFormat="1">
      <c r="A17" s="85"/>
      <c r="B17" s="189" t="s">
        <v>266</v>
      </c>
      <c r="C17" s="235" t="s">
        <v>70</v>
      </c>
      <c r="D17" s="233">
        <v>0</v>
      </c>
      <c r="E17" s="236">
        <f t="shared" si="0"/>
        <v>0</v>
      </c>
      <c r="F17" s="236">
        <f t="shared" si="0"/>
        <v>0</v>
      </c>
      <c r="G17" s="236">
        <f t="shared" si="0"/>
        <v>0</v>
      </c>
      <c r="H17" s="236">
        <f t="shared" si="0"/>
        <v>0</v>
      </c>
      <c r="I17" s="236">
        <f t="shared" si="0"/>
        <v>0</v>
      </c>
      <c r="J17" s="110" t="s">
        <v>305</v>
      </c>
      <c r="K17" s="134" t="s">
        <v>3460</v>
      </c>
    </row>
    <row r="18" spans="1:11" s="72" customFormat="1">
      <c r="A18" s="85"/>
      <c r="B18" s="232" t="s">
        <v>266</v>
      </c>
      <c r="C18" s="109" t="s">
        <v>68</v>
      </c>
      <c r="D18" s="239">
        <f>SUMIFS('GP Jun22data'!G:G,'GP Jun22data'!H:H,B18,'GP Jun22data'!I:I,C18)</f>
        <v>0</v>
      </c>
      <c r="E18" s="234">
        <f t="shared" si="0"/>
        <v>0</v>
      </c>
      <c r="F18" s="234">
        <f t="shared" si="0"/>
        <v>0</v>
      </c>
      <c r="G18" s="234">
        <f t="shared" si="0"/>
        <v>0</v>
      </c>
      <c r="H18" s="234">
        <f t="shared" si="0"/>
        <v>0</v>
      </c>
      <c r="I18" s="234">
        <f t="shared" si="0"/>
        <v>0</v>
      </c>
      <c r="J18" s="110" t="s">
        <v>305</v>
      </c>
      <c r="K18" s="134" t="s">
        <v>3460</v>
      </c>
    </row>
    <row r="19" spans="1:11" s="72" customFormat="1">
      <c r="A19" s="188"/>
      <c r="B19" s="189" t="s">
        <v>12</v>
      </c>
      <c r="C19" s="235" t="s">
        <v>70</v>
      </c>
      <c r="D19" s="233">
        <f>SUMIFS('GP Jun22data'!G:G,'GP Jun22data'!H:H,B19,'GP Jun22data'!I:I,C19)</f>
        <v>276823.04938583338</v>
      </c>
      <c r="E19" s="236">
        <f t="shared" si="0"/>
        <v>0</v>
      </c>
      <c r="F19" s="236">
        <f t="shared" si="0"/>
        <v>0</v>
      </c>
      <c r="G19" s="236">
        <f t="shared" si="0"/>
        <v>276823.04938583338</v>
      </c>
      <c r="H19" s="236">
        <f t="shared" si="0"/>
        <v>0</v>
      </c>
      <c r="I19" s="236">
        <f t="shared" si="0"/>
        <v>0</v>
      </c>
      <c r="J19" s="110" t="s">
        <v>305</v>
      </c>
      <c r="K19" s="134" t="s">
        <v>3460</v>
      </c>
    </row>
    <row r="20" spans="1:11" s="72" customFormat="1">
      <c r="A20" s="188"/>
      <c r="B20" s="189" t="s">
        <v>12</v>
      </c>
      <c r="C20" s="235" t="s">
        <v>68</v>
      </c>
      <c r="D20" s="233">
        <f>SUMIFS('GP Jun22data'!G:G,'GP Jun22data'!H:H,B20,'GP Jun22data'!I:I,C20)</f>
        <v>0</v>
      </c>
      <c r="E20" s="236">
        <f t="shared" si="0"/>
        <v>0</v>
      </c>
      <c r="F20" s="236">
        <f t="shared" si="0"/>
        <v>0</v>
      </c>
      <c r="G20" s="236">
        <f t="shared" si="0"/>
        <v>0</v>
      </c>
      <c r="H20" s="236">
        <f t="shared" si="0"/>
        <v>0</v>
      </c>
      <c r="I20" s="236">
        <f t="shared" si="0"/>
        <v>0</v>
      </c>
      <c r="J20" s="110" t="s">
        <v>305</v>
      </c>
      <c r="K20" s="134" t="s">
        <v>3460</v>
      </c>
    </row>
    <row r="21" spans="1:11" s="72" customFormat="1">
      <c r="A21" s="188"/>
      <c r="B21" s="232" t="s">
        <v>12</v>
      </c>
      <c r="C21" s="109" t="s">
        <v>96</v>
      </c>
      <c r="D21" s="239">
        <f>SUMIFS('GP Jun22data'!G:G,'GP Jun22data'!H:H,B21,'GP Jun22data'!I:I,C21)</f>
        <v>423775.78418083326</v>
      </c>
      <c r="E21" s="234">
        <f t="shared" si="0"/>
        <v>0</v>
      </c>
      <c r="F21" s="234">
        <f t="shared" si="0"/>
        <v>201091.28423294687</v>
      </c>
      <c r="G21" s="234">
        <f t="shared" si="0"/>
        <v>222684.49994788636</v>
      </c>
      <c r="H21" s="234">
        <f t="shared" si="0"/>
        <v>0</v>
      </c>
      <c r="I21" s="234">
        <f t="shared" si="0"/>
        <v>0</v>
      </c>
      <c r="J21" s="110" t="s">
        <v>305</v>
      </c>
      <c r="K21" s="134" t="s">
        <v>3460</v>
      </c>
    </row>
    <row r="22" spans="1:11" s="72" customFormat="1">
      <c r="A22" s="73" t="s">
        <v>301</v>
      </c>
      <c r="B22" s="189"/>
      <c r="C22" s="235"/>
      <c r="D22" s="236">
        <f t="shared" ref="D22:I22" si="1">SUMIF($C:$C,"CUST",D:D)</f>
        <v>16639.669956639667</v>
      </c>
      <c r="E22" s="236">
        <f t="shared" si="1"/>
        <v>0</v>
      </c>
      <c r="F22" s="236">
        <f t="shared" si="1"/>
        <v>0</v>
      </c>
      <c r="G22" s="236">
        <f t="shared" si="1"/>
        <v>0</v>
      </c>
      <c r="H22" s="236">
        <f t="shared" si="1"/>
        <v>16639.669956639667</v>
      </c>
      <c r="I22" s="236">
        <f t="shared" si="1"/>
        <v>0</v>
      </c>
    </row>
    <row r="23" spans="1:11" s="72" customFormat="1">
      <c r="A23" s="73" t="s">
        <v>300</v>
      </c>
      <c r="B23" s="189"/>
      <c r="C23" s="235"/>
      <c r="D23" s="236">
        <f t="shared" ref="D23:I23" si="2">SUMIF($C:$C,"TD",D:D)</f>
        <v>423775.78418083326</v>
      </c>
      <c r="E23" s="236">
        <f t="shared" si="2"/>
        <v>0</v>
      </c>
      <c r="F23" s="236">
        <f t="shared" si="2"/>
        <v>201091.28423294687</v>
      </c>
      <c r="G23" s="236">
        <f t="shared" si="2"/>
        <v>222684.49994788636</v>
      </c>
      <c r="H23" s="236">
        <f t="shared" si="2"/>
        <v>0</v>
      </c>
      <c r="I23" s="236">
        <f t="shared" si="2"/>
        <v>0</v>
      </c>
    </row>
    <row r="24" spans="1:11" s="72" customFormat="1">
      <c r="A24" s="73" t="s">
        <v>299</v>
      </c>
      <c r="B24" s="189"/>
      <c r="C24" s="235"/>
      <c r="D24" s="236">
        <f t="shared" ref="D24:I24" si="3">SUMIF($C:$C,"PTD",D:D)</f>
        <v>293675.77304291702</v>
      </c>
      <c r="E24" s="236">
        <f t="shared" si="3"/>
        <v>140318.47966946429</v>
      </c>
      <c r="F24" s="236">
        <f t="shared" si="3"/>
        <v>72771.536794081869</v>
      </c>
      <c r="G24" s="236">
        <f t="shared" si="3"/>
        <v>80585.756579370864</v>
      </c>
      <c r="H24" s="236">
        <f t="shared" si="3"/>
        <v>0</v>
      </c>
      <c r="I24" s="236">
        <f t="shared" si="3"/>
        <v>0</v>
      </c>
    </row>
    <row r="25" spans="1:11" s="72" customFormat="1">
      <c r="A25" s="73" t="s">
        <v>298</v>
      </c>
      <c r="B25" s="189"/>
      <c r="C25" s="235"/>
      <c r="D25" s="236">
        <f t="shared" ref="D25:I25" si="4">SUMIF($C:$C,"DPW",D:D)</f>
        <v>276823.04938583338</v>
      </c>
      <c r="E25" s="236">
        <f t="shared" si="4"/>
        <v>0</v>
      </c>
      <c r="F25" s="236">
        <f t="shared" si="4"/>
        <v>0</v>
      </c>
      <c r="G25" s="236">
        <f t="shared" si="4"/>
        <v>276823.04938583338</v>
      </c>
      <c r="H25" s="236">
        <f t="shared" si="4"/>
        <v>0</v>
      </c>
      <c r="I25" s="236">
        <f t="shared" si="4"/>
        <v>0</v>
      </c>
    </row>
    <row r="26" spans="1:11" s="72" customFormat="1">
      <c r="A26" s="73" t="s">
        <v>290</v>
      </c>
      <c r="B26" s="188"/>
      <c r="C26" s="188"/>
      <c r="D26" s="236">
        <f t="shared" ref="D26:I26" si="5">SUMIF($B:$B,"SSGCH",D:D)</f>
        <v>0</v>
      </c>
      <c r="E26" s="236">
        <f t="shared" si="5"/>
        <v>0</v>
      </c>
      <c r="F26" s="236">
        <f t="shared" si="5"/>
        <v>0</v>
      </c>
      <c r="G26" s="236">
        <f t="shared" si="5"/>
        <v>0</v>
      </c>
      <c r="H26" s="236">
        <f t="shared" si="5"/>
        <v>0</v>
      </c>
      <c r="I26" s="236">
        <f t="shared" si="5"/>
        <v>0</v>
      </c>
    </row>
    <row r="27" spans="1:11" s="72" customFormat="1">
      <c r="A27" s="73" t="s">
        <v>291</v>
      </c>
      <c r="B27" s="188"/>
      <c r="C27" s="188"/>
      <c r="D27" s="236">
        <f t="shared" ref="D27:I27" si="6">SUMIF($B:$B,"SSGCT",D:D)</f>
        <v>0</v>
      </c>
      <c r="E27" s="236">
        <f t="shared" si="6"/>
        <v>0</v>
      </c>
      <c r="F27" s="236">
        <f t="shared" si="6"/>
        <v>0</v>
      </c>
      <c r="G27" s="236">
        <f t="shared" si="6"/>
        <v>0</v>
      </c>
      <c r="H27" s="236">
        <f t="shared" si="6"/>
        <v>0</v>
      </c>
      <c r="I27" s="236">
        <f t="shared" si="6"/>
        <v>0</v>
      </c>
    </row>
    <row r="28" spans="1:11" s="72" customFormat="1">
      <c r="A28" s="73" t="s">
        <v>292</v>
      </c>
      <c r="B28" s="188"/>
      <c r="C28" s="188"/>
      <c r="D28" s="236">
        <f t="shared" ref="D28:I28" si="7">SUMIF($B:$B,"SG",D:D)</f>
        <v>308455.98584458366</v>
      </c>
      <c r="E28" s="236">
        <f t="shared" si="7"/>
        <v>128042.47471958335</v>
      </c>
      <c r="F28" s="236">
        <f t="shared" si="7"/>
        <v>180413.51112500031</v>
      </c>
      <c r="G28" s="236">
        <f t="shared" si="7"/>
        <v>0</v>
      </c>
      <c r="H28" s="236">
        <f t="shared" si="7"/>
        <v>0</v>
      </c>
      <c r="I28" s="236">
        <f t="shared" si="7"/>
        <v>0</v>
      </c>
    </row>
    <row r="29" spans="1:11" s="72" customFormat="1">
      <c r="A29" s="73" t="s">
        <v>304</v>
      </c>
      <c r="B29" s="188"/>
      <c r="C29" s="188"/>
      <c r="D29" s="236">
        <f t="shared" ref="D29:I29" si="8">SUMIF($B:$B,"SE",D:D)</f>
        <v>5138.1432829166661</v>
      </c>
      <c r="E29" s="236">
        <f t="shared" si="8"/>
        <v>5138.1432829166661</v>
      </c>
      <c r="F29" s="236">
        <f t="shared" si="8"/>
        <v>0</v>
      </c>
      <c r="G29" s="236">
        <f t="shared" si="8"/>
        <v>0</v>
      </c>
      <c r="H29" s="236">
        <f t="shared" si="8"/>
        <v>0</v>
      </c>
      <c r="I29" s="236">
        <f t="shared" si="8"/>
        <v>0</v>
      </c>
    </row>
    <row r="30" spans="1:11" s="72" customFormat="1">
      <c r="A30" s="73" t="s">
        <v>293</v>
      </c>
      <c r="B30" s="188"/>
      <c r="C30" s="188"/>
      <c r="D30" s="236">
        <f t="shared" ref="D30:I30" si="9">SUMIF($B:$B,"SITUS",D:D)</f>
        <v>700598.83356666658</v>
      </c>
      <c r="E30" s="236">
        <f t="shared" si="9"/>
        <v>0</v>
      </c>
      <c r="F30" s="236">
        <f t="shared" si="9"/>
        <v>201091.28423294687</v>
      </c>
      <c r="G30" s="236">
        <f t="shared" si="9"/>
        <v>499507.54933371977</v>
      </c>
      <c r="H30" s="236">
        <f t="shared" si="9"/>
        <v>0</v>
      </c>
      <c r="I30" s="236">
        <f t="shared" si="9"/>
        <v>0</v>
      </c>
    </row>
    <row r="31" spans="1:11" s="72" customFormat="1">
      <c r="A31" s="82" t="s">
        <v>268</v>
      </c>
      <c r="B31" s="240"/>
      <c r="C31" s="240"/>
      <c r="D31" s="241">
        <f t="shared" ref="D31:I31" si="10">SUMIF($B:$B,"SO",D:D)</f>
        <v>293675.77304291702</v>
      </c>
      <c r="E31" s="241">
        <f t="shared" si="10"/>
        <v>140318.47966946429</v>
      </c>
      <c r="F31" s="241">
        <f t="shared" si="10"/>
        <v>72771.536794081869</v>
      </c>
      <c r="G31" s="241">
        <f t="shared" si="10"/>
        <v>80585.756579370864</v>
      </c>
      <c r="H31" s="241">
        <f t="shared" si="10"/>
        <v>0</v>
      </c>
      <c r="I31" s="241">
        <f t="shared" si="10"/>
        <v>0</v>
      </c>
    </row>
    <row r="32" spans="1:11" s="72" customFormat="1">
      <c r="A32" s="73" t="s">
        <v>294</v>
      </c>
      <c r="B32" s="188"/>
      <c r="C32" s="188"/>
      <c r="D32" s="236">
        <f t="shared" ref="D32:I32" si="11">SUM(D7:D21)</f>
        <v>1324508.4056937236</v>
      </c>
      <c r="E32" s="236">
        <f t="shared" si="11"/>
        <v>273499.09767196432</v>
      </c>
      <c r="F32" s="236">
        <f t="shared" si="11"/>
        <v>454276.33215202903</v>
      </c>
      <c r="G32" s="236">
        <f t="shared" si="11"/>
        <v>580093.30591309059</v>
      </c>
      <c r="H32" s="236">
        <f t="shared" si="11"/>
        <v>16639.669956639667</v>
      </c>
      <c r="I32" s="236">
        <f t="shared" si="11"/>
        <v>0</v>
      </c>
    </row>
    <row r="33" spans="1:9" s="72" customFormat="1">
      <c r="A33" s="73"/>
      <c r="B33" s="188"/>
      <c r="C33" s="188"/>
      <c r="D33" s="236"/>
      <c r="E33" s="236"/>
      <c r="F33" s="236"/>
      <c r="G33" s="236"/>
      <c r="H33" s="236"/>
      <c r="I33" s="236"/>
    </row>
    <row r="34" spans="1:9" s="72" customFormat="1">
      <c r="A34" s="73" t="s">
        <v>13</v>
      </c>
      <c r="B34" s="73"/>
      <c r="C34" s="73"/>
      <c r="D34" s="226">
        <f>SUM(E34:I34)</f>
        <v>1</v>
      </c>
      <c r="E34" s="227">
        <f>E28/$D$28</f>
        <v>0.41510776446432096</v>
      </c>
      <c r="F34" s="227">
        <f>F28/$D$28</f>
        <v>0.58489223553567904</v>
      </c>
      <c r="G34" s="227">
        <f>G28/$D$28</f>
        <v>0</v>
      </c>
      <c r="H34" s="227">
        <f>H28/$D$28</f>
        <v>0</v>
      </c>
      <c r="I34" s="227">
        <f>I28/$D$28</f>
        <v>0</v>
      </c>
    </row>
    <row r="35" spans="1:9" s="72" customFormat="1">
      <c r="A35" s="73" t="s">
        <v>302</v>
      </c>
      <c r="B35" s="73"/>
      <c r="C35" s="73"/>
      <c r="D35" s="226">
        <f>SUM(E35:I35)</f>
        <v>1</v>
      </c>
      <c r="E35" s="227">
        <f>E30/$D$30</f>
        <v>0</v>
      </c>
      <c r="F35" s="227">
        <f>F30/$D$30</f>
        <v>0.28702771771573571</v>
      </c>
      <c r="G35" s="227">
        <f>G30/$D$30</f>
        <v>0.71297228228426435</v>
      </c>
      <c r="H35" s="227">
        <f>H30/$D$30</f>
        <v>0</v>
      </c>
      <c r="I35" s="227">
        <f>I30/$D$30</f>
        <v>0</v>
      </c>
    </row>
    <row r="36" spans="1:9" s="72" customFormat="1">
      <c r="A36" s="73" t="s">
        <v>126</v>
      </c>
      <c r="B36" s="73"/>
      <c r="C36" s="73"/>
      <c r="D36" s="226">
        <f>SUM(E36:I36)</f>
        <v>1</v>
      </c>
      <c r="E36" s="227">
        <f>E31/$D$31</f>
        <v>0.47780066505165375</v>
      </c>
      <c r="F36" s="227">
        <f>F31/$D$31</f>
        <v>0.24779550604416806</v>
      </c>
      <c r="G36" s="227">
        <f>G31/$D$31</f>
        <v>0.27440382890417819</v>
      </c>
      <c r="H36" s="227">
        <f>H31/$D$31</f>
        <v>0</v>
      </c>
      <c r="I36" s="227">
        <f>I31/$D$31</f>
        <v>0</v>
      </c>
    </row>
    <row r="37" spans="1:9" s="72" customFormat="1">
      <c r="A37" s="73" t="s">
        <v>128</v>
      </c>
      <c r="B37" s="73"/>
      <c r="C37" s="73"/>
      <c r="D37" s="226">
        <f>SUM(E37:I37)</f>
        <v>1</v>
      </c>
      <c r="E37" s="228">
        <f>E32/$D$32</f>
        <v>0.20649102451616125</v>
      </c>
      <c r="F37" s="228">
        <f>F32/$D$32</f>
        <v>0.34297731158157324</v>
      </c>
      <c r="G37" s="228">
        <f>G32/$D$32</f>
        <v>0.43796876140567892</v>
      </c>
      <c r="H37" s="228">
        <f>H32/$D$32</f>
        <v>1.2562902496586637E-2</v>
      </c>
      <c r="I37" s="228">
        <f>I32/$D$32</f>
        <v>0</v>
      </c>
    </row>
    <row r="38" spans="1:9" s="72" customFormat="1">
      <c r="A38" s="188" t="s">
        <v>90</v>
      </c>
      <c r="B38" s="242"/>
      <c r="C38" s="188"/>
      <c r="D38" s="89">
        <f>D32</f>
        <v>1324508.4056937236</v>
      </c>
      <c r="E38" s="242"/>
      <c r="F38" s="242"/>
      <c r="G38" s="242"/>
      <c r="H38" s="242"/>
      <c r="I38" s="242"/>
    </row>
    <row r="39" spans="1:9" s="72" customFormat="1">
      <c r="A39" s="188" t="s">
        <v>135</v>
      </c>
      <c r="B39" s="242"/>
      <c r="C39" s="188" t="s">
        <v>237</v>
      </c>
      <c r="D39" s="89">
        <f>'GROSS PLANT'!D12</f>
        <v>41596.247174065866</v>
      </c>
      <c r="E39" s="243">
        <f>D29</f>
        <v>5138.1432829166661</v>
      </c>
      <c r="F39" s="243">
        <f>SUM(D39+E39)</f>
        <v>46734.390456982532</v>
      </c>
      <c r="G39" s="242"/>
      <c r="H39" s="242"/>
      <c r="I39" s="242"/>
    </row>
    <row r="40" spans="1:9" s="72" customFormat="1">
      <c r="A40" s="188" t="s">
        <v>91</v>
      </c>
      <c r="B40" s="242"/>
      <c r="C40" s="188" t="s">
        <v>68</v>
      </c>
      <c r="D40" s="244">
        <f>SUM(D38:D39)</f>
        <v>1366104.6528677894</v>
      </c>
      <c r="E40" s="242"/>
      <c r="F40" s="243"/>
      <c r="G40" s="242"/>
      <c r="H40" s="242"/>
      <c r="I40" s="242"/>
    </row>
    <row r="41" spans="1:9" s="72" customFormat="1">
      <c r="A41" s="242"/>
      <c r="B41" s="242"/>
      <c r="C41" s="242"/>
      <c r="D41" s="243"/>
      <c r="E41" s="242"/>
      <c r="F41" s="242"/>
      <c r="G41" s="242"/>
      <c r="H41" s="242"/>
      <c r="I41" s="242"/>
    </row>
    <row r="42" spans="1:9" s="72" customFormat="1">
      <c r="A42" s="242"/>
      <c r="B42" s="242"/>
      <c r="C42" s="242"/>
      <c r="D42" s="243"/>
      <c r="E42" s="242"/>
      <c r="F42" s="242"/>
      <c r="G42" s="242"/>
      <c r="H42" s="242"/>
      <c r="I42" s="242"/>
    </row>
    <row r="43" spans="1:9" s="72" customFormat="1">
      <c r="A43" s="242"/>
      <c r="B43" s="188" t="s">
        <v>129</v>
      </c>
      <c r="C43" s="188"/>
      <c r="D43" s="74" t="s">
        <v>130</v>
      </c>
      <c r="E43" s="74" t="s">
        <v>131</v>
      </c>
      <c r="F43" s="75" t="s">
        <v>70</v>
      </c>
      <c r="G43" s="75" t="s">
        <v>73</v>
      </c>
      <c r="H43" s="75" t="s">
        <v>122</v>
      </c>
      <c r="I43" s="242"/>
    </row>
    <row r="44" spans="1:9" s="72" customFormat="1">
      <c r="A44" s="242"/>
      <c r="B44" s="242" t="s">
        <v>68</v>
      </c>
      <c r="C44" s="245">
        <f t="shared" ref="C44:C49" si="12">SUM(D44:H44)</f>
        <v>1</v>
      </c>
      <c r="D44" s="245">
        <f>'FORM 1'!$C$13</f>
        <v>1</v>
      </c>
      <c r="E44" s="245">
        <f>'FORM 1'!$D$13</f>
        <v>0</v>
      </c>
      <c r="F44" s="245">
        <f>'FORM 1'!$E$13</f>
        <v>0</v>
      </c>
      <c r="G44" s="245">
        <f>'FORM 1'!$F$13</f>
        <v>0</v>
      </c>
      <c r="H44" s="245">
        <f>'FORM 1'!$G$13</f>
        <v>0</v>
      </c>
      <c r="I44" s="242"/>
    </row>
    <row r="45" spans="1:9" s="72" customFormat="1">
      <c r="A45" s="242"/>
      <c r="B45" s="242" t="s">
        <v>69</v>
      </c>
      <c r="C45" s="245">
        <f t="shared" si="12"/>
        <v>1</v>
      </c>
      <c r="D45" s="245">
        <f>'FORM 1'!$C$14</f>
        <v>0</v>
      </c>
      <c r="E45" s="245">
        <f>'FORM 1'!$D$14</f>
        <v>1</v>
      </c>
      <c r="F45" s="245">
        <f>'FORM 1'!$E$14</f>
        <v>0</v>
      </c>
      <c r="G45" s="245">
        <f>'FORM 1'!$F$14</f>
        <v>0</v>
      </c>
      <c r="H45" s="245">
        <f>'FORM 1'!$G$14</f>
        <v>0</v>
      </c>
      <c r="I45" s="242"/>
    </row>
    <row r="46" spans="1:9" s="72" customFormat="1">
      <c r="A46" s="242"/>
      <c r="B46" s="242" t="s">
        <v>96</v>
      </c>
      <c r="C46" s="245">
        <f t="shared" si="12"/>
        <v>0.99999999999999989</v>
      </c>
      <c r="D46" s="245">
        <f>'FORM 1'!$C$18</f>
        <v>0</v>
      </c>
      <c r="E46" s="245">
        <f>'FORM 1'!$D$18</f>
        <v>0.47452282961769554</v>
      </c>
      <c r="F46" s="245">
        <f>'FORM 1'!$E$18</f>
        <v>0.52547717038230435</v>
      </c>
      <c r="G46" s="245">
        <f>'FORM 1'!$F$18</f>
        <v>0</v>
      </c>
      <c r="H46" s="245">
        <f>'FORM 1'!$G$18</f>
        <v>0</v>
      </c>
      <c r="I46" s="242"/>
    </row>
    <row r="47" spans="1:9" s="72" customFormat="1">
      <c r="A47" s="242"/>
      <c r="B47" s="242" t="s">
        <v>73</v>
      </c>
      <c r="C47" s="245">
        <f t="shared" si="12"/>
        <v>1</v>
      </c>
      <c r="D47" s="245">
        <v>0</v>
      </c>
      <c r="E47" s="245">
        <v>0</v>
      </c>
      <c r="F47" s="245">
        <v>0</v>
      </c>
      <c r="G47" s="245">
        <v>1</v>
      </c>
      <c r="H47" s="245">
        <v>0</v>
      </c>
      <c r="I47" s="242"/>
    </row>
    <row r="48" spans="1:9" s="72" customFormat="1">
      <c r="A48" s="242"/>
      <c r="B48" s="242" t="s">
        <v>70</v>
      </c>
      <c r="C48" s="245">
        <f t="shared" si="12"/>
        <v>1</v>
      </c>
      <c r="D48" s="245">
        <v>0</v>
      </c>
      <c r="E48" s="245">
        <v>0</v>
      </c>
      <c r="F48" s="245">
        <v>1</v>
      </c>
      <c r="G48" s="245">
        <v>0</v>
      </c>
      <c r="H48" s="245">
        <v>0</v>
      </c>
      <c r="I48" s="242"/>
    </row>
    <row r="49" spans="1:9" s="72" customFormat="1">
      <c r="A49" s="242"/>
      <c r="B49" s="235" t="s">
        <v>92</v>
      </c>
      <c r="C49" s="245">
        <f t="shared" si="12"/>
        <v>1</v>
      </c>
      <c r="D49" s="245">
        <f>'FORM 1'!$C$16</f>
        <v>0.47780066505165375</v>
      </c>
      <c r="E49" s="245">
        <f>'FORM 1'!$D$16</f>
        <v>0.24779550604416806</v>
      </c>
      <c r="F49" s="245">
        <f>'FORM 1'!$E$16</f>
        <v>0.27440382890417819</v>
      </c>
      <c r="G49" s="245">
        <f>'FORM 1'!$F$16</f>
        <v>0</v>
      </c>
      <c r="H49" s="245">
        <f>'FORM 1'!$G$16</f>
        <v>0</v>
      </c>
      <c r="I49" s="242"/>
    </row>
    <row r="50" spans="1:9" s="72" customFormat="1">
      <c r="A50" s="242"/>
      <c r="B50" s="235" t="s">
        <v>110</v>
      </c>
      <c r="C50" s="245">
        <f>SUM(D50:H50)</f>
        <v>1</v>
      </c>
      <c r="D50" s="245">
        <f>+'GROSS PLANT'!E42</f>
        <v>0.46689390234989775</v>
      </c>
      <c r="E50" s="245">
        <f>+'GROSS PLANT'!F42</f>
        <v>0.24894656398337411</v>
      </c>
      <c r="F50" s="245">
        <f>+'GROSS PLANT'!G42</f>
        <v>0.27562257965004799</v>
      </c>
      <c r="G50" s="245">
        <f>+'GROSS PLANT'!H42</f>
        <v>8.5369540166802087E-3</v>
      </c>
      <c r="H50" s="245">
        <f>+'GROSS PLANT'!I42</f>
        <v>0</v>
      </c>
      <c r="I50" s="242"/>
    </row>
    <row r="51" spans="1:9" s="72" customFormat="1">
      <c r="A51" s="188"/>
      <c r="B51" s="188"/>
      <c r="C51" s="188"/>
      <c r="D51" s="236"/>
      <c r="E51" s="236"/>
      <c r="F51" s="236"/>
      <c r="G51" s="236"/>
      <c r="H51" s="236"/>
      <c r="I51" s="236"/>
    </row>
    <row r="52" spans="1:9" s="72" customFormat="1">
      <c r="A52" s="188"/>
      <c r="B52" s="188"/>
      <c r="C52" s="188"/>
      <c r="D52" s="236"/>
      <c r="E52" s="236"/>
      <c r="F52" s="236"/>
      <c r="G52" s="236"/>
      <c r="H52" s="242"/>
      <c r="I52" s="242"/>
    </row>
    <row r="53" spans="1:9" s="72" customFormat="1">
      <c r="A53" s="188"/>
      <c r="B53" s="188"/>
      <c r="C53" s="188"/>
      <c r="D53" s="236"/>
      <c r="E53" s="236"/>
      <c r="F53" s="236"/>
      <c r="G53" s="236"/>
      <c r="H53" s="242"/>
      <c r="I53" s="242"/>
    </row>
    <row r="54" spans="1:9" s="72" customFormat="1">
      <c r="A54" s="188"/>
      <c r="B54" s="188"/>
      <c r="C54" s="188"/>
      <c r="D54" s="236"/>
      <c r="E54" s="236"/>
      <c r="F54" s="236"/>
      <c r="G54" s="236"/>
      <c r="H54" s="236"/>
      <c r="I54" s="236"/>
    </row>
    <row r="55" spans="1:9" s="72" customFormat="1">
      <c r="A55" s="188"/>
      <c r="B55" s="188"/>
      <c r="C55" s="188"/>
      <c r="D55" s="236"/>
      <c r="E55" s="236"/>
      <c r="F55" s="236"/>
      <c r="G55" s="236"/>
      <c r="H55" s="236"/>
      <c r="I55" s="236"/>
    </row>
    <row r="56" spans="1:9" s="72" customFormat="1">
      <c r="A56" s="188"/>
      <c r="B56" s="188"/>
      <c r="C56" s="188"/>
      <c r="D56" s="236"/>
      <c r="E56" s="236"/>
      <c r="F56" s="236"/>
      <c r="G56" s="236"/>
      <c r="H56" s="242"/>
      <c r="I56" s="242"/>
    </row>
    <row r="57" spans="1:9" s="72" customFormat="1">
      <c r="A57" s="188"/>
      <c r="B57" s="242"/>
      <c r="C57" s="242"/>
      <c r="D57" s="242"/>
      <c r="E57" s="236"/>
      <c r="F57" s="236"/>
      <c r="G57" s="236"/>
      <c r="H57" s="242"/>
      <c r="I57" s="242"/>
    </row>
    <row r="58" spans="1:9" s="72" customFormat="1">
      <c r="A58" s="188"/>
      <c r="B58" s="242"/>
      <c r="C58" s="242"/>
      <c r="D58" s="242"/>
      <c r="E58" s="236"/>
      <c r="F58" s="236"/>
      <c r="G58" s="236"/>
      <c r="H58" s="242"/>
      <c r="I58" s="242"/>
    </row>
    <row r="59" spans="1:9" s="72" customFormat="1">
      <c r="A59" s="188"/>
      <c r="B59" s="188"/>
      <c r="C59" s="188"/>
      <c r="D59" s="236"/>
      <c r="E59" s="236"/>
      <c r="F59" s="236"/>
      <c r="G59" s="236"/>
      <c r="H59" s="242"/>
      <c r="I59" s="242"/>
    </row>
    <row r="60" spans="1:9" s="72" customFormat="1">
      <c r="A60" s="188"/>
      <c r="B60" s="188"/>
      <c r="C60" s="188"/>
      <c r="D60" s="236"/>
      <c r="E60" s="236"/>
      <c r="F60" s="236"/>
      <c r="G60" s="236"/>
      <c r="H60" s="236"/>
      <c r="I60" s="236"/>
    </row>
    <row r="61" spans="1:9" s="72" customFormat="1">
      <c r="A61" s="188"/>
      <c r="B61" s="188"/>
      <c r="C61" s="188"/>
      <c r="D61" s="236"/>
      <c r="E61" s="236"/>
      <c r="F61" s="236"/>
      <c r="G61" s="236"/>
      <c r="H61" s="236"/>
      <c r="I61" s="236"/>
    </row>
    <row r="62" spans="1:9" s="72" customFormat="1">
      <c r="A62" s="188"/>
      <c r="B62" s="188"/>
      <c r="C62" s="188"/>
      <c r="D62" s="236"/>
      <c r="E62" s="236"/>
      <c r="F62" s="236"/>
      <c r="G62" s="236"/>
      <c r="H62" s="242"/>
      <c r="I62" s="242"/>
    </row>
    <row r="63" spans="1:9" s="72" customFormat="1">
      <c r="A63" s="242"/>
      <c r="B63" s="242"/>
      <c r="C63" s="242"/>
      <c r="D63" s="168"/>
      <c r="E63" s="168"/>
      <c r="F63" s="168"/>
      <c r="G63" s="168"/>
      <c r="H63" s="168"/>
      <c r="I63" s="168"/>
    </row>
    <row r="64" spans="1:9" s="72" customFormat="1">
      <c r="A64" s="188"/>
      <c r="B64" s="188"/>
      <c r="C64" s="188"/>
      <c r="D64" s="236"/>
      <c r="E64" s="236"/>
      <c r="F64" s="236"/>
      <c r="G64" s="236"/>
      <c r="H64" s="236"/>
      <c r="I64" s="236"/>
    </row>
    <row r="65" spans="1:9" s="72" customFormat="1">
      <c r="A65" s="188"/>
      <c r="B65" s="188"/>
      <c r="C65" s="188"/>
      <c r="D65" s="236"/>
      <c r="E65" s="236"/>
      <c r="F65" s="236"/>
      <c r="G65" s="236"/>
      <c r="H65" s="242"/>
      <c r="I65" s="242"/>
    </row>
    <row r="66" spans="1:9" s="72" customFormat="1">
      <c r="A66" s="242"/>
      <c r="B66" s="242"/>
      <c r="C66" s="242"/>
      <c r="D66" s="217"/>
      <c r="E66" s="242"/>
      <c r="F66" s="242"/>
      <c r="G66" s="242"/>
      <c r="H66" s="242"/>
      <c r="I66" s="242"/>
    </row>
    <row r="67" spans="1:9" s="72" customFormat="1">
      <c r="A67" s="242"/>
      <c r="B67" s="242"/>
      <c r="C67" s="242"/>
      <c r="D67" s="242"/>
      <c r="E67" s="242"/>
      <c r="F67" s="242"/>
      <c r="G67" s="242"/>
      <c r="H67" s="242"/>
      <c r="I67" s="242"/>
    </row>
    <row r="68" spans="1:9" s="72" customFormat="1">
      <c r="A68" s="242"/>
      <c r="B68" s="242"/>
      <c r="C68" s="242"/>
      <c r="D68" s="242"/>
      <c r="E68" s="242"/>
      <c r="F68" s="242"/>
      <c r="G68" s="242"/>
      <c r="H68" s="242"/>
      <c r="I68" s="242"/>
    </row>
    <row r="69" spans="1:9">
      <c r="A69" s="242"/>
      <c r="B69" s="242"/>
      <c r="C69" s="242"/>
      <c r="D69" s="242"/>
      <c r="E69" s="242"/>
      <c r="F69" s="242"/>
      <c r="G69" s="242"/>
      <c r="H69" s="242"/>
      <c r="I69" s="242"/>
    </row>
  </sheetData>
  <customSheetViews>
    <customSheetView guid="{20A63875-964B-11D5-AAED-0004762A99E9}" scale="87" colorId="22" fitToPage="1" showRuler="0">
      <selection activeCell="F4" sqref="F4"/>
      <pageMargins left="0.5" right="0.5" top="0.5" bottom="0.5" header="0.5" footer="0.5"/>
      <printOptions horizontalCentered="1"/>
      <pageSetup scale="65" orientation="landscape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7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10">
    <tabColor rgb="FFCCFFFF"/>
  </sheetPr>
  <dimension ref="A1:J47"/>
  <sheetViews>
    <sheetView defaultGridColor="0" view="pageBreakPreview" colorId="22" zoomScaleNormal="90" zoomScaleSheetLayoutView="100" workbookViewId="0"/>
  </sheetViews>
  <sheetFormatPr defaultColWidth="12.5703125" defaultRowHeight="12.75"/>
  <cols>
    <col min="1" max="1" width="10" style="250" customWidth="1"/>
    <col min="2" max="2" width="21" style="223" bestFit="1" customWidth="1"/>
    <col min="3" max="8" width="16.7109375" style="223" customWidth="1"/>
    <col min="9" max="9" width="8.85546875" style="6" bestFit="1" customWidth="1"/>
    <col min="10" max="10" width="19.7109375" style="6" bestFit="1" customWidth="1"/>
    <col min="11" max="16384" width="12.5703125" style="6"/>
  </cols>
  <sheetData>
    <row r="1" spans="1:10">
      <c r="A1" s="23" t="str">
        <f>+'TOTAL FUNCFAC'!A1</f>
        <v>PacifiCorp</v>
      </c>
      <c r="B1" s="248"/>
      <c r="C1" s="248"/>
      <c r="D1" s="248"/>
      <c r="E1" s="248"/>
      <c r="F1" s="248"/>
      <c r="G1" s="249"/>
      <c r="H1" s="249"/>
    </row>
    <row r="2" spans="1:10">
      <c r="A2" s="23" t="str">
        <f>'TOTAL FUNCFAC'!$A$2</f>
        <v>12 Months Ended June 2022</v>
      </c>
      <c r="B2" s="248"/>
      <c r="C2" s="248"/>
      <c r="D2" s="248"/>
      <c r="E2" s="248"/>
      <c r="F2" s="248"/>
      <c r="G2" s="249"/>
      <c r="H2" s="249"/>
    </row>
    <row r="3" spans="1:10">
      <c r="A3" s="23" t="s">
        <v>136</v>
      </c>
      <c r="B3" s="248"/>
      <c r="C3" s="248"/>
      <c r="D3" s="248"/>
      <c r="E3" s="248"/>
      <c r="F3" s="248"/>
      <c r="G3" s="249"/>
      <c r="H3" s="249"/>
    </row>
    <row r="4" spans="1:10">
      <c r="A4" s="178" t="s">
        <v>255</v>
      </c>
      <c r="B4" s="249"/>
      <c r="C4" s="249"/>
      <c r="D4" s="249"/>
      <c r="E4" s="249"/>
      <c r="F4" s="249"/>
      <c r="G4" s="249"/>
      <c r="H4" s="249"/>
    </row>
    <row r="5" spans="1:10">
      <c r="A5" s="250" t="s">
        <v>119</v>
      </c>
    </row>
    <row r="6" spans="1:10">
      <c r="A6" s="251" t="s">
        <v>79</v>
      </c>
      <c r="B6" s="251" t="s">
        <v>120</v>
      </c>
      <c r="C6" s="251" t="s">
        <v>81</v>
      </c>
      <c r="D6" s="251" t="s">
        <v>63</v>
      </c>
      <c r="E6" s="251" t="s">
        <v>121</v>
      </c>
      <c r="F6" s="251" t="s">
        <v>70</v>
      </c>
      <c r="G6" s="252" t="s">
        <v>147</v>
      </c>
      <c r="H6" s="252" t="s">
        <v>74</v>
      </c>
      <c r="I6" s="48"/>
    </row>
    <row r="7" spans="1:10">
      <c r="A7" s="90" t="s">
        <v>84</v>
      </c>
      <c r="B7" s="90" t="s">
        <v>73</v>
      </c>
      <c r="C7" s="253">
        <f>SUMIFS('IP Jun22data'!G:G,'IP Jun22data'!H:H,A7,'IP Jun22data'!I:I,B7)</f>
        <v>223012.15884842901</v>
      </c>
      <c r="D7" s="267">
        <f>INDEX(D$39:D$46,MATCH($B7,$B$39:$B$46,0))*$C7</f>
        <v>0</v>
      </c>
      <c r="E7" s="254">
        <f t="shared" ref="E7:H25" si="0">INDEX(E$39:E$46,MATCH($B7,$B$39:$B$46,0))*$C7</f>
        <v>0</v>
      </c>
      <c r="F7" s="254">
        <f t="shared" si="0"/>
        <v>0</v>
      </c>
      <c r="G7" s="254">
        <f t="shared" si="0"/>
        <v>223012.15884842901</v>
      </c>
      <c r="H7" s="254">
        <f t="shared" si="0"/>
        <v>0</v>
      </c>
      <c r="I7" s="110" t="s">
        <v>305</v>
      </c>
      <c r="J7" s="134" t="s">
        <v>3460</v>
      </c>
    </row>
    <row r="8" spans="1:10">
      <c r="A8" s="90" t="s">
        <v>85</v>
      </c>
      <c r="B8" s="90" t="s">
        <v>68</v>
      </c>
      <c r="C8" s="253">
        <f>SUMIFS('IP Jun22data'!G:G,'IP Jun22data'!H:H,A8,'IP Jun22data'!I:I,B8)</f>
        <v>9.1057799999999993</v>
      </c>
      <c r="D8" s="254">
        <f t="shared" ref="D8:D23" si="1">INDEX(D$39:D$46,MATCH($B8,$B$39:$B$46,0))*$C8</f>
        <v>9.1057799999999993</v>
      </c>
      <c r="E8" s="254">
        <f t="shared" si="0"/>
        <v>0</v>
      </c>
      <c r="F8" s="254">
        <f t="shared" si="0"/>
        <v>0</v>
      </c>
      <c r="G8" s="254">
        <f t="shared" si="0"/>
        <v>0</v>
      </c>
      <c r="H8" s="254">
        <f t="shared" si="0"/>
        <v>0</v>
      </c>
      <c r="I8" s="110" t="s">
        <v>305</v>
      </c>
      <c r="J8" s="134" t="s">
        <v>3460</v>
      </c>
    </row>
    <row r="9" spans="1:10">
      <c r="A9" s="90" t="s">
        <v>87</v>
      </c>
      <c r="B9" s="90" t="s">
        <v>68</v>
      </c>
      <c r="C9" s="253">
        <f>SUMIFS('IP Jun22data'!G:G,'IP Jun22data'!H:H,A9,'IP Jun22data'!I:I,B9)</f>
        <v>138562.31179958335</v>
      </c>
      <c r="D9" s="254">
        <f t="shared" si="1"/>
        <v>138562.31179958335</v>
      </c>
      <c r="E9" s="254">
        <f t="shared" si="0"/>
        <v>0</v>
      </c>
      <c r="F9" s="254">
        <f t="shared" si="0"/>
        <v>0</v>
      </c>
      <c r="G9" s="254">
        <f t="shared" si="0"/>
        <v>0</v>
      </c>
      <c r="H9" s="254">
        <f t="shared" si="0"/>
        <v>0</v>
      </c>
      <c r="I9" s="110" t="s">
        <v>305</v>
      </c>
      <c r="J9" s="134" t="s">
        <v>3460</v>
      </c>
    </row>
    <row r="10" spans="1:10">
      <c r="A10" s="90" t="s">
        <v>87</v>
      </c>
      <c r="B10" s="90" t="s">
        <v>69</v>
      </c>
      <c r="C10" s="253">
        <f>SUMIFS('IP Jun22data'!G:G,'IP Jun22data'!H:H,A10,'IP Jun22data'!I:I,B10)</f>
        <v>70983.906620416601</v>
      </c>
      <c r="D10" s="254">
        <f t="shared" si="1"/>
        <v>0</v>
      </c>
      <c r="E10" s="254">
        <f t="shared" si="0"/>
        <v>70983.906620416601</v>
      </c>
      <c r="F10" s="254">
        <f t="shared" si="0"/>
        <v>0</v>
      </c>
      <c r="G10" s="254">
        <f t="shared" si="0"/>
        <v>0</v>
      </c>
      <c r="H10" s="254">
        <f t="shared" si="0"/>
        <v>0</v>
      </c>
      <c r="I10" s="110" t="s">
        <v>305</v>
      </c>
      <c r="J10" s="134" t="s">
        <v>3460</v>
      </c>
    </row>
    <row r="11" spans="1:10">
      <c r="A11" s="90" t="s">
        <v>280</v>
      </c>
      <c r="B11" s="90" t="s">
        <v>68</v>
      </c>
      <c r="C11" s="253">
        <f>SUMIFS('IP Jun22data'!G:G,'IP Jun22data'!H:H,A11,'IP Jun22data'!I:I,B11)</f>
        <v>177566.82464000001</v>
      </c>
      <c r="D11" s="254">
        <f t="shared" si="1"/>
        <v>177566.82464000001</v>
      </c>
      <c r="E11" s="254">
        <f t="shared" si="0"/>
        <v>0</v>
      </c>
      <c r="F11" s="254">
        <f t="shared" si="0"/>
        <v>0</v>
      </c>
      <c r="G11" s="254">
        <f t="shared" si="0"/>
        <v>0</v>
      </c>
      <c r="H11" s="254">
        <f t="shared" si="0"/>
        <v>0</v>
      </c>
      <c r="I11" s="110" t="s">
        <v>305</v>
      </c>
      <c r="J11" s="134" t="s">
        <v>3460</v>
      </c>
    </row>
    <row r="12" spans="1:10">
      <c r="A12" s="90" t="s">
        <v>1455</v>
      </c>
      <c r="B12" s="90" t="s">
        <v>68</v>
      </c>
      <c r="C12" s="253">
        <f>SUMIFS('IP Jun22data'!G:G,'IP Jun22data'!H:H,A12,'IP Jun22data'!I:I,B12)</f>
        <v>10497.825382499999</v>
      </c>
      <c r="D12" s="254">
        <f t="shared" si="1"/>
        <v>10497.825382499999</v>
      </c>
      <c r="E12" s="254">
        <f t="shared" si="0"/>
        <v>0</v>
      </c>
      <c r="F12" s="254">
        <f t="shared" si="0"/>
        <v>0</v>
      </c>
      <c r="G12" s="254">
        <f t="shared" si="0"/>
        <v>0</v>
      </c>
      <c r="H12" s="254">
        <f t="shared" si="0"/>
        <v>0</v>
      </c>
      <c r="I12" s="110" t="s">
        <v>305</v>
      </c>
      <c r="J12" s="134" t="s">
        <v>3460</v>
      </c>
    </row>
    <row r="13" spans="1:10">
      <c r="A13" s="90" t="s">
        <v>89</v>
      </c>
      <c r="B13" s="90" t="s">
        <v>73</v>
      </c>
      <c r="C13" s="253">
        <f>SUMIFS('IP Jun22data'!G:G,'IP Jun22data'!H:H,A13,'IP Jun22data'!I:I,B13)</f>
        <v>22033.81212166667</v>
      </c>
      <c r="D13" s="254">
        <f t="shared" si="1"/>
        <v>0</v>
      </c>
      <c r="E13" s="254">
        <f t="shared" si="0"/>
        <v>0</v>
      </c>
      <c r="F13" s="254">
        <f t="shared" si="0"/>
        <v>0</v>
      </c>
      <c r="G13" s="254">
        <f t="shared" si="0"/>
        <v>22033.81212166667</v>
      </c>
      <c r="H13" s="254">
        <f t="shared" si="0"/>
        <v>0</v>
      </c>
      <c r="I13" s="110" t="s">
        <v>305</v>
      </c>
      <c r="J13" s="134" t="s">
        <v>3460</v>
      </c>
    </row>
    <row r="14" spans="1:10">
      <c r="A14" s="90" t="s">
        <v>89</v>
      </c>
      <c r="B14" s="90" t="s">
        <v>70</v>
      </c>
      <c r="C14" s="253">
        <f>SUMIFS('IP Jun22data'!G:G,'IP Jun22data'!H:H,A14,'IP Jun22data'!I:I,B14)</f>
        <v>35841.913192499997</v>
      </c>
      <c r="D14" s="254">
        <f t="shared" si="1"/>
        <v>0</v>
      </c>
      <c r="E14" s="254">
        <f t="shared" si="0"/>
        <v>0</v>
      </c>
      <c r="F14" s="254">
        <f t="shared" si="0"/>
        <v>35841.913192499997</v>
      </c>
      <c r="G14" s="254">
        <f t="shared" si="0"/>
        <v>0</v>
      </c>
      <c r="H14" s="254">
        <f t="shared" si="0"/>
        <v>0</v>
      </c>
      <c r="I14" s="110" t="s">
        <v>305</v>
      </c>
      <c r="J14" s="134" t="s">
        <v>3460</v>
      </c>
    </row>
    <row r="15" spans="1:10">
      <c r="A15" s="90" t="s">
        <v>89</v>
      </c>
      <c r="B15" s="90" t="s">
        <v>68</v>
      </c>
      <c r="C15" s="253">
        <f>SUMIFS('IP Jun22data'!G:G,'IP Jun22data'!H:H,A15,'IP Jun22data'!I:I,B15)</f>
        <v>34027.875224166732</v>
      </c>
      <c r="D15" s="254">
        <f t="shared" si="1"/>
        <v>34027.875224166732</v>
      </c>
      <c r="E15" s="254">
        <f t="shared" si="0"/>
        <v>0</v>
      </c>
      <c r="F15" s="254">
        <f t="shared" si="0"/>
        <v>0</v>
      </c>
      <c r="G15" s="254">
        <f t="shared" si="0"/>
        <v>0</v>
      </c>
      <c r="H15" s="254">
        <f t="shared" si="0"/>
        <v>0</v>
      </c>
      <c r="I15" s="110" t="s">
        <v>305</v>
      </c>
      <c r="J15" s="134" t="s">
        <v>3460</v>
      </c>
    </row>
    <row r="16" spans="1:10">
      <c r="A16" s="90" t="s">
        <v>89</v>
      </c>
      <c r="B16" s="90" t="s">
        <v>92</v>
      </c>
      <c r="C16" s="253">
        <f>SUMIFS('IP Jun22data'!G:G,'IP Jun22data'!H:H,A16,'IP Jun22data'!I:I,B16)</f>
        <v>295950.59395958326</v>
      </c>
      <c r="D16" s="254">
        <f t="shared" si="1"/>
        <v>141405.39061632083</v>
      </c>
      <c r="E16" s="254">
        <f t="shared" si="0"/>
        <v>73335.227194287043</v>
      </c>
      <c r="F16" s="254">
        <f t="shared" si="0"/>
        <v>81209.976148975402</v>
      </c>
      <c r="G16" s="254">
        <f t="shared" si="0"/>
        <v>0</v>
      </c>
      <c r="H16" s="254">
        <f t="shared" si="0"/>
        <v>0</v>
      </c>
      <c r="I16" s="110" t="s">
        <v>305</v>
      </c>
      <c r="J16" s="134" t="s">
        <v>3460</v>
      </c>
    </row>
    <row r="17" spans="1:10">
      <c r="A17" s="90" t="s">
        <v>89</v>
      </c>
      <c r="B17" s="90" t="s">
        <v>69</v>
      </c>
      <c r="C17" s="253">
        <f>SUMIFS('IP Jun22data'!G:G,'IP Jun22data'!H:H,A17,'IP Jun22data'!I:I,B17)</f>
        <v>3614.8327737499999</v>
      </c>
      <c r="D17" s="254">
        <f t="shared" si="1"/>
        <v>0</v>
      </c>
      <c r="E17" s="254">
        <f t="shared" si="0"/>
        <v>3614.8327737499999</v>
      </c>
      <c r="F17" s="254">
        <f t="shared" si="0"/>
        <v>0</v>
      </c>
      <c r="G17" s="254">
        <f t="shared" si="0"/>
        <v>0</v>
      </c>
      <c r="H17" s="254">
        <f t="shared" si="0"/>
        <v>0</v>
      </c>
      <c r="I17" s="110" t="s">
        <v>305</v>
      </c>
      <c r="J17" s="134" t="s">
        <v>3460</v>
      </c>
    </row>
    <row r="18" spans="1:10">
      <c r="A18" s="90" t="s">
        <v>89</v>
      </c>
      <c r="B18" s="90" t="s">
        <v>96</v>
      </c>
      <c r="C18" s="253">
        <f>SUMIFS('IP Jun22data'!G:G,'IP Jun22data'!H:H,A18,'IP Jun22data'!I:I,B18)</f>
        <v>49880.305705000006</v>
      </c>
      <c r="D18" s="254">
        <f t="shared" si="1"/>
        <v>0</v>
      </c>
      <c r="E18" s="254">
        <f t="shared" si="0"/>
        <v>23669.343805332286</v>
      </c>
      <c r="F18" s="254">
        <f t="shared" si="0"/>
        <v>26210.961899667716</v>
      </c>
      <c r="G18" s="254">
        <f t="shared" si="0"/>
        <v>0</v>
      </c>
      <c r="H18" s="254">
        <f t="shared" si="0"/>
        <v>0</v>
      </c>
      <c r="I18" s="110" t="s">
        <v>305</v>
      </c>
      <c r="J18" s="134" t="s">
        <v>3460</v>
      </c>
    </row>
    <row r="19" spans="1:10">
      <c r="A19" s="90" t="s">
        <v>89</v>
      </c>
      <c r="B19" s="90" t="s">
        <v>102</v>
      </c>
      <c r="C19" s="255">
        <v>0</v>
      </c>
      <c r="D19" s="254">
        <f t="shared" si="1"/>
        <v>0</v>
      </c>
      <c r="E19" s="254">
        <f t="shared" si="0"/>
        <v>0</v>
      </c>
      <c r="F19" s="254">
        <f t="shared" si="0"/>
        <v>0</v>
      </c>
      <c r="G19" s="254">
        <f t="shared" si="0"/>
        <v>0</v>
      </c>
      <c r="H19" s="254">
        <f t="shared" si="0"/>
        <v>0</v>
      </c>
      <c r="I19" s="110" t="s">
        <v>305</v>
      </c>
      <c r="J19" s="134" t="s">
        <v>3460</v>
      </c>
    </row>
    <row r="20" spans="1:10">
      <c r="A20" s="90" t="s">
        <v>89</v>
      </c>
      <c r="B20" s="90" t="s">
        <v>74</v>
      </c>
      <c r="C20" s="255">
        <v>0</v>
      </c>
      <c r="D20" s="254">
        <f t="shared" si="1"/>
        <v>0</v>
      </c>
      <c r="E20" s="254">
        <f t="shared" si="0"/>
        <v>0</v>
      </c>
      <c r="F20" s="254">
        <f t="shared" si="0"/>
        <v>0</v>
      </c>
      <c r="G20" s="254">
        <f t="shared" si="0"/>
        <v>0</v>
      </c>
      <c r="H20" s="254">
        <f t="shared" si="0"/>
        <v>0</v>
      </c>
      <c r="I20" s="110" t="s">
        <v>305</v>
      </c>
      <c r="J20" s="134" t="s">
        <v>3460</v>
      </c>
    </row>
    <row r="21" spans="1:10">
      <c r="A21" s="90" t="s">
        <v>12</v>
      </c>
      <c r="B21" s="90" t="s">
        <v>70</v>
      </c>
      <c r="C21" s="253">
        <f>SUMIFS('IP Jun22data'!G:G,'IP Jun22data'!H:H,A21,'IP Jun22data'!I:I,B21)</f>
        <v>157.66159999999999</v>
      </c>
      <c r="D21" s="254">
        <f t="shared" si="1"/>
        <v>0</v>
      </c>
      <c r="E21" s="254">
        <f t="shared" si="0"/>
        <v>0</v>
      </c>
      <c r="F21" s="254">
        <f t="shared" si="0"/>
        <v>157.66159999999999</v>
      </c>
      <c r="G21" s="254">
        <f t="shared" si="0"/>
        <v>0</v>
      </c>
      <c r="H21" s="254">
        <f t="shared" si="0"/>
        <v>0</v>
      </c>
      <c r="I21" s="110" t="s">
        <v>305</v>
      </c>
      <c r="J21" s="134" t="s">
        <v>3460</v>
      </c>
    </row>
    <row r="22" spans="1:10">
      <c r="A22" s="90" t="s">
        <v>12</v>
      </c>
      <c r="B22" s="90" t="s">
        <v>68</v>
      </c>
      <c r="C22" s="253">
        <f>SUMIFS('IP Jun22data'!G:G,'IP Jun22data'!H:H,A22,'IP Jun22data'!I:I,B22)</f>
        <v>0</v>
      </c>
      <c r="D22" s="254">
        <f t="shared" si="1"/>
        <v>0</v>
      </c>
      <c r="E22" s="254">
        <f t="shared" si="0"/>
        <v>0</v>
      </c>
      <c r="F22" s="254">
        <f t="shared" si="0"/>
        <v>0</v>
      </c>
      <c r="G22" s="254">
        <f t="shared" si="0"/>
        <v>0</v>
      </c>
      <c r="H22" s="254">
        <f t="shared" si="0"/>
        <v>0</v>
      </c>
      <c r="I22" s="110" t="s">
        <v>305</v>
      </c>
      <c r="J22" s="134" t="s">
        <v>3460</v>
      </c>
    </row>
    <row r="23" spans="1:10">
      <c r="A23" s="90" t="s">
        <v>12</v>
      </c>
      <c r="B23" s="90" t="s">
        <v>92</v>
      </c>
      <c r="C23" s="253">
        <f>SUMIFS('IP Jun22data'!G:G,'IP Jun22data'!H:H,A23,'IP Jun22data'!I:I,B23)</f>
        <v>0</v>
      </c>
      <c r="D23" s="254">
        <f t="shared" si="1"/>
        <v>0</v>
      </c>
      <c r="E23" s="254">
        <f t="shared" si="0"/>
        <v>0</v>
      </c>
      <c r="F23" s="254">
        <f t="shared" si="0"/>
        <v>0</v>
      </c>
      <c r="G23" s="254">
        <f t="shared" si="0"/>
        <v>0</v>
      </c>
      <c r="H23" s="254">
        <f t="shared" si="0"/>
        <v>0</v>
      </c>
      <c r="I23" s="110" t="s">
        <v>305</v>
      </c>
      <c r="J23" s="134" t="s">
        <v>3460</v>
      </c>
    </row>
    <row r="24" spans="1:10">
      <c r="A24" s="90" t="s">
        <v>12</v>
      </c>
      <c r="B24" s="90" t="s">
        <v>69</v>
      </c>
      <c r="C24" s="253">
        <f>SUMIFS('IP Jun22data'!G:G,'IP Jun22data'!H:H,A24,'IP Jun22data'!I:I,B24)</f>
        <v>6378.9490850000002</v>
      </c>
      <c r="D24" s="254">
        <f t="shared" ref="D24:D25" si="2">INDEX(D$39:D$46,MATCH($B24,$B$39:$B$46,0))*$C24</f>
        <v>0</v>
      </c>
      <c r="E24" s="254">
        <f t="shared" si="0"/>
        <v>6378.9490850000002</v>
      </c>
      <c r="F24" s="254">
        <f t="shared" si="0"/>
        <v>0</v>
      </c>
      <c r="G24" s="254">
        <f t="shared" si="0"/>
        <v>0</v>
      </c>
      <c r="H24" s="254">
        <f t="shared" si="0"/>
        <v>0</v>
      </c>
      <c r="I24" s="110" t="s">
        <v>305</v>
      </c>
      <c r="J24" s="134" t="s">
        <v>3460</v>
      </c>
    </row>
    <row r="25" spans="1:10">
      <c r="A25" s="90" t="s">
        <v>12</v>
      </c>
      <c r="B25" s="90" t="s">
        <v>96</v>
      </c>
      <c r="C25" s="253">
        <f>SUMIFS('IP Jun22data'!G:G,'IP Jun22data'!H:H,A25,'IP Jun22data'!I:I,B25)</f>
        <v>-15526.296297500001</v>
      </c>
      <c r="D25" s="254">
        <f t="shared" si="2"/>
        <v>0</v>
      </c>
      <c r="E25" s="254">
        <f t="shared" si="0"/>
        <v>-7367.5820525724503</v>
      </c>
      <c r="F25" s="254">
        <f t="shared" si="0"/>
        <v>-8158.7142449275489</v>
      </c>
      <c r="G25" s="254">
        <f t="shared" si="0"/>
        <v>0</v>
      </c>
      <c r="H25" s="254">
        <f t="shared" si="0"/>
        <v>0</v>
      </c>
      <c r="I25" s="110" t="s">
        <v>305</v>
      </c>
      <c r="J25" s="134" t="s">
        <v>3460</v>
      </c>
    </row>
    <row r="26" spans="1:10">
      <c r="A26" s="64" t="s">
        <v>287</v>
      </c>
      <c r="B26" s="22"/>
      <c r="C26" s="168"/>
      <c r="D26" s="168"/>
      <c r="E26" s="168"/>
      <c r="F26" s="168"/>
      <c r="G26" s="168"/>
      <c r="H26" s="168"/>
    </row>
    <row r="27" spans="1:10">
      <c r="A27" s="65" t="s">
        <v>288</v>
      </c>
      <c r="B27" s="93"/>
      <c r="C27" s="168"/>
      <c r="D27" s="168"/>
      <c r="E27" s="168"/>
      <c r="F27" s="168"/>
      <c r="G27" s="168"/>
      <c r="H27" s="168"/>
    </row>
    <row r="28" spans="1:10">
      <c r="A28" s="65" t="s">
        <v>276</v>
      </c>
      <c r="B28" s="90"/>
      <c r="C28" s="168">
        <f t="shared" ref="C28:H28" si="3">SUMIF($A:$A,"SG",C:C)+SUMIF($A:$A,"SG-P",C:C)+SUMIF($A:$A,"SG-U",C:C)</f>
        <v>397610.86844249995</v>
      </c>
      <c r="D28" s="168">
        <f t="shared" si="3"/>
        <v>326626.96182208339</v>
      </c>
      <c r="E28" s="168">
        <f t="shared" si="3"/>
        <v>70983.906620416601</v>
      </c>
      <c r="F28" s="168">
        <f t="shared" si="3"/>
        <v>0</v>
      </c>
      <c r="G28" s="168">
        <f t="shared" si="3"/>
        <v>0</v>
      </c>
      <c r="H28" s="168">
        <f t="shared" si="3"/>
        <v>0</v>
      </c>
      <c r="I28" s="24"/>
    </row>
    <row r="29" spans="1:10">
      <c r="A29" s="65" t="s">
        <v>273</v>
      </c>
      <c r="B29" s="90"/>
      <c r="C29" s="168">
        <f t="shared" ref="C29:H29" si="4">SUMIF($A:$A,"SITUS",C:C)</f>
        <v>-8989.6856125000013</v>
      </c>
      <c r="D29" s="168">
        <f t="shared" si="4"/>
        <v>0</v>
      </c>
      <c r="E29" s="168">
        <f t="shared" si="4"/>
        <v>-988.63296757245007</v>
      </c>
      <c r="F29" s="168">
        <f t="shared" si="4"/>
        <v>-8001.0526449275485</v>
      </c>
      <c r="G29" s="168">
        <f t="shared" si="4"/>
        <v>0</v>
      </c>
      <c r="H29" s="168">
        <f t="shared" si="4"/>
        <v>0</v>
      </c>
      <c r="I29" s="24"/>
    </row>
    <row r="30" spans="1:10">
      <c r="A30" s="65" t="s">
        <v>289</v>
      </c>
      <c r="B30" s="90"/>
      <c r="C30" s="168">
        <f t="shared" ref="C30:H30" si="5">SUM(C7:C25)</f>
        <v>1052991.7804350955</v>
      </c>
      <c r="D30" s="168">
        <f>SUM(D7:D25)</f>
        <v>502069.33344257093</v>
      </c>
      <c r="E30" s="168">
        <f t="shared" si="5"/>
        <v>170614.67742621349</v>
      </c>
      <c r="F30" s="168">
        <f t="shared" si="5"/>
        <v>135261.79859621558</v>
      </c>
      <c r="G30" s="168">
        <f t="shared" si="5"/>
        <v>245045.97097009569</v>
      </c>
      <c r="H30" s="168">
        <f t="shared" si="5"/>
        <v>0</v>
      </c>
      <c r="I30" s="24"/>
    </row>
    <row r="31" spans="1:10" hidden="1">
      <c r="A31" s="246" t="s">
        <v>16</v>
      </c>
      <c r="B31" s="246"/>
      <c r="C31" s="226" t="e">
        <f>SUM(D31:H31)</f>
        <v>#DIV/0!</v>
      </c>
      <c r="D31" s="227" t="e">
        <f>D26/$C$26</f>
        <v>#DIV/0!</v>
      </c>
      <c r="E31" s="227" t="e">
        <f>E26/$C$26</f>
        <v>#DIV/0!</v>
      </c>
      <c r="F31" s="227" t="e">
        <f>F26/$C$26</f>
        <v>#DIV/0!</v>
      </c>
      <c r="G31" s="227" t="e">
        <f>G26/$C$26</f>
        <v>#DIV/0!</v>
      </c>
      <c r="H31" s="227" t="e">
        <f>H26/$C$26</f>
        <v>#DIV/0!</v>
      </c>
      <c r="I31" s="24"/>
    </row>
    <row r="32" spans="1:10" hidden="1">
      <c r="A32" s="246" t="s">
        <v>17</v>
      </c>
      <c r="B32" s="246"/>
      <c r="C32" s="226" t="e">
        <f>SUM(D32:H32)</f>
        <v>#DIV/0!</v>
      </c>
      <c r="D32" s="227" t="e">
        <f>D27/$C$27</f>
        <v>#DIV/0!</v>
      </c>
      <c r="E32" s="227" t="e">
        <f>E27/$C$27</f>
        <v>#DIV/0!</v>
      </c>
      <c r="F32" s="227" t="e">
        <f>F27/$C$27</f>
        <v>#DIV/0!</v>
      </c>
      <c r="G32" s="227" t="e">
        <f>G27/$C$27</f>
        <v>#DIV/0!</v>
      </c>
      <c r="H32" s="227" t="e">
        <f>H27/$C$27</f>
        <v>#DIV/0!</v>
      </c>
    </row>
    <row r="33" spans="1:9">
      <c r="A33" s="246" t="s">
        <v>18</v>
      </c>
      <c r="B33" s="246"/>
      <c r="C33" s="226">
        <f>SUM(D33:H33)</f>
        <v>1</v>
      </c>
      <c r="D33" s="227">
        <f>D28/$C$28</f>
        <v>0.82147392776643424</v>
      </c>
      <c r="E33" s="227">
        <f>E28/$C$28</f>
        <v>0.17852607223356587</v>
      </c>
      <c r="F33" s="227">
        <f>F28/$C$28</f>
        <v>0</v>
      </c>
      <c r="G33" s="227">
        <f>G28/$C$28</f>
        <v>0</v>
      </c>
      <c r="H33" s="227">
        <f>H28/$C$28</f>
        <v>0</v>
      </c>
    </row>
    <row r="34" spans="1:9">
      <c r="A34" s="246" t="s">
        <v>19</v>
      </c>
      <c r="B34" s="246"/>
      <c r="C34" s="226">
        <f>SUM(D34:H34)</f>
        <v>0.99999999999999978</v>
      </c>
      <c r="D34" s="227">
        <f>D29/$C$29</f>
        <v>0</v>
      </c>
      <c r="E34" s="227">
        <f>E29/$C$29</f>
        <v>0.10997414261047941</v>
      </c>
      <c r="F34" s="227">
        <f>F29/$C$29</f>
        <v>0.89002585738952034</v>
      </c>
      <c r="G34" s="227">
        <f>G29/$C$29</f>
        <v>0</v>
      </c>
      <c r="H34" s="227">
        <f>H29/$C$29</f>
        <v>0</v>
      </c>
    </row>
    <row r="35" spans="1:9">
      <c r="A35" s="247" t="s">
        <v>286</v>
      </c>
      <c r="B35" s="247"/>
      <c r="C35" s="226">
        <f>SUM(D35:H35)</f>
        <v>1.0000000000000002</v>
      </c>
      <c r="D35" s="227">
        <f>D30/$C$30</f>
        <v>0.47680270897757265</v>
      </c>
      <c r="E35" s="227">
        <f>E30/$C$30</f>
        <v>0.16202849879389905</v>
      </c>
      <c r="F35" s="227">
        <f>F30/$C$30</f>
        <v>0.12845475255307834</v>
      </c>
      <c r="G35" s="227">
        <f>G30/$C$30</f>
        <v>0.23271403967545012</v>
      </c>
      <c r="H35" s="227">
        <f>H30/$C$30</f>
        <v>0</v>
      </c>
    </row>
    <row r="36" spans="1:9">
      <c r="A36" s="256"/>
      <c r="B36" s="257"/>
      <c r="C36" s="233"/>
      <c r="D36" s="233"/>
      <c r="E36" s="233"/>
      <c r="F36" s="233"/>
      <c r="G36" s="233"/>
      <c r="H36" s="258"/>
      <c r="I36" s="24"/>
    </row>
    <row r="38" spans="1:9">
      <c r="A38" s="223"/>
      <c r="B38" s="71" t="s">
        <v>129</v>
      </c>
      <c r="D38" s="7" t="s">
        <v>130</v>
      </c>
      <c r="E38" s="7" t="s">
        <v>131</v>
      </c>
      <c r="F38" s="7" t="s">
        <v>70</v>
      </c>
      <c r="G38" s="7" t="s">
        <v>73</v>
      </c>
      <c r="H38" s="7" t="s">
        <v>74</v>
      </c>
    </row>
    <row r="39" spans="1:9">
      <c r="B39" s="181" t="s">
        <v>68</v>
      </c>
      <c r="C39" s="224">
        <f t="shared" ref="C39:C45" si="6">SUM(D39:H39)</f>
        <v>1</v>
      </c>
      <c r="D39" s="224">
        <f>'FORM 1'!$C$13</f>
        <v>1</v>
      </c>
      <c r="E39" s="224">
        <f>'FORM 1'!$D$13</f>
        <v>0</v>
      </c>
      <c r="F39" s="224">
        <f>'FORM 1'!$E$13</f>
        <v>0</v>
      </c>
      <c r="G39" s="224">
        <f>'FORM 1'!$F$13</f>
        <v>0</v>
      </c>
      <c r="H39" s="224">
        <f>'FORM 1'!$G$13</f>
        <v>0</v>
      </c>
    </row>
    <row r="40" spans="1:9">
      <c r="B40" s="181" t="s">
        <v>69</v>
      </c>
      <c r="C40" s="224">
        <f t="shared" si="6"/>
        <v>1</v>
      </c>
      <c r="D40" s="224">
        <f>'FORM 1'!$C$14</f>
        <v>0</v>
      </c>
      <c r="E40" s="224">
        <f>'FORM 1'!$D$14</f>
        <v>1</v>
      </c>
      <c r="F40" s="224">
        <f>'FORM 1'!$E$14</f>
        <v>0</v>
      </c>
      <c r="G40" s="224">
        <f>'FORM 1'!$F$14</f>
        <v>0</v>
      </c>
      <c r="H40" s="224">
        <f>'FORM 1'!$G$14</f>
        <v>0</v>
      </c>
    </row>
    <row r="41" spans="1:9">
      <c r="B41" s="181" t="s">
        <v>96</v>
      </c>
      <c r="C41" s="224">
        <f t="shared" si="6"/>
        <v>0.99999999999999989</v>
      </c>
      <c r="D41" s="224">
        <f>'FORM 1'!$C$18</f>
        <v>0</v>
      </c>
      <c r="E41" s="224">
        <f>'FORM 1'!$D$18</f>
        <v>0.47452282961769554</v>
      </c>
      <c r="F41" s="224">
        <f>'FORM 1'!$E$18</f>
        <v>0.52547717038230435</v>
      </c>
      <c r="G41" s="224">
        <f>'FORM 1'!$F$18</f>
        <v>0</v>
      </c>
      <c r="H41" s="224">
        <f>'FORM 1'!$G$18</f>
        <v>0</v>
      </c>
    </row>
    <row r="42" spans="1:9">
      <c r="B42" s="181" t="s">
        <v>73</v>
      </c>
      <c r="C42" s="224">
        <f t="shared" si="6"/>
        <v>1</v>
      </c>
      <c r="D42" s="224">
        <v>0</v>
      </c>
      <c r="E42" s="224">
        <v>0</v>
      </c>
      <c r="F42" s="224">
        <v>0</v>
      </c>
      <c r="G42" s="224">
        <v>1</v>
      </c>
      <c r="H42" s="224">
        <v>0</v>
      </c>
    </row>
    <row r="43" spans="1:9">
      <c r="B43" s="181" t="s">
        <v>70</v>
      </c>
      <c r="C43" s="224">
        <f t="shared" si="6"/>
        <v>1</v>
      </c>
      <c r="D43" s="224">
        <v>0</v>
      </c>
      <c r="E43" s="224">
        <v>0</v>
      </c>
      <c r="F43" s="224">
        <v>1</v>
      </c>
      <c r="G43" s="224">
        <v>0</v>
      </c>
      <c r="H43" s="224">
        <v>0</v>
      </c>
    </row>
    <row r="44" spans="1:9">
      <c r="B44" s="197" t="s">
        <v>92</v>
      </c>
      <c r="C44" s="224">
        <f t="shared" si="6"/>
        <v>1</v>
      </c>
      <c r="D44" s="224">
        <f>'FORM 1'!$C$16</f>
        <v>0.47780066505165375</v>
      </c>
      <c r="E44" s="224">
        <f>'FORM 1'!$D$16</f>
        <v>0.24779550604416806</v>
      </c>
      <c r="F44" s="224">
        <f>'FORM 1'!$E$16</f>
        <v>0.27440382890417819</v>
      </c>
      <c r="G44" s="224">
        <f>'FORM 1'!$F$16</f>
        <v>0</v>
      </c>
      <c r="H44" s="224">
        <f>'FORM 1'!$G$16</f>
        <v>0</v>
      </c>
    </row>
    <row r="45" spans="1:9">
      <c r="B45" s="197" t="s">
        <v>74</v>
      </c>
      <c r="C45" s="224">
        <f t="shared" si="6"/>
        <v>1</v>
      </c>
      <c r="D45" s="224">
        <f>'TOTAL FUNCFAC'!C16</f>
        <v>0</v>
      </c>
      <c r="E45" s="224">
        <f>'TOTAL FUNCFAC'!D16</f>
        <v>0</v>
      </c>
      <c r="F45" s="224">
        <f>'TOTAL FUNCFAC'!E16</f>
        <v>0</v>
      </c>
      <c r="G45" s="224">
        <f>'TOTAL FUNCFAC'!F16</f>
        <v>0</v>
      </c>
      <c r="H45" s="224">
        <f>'TOTAL FUNCFAC'!G16</f>
        <v>1</v>
      </c>
    </row>
    <row r="46" spans="1:9">
      <c r="B46" s="223" t="s">
        <v>102</v>
      </c>
      <c r="C46" s="224">
        <f>SUM(D46:H46)</f>
        <v>1</v>
      </c>
      <c r="D46" s="224">
        <f>'SCH M'!F149</f>
        <v>0.43435191300617138</v>
      </c>
      <c r="E46" s="224">
        <f>'SCH M'!G149</f>
        <v>9.1865268433291722E-2</v>
      </c>
      <c r="F46" s="224">
        <f>'SCH M'!H149</f>
        <v>0.35567736073799106</v>
      </c>
      <c r="G46" s="224">
        <f>'SCH M'!I149</f>
        <v>0.11810545782254585</v>
      </c>
      <c r="H46" s="224">
        <f>'SCH M'!J149</f>
        <v>0</v>
      </c>
    </row>
    <row r="47" spans="1:9">
      <c r="B47" s="225"/>
    </row>
  </sheetData>
  <customSheetViews>
    <customSheetView guid="{20A63875-964B-11D5-AAED-0004762A99E9}" scale="87" colorId="22" fitToPage="1" showRuler="0">
      <selection activeCell="D8" sqref="D8"/>
      <pageMargins left="0.5" right="0.5" top="0.5" bottom="0.75" header="0.5" footer="0.5"/>
      <printOptions horizontalCentered="1"/>
      <pageSetup scale="69" orientation="landscape" r:id="rId1"/>
      <headerFooter alignWithMargins="0">
        <oddFooter>&amp;L&amp;D&amp;C&amp;A&amp;R&amp;F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77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CCFFFF"/>
  </sheetPr>
  <dimension ref="A1:Q168"/>
  <sheetViews>
    <sheetView view="pageBreakPreview" zoomScale="115" zoomScaleNormal="80" zoomScaleSheetLayoutView="115" workbookViewId="0"/>
  </sheetViews>
  <sheetFormatPr defaultColWidth="9.140625" defaultRowHeight="12.75"/>
  <cols>
    <col min="1" max="1" width="19.7109375" style="22" customWidth="1"/>
    <col min="2" max="2" width="14.28515625" style="22" customWidth="1"/>
    <col min="3" max="3" width="12" style="22" customWidth="1"/>
    <col min="4" max="4" width="13.7109375" style="22" customWidth="1"/>
    <col min="5" max="5" width="15.7109375" style="22" customWidth="1"/>
    <col min="6" max="6" width="15" style="22" bestFit="1" customWidth="1"/>
    <col min="7" max="10" width="15.7109375" style="22" customWidth="1"/>
    <col min="11" max="11" width="9.42578125" style="4" bestFit="1" customWidth="1"/>
    <col min="12" max="12" width="20.28515625" style="2" bestFit="1" customWidth="1"/>
    <col min="13" max="13" width="11.140625" style="4" bestFit="1" customWidth="1"/>
    <col min="14" max="14" width="10.85546875" style="4" customWidth="1"/>
    <col min="15" max="15" width="10.5703125" style="4" bestFit="1" customWidth="1"/>
    <col min="16" max="17" width="10" style="4" bestFit="1" customWidth="1"/>
    <col min="18" max="16384" width="9.140625" style="4"/>
  </cols>
  <sheetData>
    <row r="1" spans="1:12">
      <c r="B1" s="15" t="str">
        <f>+'TOTAL FUNCFAC'!A1</f>
        <v>PacifiCorp</v>
      </c>
      <c r="C1" s="15"/>
      <c r="D1" s="145"/>
      <c r="E1" s="145"/>
      <c r="F1" s="15"/>
      <c r="G1" s="15"/>
      <c r="H1" s="15"/>
      <c r="I1" s="15"/>
      <c r="J1" s="15"/>
      <c r="L1" s="16"/>
    </row>
    <row r="2" spans="1:12">
      <c r="B2" s="17" t="str">
        <f>'TOTAL FUNCFAC'!$A$2</f>
        <v>12 Months Ended June 2022</v>
      </c>
      <c r="C2" s="15"/>
      <c r="D2" s="145"/>
      <c r="E2" s="145"/>
      <c r="F2" s="15"/>
      <c r="G2" s="15"/>
      <c r="H2" s="15"/>
      <c r="I2" s="15"/>
      <c r="J2" s="15"/>
      <c r="L2" s="16"/>
    </row>
    <row r="3" spans="1:12">
      <c r="B3" s="15" t="s">
        <v>246</v>
      </c>
      <c r="C3" s="15"/>
      <c r="D3" s="145"/>
      <c r="E3" s="145"/>
      <c r="F3" s="15"/>
      <c r="G3" s="15"/>
      <c r="H3" s="15"/>
      <c r="I3" s="15"/>
      <c r="J3" s="15"/>
      <c r="L3" s="16"/>
    </row>
    <row r="4" spans="1:12">
      <c r="B4" s="12" t="s">
        <v>77</v>
      </c>
      <c r="C4" s="12" t="s">
        <v>5</v>
      </c>
      <c r="L4" s="49"/>
    </row>
    <row r="5" spans="1:12">
      <c r="B5" s="10" t="s">
        <v>78</v>
      </c>
      <c r="C5" s="10" t="s">
        <v>79</v>
      </c>
      <c r="D5" s="10" t="s">
        <v>80</v>
      </c>
      <c r="E5" s="11" t="s">
        <v>81</v>
      </c>
      <c r="F5" s="11" t="s">
        <v>63</v>
      </c>
      <c r="G5" s="11" t="s">
        <v>64</v>
      </c>
      <c r="H5" s="11" t="s">
        <v>107</v>
      </c>
      <c r="I5" s="11" t="s">
        <v>108</v>
      </c>
      <c r="J5" s="11" t="s">
        <v>109</v>
      </c>
      <c r="L5" s="48"/>
    </row>
    <row r="6" spans="1:12" ht="20.100000000000001" customHeight="1">
      <c r="B6" s="259" t="s">
        <v>250</v>
      </c>
      <c r="C6" s="145"/>
      <c r="D6" s="145"/>
      <c r="E6" s="145"/>
      <c r="F6" s="145"/>
      <c r="G6" s="145"/>
      <c r="H6" s="145"/>
      <c r="I6" s="145"/>
      <c r="J6" s="145"/>
    </row>
    <row r="7" spans="1:12">
      <c r="A7" s="22" t="str">
        <f>IF(C7="","",B7&amp;"-"&amp;C7)</f>
        <v>SCHMAP-SCHMDEXP</v>
      </c>
      <c r="B7" s="94" t="s">
        <v>148</v>
      </c>
      <c r="C7" s="91" t="s">
        <v>10</v>
      </c>
      <c r="D7" s="91" t="s">
        <v>102</v>
      </c>
      <c r="E7" s="267">
        <f>SUMIFS('SCH M Jun22data'!G:G,'SCH M Jun22data'!C:C,B7,'SCH M Jun22data'!H:H,C7,'SCH M Jun22data'!I:I,D7)</f>
        <v>107.49874</v>
      </c>
      <c r="F7" s="267">
        <f>INDEX(F$143:F$155,MATCH($D7,$D$143:$D$155,0))*$E7</f>
        <v>46.692283364753031</v>
      </c>
      <c r="G7" s="267">
        <f t="shared" ref="G7:J11" si="0">INDEX(G$143:G$155,MATCH($D7,$D$143:$D$155,0))*$E7</f>
        <v>9.8754006063406337</v>
      </c>
      <c r="H7" s="267">
        <f t="shared" si="0"/>
        <v>38.234868125859506</v>
      </c>
      <c r="I7" s="267">
        <f t="shared" si="0"/>
        <v>12.696187903046821</v>
      </c>
      <c r="J7" s="267">
        <f t="shared" si="0"/>
        <v>0</v>
      </c>
      <c r="K7" s="110" t="s">
        <v>305</v>
      </c>
      <c r="L7" s="134" t="s">
        <v>3459</v>
      </c>
    </row>
    <row r="8" spans="1:12">
      <c r="A8" s="22" t="str">
        <f>IF(C8="","",B8&amp;"-"&amp;C8)</f>
        <v>SCHMAP-SE</v>
      </c>
      <c r="B8" s="94" t="s">
        <v>148</v>
      </c>
      <c r="C8" s="91" t="s">
        <v>85</v>
      </c>
      <c r="D8" s="91" t="s">
        <v>68</v>
      </c>
      <c r="E8" s="267">
        <f>SUMIFS('SCH M Jun22data'!G:G,'SCH M Jun22data'!C:C,B8,'SCH M Jun22data'!H:H,C8,'SCH M Jun22data'!I:I,D8)</f>
        <v>108.78424</v>
      </c>
      <c r="F8" s="267">
        <f t="shared" ref="F8:F11" si="1">INDEX(F$143:F$155,MATCH($D8,$D$143:$D$155,0))*$E8</f>
        <v>108.78424</v>
      </c>
      <c r="G8" s="267">
        <f t="shared" si="0"/>
        <v>0</v>
      </c>
      <c r="H8" s="267">
        <f t="shared" si="0"/>
        <v>0</v>
      </c>
      <c r="I8" s="267">
        <f t="shared" si="0"/>
        <v>0</v>
      </c>
      <c r="J8" s="267">
        <f t="shared" si="0"/>
        <v>0</v>
      </c>
      <c r="K8" s="110" t="s">
        <v>305</v>
      </c>
      <c r="L8" s="134" t="s">
        <v>3459</v>
      </c>
    </row>
    <row r="9" spans="1:12">
      <c r="A9" s="22" t="str">
        <f>IF(C9="","",B9&amp;"-"&amp;C9)</f>
        <v>SCHMAP-SO</v>
      </c>
      <c r="B9" s="94" t="s">
        <v>148</v>
      </c>
      <c r="C9" s="91" t="s">
        <v>89</v>
      </c>
      <c r="D9" s="91" t="s">
        <v>68</v>
      </c>
      <c r="E9" s="267">
        <f>SUMIFS('SCH M Jun22data'!G:G,'SCH M Jun22data'!C:C,B9,'SCH M Jun22data'!H:H,C9,'SCH M Jun22data'!I:I,D9)</f>
        <v>-20.482020000000002</v>
      </c>
      <c r="F9" s="267">
        <f t="shared" si="1"/>
        <v>-20.482020000000002</v>
      </c>
      <c r="G9" s="267">
        <f t="shared" si="0"/>
        <v>0</v>
      </c>
      <c r="H9" s="267">
        <f t="shared" si="0"/>
        <v>0</v>
      </c>
      <c r="I9" s="267">
        <f t="shared" si="0"/>
        <v>0</v>
      </c>
      <c r="J9" s="267">
        <f t="shared" si="0"/>
        <v>0</v>
      </c>
      <c r="K9" s="110" t="s">
        <v>305</v>
      </c>
      <c r="L9" s="134" t="s">
        <v>3459</v>
      </c>
    </row>
    <row r="10" spans="1:12">
      <c r="A10" s="22" t="str">
        <f>IF(C10="","",B10&amp;"-"&amp;C10)</f>
        <v>SCHMAP-SO</v>
      </c>
      <c r="B10" s="94" t="s">
        <v>148</v>
      </c>
      <c r="C10" s="91" t="s">
        <v>89</v>
      </c>
      <c r="D10" s="91" t="s">
        <v>102</v>
      </c>
      <c r="E10" s="267">
        <f>SUMIFS('SCH M Jun22data'!G:G,'SCH M Jun22data'!C:C,B10,'SCH M Jun22data'!H:H,C10,'SCH M Jun22data'!I:I,D10)</f>
        <v>1003.6532399999999</v>
      </c>
      <c r="F10" s="267">
        <f t="shared" si="1"/>
        <v>435.93870478884196</v>
      </c>
      <c r="G10" s="267">
        <f t="shared" si="0"/>
        <v>92.200874306542943</v>
      </c>
      <c r="H10" s="267">
        <f t="shared" si="0"/>
        <v>356.97673549933347</v>
      </c>
      <c r="I10" s="267">
        <f t="shared" si="0"/>
        <v>118.53692540528147</v>
      </c>
      <c r="J10" s="267">
        <f t="shared" si="0"/>
        <v>0</v>
      </c>
      <c r="K10" s="110" t="s">
        <v>305</v>
      </c>
      <c r="L10" s="134" t="s">
        <v>3459</v>
      </c>
    </row>
    <row r="11" spans="1:12">
      <c r="A11" s="22" t="str">
        <f>IF(C11="","",B11&amp;"-"&amp;C11)</f>
        <v>SCHMAP-SO</v>
      </c>
      <c r="B11" s="94" t="s">
        <v>148</v>
      </c>
      <c r="C11" s="91" t="s">
        <v>89</v>
      </c>
      <c r="D11" s="91" t="s">
        <v>92</v>
      </c>
      <c r="E11" s="267">
        <f>SUMIFS('SCH M Jun22data'!G:G,'SCH M Jun22data'!C:C,B11,'SCH M Jun22data'!H:H,C11,'SCH M Jun22data'!I:I,D11)</f>
        <v>0</v>
      </c>
      <c r="F11" s="267">
        <f t="shared" si="1"/>
        <v>0</v>
      </c>
      <c r="G11" s="267">
        <f t="shared" si="0"/>
        <v>0</v>
      </c>
      <c r="H11" s="267">
        <f t="shared" si="0"/>
        <v>0</v>
      </c>
      <c r="I11" s="267">
        <f t="shared" si="0"/>
        <v>0</v>
      </c>
      <c r="J11" s="267">
        <f t="shared" si="0"/>
        <v>0</v>
      </c>
      <c r="K11" s="110" t="s">
        <v>305</v>
      </c>
      <c r="L11" s="134" t="s">
        <v>3459</v>
      </c>
    </row>
    <row r="12" spans="1:12">
      <c r="B12" s="94"/>
      <c r="C12" s="94"/>
      <c r="D12" s="94"/>
      <c r="E12" s="260"/>
      <c r="F12" s="168"/>
      <c r="G12" s="168"/>
      <c r="H12" s="168"/>
      <c r="I12" s="168"/>
      <c r="J12" s="168"/>
      <c r="L12" s="5"/>
    </row>
    <row r="13" spans="1:12">
      <c r="A13" s="22" t="str">
        <f>IF(C13="","",B13&amp;"-"&amp;C13)</f>
        <v/>
      </c>
      <c r="B13" s="64" t="s">
        <v>268</v>
      </c>
      <c r="E13" s="168">
        <f t="shared" ref="E13:J13" si="2">SUMIF($A:$A,"SCHMAP-SO",E:E)</f>
        <v>983.17121999999983</v>
      </c>
      <c r="F13" s="168">
        <f t="shared" si="2"/>
        <v>415.45668478884198</v>
      </c>
      <c r="G13" s="168">
        <f t="shared" si="2"/>
        <v>92.200874306542943</v>
      </c>
      <c r="H13" s="168">
        <f t="shared" si="2"/>
        <v>356.97673549933347</v>
      </c>
      <c r="I13" s="168">
        <f t="shared" si="2"/>
        <v>118.53692540528147</v>
      </c>
      <c r="J13" s="168">
        <f t="shared" si="2"/>
        <v>0</v>
      </c>
    </row>
    <row r="14" spans="1:12">
      <c r="A14" s="22" t="str">
        <f>IF(C14="","",B14&amp;"-"&amp;C14)</f>
        <v/>
      </c>
      <c r="B14" s="65" t="s">
        <v>149</v>
      </c>
      <c r="C14" s="93"/>
      <c r="D14" s="93"/>
      <c r="E14" s="168">
        <f t="shared" ref="E14:J14" si="3">SUMIF($B:$B,"SCHMAP",E:E)</f>
        <v>1199.4541999999999</v>
      </c>
      <c r="F14" s="168">
        <f t="shared" si="3"/>
        <v>570.93320815359493</v>
      </c>
      <c r="G14" s="168">
        <f t="shared" si="3"/>
        <v>102.07627491288358</v>
      </c>
      <c r="H14" s="168">
        <f t="shared" si="3"/>
        <v>395.21160362519299</v>
      </c>
      <c r="I14" s="168">
        <f t="shared" si="3"/>
        <v>131.23311330832829</v>
      </c>
      <c r="J14" s="168">
        <f t="shared" si="3"/>
        <v>0</v>
      </c>
    </row>
    <row r="15" spans="1:12">
      <c r="A15" s="22" t="str">
        <f>IF(C15="","",B15&amp;"-"&amp;C15)</f>
        <v/>
      </c>
      <c r="B15" s="65" t="s">
        <v>22</v>
      </c>
      <c r="C15" s="65"/>
      <c r="D15" s="93"/>
      <c r="E15" s="214">
        <f>SUM(F15:J15)</f>
        <v>1</v>
      </c>
      <c r="F15" s="215">
        <f t="shared" ref="F15:J16" si="4">IF(ISERROR(F13/$E13)," ",(F13/$E13))</f>
        <v>0.4225679885023913</v>
      </c>
      <c r="G15" s="215">
        <f t="shared" si="4"/>
        <v>9.3779061501152325E-2</v>
      </c>
      <c r="H15" s="215">
        <f t="shared" si="4"/>
        <v>0.36308704754328908</v>
      </c>
      <c r="I15" s="215">
        <f t="shared" si="4"/>
        <v>0.1205659024531673</v>
      </c>
      <c r="J15" s="215">
        <f t="shared" si="4"/>
        <v>0</v>
      </c>
    </row>
    <row r="16" spans="1:12">
      <c r="A16" s="22" t="str">
        <f>IF(C16="","",B16&amp;"-"&amp;C16)</f>
        <v/>
      </c>
      <c r="B16" s="65" t="s">
        <v>150</v>
      </c>
      <c r="C16" s="65"/>
      <c r="D16" s="93"/>
      <c r="E16" s="214">
        <f>SUM(F16:J16)</f>
        <v>0.99999999999999989</v>
      </c>
      <c r="F16" s="215">
        <f t="shared" si="4"/>
        <v>0.47599417147698925</v>
      </c>
      <c r="G16" s="215">
        <f t="shared" si="4"/>
        <v>8.5102269776439643E-2</v>
      </c>
      <c r="H16" s="215">
        <f t="shared" si="4"/>
        <v>0.32949286736016514</v>
      </c>
      <c r="I16" s="215">
        <f t="shared" si="4"/>
        <v>0.10941069138640583</v>
      </c>
      <c r="J16" s="215">
        <f t="shared" si="4"/>
        <v>0</v>
      </c>
    </row>
    <row r="17" spans="1:12" s="2" customFormat="1">
      <c r="A17" s="22"/>
      <c r="B17" s="261"/>
      <c r="C17" s="261"/>
      <c r="D17" s="93"/>
      <c r="E17" s="245"/>
      <c r="F17" s="169"/>
      <c r="G17" s="169"/>
      <c r="H17" s="169"/>
      <c r="I17" s="169"/>
      <c r="J17" s="169"/>
    </row>
    <row r="18" spans="1:12" s="2" customFormat="1">
      <c r="A18" s="22" t="str">
        <f t="shared" ref="A18:A47" si="5">IF(C18="","",B18&amp;"-"&amp;C18)</f>
        <v>SCHMAT-CIAC</v>
      </c>
      <c r="B18" s="94" t="s">
        <v>151</v>
      </c>
      <c r="C18" s="91" t="s">
        <v>152</v>
      </c>
      <c r="D18" s="91" t="s">
        <v>70</v>
      </c>
      <c r="E18" s="267">
        <f>SUMIFS('SCH M Jun22data'!G:G,'SCH M Jun22data'!C:C,B18,'SCH M Jun22data'!H:H,C18,'SCH M Jun22data'!I:I,D18)</f>
        <v>109875.809609876</v>
      </c>
      <c r="F18" s="267">
        <f t="shared" ref="F18:J33" si="6">INDEX(F$143:F$155,MATCH($D18,$D$143:$D$155,0))*$E18</f>
        <v>0</v>
      </c>
      <c r="G18" s="267">
        <f t="shared" si="6"/>
        <v>0</v>
      </c>
      <c r="H18" s="267">
        <f t="shared" si="6"/>
        <v>109875.809609876</v>
      </c>
      <c r="I18" s="267">
        <f t="shared" si="6"/>
        <v>0</v>
      </c>
      <c r="J18" s="267">
        <f t="shared" si="6"/>
        <v>0</v>
      </c>
      <c r="K18" s="110" t="s">
        <v>305</v>
      </c>
      <c r="L18" s="134" t="s">
        <v>3459</v>
      </c>
    </row>
    <row r="19" spans="1:12" s="2" customFormat="1">
      <c r="A19" s="22" t="str">
        <f t="shared" si="5"/>
        <v>SCHMAT-BADDEBT</v>
      </c>
      <c r="B19" s="94" t="s">
        <v>151</v>
      </c>
      <c r="C19" s="91" t="s">
        <v>8</v>
      </c>
      <c r="D19" s="91" t="s">
        <v>73</v>
      </c>
      <c r="E19" s="267">
        <f>SUMIFS('SCH M Jun22data'!G:G,'SCH M Jun22data'!C:C,B19,'SCH M Jun22data'!H:H,C19,'SCH M Jun22data'!I:I,D19)</f>
        <v>941.97832000000005</v>
      </c>
      <c r="F19" s="267">
        <f t="shared" si="6"/>
        <v>0</v>
      </c>
      <c r="G19" s="267">
        <f t="shared" si="6"/>
        <v>0</v>
      </c>
      <c r="H19" s="267">
        <f t="shared" si="6"/>
        <v>0</v>
      </c>
      <c r="I19" s="267">
        <f t="shared" si="6"/>
        <v>941.97832000000005</v>
      </c>
      <c r="J19" s="267">
        <f t="shared" si="6"/>
        <v>0</v>
      </c>
      <c r="K19" s="110" t="s">
        <v>305</v>
      </c>
      <c r="L19" s="134" t="s">
        <v>3459</v>
      </c>
    </row>
    <row r="20" spans="1:12" s="2" customFormat="1">
      <c r="A20" s="22" t="str">
        <f t="shared" si="5"/>
        <v>SCHMAT-SCHMDEXP</v>
      </c>
      <c r="B20" s="94" t="s">
        <v>151</v>
      </c>
      <c r="C20" s="91" t="s">
        <v>10</v>
      </c>
      <c r="D20" s="91" t="s">
        <v>110</v>
      </c>
      <c r="E20" s="267">
        <f>SUMIFS('SCH M Jun22data'!G:G,'SCH M Jun22data'!C:C,B20,'SCH M Jun22data'!H:H,C20,'SCH M Jun22data'!I:I,D20)</f>
        <v>1071417.2038</v>
      </c>
      <c r="F20" s="267">
        <f t="shared" si="6"/>
        <v>500238.1593269977</v>
      </c>
      <c r="G20" s="267">
        <f t="shared" si="6"/>
        <v>266725.63147868449</v>
      </c>
      <c r="H20" s="267">
        <f t="shared" si="6"/>
        <v>295306.77359279722</v>
      </c>
      <c r="I20" s="267">
        <f t="shared" si="6"/>
        <v>9146.6394015206879</v>
      </c>
      <c r="J20" s="267">
        <f t="shared" si="6"/>
        <v>0</v>
      </c>
      <c r="K20" s="110" t="s">
        <v>305</v>
      </c>
      <c r="L20" s="134" t="s">
        <v>3459</v>
      </c>
    </row>
    <row r="21" spans="1:12" s="2" customFormat="1">
      <c r="A21" s="22" t="str">
        <f>IF(C21="","",B21&amp;"-"&amp;C21)</f>
        <v>SCHMAT-GPS</v>
      </c>
      <c r="B21" s="94" t="s">
        <v>151</v>
      </c>
      <c r="C21" s="91" t="s">
        <v>9</v>
      </c>
      <c r="D21" s="91" t="s">
        <v>110</v>
      </c>
      <c r="E21" s="267">
        <f>SUMIFS('SCH M Jun22data'!G:G,'SCH M Jun22data'!C:C,B21,'SCH M Jun22data'!H:H,C21,'SCH M Jun22data'!I:I,D21)</f>
        <v>-2297.2985199999998</v>
      </c>
      <c r="F21" s="267">
        <f t="shared" si="6"/>
        <v>-1072.5946708654446</v>
      </c>
      <c r="G21" s="267">
        <f t="shared" si="6"/>
        <v>-571.90457299809066</v>
      </c>
      <c r="H21" s="267">
        <f t="shared" si="6"/>
        <v>-633.18734430863731</v>
      </c>
      <c r="I21" s="267">
        <f t="shared" si="6"/>
        <v>-19.611931827827497</v>
      </c>
      <c r="J21" s="267">
        <f t="shared" si="6"/>
        <v>0</v>
      </c>
      <c r="K21" s="110" t="s">
        <v>305</v>
      </c>
      <c r="L21" s="134" t="s">
        <v>3459</v>
      </c>
    </row>
    <row r="22" spans="1:12" s="2" customFormat="1">
      <c r="A22" s="22" t="str">
        <f>IF(C22="","",B22&amp;"-"&amp;C22)</f>
        <v>SCHMAT-SE</v>
      </c>
      <c r="B22" s="94" t="s">
        <v>151</v>
      </c>
      <c r="C22" s="91" t="s">
        <v>85</v>
      </c>
      <c r="D22" s="91" t="s">
        <v>102</v>
      </c>
      <c r="E22" s="267">
        <f>SUMIFS('SCH M Jun22data'!G:G,'SCH M Jun22data'!C:C,B22,'SCH M Jun22data'!H:H,C22,'SCH M Jun22data'!I:I,D22)</f>
        <v>-135.08100000000002</v>
      </c>
      <c r="F22" s="267">
        <f t="shared" si="6"/>
        <v>-58.672690760786644</v>
      </c>
      <c r="G22" s="267">
        <f t="shared" si="6"/>
        <v>-12.40925232523748</v>
      </c>
      <c r="H22" s="267">
        <f t="shared" si="6"/>
        <v>-48.045253565848576</v>
      </c>
      <c r="I22" s="267">
        <f t="shared" si="6"/>
        <v>-15.953803348127318</v>
      </c>
      <c r="J22" s="267">
        <f t="shared" si="6"/>
        <v>0</v>
      </c>
      <c r="K22" s="110" t="s">
        <v>305</v>
      </c>
      <c r="L22" s="134" t="s">
        <v>3459</v>
      </c>
    </row>
    <row r="23" spans="1:12" s="2" customFormat="1">
      <c r="A23" s="22" t="str">
        <f t="shared" si="5"/>
        <v>SCHMAT-SE</v>
      </c>
      <c r="B23" s="94" t="s">
        <v>151</v>
      </c>
      <c r="C23" s="91" t="s">
        <v>85</v>
      </c>
      <c r="D23" s="91" t="s">
        <v>68</v>
      </c>
      <c r="E23" s="267">
        <f>SUMIFS('SCH M Jun22data'!G:G,'SCH M Jun22data'!C:C,B23,'SCH M Jun22data'!H:H,C23,'SCH M Jun22data'!I:I,D23)</f>
        <v>-54136.986039999989</v>
      </c>
      <c r="F23" s="267">
        <f t="shared" si="6"/>
        <v>-54136.986039999989</v>
      </c>
      <c r="G23" s="267">
        <f t="shared" si="6"/>
        <v>0</v>
      </c>
      <c r="H23" s="267">
        <f t="shared" si="6"/>
        <v>0</v>
      </c>
      <c r="I23" s="267">
        <f t="shared" si="6"/>
        <v>0</v>
      </c>
      <c r="J23" s="267">
        <f t="shared" si="6"/>
        <v>0</v>
      </c>
      <c r="K23" s="110" t="s">
        <v>305</v>
      </c>
      <c r="L23" s="134" t="s">
        <v>3459</v>
      </c>
    </row>
    <row r="24" spans="1:12" s="2" customFormat="1">
      <c r="A24" s="22" t="str">
        <f t="shared" si="5"/>
        <v>SCHMAT-SG</v>
      </c>
      <c r="B24" s="94" t="s">
        <v>151</v>
      </c>
      <c r="C24" s="91" t="s">
        <v>87</v>
      </c>
      <c r="D24" s="91" t="s">
        <v>70</v>
      </c>
      <c r="E24" s="267">
        <f>SUMIFS('SCH M Jun22data'!G:G,'SCH M Jun22data'!C:C,B24,'SCH M Jun22data'!H:H,C24,'SCH M Jun22data'!I:I,D24)</f>
        <v>0</v>
      </c>
      <c r="F24" s="267">
        <f t="shared" si="6"/>
        <v>0</v>
      </c>
      <c r="G24" s="267">
        <f t="shared" si="6"/>
        <v>0</v>
      </c>
      <c r="H24" s="267">
        <f t="shared" si="6"/>
        <v>0</v>
      </c>
      <c r="I24" s="267">
        <f t="shared" si="6"/>
        <v>0</v>
      </c>
      <c r="J24" s="267">
        <f t="shared" si="6"/>
        <v>0</v>
      </c>
      <c r="K24" s="110" t="s">
        <v>305</v>
      </c>
      <c r="L24" s="134" t="s">
        <v>3459</v>
      </c>
    </row>
    <row r="25" spans="1:12" s="2" customFormat="1">
      <c r="A25" s="22" t="str">
        <f>IF(C25="","",B25&amp;"-"&amp;C25)</f>
        <v>SCHMAT-SG</v>
      </c>
      <c r="B25" s="94" t="s">
        <v>151</v>
      </c>
      <c r="C25" s="91" t="s">
        <v>87</v>
      </c>
      <c r="D25" s="91" t="s">
        <v>68</v>
      </c>
      <c r="E25" s="267">
        <f>SUMIFS('SCH M Jun22data'!G:G,'SCH M Jun22data'!C:C,B25,'SCH M Jun22data'!H:H,C25,'SCH M Jun22data'!I:I,D25)</f>
        <v>2660.41509</v>
      </c>
      <c r="F25" s="267">
        <f t="shared" si="6"/>
        <v>2660.41509</v>
      </c>
      <c r="G25" s="267">
        <f t="shared" si="6"/>
        <v>0</v>
      </c>
      <c r="H25" s="267">
        <f t="shared" si="6"/>
        <v>0</v>
      </c>
      <c r="I25" s="267">
        <f t="shared" si="6"/>
        <v>0</v>
      </c>
      <c r="J25" s="267">
        <f t="shared" si="6"/>
        <v>0</v>
      </c>
      <c r="K25" s="110" t="s">
        <v>305</v>
      </c>
      <c r="L25" s="134" t="s">
        <v>3459</v>
      </c>
    </row>
    <row r="26" spans="1:12" s="2" customFormat="1">
      <c r="A26" s="22" t="str">
        <f t="shared" si="5"/>
        <v>SCHMAT-SG</v>
      </c>
      <c r="B26" s="94" t="s">
        <v>151</v>
      </c>
      <c r="C26" s="91" t="s">
        <v>87</v>
      </c>
      <c r="D26" s="91" t="s">
        <v>69</v>
      </c>
      <c r="E26" s="267">
        <f>SUMIFS('SCH M Jun22data'!G:G,'SCH M Jun22data'!C:C,B26,'SCH M Jun22data'!H:H,C26,'SCH M Jun22data'!I:I,D26)</f>
        <v>0</v>
      </c>
      <c r="F26" s="267">
        <f t="shared" si="6"/>
        <v>0</v>
      </c>
      <c r="G26" s="267">
        <f t="shared" si="6"/>
        <v>0</v>
      </c>
      <c r="H26" s="267">
        <f t="shared" si="6"/>
        <v>0</v>
      </c>
      <c r="I26" s="267">
        <f t="shared" si="6"/>
        <v>0</v>
      </c>
      <c r="J26" s="267">
        <f t="shared" si="6"/>
        <v>0</v>
      </c>
      <c r="K26" s="110" t="s">
        <v>305</v>
      </c>
      <c r="L26" s="134" t="s">
        <v>3459</v>
      </c>
    </row>
    <row r="27" spans="1:12" s="2" customFormat="1">
      <c r="A27" s="22" t="str">
        <f t="shared" si="5"/>
        <v>SCHMAT-SGCT</v>
      </c>
      <c r="B27" s="94" t="s">
        <v>151</v>
      </c>
      <c r="C27" s="91" t="s">
        <v>99</v>
      </c>
      <c r="D27" s="91" t="s">
        <v>68</v>
      </c>
      <c r="E27" s="267">
        <f>SUMIFS('SCH M Jun22data'!G:G,'SCH M Jun22data'!C:C,B27,'SCH M Jun22data'!H:H,C27,'SCH M Jun22data'!I:I,D27)</f>
        <v>0</v>
      </c>
      <c r="F27" s="267">
        <f t="shared" si="6"/>
        <v>0</v>
      </c>
      <c r="G27" s="267">
        <f t="shared" si="6"/>
        <v>0</v>
      </c>
      <c r="H27" s="267">
        <f t="shared" si="6"/>
        <v>0</v>
      </c>
      <c r="I27" s="267">
        <f t="shared" si="6"/>
        <v>0</v>
      </c>
      <c r="J27" s="267">
        <f t="shared" si="6"/>
        <v>0</v>
      </c>
      <c r="K27" s="110" t="s">
        <v>305</v>
      </c>
      <c r="L27" s="134" t="s">
        <v>3459</v>
      </c>
    </row>
    <row r="28" spans="1:12" s="2" customFormat="1">
      <c r="A28" s="22" t="str">
        <f t="shared" si="5"/>
        <v>SCHMAT-SNP</v>
      </c>
      <c r="B28" s="94" t="s">
        <v>151</v>
      </c>
      <c r="C28" s="91" t="s">
        <v>7</v>
      </c>
      <c r="D28" s="91" t="s">
        <v>110</v>
      </c>
      <c r="E28" s="267">
        <f>SUMIFS('SCH M Jun22data'!G:G,'SCH M Jun22data'!C:C,B28,'SCH M Jun22data'!H:H,C28,'SCH M Jun22data'!I:I,D28)</f>
        <v>503.78111999999999</v>
      </c>
      <c r="F28" s="267">
        <f t="shared" si="6"/>
        <v>235.21233304700212</v>
      </c>
      <c r="G28" s="267">
        <f t="shared" si="6"/>
        <v>125.41457882369586</v>
      </c>
      <c r="H28" s="267">
        <f t="shared" si="6"/>
        <v>138.85345187339038</v>
      </c>
      <c r="I28" s="267">
        <f t="shared" si="6"/>
        <v>4.3007562559116543</v>
      </c>
      <c r="J28" s="267">
        <f t="shared" si="6"/>
        <v>0</v>
      </c>
      <c r="K28" s="110" t="s">
        <v>305</v>
      </c>
      <c r="L28" s="134" t="s">
        <v>3459</v>
      </c>
    </row>
    <row r="29" spans="1:12" s="2" customFormat="1">
      <c r="A29" s="22" t="str">
        <f t="shared" si="5"/>
        <v>SCHMAT-SNP</v>
      </c>
      <c r="B29" s="94" t="s">
        <v>151</v>
      </c>
      <c r="C29" s="91" t="s">
        <v>7</v>
      </c>
      <c r="D29" s="91" t="s">
        <v>92</v>
      </c>
      <c r="E29" s="267">
        <f>SUMIFS('SCH M Jun22data'!G:G,'SCH M Jun22data'!C:C,B29,'SCH M Jun22data'!H:H,C29,'SCH M Jun22data'!I:I,D29)</f>
        <v>42241.109409999997</v>
      </c>
      <c r="F29" s="267">
        <f t="shared" si="6"/>
        <v>20182.830168617667</v>
      </c>
      <c r="G29" s="267">
        <f t="shared" si="6"/>
        <v>10467.157082118019</v>
      </c>
      <c r="H29" s="267">
        <f t="shared" si="6"/>
        <v>11591.122159264311</v>
      </c>
      <c r="I29" s="267">
        <f t="shared" si="6"/>
        <v>0</v>
      </c>
      <c r="J29" s="267">
        <f t="shared" si="6"/>
        <v>0</v>
      </c>
      <c r="K29" s="110" t="s">
        <v>305</v>
      </c>
      <c r="L29" s="134" t="s">
        <v>3459</v>
      </c>
    </row>
    <row r="30" spans="1:12" s="2" customFormat="1">
      <c r="A30" s="22" t="str">
        <f t="shared" si="5"/>
        <v>SCHMAT-SNPD</v>
      </c>
      <c r="B30" s="94" t="s">
        <v>151</v>
      </c>
      <c r="C30" s="91" t="s">
        <v>11</v>
      </c>
      <c r="D30" s="91" t="s">
        <v>70</v>
      </c>
      <c r="E30" s="267">
        <f>SUMIFS('SCH M Jun22data'!G:G,'SCH M Jun22data'!C:C,B30,'SCH M Jun22data'!H:H,C30,'SCH M Jun22data'!I:I,D30)</f>
        <v>3969.5650039695602</v>
      </c>
      <c r="F30" s="267">
        <f t="shared" si="6"/>
        <v>0</v>
      </c>
      <c r="G30" s="267">
        <f t="shared" si="6"/>
        <v>0</v>
      </c>
      <c r="H30" s="267">
        <f t="shared" si="6"/>
        <v>3969.5650039695602</v>
      </c>
      <c r="I30" s="267">
        <f t="shared" si="6"/>
        <v>0</v>
      </c>
      <c r="J30" s="267">
        <f t="shared" si="6"/>
        <v>0</v>
      </c>
      <c r="K30" s="110" t="s">
        <v>305</v>
      </c>
      <c r="L30" s="134" t="s">
        <v>3459</v>
      </c>
    </row>
    <row r="31" spans="1:12" s="2" customFormat="1">
      <c r="A31" s="22" t="str">
        <f>IF(C31="","",B31&amp;"-"&amp;C31)</f>
        <v>SCHMAT-SO</v>
      </c>
      <c r="B31" s="94" t="s">
        <v>151</v>
      </c>
      <c r="C31" s="91" t="s">
        <v>89</v>
      </c>
      <c r="D31" s="93" t="s">
        <v>74</v>
      </c>
      <c r="E31" s="267">
        <f>SUMIFS('SCH M Jun22data'!G:G,'SCH M Jun22data'!C:C,B31,'SCH M Jun22data'!H:H,C31,'SCH M Jun22data'!I:I,D31)</f>
        <v>0</v>
      </c>
      <c r="F31" s="267">
        <f t="shared" si="6"/>
        <v>0</v>
      </c>
      <c r="G31" s="267">
        <f t="shared" si="6"/>
        <v>0</v>
      </c>
      <c r="H31" s="267">
        <f t="shared" si="6"/>
        <v>0</v>
      </c>
      <c r="I31" s="267">
        <f t="shared" si="6"/>
        <v>0</v>
      </c>
      <c r="J31" s="267">
        <f t="shared" si="6"/>
        <v>0</v>
      </c>
      <c r="K31" s="110" t="s">
        <v>305</v>
      </c>
      <c r="L31" s="134" t="s">
        <v>3459</v>
      </c>
    </row>
    <row r="32" spans="1:12" s="2" customFormat="1">
      <c r="A32" s="22" t="str">
        <f>IF(C32="","",B32&amp;"-"&amp;C32)</f>
        <v>SCHMAT-SO</v>
      </c>
      <c r="B32" s="94" t="s">
        <v>151</v>
      </c>
      <c r="C32" s="91" t="s">
        <v>89</v>
      </c>
      <c r="D32" s="93" t="s">
        <v>102</v>
      </c>
      <c r="E32" s="267">
        <f>SUMIFS('SCH M Jun22data'!G:G,'SCH M Jun22data'!C:C,B32,'SCH M Jun22data'!H:H,C32,'SCH M Jun22data'!I:I,D32)</f>
        <v>5044.4497099999999</v>
      </c>
      <c r="F32" s="267">
        <f t="shared" si="6"/>
        <v>2191.0663816019264</v>
      </c>
      <c r="G32" s="267">
        <f t="shared" si="6"/>
        <v>463.40972670739058</v>
      </c>
      <c r="H32" s="267">
        <f t="shared" si="6"/>
        <v>1794.1965592283243</v>
      </c>
      <c r="I32" s="267">
        <f t="shared" si="6"/>
        <v>595.77704246235862</v>
      </c>
      <c r="J32" s="267">
        <f t="shared" si="6"/>
        <v>0</v>
      </c>
      <c r="K32" s="110" t="s">
        <v>305</v>
      </c>
      <c r="L32" s="134" t="s">
        <v>3459</v>
      </c>
    </row>
    <row r="33" spans="1:14" s="2" customFormat="1">
      <c r="A33" s="22" t="str">
        <f t="shared" si="5"/>
        <v>SCHMAT-SO</v>
      </c>
      <c r="B33" s="94" t="s">
        <v>151</v>
      </c>
      <c r="C33" s="91" t="s">
        <v>89</v>
      </c>
      <c r="D33" s="93" t="s">
        <v>92</v>
      </c>
      <c r="E33" s="267">
        <f>SUMIFS('SCH M Jun22data'!G:G,'SCH M Jun22data'!C:C,B33,'SCH M Jun22data'!H:H,C33,'SCH M Jun22data'!I:I,D33)</f>
        <v>-121.36839999999999</v>
      </c>
      <c r="F33" s="267">
        <f t="shared" si="6"/>
        <v>-57.989902236255134</v>
      </c>
      <c r="G33" s="267">
        <f t="shared" si="6"/>
        <v>-30.074544095771007</v>
      </c>
      <c r="H33" s="267">
        <f t="shared" si="6"/>
        <v>-33.303953667973857</v>
      </c>
      <c r="I33" s="267">
        <f t="shared" si="6"/>
        <v>0</v>
      </c>
      <c r="J33" s="267">
        <f t="shared" si="6"/>
        <v>0</v>
      </c>
      <c r="K33" s="110" t="s">
        <v>305</v>
      </c>
      <c r="L33" s="134" t="s">
        <v>3459</v>
      </c>
    </row>
    <row r="34" spans="1:14" s="2" customFormat="1">
      <c r="A34" s="22" t="str">
        <f>IF(C34="","",B34&amp;"-"&amp;C34)</f>
        <v>SCHMAT-OTHER</v>
      </c>
      <c r="B34" s="94" t="s">
        <v>151</v>
      </c>
      <c r="C34" s="91" t="s">
        <v>306</v>
      </c>
      <c r="D34" s="93" t="s">
        <v>74</v>
      </c>
      <c r="E34" s="267">
        <f>SUMIFS('SCH M Jun22data'!G:G,'SCH M Jun22data'!C:C,B34,'SCH M Jun22data'!H:H,C34,'SCH M Jun22data'!I:I,D34)</f>
        <v>900.23275999999987</v>
      </c>
      <c r="F34" s="267">
        <f t="shared" ref="F34:J47" si="7">INDEX(F$143:F$155,MATCH($D34,$D$143:$D$155,0))*$E34</f>
        <v>0</v>
      </c>
      <c r="G34" s="267">
        <f t="shared" si="7"/>
        <v>0</v>
      </c>
      <c r="H34" s="267">
        <f t="shared" si="7"/>
        <v>0</v>
      </c>
      <c r="I34" s="267">
        <f t="shared" si="7"/>
        <v>0</v>
      </c>
      <c r="J34" s="267">
        <f t="shared" si="7"/>
        <v>900.23275999999987</v>
      </c>
      <c r="K34" s="110" t="s">
        <v>305</v>
      </c>
      <c r="L34" s="134" t="s">
        <v>3459</v>
      </c>
      <c r="N34" s="22"/>
    </row>
    <row r="35" spans="1:14" s="2" customFormat="1">
      <c r="A35" s="22" t="str">
        <f>IF(C35="","",B35&amp;"-"&amp;C35)</f>
        <v>SCHMAT-OTHER</v>
      </c>
      <c r="B35" s="94" t="s">
        <v>151</v>
      </c>
      <c r="C35" s="91" t="s">
        <v>306</v>
      </c>
      <c r="D35" s="93" t="s">
        <v>110</v>
      </c>
      <c r="E35" s="267">
        <f>SUMIFS('SCH M Jun22data'!G:G,'SCH M Jun22data'!C:C,B35,'SCH M Jun22data'!H:H,C35,'SCH M Jun22data'!I:I,D35)</f>
        <v>-8755.8478200000009</v>
      </c>
      <c r="F35" s="267">
        <f t="shared" si="7"/>
        <v>-4088.0519570616457</v>
      </c>
      <c r="G35" s="267">
        <f t="shared" si="7"/>
        <v>-2179.7382295503171</v>
      </c>
      <c r="H35" s="267">
        <f t="shared" si="7"/>
        <v>-2413.3093631716492</v>
      </c>
      <c r="I35" s="267">
        <f t="shared" si="7"/>
        <v>-74.748270216389656</v>
      </c>
      <c r="J35" s="267">
        <f t="shared" si="7"/>
        <v>0</v>
      </c>
      <c r="K35" s="110" t="s">
        <v>305</v>
      </c>
      <c r="L35" s="134" t="s">
        <v>3459</v>
      </c>
      <c r="N35" s="22"/>
    </row>
    <row r="36" spans="1:14" s="2" customFormat="1">
      <c r="A36" s="22" t="str">
        <f>IF(C36="","",B36&amp;"-"&amp;C36)</f>
        <v>SCHMAT-OTHER</v>
      </c>
      <c r="B36" s="94" t="s">
        <v>151</v>
      </c>
      <c r="C36" s="91" t="s">
        <v>306</v>
      </c>
      <c r="D36" s="93" t="s">
        <v>68</v>
      </c>
      <c r="E36" s="267">
        <f>SUMIFS('SCH M Jun22data'!G:G,'SCH M Jun22data'!C:C,B36,'SCH M Jun22data'!H:H,C36,'SCH M Jun22data'!I:I,D36)</f>
        <v>-21634.515589999999</v>
      </c>
      <c r="F36" s="267">
        <f t="shared" si="7"/>
        <v>-21634.515589999999</v>
      </c>
      <c r="G36" s="267">
        <f t="shared" si="7"/>
        <v>0</v>
      </c>
      <c r="H36" s="267">
        <f t="shared" si="7"/>
        <v>0</v>
      </c>
      <c r="I36" s="267">
        <f t="shared" si="7"/>
        <v>0</v>
      </c>
      <c r="J36" s="267">
        <f t="shared" si="7"/>
        <v>0</v>
      </c>
      <c r="K36" s="110" t="s">
        <v>305</v>
      </c>
      <c r="L36" s="134" t="s">
        <v>3459</v>
      </c>
      <c r="N36" s="22"/>
    </row>
    <row r="37" spans="1:14" s="2" customFormat="1">
      <c r="A37" s="22" t="str">
        <f>IF(C37="","",B37&amp;"-"&amp;C37)</f>
        <v>SCHMAT-OTHER</v>
      </c>
      <c r="B37" s="94" t="s">
        <v>151</v>
      </c>
      <c r="C37" s="91" t="s">
        <v>306</v>
      </c>
      <c r="D37" s="93" t="s">
        <v>92</v>
      </c>
      <c r="E37" s="267">
        <f>SUMIFS('SCH M Jun22data'!G:G,'SCH M Jun22data'!C:C,B37,'SCH M Jun22data'!H:H,C37,'SCH M Jun22data'!I:I,D37)</f>
        <v>-18717.484270000001</v>
      </c>
      <c r="F37" s="267">
        <f t="shared" si="7"/>
        <v>-8943.226432299869</v>
      </c>
      <c r="G37" s="267">
        <f t="shared" si="7"/>
        <v>-4638.1084865584062</v>
      </c>
      <c r="H37" s="267">
        <f t="shared" si="7"/>
        <v>-5136.1493511417266</v>
      </c>
      <c r="I37" s="267">
        <f t="shared" si="7"/>
        <v>0</v>
      </c>
      <c r="J37" s="267">
        <f t="shared" si="7"/>
        <v>0</v>
      </c>
      <c r="K37" s="110" t="s">
        <v>305</v>
      </c>
      <c r="L37" s="134" t="s">
        <v>3459</v>
      </c>
      <c r="N37" s="22"/>
    </row>
    <row r="38" spans="1:14" s="2" customFormat="1">
      <c r="A38" s="22" t="str">
        <f>IF(C38="","",B38&amp;"-"&amp;C38)</f>
        <v>SCHMAT-OTHER</v>
      </c>
      <c r="B38" s="94" t="s">
        <v>151</v>
      </c>
      <c r="C38" s="91" t="s">
        <v>306</v>
      </c>
      <c r="D38" s="93" t="s">
        <v>73</v>
      </c>
      <c r="E38" s="267">
        <f>SUMIFS('SCH M Jun22data'!G:G,'SCH M Jun22data'!C:C,B38,'SCH M Jun22data'!H:H,C38,'SCH M Jun22data'!I:I,D38)</f>
        <v>-385.18615</v>
      </c>
      <c r="F38" s="267">
        <f t="shared" si="7"/>
        <v>0</v>
      </c>
      <c r="G38" s="267">
        <f t="shared" si="7"/>
        <v>0</v>
      </c>
      <c r="H38" s="267">
        <f t="shared" si="7"/>
        <v>0</v>
      </c>
      <c r="I38" s="267">
        <f t="shared" si="7"/>
        <v>-385.18615</v>
      </c>
      <c r="J38" s="267">
        <f t="shared" si="7"/>
        <v>0</v>
      </c>
      <c r="K38" s="110" t="s">
        <v>305</v>
      </c>
      <c r="L38" s="134" t="s">
        <v>3459</v>
      </c>
      <c r="N38" s="22"/>
    </row>
    <row r="39" spans="1:14" s="2" customFormat="1">
      <c r="A39" s="22" t="str">
        <f t="shared" si="5"/>
        <v>SCHMAT-TROJD</v>
      </c>
      <c r="B39" s="94" t="s">
        <v>151</v>
      </c>
      <c r="C39" s="91" t="s">
        <v>252</v>
      </c>
      <c r="D39" s="91" t="s">
        <v>68</v>
      </c>
      <c r="E39" s="267">
        <f>SUMIFS('SCH M Jun22data'!G:G,'SCH M Jun22data'!C:C,B39,'SCH M Jun22data'!H:H,C39,'SCH M Jun22data'!I:I,D39)</f>
        <v>0</v>
      </c>
      <c r="F39" s="267">
        <f t="shared" si="7"/>
        <v>0</v>
      </c>
      <c r="G39" s="267">
        <f t="shared" si="7"/>
        <v>0</v>
      </c>
      <c r="H39" s="267">
        <f t="shared" si="7"/>
        <v>0</v>
      </c>
      <c r="I39" s="267">
        <f t="shared" si="7"/>
        <v>0</v>
      </c>
      <c r="J39" s="267">
        <f t="shared" si="7"/>
        <v>0</v>
      </c>
      <c r="K39" s="110" t="s">
        <v>305</v>
      </c>
      <c r="L39" s="134" t="s">
        <v>3459</v>
      </c>
    </row>
    <row r="40" spans="1:14" s="2" customFormat="1">
      <c r="A40" s="22" t="str">
        <f t="shared" si="5"/>
        <v>SCHMAT-SITUS</v>
      </c>
      <c r="B40" s="94" t="s">
        <v>151</v>
      </c>
      <c r="C40" s="91" t="s">
        <v>12</v>
      </c>
      <c r="D40" s="91" t="s">
        <v>74</v>
      </c>
      <c r="E40" s="267">
        <f>SUMIFS('SCH M Jun22data'!G:G,'SCH M Jun22data'!C:C,B40,'SCH M Jun22data'!H:H,C40,'SCH M Jun22data'!I:I,D40)</f>
        <v>0</v>
      </c>
      <c r="F40" s="267">
        <f t="shared" si="7"/>
        <v>0</v>
      </c>
      <c r="G40" s="267">
        <f t="shared" si="7"/>
        <v>0</v>
      </c>
      <c r="H40" s="267">
        <f t="shared" si="7"/>
        <v>0</v>
      </c>
      <c r="I40" s="267">
        <f t="shared" si="7"/>
        <v>0</v>
      </c>
      <c r="J40" s="267">
        <f t="shared" si="7"/>
        <v>0</v>
      </c>
      <c r="K40" s="110" t="s">
        <v>305</v>
      </c>
      <c r="L40" s="134" t="s">
        <v>3459</v>
      </c>
    </row>
    <row r="41" spans="1:14" s="2" customFormat="1">
      <c r="A41" s="22" t="str">
        <f t="shared" si="5"/>
        <v>SCHMAT-SITUS</v>
      </c>
      <c r="B41" s="94" t="s">
        <v>151</v>
      </c>
      <c r="C41" s="91" t="s">
        <v>12</v>
      </c>
      <c r="D41" s="91" t="s">
        <v>70</v>
      </c>
      <c r="E41" s="267">
        <f>SUMIFS('SCH M Jun22data'!G:G,'SCH M Jun22data'!C:C,B41,'SCH M Jun22data'!H:H,C41,'SCH M Jun22data'!I:I,D41)</f>
        <v>0</v>
      </c>
      <c r="F41" s="267">
        <f t="shared" si="7"/>
        <v>0</v>
      </c>
      <c r="G41" s="267">
        <f t="shared" si="7"/>
        <v>0</v>
      </c>
      <c r="H41" s="267">
        <f t="shared" si="7"/>
        <v>0</v>
      </c>
      <c r="I41" s="267">
        <f t="shared" si="7"/>
        <v>0</v>
      </c>
      <c r="J41" s="267">
        <f t="shared" si="7"/>
        <v>0</v>
      </c>
      <c r="K41" s="110" t="s">
        <v>305</v>
      </c>
      <c r="L41" s="134" t="s">
        <v>3459</v>
      </c>
    </row>
    <row r="42" spans="1:14" s="2" customFormat="1">
      <c r="A42" s="22" t="str">
        <f t="shared" si="5"/>
        <v>SCHMAT-SITUS</v>
      </c>
      <c r="B42" s="94" t="s">
        <v>151</v>
      </c>
      <c r="C42" s="91" t="s">
        <v>12</v>
      </c>
      <c r="D42" s="91" t="s">
        <v>100</v>
      </c>
      <c r="E42" s="267">
        <f>SUMIFS('SCH M Jun22data'!G:G,'SCH M Jun22data'!C:C,B42,'SCH M Jun22data'!H:H,C42,'SCH M Jun22data'!I:I,D42)</f>
        <v>770.94716000000005</v>
      </c>
      <c r="F42" s="267">
        <f t="shared" si="7"/>
        <v>231.28414800000002</v>
      </c>
      <c r="G42" s="267">
        <f t="shared" si="7"/>
        <v>77.094716000000005</v>
      </c>
      <c r="H42" s="267">
        <f t="shared" si="7"/>
        <v>462.56829600000003</v>
      </c>
      <c r="I42" s="267">
        <f t="shared" si="7"/>
        <v>0</v>
      </c>
      <c r="J42" s="267">
        <f t="shared" si="7"/>
        <v>0</v>
      </c>
      <c r="K42" s="110" t="s">
        <v>305</v>
      </c>
      <c r="L42" s="134" t="s">
        <v>3459</v>
      </c>
    </row>
    <row r="43" spans="1:14" s="2" customFormat="1">
      <c r="A43" s="22" t="str">
        <f t="shared" si="5"/>
        <v>SCHMAT-SITUS</v>
      </c>
      <c r="B43" s="94" t="s">
        <v>151</v>
      </c>
      <c r="C43" s="91" t="s">
        <v>12</v>
      </c>
      <c r="D43" s="91" t="s">
        <v>110</v>
      </c>
      <c r="E43" s="267">
        <f>SUMIFS('SCH M Jun22data'!G:G,'SCH M Jun22data'!C:C,B43,'SCH M Jun22data'!H:H,C43,'SCH M Jun22data'!I:I,D43)</f>
        <v>0</v>
      </c>
      <c r="F43" s="267">
        <f t="shared" si="7"/>
        <v>0</v>
      </c>
      <c r="G43" s="267">
        <f t="shared" si="7"/>
        <v>0</v>
      </c>
      <c r="H43" s="267">
        <f t="shared" si="7"/>
        <v>0</v>
      </c>
      <c r="I43" s="267">
        <f t="shared" si="7"/>
        <v>0</v>
      </c>
      <c r="J43" s="267">
        <f t="shared" si="7"/>
        <v>0</v>
      </c>
      <c r="K43" s="110" t="s">
        <v>305</v>
      </c>
      <c r="L43" s="134" t="s">
        <v>3459</v>
      </c>
    </row>
    <row r="44" spans="1:14" s="2" customFormat="1">
      <c r="A44" s="22" t="str">
        <f t="shared" si="5"/>
        <v>SCHMAT-SITUS</v>
      </c>
      <c r="B44" s="94" t="s">
        <v>151</v>
      </c>
      <c r="C44" s="91" t="s">
        <v>12</v>
      </c>
      <c r="D44" s="91" t="s">
        <v>102</v>
      </c>
      <c r="E44" s="267">
        <f>SUMIFS('SCH M Jun22data'!G:G,'SCH M Jun22data'!C:C,B44,'SCH M Jun22data'!H:H,C44,'SCH M Jun22data'!I:I,D44)</f>
        <v>798.63944000000004</v>
      </c>
      <c r="F44" s="267">
        <f t="shared" si="7"/>
        <v>346.89056856617742</v>
      </c>
      <c r="G44" s="267">
        <f t="shared" si="7"/>
        <v>73.367226537013778</v>
      </c>
      <c r="H44" s="267">
        <f t="shared" si="7"/>
        <v>284.0579682004672</v>
      </c>
      <c r="I44" s="267">
        <f t="shared" si="7"/>
        <v>94.323676696341636</v>
      </c>
      <c r="J44" s="267">
        <f t="shared" si="7"/>
        <v>0</v>
      </c>
      <c r="K44" s="110" t="s">
        <v>305</v>
      </c>
      <c r="L44" s="134" t="s">
        <v>3459</v>
      </c>
    </row>
    <row r="45" spans="1:14" s="2" customFormat="1">
      <c r="A45" s="22" t="str">
        <f t="shared" si="5"/>
        <v>SCHMAT-SITUS</v>
      </c>
      <c r="B45" s="94" t="s">
        <v>151</v>
      </c>
      <c r="C45" s="91" t="s">
        <v>12</v>
      </c>
      <c r="D45" s="91" t="s">
        <v>68</v>
      </c>
      <c r="E45" s="267">
        <f>SUMIFS('SCH M Jun22data'!G:G,'SCH M Jun22data'!C:C,B45,'SCH M Jun22data'!H:H,C45,'SCH M Jun22data'!I:I,D45)</f>
        <v>-7160.0640899999999</v>
      </c>
      <c r="F45" s="267">
        <f t="shared" si="7"/>
        <v>-7160.0640899999999</v>
      </c>
      <c r="G45" s="267">
        <f t="shared" si="7"/>
        <v>0</v>
      </c>
      <c r="H45" s="267">
        <f t="shared" si="7"/>
        <v>0</v>
      </c>
      <c r="I45" s="267">
        <f t="shared" si="7"/>
        <v>0</v>
      </c>
      <c r="J45" s="267">
        <f t="shared" si="7"/>
        <v>0</v>
      </c>
      <c r="K45" s="110" t="s">
        <v>305</v>
      </c>
      <c r="L45" s="134" t="s">
        <v>3459</v>
      </c>
    </row>
    <row r="46" spans="1:14" s="2" customFormat="1">
      <c r="A46" s="22" t="str">
        <f t="shared" si="5"/>
        <v>SCHMAT-SITUS</v>
      </c>
      <c r="B46" s="94" t="s">
        <v>151</v>
      </c>
      <c r="C46" s="91" t="s">
        <v>12</v>
      </c>
      <c r="D46" s="91" t="s">
        <v>92</v>
      </c>
      <c r="E46" s="267">
        <f>SUMIFS('SCH M Jun22data'!G:G,'SCH M Jun22data'!C:C,B46,'SCH M Jun22data'!H:H,C46,'SCH M Jun22data'!I:I,D46)</f>
        <v>-4935.4724800000004</v>
      </c>
      <c r="F46" s="267">
        <f t="shared" si="7"/>
        <v>-2358.172033288135</v>
      </c>
      <c r="G46" s="267">
        <f t="shared" si="7"/>
        <v>-1222.9879007486652</v>
      </c>
      <c r="H46" s="267">
        <f t="shared" si="7"/>
        <v>-1354.3125459632001</v>
      </c>
      <c r="I46" s="267">
        <f t="shared" si="7"/>
        <v>0</v>
      </c>
      <c r="J46" s="267">
        <f t="shared" si="7"/>
        <v>0</v>
      </c>
      <c r="K46" s="110" t="s">
        <v>305</v>
      </c>
      <c r="L46" s="134" t="s">
        <v>3459</v>
      </c>
    </row>
    <row r="47" spans="1:14" s="2" customFormat="1">
      <c r="A47" s="22" t="str">
        <f t="shared" si="5"/>
        <v>SCHMAT-SITUS</v>
      </c>
      <c r="B47" s="94" t="s">
        <v>151</v>
      </c>
      <c r="C47" s="91" t="s">
        <v>12</v>
      </c>
      <c r="D47" s="91" t="s">
        <v>69</v>
      </c>
      <c r="E47" s="267">
        <f>SUMIFS('SCH M Jun22data'!G:G,'SCH M Jun22data'!C:C,B47,'SCH M Jun22data'!H:H,C47,'SCH M Jun22data'!I:I,D47)</f>
        <v>0</v>
      </c>
      <c r="F47" s="267">
        <f t="shared" si="7"/>
        <v>0</v>
      </c>
      <c r="G47" s="267">
        <f t="shared" si="7"/>
        <v>0</v>
      </c>
      <c r="H47" s="267">
        <f t="shared" si="7"/>
        <v>0</v>
      </c>
      <c r="I47" s="267">
        <f t="shared" si="7"/>
        <v>0</v>
      </c>
      <c r="J47" s="267">
        <f t="shared" si="7"/>
        <v>0</v>
      </c>
      <c r="K47" s="110" t="s">
        <v>305</v>
      </c>
      <c r="L47" s="134" t="s">
        <v>3459</v>
      </c>
    </row>
    <row r="48" spans="1:14" s="2" customFormat="1">
      <c r="A48" s="22"/>
      <c r="B48" s="64" t="s">
        <v>270</v>
      </c>
      <c r="C48" s="91"/>
      <c r="D48" s="91"/>
      <c r="E48" s="267">
        <f>SUMIF($A:$A,"SCHMAT-GPS",E:E)</f>
        <v>-2297.2985199999998</v>
      </c>
      <c r="F48" s="267">
        <f>SUMIF($A:$A,"SCHMAT-GPS",F:F)</f>
        <v>-1072.5946708654446</v>
      </c>
      <c r="G48" s="267">
        <f t="shared" ref="G48:J48" si="8">SUMIF($A:$A,"SCHMAT-GPS",G:G)</f>
        <v>-571.90457299809066</v>
      </c>
      <c r="H48" s="267">
        <f t="shared" si="8"/>
        <v>-633.18734430863731</v>
      </c>
      <c r="I48" s="267">
        <f t="shared" si="8"/>
        <v>-19.611931827827497</v>
      </c>
      <c r="J48" s="267">
        <f t="shared" si="8"/>
        <v>0</v>
      </c>
      <c r="K48" s="110"/>
      <c r="L48" s="134"/>
    </row>
    <row r="49" spans="1:17" s="2" customFormat="1">
      <c r="A49" s="22"/>
      <c r="B49" s="64" t="s">
        <v>304</v>
      </c>
      <c r="C49" s="91"/>
      <c r="D49" s="91"/>
      <c r="E49" s="267">
        <f t="shared" ref="E49:J49" si="9">SUMIF($A:$A,"SCHMAT-SE",E:E)</f>
        <v>-54272.067039999987</v>
      </c>
      <c r="F49" s="267">
        <f t="shared" si="9"/>
        <v>-54195.658730760777</v>
      </c>
      <c r="G49" s="267">
        <f t="shared" si="9"/>
        <v>-12.40925232523748</v>
      </c>
      <c r="H49" s="267">
        <f t="shared" si="9"/>
        <v>-48.045253565848576</v>
      </c>
      <c r="I49" s="267">
        <f t="shared" si="9"/>
        <v>-15.953803348127318</v>
      </c>
      <c r="J49" s="267">
        <f t="shared" si="9"/>
        <v>0</v>
      </c>
    </row>
    <row r="50" spans="1:17">
      <c r="A50" s="22" t="str">
        <f t="shared" ref="A50:A59" si="10">IF(C50="","",B50&amp;"-"&amp;C50)</f>
        <v/>
      </c>
      <c r="B50" s="64" t="s">
        <v>271</v>
      </c>
      <c r="E50" s="267">
        <f t="shared" ref="E50:J50" si="11">SUMIF($A:$A,"SCHMAT-SNP",E:E)</f>
        <v>42744.890529999997</v>
      </c>
      <c r="F50" s="267">
        <f t="shared" si="11"/>
        <v>20418.04250166467</v>
      </c>
      <c r="G50" s="267">
        <f t="shared" si="11"/>
        <v>10592.571660941716</v>
      </c>
      <c r="H50" s="267">
        <f t="shared" si="11"/>
        <v>11729.975611137701</v>
      </c>
      <c r="I50" s="267">
        <f t="shared" si="11"/>
        <v>4.3007562559116543</v>
      </c>
      <c r="J50" s="267">
        <f t="shared" si="11"/>
        <v>0</v>
      </c>
    </row>
    <row r="51" spans="1:17">
      <c r="A51" s="22" t="str">
        <f t="shared" si="10"/>
        <v/>
      </c>
      <c r="B51" s="64" t="s">
        <v>273</v>
      </c>
      <c r="E51" s="267">
        <f t="shared" ref="E51:J51" si="12">SUMIF($A:$A,"SCHMAT-SITUS",E:E)</f>
        <v>-10525.94997</v>
      </c>
      <c r="F51" s="267">
        <f t="shared" si="12"/>
        <v>-8940.0614067219576</v>
      </c>
      <c r="G51" s="267">
        <f t="shared" si="12"/>
        <v>-1072.5259582116514</v>
      </c>
      <c r="H51" s="267">
        <f t="shared" si="12"/>
        <v>-607.68628176273296</v>
      </c>
      <c r="I51" s="267">
        <f t="shared" si="12"/>
        <v>94.323676696341636</v>
      </c>
      <c r="J51" s="267">
        <f t="shared" si="12"/>
        <v>0</v>
      </c>
    </row>
    <row r="52" spans="1:17">
      <c r="B52" s="64" t="s">
        <v>268</v>
      </c>
      <c r="E52" s="267">
        <f t="shared" ref="E52:J52" si="13">SUMIF($A:$A,"SCHMAT-SO",E:E)</f>
        <v>4923.0813099999996</v>
      </c>
      <c r="F52" s="267">
        <f t="shared" si="13"/>
        <v>2133.0764793656713</v>
      </c>
      <c r="G52" s="267">
        <f t="shared" si="13"/>
        <v>433.33518261161959</v>
      </c>
      <c r="H52" s="267">
        <f t="shared" si="13"/>
        <v>1760.8926055603504</v>
      </c>
      <c r="I52" s="267">
        <f t="shared" si="13"/>
        <v>595.77704246235862</v>
      </c>
      <c r="J52" s="267">
        <f t="shared" si="13"/>
        <v>0</v>
      </c>
    </row>
    <row r="53" spans="1:17" s="66" customFormat="1">
      <c r="A53" s="22" t="str">
        <f t="shared" si="10"/>
        <v/>
      </c>
      <c r="B53" s="64" t="s">
        <v>269</v>
      </c>
      <c r="C53" s="91"/>
      <c r="D53" s="91"/>
      <c r="E53" s="267">
        <f t="shared" ref="E53:J53" si="14">SUMIF($B:$B,"SCHMAT",E:E)</f>
        <v>1120844.8270638459</v>
      </c>
      <c r="F53" s="267">
        <f t="shared" si="14"/>
        <v>426575.5846103183</v>
      </c>
      <c r="G53" s="267">
        <f t="shared" si="14"/>
        <v>269276.85182259412</v>
      </c>
      <c r="H53" s="267">
        <f t="shared" si="14"/>
        <v>413804.63882939029</v>
      </c>
      <c r="I53" s="267">
        <f t="shared" si="14"/>
        <v>10287.519041542957</v>
      </c>
      <c r="J53" s="267">
        <f t="shared" si="14"/>
        <v>900.23275999999987</v>
      </c>
      <c r="L53" s="67"/>
    </row>
    <row r="54" spans="1:17" s="66" customFormat="1">
      <c r="A54" s="22"/>
      <c r="B54" s="65" t="s">
        <v>24</v>
      </c>
      <c r="C54" s="91"/>
      <c r="D54" s="91"/>
      <c r="E54" s="214">
        <f t="shared" ref="E54:E59" si="15">SUM(F54:J54)</f>
        <v>1.0000000000000002</v>
      </c>
      <c r="F54" s="215">
        <f t="shared" ref="F54:F59" si="16">IF(ISERROR(F48/$E48)," ",(F48/$E48))</f>
        <v>0.4668939023498978</v>
      </c>
      <c r="G54" s="215">
        <f t="shared" ref="G54:J55" si="17">IF(ISERROR(G48/$E48)," ",(G48/$E48))</f>
        <v>0.24894656398337414</v>
      </c>
      <c r="H54" s="215">
        <f t="shared" si="17"/>
        <v>0.27562257965004799</v>
      </c>
      <c r="I54" s="215">
        <f t="shared" si="17"/>
        <v>8.5369540166802087E-3</v>
      </c>
      <c r="J54" s="215">
        <f t="shared" si="17"/>
        <v>0</v>
      </c>
      <c r="L54" s="67"/>
    </row>
    <row r="55" spans="1:17" s="66" customFormat="1">
      <c r="A55" s="22"/>
      <c r="B55" s="65" t="s">
        <v>26</v>
      </c>
      <c r="C55" s="91"/>
      <c r="D55" s="91"/>
      <c r="E55" s="214">
        <f t="shared" si="15"/>
        <v>1.0000000000000002</v>
      </c>
      <c r="F55" s="215">
        <f t="shared" si="16"/>
        <v>0.99859212457887603</v>
      </c>
      <c r="G55" s="215">
        <f t="shared" si="17"/>
        <v>2.2864897178306336E-4</v>
      </c>
      <c r="H55" s="215">
        <f t="shared" si="17"/>
        <v>8.8526669769990371E-4</v>
      </c>
      <c r="I55" s="215">
        <f t="shared" si="17"/>
        <v>2.9395975164109615E-4</v>
      </c>
      <c r="J55" s="215">
        <f t="shared" si="17"/>
        <v>0</v>
      </c>
      <c r="L55" s="67"/>
      <c r="M55" s="86"/>
      <c r="N55" s="86"/>
      <c r="O55" s="86"/>
      <c r="P55" s="86"/>
      <c r="Q55" s="86"/>
    </row>
    <row r="56" spans="1:17">
      <c r="A56" s="22" t="str">
        <f t="shared" si="10"/>
        <v/>
      </c>
      <c r="B56" s="65" t="s">
        <v>28</v>
      </c>
      <c r="C56" s="65"/>
      <c r="D56" s="93"/>
      <c r="E56" s="214">
        <f t="shared" si="15"/>
        <v>1</v>
      </c>
      <c r="F56" s="215">
        <f t="shared" si="16"/>
        <v>0.47767212053881636</v>
      </c>
      <c r="G56" s="215">
        <f t="shared" ref="G56:J59" si="18">IF(ISERROR(G50/$E50)," ",(G50/$E50))</f>
        <v>0.24780907213945125</v>
      </c>
      <c r="H56" s="215">
        <f t="shared" si="18"/>
        <v>0.27441819281079116</v>
      </c>
      <c r="I56" s="215">
        <f t="shared" si="18"/>
        <v>1.0061451094121342E-4</v>
      </c>
      <c r="J56" s="215">
        <f t="shared" si="18"/>
        <v>0</v>
      </c>
      <c r="L56" s="5"/>
      <c r="M56" s="14"/>
      <c r="N56" s="14"/>
      <c r="O56" s="14"/>
      <c r="P56" s="14"/>
      <c r="Q56" s="14"/>
    </row>
    <row r="57" spans="1:17">
      <c r="A57" s="22" t="str">
        <f t="shared" si="10"/>
        <v/>
      </c>
      <c r="B57" s="65" t="s">
        <v>32</v>
      </c>
      <c r="C57" s="65"/>
      <c r="D57" s="93"/>
      <c r="E57" s="214">
        <f t="shared" si="15"/>
        <v>1</v>
      </c>
      <c r="F57" s="215">
        <f t="shared" si="16"/>
        <v>0.84933535046262032</v>
      </c>
      <c r="G57" s="215">
        <f t="shared" si="18"/>
        <v>0.1018935071198758</v>
      </c>
      <c r="H57" s="215">
        <f t="shared" si="18"/>
        <v>5.7732203126055044E-2</v>
      </c>
      <c r="I57" s="215">
        <f t="shared" si="18"/>
        <v>-8.9610607085511013E-3</v>
      </c>
      <c r="J57" s="215">
        <f t="shared" si="18"/>
        <v>0</v>
      </c>
      <c r="M57" s="14"/>
      <c r="N57" s="14"/>
      <c r="O57" s="14"/>
      <c r="P57" s="14"/>
      <c r="Q57" s="14"/>
    </row>
    <row r="58" spans="1:17">
      <c r="B58" s="65" t="s">
        <v>30</v>
      </c>
      <c r="C58" s="65"/>
      <c r="D58" s="93"/>
      <c r="E58" s="214">
        <f t="shared" si="15"/>
        <v>1</v>
      </c>
      <c r="F58" s="215">
        <f t="shared" si="16"/>
        <v>0.43328077377736252</v>
      </c>
      <c r="G58" s="215">
        <f t="shared" si="18"/>
        <v>8.8021130532905945E-2</v>
      </c>
      <c r="H58" s="215">
        <f t="shared" si="18"/>
        <v>0.35768099177714996</v>
      </c>
      <c r="I58" s="215">
        <f t="shared" si="18"/>
        <v>0.12101710391258166</v>
      </c>
      <c r="J58" s="215">
        <f t="shared" si="18"/>
        <v>0</v>
      </c>
      <c r="M58" s="14"/>
      <c r="N58" s="14"/>
      <c r="O58" s="14"/>
      <c r="P58" s="14"/>
      <c r="Q58" s="14"/>
    </row>
    <row r="59" spans="1:17">
      <c r="A59" s="22" t="str">
        <f t="shared" si="10"/>
        <v/>
      </c>
      <c r="B59" s="65" t="s">
        <v>153</v>
      </c>
      <c r="C59" s="65"/>
      <c r="D59" s="93"/>
      <c r="E59" s="214">
        <f t="shared" si="15"/>
        <v>0.99999999999999989</v>
      </c>
      <c r="F59" s="215">
        <f t="shared" si="16"/>
        <v>0.38058397943252459</v>
      </c>
      <c r="G59" s="215">
        <f t="shared" si="18"/>
        <v>0.24024454172482476</v>
      </c>
      <c r="H59" s="215">
        <f t="shared" si="18"/>
        <v>0.36918994390453569</v>
      </c>
      <c r="I59" s="215">
        <f t="shared" si="18"/>
        <v>9.1783615297507688E-3</v>
      </c>
      <c r="J59" s="215">
        <f t="shared" si="18"/>
        <v>8.0317340836397557E-4</v>
      </c>
      <c r="M59" s="14"/>
      <c r="N59" s="14"/>
      <c r="O59" s="14"/>
      <c r="P59" s="14"/>
      <c r="Q59" s="14"/>
    </row>
    <row r="60" spans="1:17" s="2" customFormat="1">
      <c r="A60" s="22"/>
      <c r="B60" s="261"/>
      <c r="C60" s="261"/>
      <c r="D60" s="93"/>
      <c r="E60" s="245"/>
      <c r="F60" s="169"/>
      <c r="G60" s="169"/>
      <c r="H60" s="169"/>
      <c r="I60" s="169"/>
      <c r="J60" s="169"/>
    </row>
    <row r="61" spans="1:17">
      <c r="A61" s="22" t="str">
        <f>IF(C61="","",B61&amp;"-"&amp;C61)</f>
        <v>SCHMAF-DGP</v>
      </c>
      <c r="B61" s="22" t="s">
        <v>154</v>
      </c>
      <c r="C61" s="22" t="s">
        <v>104</v>
      </c>
      <c r="D61" s="22" t="s">
        <v>68</v>
      </c>
      <c r="E61" s="267">
        <v>0</v>
      </c>
      <c r="F61" s="267">
        <f t="shared" ref="F61:J62" si="19">INDEX(F$143:F$155,MATCH($D61,$D$143:$D$155,0))*$E61</f>
        <v>0</v>
      </c>
      <c r="G61" s="267">
        <f t="shared" si="19"/>
        <v>0</v>
      </c>
      <c r="H61" s="267">
        <f t="shared" si="19"/>
        <v>0</v>
      </c>
      <c r="I61" s="267">
        <f t="shared" si="19"/>
        <v>0</v>
      </c>
      <c r="J61" s="267">
        <f t="shared" si="19"/>
        <v>0</v>
      </c>
    </row>
    <row r="62" spans="1:17">
      <c r="A62" s="22" t="str">
        <f>IF(C62="","",B62&amp;"-"&amp;C62)</f>
        <v>SCHMAF-TROJP</v>
      </c>
      <c r="B62" s="22" t="s">
        <v>154</v>
      </c>
      <c r="C62" s="22" t="s">
        <v>6</v>
      </c>
      <c r="D62" s="22" t="s">
        <v>68</v>
      </c>
      <c r="E62" s="267">
        <v>0</v>
      </c>
      <c r="F62" s="267">
        <f t="shared" si="19"/>
        <v>0</v>
      </c>
      <c r="G62" s="267">
        <f t="shared" si="19"/>
        <v>0</v>
      </c>
      <c r="H62" s="267">
        <f t="shared" si="19"/>
        <v>0</v>
      </c>
      <c r="I62" s="267">
        <f t="shared" si="19"/>
        <v>0</v>
      </c>
      <c r="J62" s="267">
        <f t="shared" si="19"/>
        <v>0</v>
      </c>
    </row>
    <row r="63" spans="1:17">
      <c r="A63" s="22" t="str">
        <f t="shared" ref="A63:A127" si="20">IF(C63="","",B63&amp;"-"&amp;C63)</f>
        <v/>
      </c>
      <c r="B63" s="65" t="s">
        <v>274</v>
      </c>
      <c r="E63" s="267">
        <f t="shared" ref="E63:J63" si="21">SUMIF($A:$A,"SCHMAF",E:E)</f>
        <v>0</v>
      </c>
      <c r="F63" s="267">
        <f t="shared" si="21"/>
        <v>0</v>
      </c>
      <c r="G63" s="267">
        <f t="shared" si="21"/>
        <v>0</v>
      </c>
      <c r="H63" s="267">
        <f t="shared" si="21"/>
        <v>0</v>
      </c>
      <c r="I63" s="267">
        <f t="shared" si="21"/>
        <v>0</v>
      </c>
      <c r="J63" s="267">
        <f t="shared" si="21"/>
        <v>0</v>
      </c>
    </row>
    <row r="64" spans="1:17">
      <c r="A64" s="22" t="str">
        <f t="shared" si="20"/>
        <v/>
      </c>
      <c r="B64" s="65" t="s">
        <v>56</v>
      </c>
      <c r="C64" s="65"/>
      <c r="D64" s="93"/>
      <c r="E64" s="214">
        <f>SUM(F64:J64)</f>
        <v>0</v>
      </c>
      <c r="F64" s="215" t="str">
        <f>IF(ISERROR(F63/$E63)," ",(F63/$E63))</f>
        <v xml:space="preserve"> </v>
      </c>
      <c r="G64" s="215" t="str">
        <f>IF(ISERROR(G63/$E63)," ",(G63/$E63))</f>
        <v xml:space="preserve"> </v>
      </c>
      <c r="H64" s="215" t="str">
        <f>IF(ISERROR(H63/$E63)," ",(H63/$E63))</f>
        <v xml:space="preserve"> </v>
      </c>
      <c r="I64" s="215" t="str">
        <f>IF(ISERROR(I63/$E63)," ",(I63/$E63))</f>
        <v xml:space="preserve"> </v>
      </c>
      <c r="J64" s="215" t="str">
        <f>IF(ISERROR(J63/$E63)," ",(J63/$E63))</f>
        <v xml:space="preserve"> </v>
      </c>
    </row>
    <row r="65" spans="1:12" s="2" customFormat="1">
      <c r="A65" s="22"/>
      <c r="B65" s="261"/>
      <c r="C65" s="261"/>
      <c r="D65" s="93"/>
      <c r="E65" s="245"/>
      <c r="F65" s="169"/>
      <c r="G65" s="169"/>
      <c r="H65" s="169"/>
      <c r="I65" s="169"/>
      <c r="J65" s="169"/>
    </row>
    <row r="66" spans="1:12">
      <c r="A66" s="22" t="str">
        <f t="shared" si="20"/>
        <v/>
      </c>
      <c r="B66" s="18" t="s">
        <v>275</v>
      </c>
      <c r="C66" s="93"/>
      <c r="D66" s="93"/>
      <c r="E66" s="267">
        <f t="shared" ref="E66:J66" si="22">SUM(E63,E53,E14)</f>
        <v>1122044.281263846</v>
      </c>
      <c r="F66" s="267">
        <f t="shared" si="22"/>
        <v>427146.51781847188</v>
      </c>
      <c r="G66" s="267">
        <f t="shared" si="22"/>
        <v>269378.92809750699</v>
      </c>
      <c r="H66" s="267">
        <f t="shared" si="22"/>
        <v>414199.8504330155</v>
      </c>
      <c r="I66" s="267">
        <f t="shared" si="22"/>
        <v>10418.752154851285</v>
      </c>
      <c r="J66" s="267">
        <f t="shared" si="22"/>
        <v>900.23275999999987</v>
      </c>
    </row>
    <row r="67" spans="1:12">
      <c r="A67" s="22" t="str">
        <f t="shared" si="20"/>
        <v/>
      </c>
      <c r="B67" s="65" t="s">
        <v>155</v>
      </c>
      <c r="C67" s="65"/>
      <c r="D67" s="93"/>
      <c r="E67" s="214">
        <f>SUM(F67:J67)</f>
        <v>0.99999999999999978</v>
      </c>
      <c r="F67" s="215">
        <f>IF(ISERROR(F66/$E66)," ",(F66/$E66))</f>
        <v>0.38068597198084148</v>
      </c>
      <c r="G67" s="215">
        <f>IF(ISERROR(G66/$E66)," ",(G66/$E66))</f>
        <v>0.24007869617595171</v>
      </c>
      <c r="H67" s="215">
        <f>IF(ISERROR(H66/$E66)," ",(H66/$E66))</f>
        <v>0.36914750812371677</v>
      </c>
      <c r="I67" s="215">
        <f>IF(ISERROR(I66/$E66)," ",(I66/$E66))</f>
        <v>9.2855088955275736E-3</v>
      </c>
      <c r="J67" s="215">
        <f>IF(ISERROR(J66/$E66)," ",(J66/$E66))</f>
        <v>8.0231482396220363E-4</v>
      </c>
    </row>
    <row r="68" spans="1:12" s="2" customFormat="1">
      <c r="A68" s="22"/>
      <c r="B68" s="261"/>
      <c r="C68" s="261"/>
      <c r="D68" s="93"/>
      <c r="E68" s="245"/>
      <c r="F68" s="169"/>
      <c r="G68" s="169"/>
      <c r="H68" s="169"/>
      <c r="I68" s="169"/>
      <c r="J68" s="169"/>
    </row>
    <row r="69" spans="1:12" ht="15.75">
      <c r="A69" s="22" t="str">
        <f t="shared" si="20"/>
        <v/>
      </c>
      <c r="B69" s="100" t="s">
        <v>249</v>
      </c>
      <c r="C69" s="145"/>
      <c r="D69" s="145"/>
      <c r="E69" s="145"/>
      <c r="F69" s="262"/>
      <c r="G69" s="262"/>
      <c r="H69" s="262"/>
      <c r="I69" s="262"/>
      <c r="J69" s="262"/>
      <c r="L69" s="5"/>
    </row>
    <row r="70" spans="1:12">
      <c r="A70" s="22" t="str">
        <f t="shared" si="20"/>
        <v>SCHMDP-SCHMDEXP</v>
      </c>
      <c r="B70" s="94" t="s">
        <v>156</v>
      </c>
      <c r="C70" s="94" t="s">
        <v>10</v>
      </c>
      <c r="D70" s="94" t="s">
        <v>102</v>
      </c>
      <c r="E70" s="267">
        <f>SUMIFS('SCH M Jun22data'!G:G,'SCH M Jun22data'!C:C,B70,'SCH M Jun22data'!H:H,C70,'SCH M Jun22data'!I:I,D70)</f>
        <v>0</v>
      </c>
      <c r="F70" s="267">
        <f t="shared" ref="F70:J75" si="23">INDEX(F$143:F$155,MATCH($D70,$D$143:$D$155,0))*$E70</f>
        <v>0</v>
      </c>
      <c r="G70" s="267">
        <f t="shared" si="23"/>
        <v>0</v>
      </c>
      <c r="H70" s="267">
        <f t="shared" si="23"/>
        <v>0</v>
      </c>
      <c r="I70" s="267">
        <f t="shared" si="23"/>
        <v>0</v>
      </c>
      <c r="J70" s="267">
        <f t="shared" si="23"/>
        <v>0</v>
      </c>
      <c r="K70" s="110" t="s">
        <v>305</v>
      </c>
      <c r="L70" s="134" t="s">
        <v>3459</v>
      </c>
    </row>
    <row r="71" spans="1:12">
      <c r="A71" s="22" t="str">
        <f t="shared" si="20"/>
        <v>SCHMDP-SE</v>
      </c>
      <c r="B71" s="91" t="s">
        <v>156</v>
      </c>
      <c r="C71" s="94" t="s">
        <v>85</v>
      </c>
      <c r="D71" s="91" t="s">
        <v>68</v>
      </c>
      <c r="E71" s="267">
        <f>SUMIFS('SCH M Jun22data'!G:G,'SCH M Jun22data'!C:C,B71,'SCH M Jun22data'!H:H,C71,'SCH M Jun22data'!I:I,D71)</f>
        <v>6341.7117799999996</v>
      </c>
      <c r="F71" s="267">
        <f t="shared" si="23"/>
        <v>6341.7117799999996</v>
      </c>
      <c r="G71" s="267">
        <f t="shared" si="23"/>
        <v>0</v>
      </c>
      <c r="H71" s="267">
        <f t="shared" si="23"/>
        <v>0</v>
      </c>
      <c r="I71" s="267">
        <f t="shared" si="23"/>
        <v>0</v>
      </c>
      <c r="J71" s="267">
        <f t="shared" si="23"/>
        <v>0</v>
      </c>
      <c r="K71" s="110" t="s">
        <v>305</v>
      </c>
      <c r="L71" s="134" t="s">
        <v>3459</v>
      </c>
    </row>
    <row r="72" spans="1:12">
      <c r="A72" s="22" t="str">
        <f t="shared" si="20"/>
        <v>SCHMDP-SG</v>
      </c>
      <c r="B72" s="91" t="s">
        <v>156</v>
      </c>
      <c r="C72" s="91" t="s">
        <v>87</v>
      </c>
      <c r="D72" s="91" t="s">
        <v>68</v>
      </c>
      <c r="E72" s="267">
        <f>SUMIFS('SCH M Jun22data'!G:G,'SCH M Jun22data'!C:C,B72,'SCH M Jun22data'!H:H,C72,'SCH M Jun22data'!I:I,D72)</f>
        <v>0</v>
      </c>
      <c r="F72" s="267">
        <f t="shared" si="23"/>
        <v>0</v>
      </c>
      <c r="G72" s="267">
        <f t="shared" si="23"/>
        <v>0</v>
      </c>
      <c r="H72" s="267">
        <f t="shared" si="23"/>
        <v>0</v>
      </c>
      <c r="I72" s="267">
        <f t="shared" si="23"/>
        <v>0</v>
      </c>
      <c r="J72" s="267">
        <f t="shared" si="23"/>
        <v>0</v>
      </c>
      <c r="K72" s="110" t="s">
        <v>305</v>
      </c>
      <c r="L72" s="134" t="s">
        <v>3459</v>
      </c>
    </row>
    <row r="73" spans="1:12">
      <c r="A73" s="22" t="str">
        <f t="shared" si="20"/>
        <v>SCHMDP-SNP</v>
      </c>
      <c r="B73" s="91" t="s">
        <v>156</v>
      </c>
      <c r="C73" s="91" t="s">
        <v>7</v>
      </c>
      <c r="D73" s="91" t="s">
        <v>92</v>
      </c>
      <c r="E73" s="267">
        <f>SUMIFS('SCH M Jun22data'!G:G,'SCH M Jun22data'!C:C,B73,'SCH M Jun22data'!H:H,C73,'SCH M Jun22data'!I:I,D73)</f>
        <v>86.025919999999999</v>
      </c>
      <c r="F73" s="267">
        <f t="shared" si="23"/>
        <v>41.103241787680361</v>
      </c>
      <c r="G73" s="267">
        <f t="shared" si="23"/>
        <v>21.316836379315117</v>
      </c>
      <c r="H73" s="267">
        <f t="shared" si="23"/>
        <v>23.605841833004522</v>
      </c>
      <c r="I73" s="267">
        <f t="shared" si="23"/>
        <v>0</v>
      </c>
      <c r="J73" s="267">
        <f t="shared" si="23"/>
        <v>0</v>
      </c>
      <c r="K73" s="110" t="s">
        <v>305</v>
      </c>
      <c r="L73" s="134" t="s">
        <v>3459</v>
      </c>
    </row>
    <row r="74" spans="1:12">
      <c r="A74" s="22" t="str">
        <f t="shared" si="20"/>
        <v>SCHMDP-SO</v>
      </c>
      <c r="B74" s="91" t="s">
        <v>156</v>
      </c>
      <c r="C74" s="91" t="s">
        <v>89</v>
      </c>
      <c r="D74" s="91" t="s">
        <v>102</v>
      </c>
      <c r="E74" s="267">
        <f>SUMIFS('SCH M Jun22data'!G:G,'SCH M Jun22data'!C:C,B74,'SCH M Jun22data'!H:H,C74,'SCH M Jun22data'!I:I,D74)</f>
        <v>0</v>
      </c>
      <c r="F74" s="267">
        <f t="shared" si="23"/>
        <v>0</v>
      </c>
      <c r="G74" s="267">
        <f t="shared" si="23"/>
        <v>0</v>
      </c>
      <c r="H74" s="267">
        <f t="shared" si="23"/>
        <v>0</v>
      </c>
      <c r="I74" s="267">
        <f t="shared" si="23"/>
        <v>0</v>
      </c>
      <c r="J74" s="267">
        <f t="shared" si="23"/>
        <v>0</v>
      </c>
      <c r="K74" s="110" t="s">
        <v>305</v>
      </c>
      <c r="L74" s="134" t="s">
        <v>3459</v>
      </c>
    </row>
    <row r="75" spans="1:12">
      <c r="A75" s="22" t="str">
        <f t="shared" si="20"/>
        <v>SCHMDP-SITUS</v>
      </c>
      <c r="B75" s="91" t="s">
        <v>156</v>
      </c>
      <c r="C75" s="91" t="s">
        <v>12</v>
      </c>
      <c r="D75" s="91" t="s">
        <v>92</v>
      </c>
      <c r="E75" s="267">
        <f>SUMIFS('SCH M Jun22data'!G:G,'SCH M Jun22data'!C:C,B75,'SCH M Jun22data'!H:H,C75,'SCH M Jun22data'!I:I,D75)</f>
        <v>0</v>
      </c>
      <c r="F75" s="267">
        <f t="shared" si="23"/>
        <v>0</v>
      </c>
      <c r="G75" s="267">
        <f t="shared" si="23"/>
        <v>0</v>
      </c>
      <c r="H75" s="267">
        <f t="shared" si="23"/>
        <v>0</v>
      </c>
      <c r="I75" s="267">
        <f t="shared" si="23"/>
        <v>0</v>
      </c>
      <c r="J75" s="267">
        <f t="shared" si="23"/>
        <v>0</v>
      </c>
      <c r="K75" s="110" t="s">
        <v>305</v>
      </c>
      <c r="L75" s="134" t="s">
        <v>3459</v>
      </c>
    </row>
    <row r="76" spans="1:12">
      <c r="B76" s="65" t="s">
        <v>268</v>
      </c>
      <c r="C76" s="91"/>
      <c r="D76" s="91"/>
      <c r="E76" s="267">
        <f t="shared" ref="E76:J76" si="24">SUMIF($A:$A,"SCHMDP-SO",E:E)</f>
        <v>0</v>
      </c>
      <c r="F76" s="267">
        <f t="shared" si="24"/>
        <v>0</v>
      </c>
      <c r="G76" s="267">
        <f t="shared" si="24"/>
        <v>0</v>
      </c>
      <c r="H76" s="267">
        <f t="shared" si="24"/>
        <v>0</v>
      </c>
      <c r="I76" s="267">
        <f t="shared" si="24"/>
        <v>0</v>
      </c>
      <c r="J76" s="267">
        <f t="shared" si="24"/>
        <v>0</v>
      </c>
    </row>
    <row r="77" spans="1:12">
      <c r="A77" s="22" t="str">
        <f t="shared" si="20"/>
        <v/>
      </c>
      <c r="B77" s="65" t="s">
        <v>277</v>
      </c>
      <c r="C77" s="93"/>
      <c r="D77" s="93"/>
      <c r="E77" s="267">
        <f t="shared" ref="E77:J77" si="25">SUMIF($B:$B,"SCHMDP",E:E)</f>
        <v>6427.7376999999997</v>
      </c>
      <c r="F77" s="267">
        <f t="shared" si="25"/>
        <v>6382.8150217876801</v>
      </c>
      <c r="G77" s="267">
        <f t="shared" si="25"/>
        <v>21.316836379315117</v>
      </c>
      <c r="H77" s="267">
        <f t="shared" si="25"/>
        <v>23.605841833004522</v>
      </c>
      <c r="I77" s="267">
        <f t="shared" si="25"/>
        <v>0</v>
      </c>
      <c r="J77" s="267">
        <f t="shared" si="25"/>
        <v>0</v>
      </c>
    </row>
    <row r="78" spans="1:12">
      <c r="A78" s="22" t="str">
        <f t="shared" si="20"/>
        <v/>
      </c>
      <c r="B78" s="65" t="s">
        <v>34</v>
      </c>
      <c r="C78" s="65"/>
      <c r="D78" s="93"/>
      <c r="E78" s="214">
        <f>SUM(F78:J78)</f>
        <v>0</v>
      </c>
      <c r="F78" s="215" t="str">
        <f>IF(ISERROR(F76/$E76)," ",(F76/$E76))</f>
        <v xml:space="preserve"> </v>
      </c>
      <c r="G78" s="215" t="str">
        <f t="shared" ref="F78:J79" si="26">IF(ISERROR(G76/$E76)," ",(G76/$E76))</f>
        <v xml:space="preserve"> </v>
      </c>
      <c r="H78" s="215" t="str">
        <f t="shared" si="26"/>
        <v xml:space="preserve"> </v>
      </c>
      <c r="I78" s="215" t="str">
        <f t="shared" si="26"/>
        <v xml:space="preserve"> </v>
      </c>
      <c r="J78" s="215" t="str">
        <f t="shared" si="26"/>
        <v xml:space="preserve"> </v>
      </c>
    </row>
    <row r="79" spans="1:12">
      <c r="A79" s="22" t="str">
        <f t="shared" si="20"/>
        <v/>
      </c>
      <c r="B79" s="65" t="s">
        <v>157</v>
      </c>
      <c r="C79" s="65"/>
      <c r="D79" s="93"/>
      <c r="E79" s="214">
        <f>SUM(F79:J79)</f>
        <v>1</v>
      </c>
      <c r="F79" s="215">
        <f t="shared" si="26"/>
        <v>0.99301112143821302</v>
      </c>
      <c r="G79" s="215">
        <f t="shared" si="26"/>
        <v>3.3163824309935855E-3</v>
      </c>
      <c r="H79" s="215">
        <f t="shared" si="26"/>
        <v>3.6724961307933466E-3</v>
      </c>
      <c r="I79" s="215">
        <f t="shared" si="26"/>
        <v>0</v>
      </c>
      <c r="J79" s="215">
        <f t="shared" si="26"/>
        <v>0</v>
      </c>
      <c r="L79" s="5"/>
    </row>
    <row r="80" spans="1:12" s="2" customFormat="1">
      <c r="A80" s="22"/>
      <c r="B80" s="261"/>
      <c r="C80" s="261"/>
      <c r="D80" s="93"/>
      <c r="E80" s="245"/>
      <c r="F80" s="169"/>
      <c r="G80" s="169"/>
      <c r="H80" s="169"/>
      <c r="I80" s="169"/>
      <c r="J80" s="169"/>
    </row>
    <row r="81" spans="1:14">
      <c r="A81" s="22" t="str">
        <f t="shared" si="20"/>
        <v>SCHMDT-BADDEBT</v>
      </c>
      <c r="B81" s="91" t="s">
        <v>158</v>
      </c>
      <c r="C81" s="91" t="s">
        <v>8</v>
      </c>
      <c r="D81" s="91" t="s">
        <v>73</v>
      </c>
      <c r="E81" s="267">
        <f>SUMIFS('SCH M Jun22data'!G:G,'SCH M Jun22data'!C:C,B81,'SCH M Jun22data'!H:H,C81,'SCH M Jun22data'!I:I,D81)</f>
        <v>0</v>
      </c>
      <c r="F81" s="267">
        <f t="shared" ref="F81:J111" si="27">INDEX(F$143:F$155,MATCH($D81,$D$143:$D$155,0))*$E81</f>
        <v>0</v>
      </c>
      <c r="G81" s="267">
        <f t="shared" si="27"/>
        <v>0</v>
      </c>
      <c r="H81" s="267">
        <f t="shared" si="27"/>
        <v>0</v>
      </c>
      <c r="I81" s="267">
        <f t="shared" si="27"/>
        <v>0</v>
      </c>
      <c r="J81" s="267">
        <f t="shared" si="27"/>
        <v>0</v>
      </c>
      <c r="K81" s="110" t="s">
        <v>305</v>
      </c>
      <c r="L81" s="134" t="s">
        <v>3459</v>
      </c>
    </row>
    <row r="82" spans="1:14">
      <c r="A82" s="22" t="str">
        <f t="shared" si="20"/>
        <v>SCHMDT-CN</v>
      </c>
      <c r="B82" s="91" t="s">
        <v>158</v>
      </c>
      <c r="C82" s="91" t="s">
        <v>84</v>
      </c>
      <c r="D82" s="91" t="s">
        <v>73</v>
      </c>
      <c r="E82" s="267">
        <f>SUMIFS('SCH M Jun22data'!G:G,'SCH M Jun22data'!C:C,B82,'SCH M Jun22data'!H:H,C82,'SCH M Jun22data'!I:I,D82)</f>
        <v>0</v>
      </c>
      <c r="F82" s="267">
        <f t="shared" si="27"/>
        <v>0</v>
      </c>
      <c r="G82" s="267">
        <f t="shared" si="27"/>
        <v>0</v>
      </c>
      <c r="H82" s="267">
        <f t="shared" si="27"/>
        <v>0</v>
      </c>
      <c r="I82" s="267">
        <f t="shared" si="27"/>
        <v>0</v>
      </c>
      <c r="J82" s="267">
        <f t="shared" si="27"/>
        <v>0</v>
      </c>
      <c r="K82" s="110" t="s">
        <v>305</v>
      </c>
      <c r="L82" s="134" t="s">
        <v>3459</v>
      </c>
    </row>
    <row r="83" spans="1:14">
      <c r="A83" s="22" t="str">
        <f t="shared" si="20"/>
        <v>SCHMDT-GPS</v>
      </c>
      <c r="B83" s="91" t="s">
        <v>158</v>
      </c>
      <c r="C83" s="91" t="s">
        <v>9</v>
      </c>
      <c r="D83" s="91" t="s">
        <v>110</v>
      </c>
      <c r="E83" s="267">
        <f>SUMIFS('SCH M Jun22data'!G:G,'SCH M Jun22data'!C:C,B83,'SCH M Jun22data'!H:H,C83,'SCH M Jun22data'!I:I,D83)</f>
        <v>0</v>
      </c>
      <c r="F83" s="267">
        <f t="shared" si="27"/>
        <v>0</v>
      </c>
      <c r="G83" s="267">
        <f t="shared" si="27"/>
        <v>0</v>
      </c>
      <c r="H83" s="267">
        <f t="shared" si="27"/>
        <v>0</v>
      </c>
      <c r="I83" s="267">
        <f t="shared" si="27"/>
        <v>0</v>
      </c>
      <c r="J83" s="267">
        <f t="shared" si="27"/>
        <v>0</v>
      </c>
      <c r="K83" s="110" t="s">
        <v>305</v>
      </c>
      <c r="L83" s="134" t="s">
        <v>3459</v>
      </c>
    </row>
    <row r="84" spans="1:14">
      <c r="A84" s="22" t="str">
        <f t="shared" si="20"/>
        <v>SCHMDT-GPS</v>
      </c>
      <c r="B84" s="91" t="s">
        <v>158</v>
      </c>
      <c r="C84" s="91" t="s">
        <v>9</v>
      </c>
      <c r="D84" s="91" t="s">
        <v>68</v>
      </c>
      <c r="E84" s="267">
        <f>SUMIFS('SCH M Jun22data'!G:G,'SCH M Jun22data'!C:C,B84,'SCH M Jun22data'!H:H,C84,'SCH M Jun22data'!I:I,D84)</f>
        <v>0</v>
      </c>
      <c r="F84" s="267">
        <f t="shared" si="27"/>
        <v>0</v>
      </c>
      <c r="G84" s="267">
        <f t="shared" si="27"/>
        <v>0</v>
      </c>
      <c r="H84" s="267">
        <f t="shared" si="27"/>
        <v>0</v>
      </c>
      <c r="I84" s="267">
        <f t="shared" si="27"/>
        <v>0</v>
      </c>
      <c r="J84" s="267">
        <f t="shared" si="27"/>
        <v>0</v>
      </c>
      <c r="K84" s="110" t="s">
        <v>305</v>
      </c>
      <c r="L84" s="134" t="s">
        <v>3459</v>
      </c>
    </row>
    <row r="85" spans="1:14">
      <c r="A85" s="22" t="str">
        <f t="shared" si="20"/>
        <v>SCHMDT-GPS</v>
      </c>
      <c r="B85" s="91" t="s">
        <v>158</v>
      </c>
      <c r="C85" s="91" t="s">
        <v>9</v>
      </c>
      <c r="D85" s="91" t="s">
        <v>92</v>
      </c>
      <c r="E85" s="267">
        <f>SUMIFS('SCH M Jun22data'!G:G,'SCH M Jun22data'!C:C,B85,'SCH M Jun22data'!H:H,C85,'SCH M Jun22data'!I:I,D85)</f>
        <v>90140.252589999989</v>
      </c>
      <c r="F85" s="267">
        <f t="shared" si="27"/>
        <v>43069.072635426048</v>
      </c>
      <c r="G85" s="267">
        <f t="shared" si="27"/>
        <v>22336.349505488179</v>
      </c>
      <c r="H85" s="267">
        <f t="shared" si="27"/>
        <v>24734.830449085763</v>
      </c>
      <c r="I85" s="267">
        <f t="shared" si="27"/>
        <v>0</v>
      </c>
      <c r="J85" s="267">
        <f t="shared" si="27"/>
        <v>0</v>
      </c>
      <c r="K85" s="110" t="s">
        <v>305</v>
      </c>
      <c r="L85" s="134" t="s">
        <v>3459</v>
      </c>
    </row>
    <row r="86" spans="1:14">
      <c r="A86" s="22" t="str">
        <f t="shared" si="20"/>
        <v>SCHMDT-SG</v>
      </c>
      <c r="B86" s="91" t="s">
        <v>158</v>
      </c>
      <c r="C86" s="91" t="s">
        <v>87</v>
      </c>
      <c r="D86" s="91" t="s">
        <v>68</v>
      </c>
      <c r="E86" s="267">
        <f>SUMIFS('SCH M Jun22data'!G:G,'SCH M Jun22data'!C:C,B86,'SCH M Jun22data'!H:H,C86,'SCH M Jun22data'!I:I,D86)</f>
        <v>185715.32691999999</v>
      </c>
      <c r="F86" s="267">
        <f t="shared" si="27"/>
        <v>185715.32691999999</v>
      </c>
      <c r="G86" s="267">
        <f t="shared" si="27"/>
        <v>0</v>
      </c>
      <c r="H86" s="267">
        <f t="shared" si="27"/>
        <v>0</v>
      </c>
      <c r="I86" s="267">
        <f t="shared" si="27"/>
        <v>0</v>
      </c>
      <c r="J86" s="267">
        <f t="shared" si="27"/>
        <v>0</v>
      </c>
      <c r="K86" s="110" t="s">
        <v>305</v>
      </c>
      <c r="L86" s="134" t="s">
        <v>3459</v>
      </c>
    </row>
    <row r="87" spans="1:14">
      <c r="A87" s="22" t="str">
        <f>IF(C87="","",B87&amp;"-"&amp;C87)</f>
        <v>SCHMDT-SG</v>
      </c>
      <c r="B87" s="91" t="s">
        <v>158</v>
      </c>
      <c r="C87" s="91" t="s">
        <v>87</v>
      </c>
      <c r="D87" s="91" t="s">
        <v>69</v>
      </c>
      <c r="E87" s="267">
        <f>SUMIFS('SCH M Jun22data'!G:G,'SCH M Jun22data'!C:C,B87,'SCH M Jun22data'!H:H,C87,'SCH M Jun22data'!I:I,D87)</f>
        <v>780.93569000000002</v>
      </c>
      <c r="F87" s="267">
        <f t="shared" si="27"/>
        <v>0</v>
      </c>
      <c r="G87" s="267">
        <f t="shared" si="27"/>
        <v>780.93569000000002</v>
      </c>
      <c r="H87" s="267">
        <f t="shared" si="27"/>
        <v>0</v>
      </c>
      <c r="I87" s="267">
        <f t="shared" si="27"/>
        <v>0</v>
      </c>
      <c r="J87" s="267">
        <f t="shared" si="27"/>
        <v>0</v>
      </c>
      <c r="K87" s="110" t="s">
        <v>305</v>
      </c>
      <c r="L87" s="134" t="s">
        <v>3459</v>
      </c>
    </row>
    <row r="88" spans="1:14">
      <c r="A88" s="22" t="str">
        <f t="shared" si="20"/>
        <v>SCHMDT-SE</v>
      </c>
      <c r="B88" s="91" t="s">
        <v>158</v>
      </c>
      <c r="C88" s="91" t="s">
        <v>85</v>
      </c>
      <c r="D88" s="91" t="s">
        <v>68</v>
      </c>
      <c r="E88" s="267">
        <f>SUMIFS('SCH M Jun22data'!G:G,'SCH M Jun22data'!C:C,B88,'SCH M Jun22data'!H:H,C88,'SCH M Jun22data'!I:I,D88)</f>
        <v>-89165.063330000019</v>
      </c>
      <c r="F88" s="267">
        <f t="shared" si="27"/>
        <v>-89165.063330000019</v>
      </c>
      <c r="G88" s="267">
        <f t="shared" si="27"/>
        <v>0</v>
      </c>
      <c r="H88" s="267">
        <f t="shared" si="27"/>
        <v>0</v>
      </c>
      <c r="I88" s="267">
        <f t="shared" si="27"/>
        <v>0</v>
      </c>
      <c r="J88" s="267">
        <f t="shared" si="27"/>
        <v>0</v>
      </c>
      <c r="K88" s="110" t="s">
        <v>305</v>
      </c>
      <c r="L88" s="134" t="s">
        <v>3459</v>
      </c>
    </row>
    <row r="89" spans="1:14">
      <c r="A89" s="22" t="str">
        <f>IF(C89="","",B89&amp;"-"&amp;C89)</f>
        <v>SCHMDT-SNPD</v>
      </c>
      <c r="B89" s="91" t="s">
        <v>158</v>
      </c>
      <c r="C89" s="91" t="s">
        <v>11</v>
      </c>
      <c r="D89" s="91" t="s">
        <v>70</v>
      </c>
      <c r="E89" s="267">
        <f>SUMIFS('SCH M Jun22data'!G:G,'SCH M Jun22data'!C:C,B89,'SCH M Jun22data'!H:H,C89,'SCH M Jun22data'!I:I,D89)</f>
        <v>-40.393500040393498</v>
      </c>
      <c r="F89" s="267">
        <f t="shared" si="27"/>
        <v>0</v>
      </c>
      <c r="G89" s="267">
        <f t="shared" si="27"/>
        <v>0</v>
      </c>
      <c r="H89" s="267">
        <f t="shared" si="27"/>
        <v>-40.393500040393498</v>
      </c>
      <c r="I89" s="267">
        <f t="shared" si="27"/>
        <v>0</v>
      </c>
      <c r="J89" s="267">
        <f t="shared" si="27"/>
        <v>0</v>
      </c>
      <c r="K89" s="110" t="s">
        <v>305</v>
      </c>
      <c r="L89" s="134" t="s">
        <v>3459</v>
      </c>
    </row>
    <row r="90" spans="1:14">
      <c r="A90" s="22" t="str">
        <f>IF(C90="","",B90&amp;"-"&amp;C90)</f>
        <v>SCHMDT-SNPD</v>
      </c>
      <c r="B90" s="91" t="s">
        <v>158</v>
      </c>
      <c r="C90" s="91" t="s">
        <v>11</v>
      </c>
      <c r="D90" s="91" t="s">
        <v>68</v>
      </c>
      <c r="E90" s="267">
        <f>SUMIFS('SCH M Jun22data'!G:G,'SCH M Jun22data'!C:C,B90,'SCH M Jun22data'!H:H,C90,'SCH M Jun22data'!I:I,D90)</f>
        <v>576.24898057624898</v>
      </c>
      <c r="F90" s="267">
        <f t="shared" si="27"/>
        <v>576.24898057624898</v>
      </c>
      <c r="G90" s="267">
        <f t="shared" si="27"/>
        <v>0</v>
      </c>
      <c r="H90" s="267">
        <f t="shared" si="27"/>
        <v>0</v>
      </c>
      <c r="I90" s="267">
        <f t="shared" si="27"/>
        <v>0</v>
      </c>
      <c r="J90" s="267">
        <f t="shared" si="27"/>
        <v>0</v>
      </c>
      <c r="K90" s="110" t="s">
        <v>305</v>
      </c>
      <c r="L90" s="134" t="s">
        <v>3459</v>
      </c>
    </row>
    <row r="91" spans="1:14">
      <c r="A91" s="22" t="str">
        <f t="shared" si="20"/>
        <v>SCHMDT-SNP</v>
      </c>
      <c r="B91" s="91" t="s">
        <v>158</v>
      </c>
      <c r="C91" s="91" t="s">
        <v>7</v>
      </c>
      <c r="D91" s="91" t="s">
        <v>92</v>
      </c>
      <c r="E91" s="267">
        <f>SUMIFS('SCH M Jun22data'!G:G,'SCH M Jun22data'!C:C,B91,'SCH M Jun22data'!H:H,C91,'SCH M Jun22data'!I:I,D91)</f>
        <v>76711.742889999994</v>
      </c>
      <c r="F91" s="267">
        <f t="shared" si="27"/>
        <v>36652.921770113469</v>
      </c>
      <c r="G91" s="267">
        <f t="shared" si="27"/>
        <v>19008.825148957658</v>
      </c>
      <c r="H91" s="267">
        <f t="shared" si="27"/>
        <v>21049.995970928867</v>
      </c>
      <c r="I91" s="267">
        <f t="shared" si="27"/>
        <v>0</v>
      </c>
      <c r="J91" s="267">
        <f t="shared" si="27"/>
        <v>0</v>
      </c>
      <c r="K91" s="110" t="s">
        <v>305</v>
      </c>
      <c r="L91" s="134" t="s">
        <v>3459</v>
      </c>
    </row>
    <row r="92" spans="1:14">
      <c r="A92" s="22" t="str">
        <f t="shared" si="20"/>
        <v>SCHMDT-SO</v>
      </c>
      <c r="B92" s="91" t="s">
        <v>158</v>
      </c>
      <c r="C92" s="91" t="s">
        <v>89</v>
      </c>
      <c r="D92" s="91" t="s">
        <v>100</v>
      </c>
      <c r="E92" s="267">
        <f>SUMIFS('SCH M Jun22data'!G:G,'SCH M Jun22data'!C:C,B92,'SCH M Jun22data'!H:H,C92,'SCH M Jun22data'!I:I,D92)</f>
        <v>-5845.5664699999998</v>
      </c>
      <c r="F92" s="267">
        <f t="shared" si="27"/>
        <v>-1753.6699409999999</v>
      </c>
      <c r="G92" s="267">
        <f t="shared" si="27"/>
        <v>-584.556647</v>
      </c>
      <c r="H92" s="267">
        <f t="shared" si="27"/>
        <v>-3507.3398819999998</v>
      </c>
      <c r="I92" s="267">
        <f t="shared" si="27"/>
        <v>0</v>
      </c>
      <c r="J92" s="267">
        <f t="shared" si="27"/>
        <v>0</v>
      </c>
      <c r="K92" s="110" t="s">
        <v>305</v>
      </c>
      <c r="L92" s="134" t="s">
        <v>3459</v>
      </c>
    </row>
    <row r="93" spans="1:14">
      <c r="A93" s="22" t="str">
        <f t="shared" si="20"/>
        <v>SCHMDT-SO</v>
      </c>
      <c r="B93" s="91" t="s">
        <v>158</v>
      </c>
      <c r="C93" s="91" t="s">
        <v>89</v>
      </c>
      <c r="D93" s="91" t="s">
        <v>110</v>
      </c>
      <c r="E93" s="267">
        <f>SUMIFS('SCH M Jun22data'!G:G,'SCH M Jun22data'!C:C,B93,'SCH M Jun22data'!H:H,C93,'SCH M Jun22data'!I:I,D93)</f>
        <v>9611.1299999999992</v>
      </c>
      <c r="F93" s="267">
        <f t="shared" si="27"/>
        <v>4487.3779916921721</v>
      </c>
      <c r="G93" s="267">
        <f t="shared" si="27"/>
        <v>2392.6577894975262</v>
      </c>
      <c r="H93" s="267">
        <f t="shared" si="27"/>
        <v>2649.0444439519656</v>
      </c>
      <c r="I93" s="267">
        <f t="shared" si="27"/>
        <v>82.049774858335653</v>
      </c>
      <c r="J93" s="267">
        <f t="shared" si="27"/>
        <v>0</v>
      </c>
      <c r="K93" s="110" t="s">
        <v>305</v>
      </c>
      <c r="L93" s="134" t="s">
        <v>3459</v>
      </c>
    </row>
    <row r="94" spans="1:14">
      <c r="A94" s="22" t="str">
        <f t="shared" si="20"/>
        <v>SCHMDT-SO</v>
      </c>
      <c r="B94" s="91" t="s">
        <v>158</v>
      </c>
      <c r="C94" s="91" t="s">
        <v>89</v>
      </c>
      <c r="D94" s="91" t="s">
        <v>102</v>
      </c>
      <c r="E94" s="267">
        <f>SUMIFS('SCH M Jun22data'!G:G,'SCH M Jun22data'!C:C,B94,'SCH M Jun22data'!H:H,C94,'SCH M Jun22data'!I:I,D94)</f>
        <v>-226029.27064999999</v>
      </c>
      <c r="F94" s="267">
        <f t="shared" si="27"/>
        <v>-98176.246102217163</v>
      </c>
      <c r="G94" s="267">
        <f t="shared" si="27"/>
        <v>-20764.239622043395</v>
      </c>
      <c r="H94" s="267">
        <f t="shared" si="27"/>
        <v>-80393.494434325054</v>
      </c>
      <c r="I94" s="267">
        <f t="shared" si="27"/>
        <v>-26695.290491414373</v>
      </c>
      <c r="J94" s="267">
        <f t="shared" si="27"/>
        <v>0</v>
      </c>
      <c r="K94" s="110" t="s">
        <v>305</v>
      </c>
      <c r="L94" s="134" t="s">
        <v>3459</v>
      </c>
    </row>
    <row r="95" spans="1:14">
      <c r="A95" s="22" t="str">
        <f t="shared" si="20"/>
        <v>SCHMDT-SO</v>
      </c>
      <c r="B95" s="91" t="s">
        <v>158</v>
      </c>
      <c r="C95" s="91" t="s">
        <v>89</v>
      </c>
      <c r="D95" s="91" t="s">
        <v>92</v>
      </c>
      <c r="E95" s="267">
        <f>SUMIFS('SCH M Jun22data'!G:G,'SCH M Jun22data'!C:C,B95,'SCH M Jun22data'!H:H,C95,'SCH M Jun22data'!I:I,D95)</f>
        <v>140628.83312999998</v>
      </c>
      <c r="F95" s="267">
        <f t="shared" si="27"/>
        <v>67192.549994952031</v>
      </c>
      <c r="G95" s="267">
        <f t="shared" si="27"/>
        <v>34847.192869849212</v>
      </c>
      <c r="H95" s="267">
        <f t="shared" si="27"/>
        <v>38589.090265198742</v>
      </c>
      <c r="I95" s="267">
        <f t="shared" si="27"/>
        <v>0</v>
      </c>
      <c r="J95" s="267">
        <f t="shared" si="27"/>
        <v>0</v>
      </c>
      <c r="K95" s="110" t="s">
        <v>305</v>
      </c>
      <c r="L95" s="134" t="s">
        <v>3459</v>
      </c>
    </row>
    <row r="96" spans="1:14">
      <c r="A96" s="22" t="str">
        <f>IF(C96="","",B96&amp;"-"&amp;C96)</f>
        <v>SCHMDT-OTHER</v>
      </c>
      <c r="B96" s="91" t="s">
        <v>158</v>
      </c>
      <c r="C96" s="91" t="s">
        <v>306</v>
      </c>
      <c r="D96" s="91" t="s">
        <v>73</v>
      </c>
      <c r="E96" s="267">
        <f>SUMIFS('SCH M Jun22data'!G:G,'SCH M Jun22data'!C:C,B96,'SCH M Jun22data'!H:H,C96,'SCH M Jun22data'!I:I,D96)</f>
        <v>8973.5493800000004</v>
      </c>
      <c r="F96" s="267">
        <f t="shared" si="27"/>
        <v>0</v>
      </c>
      <c r="G96" s="267">
        <f t="shared" si="27"/>
        <v>0</v>
      </c>
      <c r="H96" s="267">
        <f t="shared" si="27"/>
        <v>0</v>
      </c>
      <c r="I96" s="267">
        <f t="shared" si="27"/>
        <v>8973.5493800000004</v>
      </c>
      <c r="J96" s="267">
        <f t="shared" si="27"/>
        <v>0</v>
      </c>
      <c r="K96" s="110" t="s">
        <v>305</v>
      </c>
      <c r="L96" s="134" t="s">
        <v>3459</v>
      </c>
      <c r="N96" s="22"/>
    </row>
    <row r="97" spans="1:14">
      <c r="A97" s="22" t="str">
        <f t="shared" si="20"/>
        <v>SCHMDT-OTHER</v>
      </c>
      <c r="B97" s="91" t="s">
        <v>158</v>
      </c>
      <c r="C97" s="91" t="s">
        <v>306</v>
      </c>
      <c r="D97" s="91" t="s">
        <v>176</v>
      </c>
      <c r="E97" s="267">
        <f>SUMIFS('SCH M Jun22data'!G:G,'SCH M Jun22data'!C:C,B97,'SCH M Jun22data'!H:H,C97,'SCH M Jun22data'!I:I,D97)</f>
        <v>-124.29024</v>
      </c>
      <c r="F97" s="267">
        <f t="shared" si="27"/>
        <v>-117.61155113317432</v>
      </c>
      <c r="G97" s="267">
        <f t="shared" si="27"/>
        <v>-0.69257871857692743</v>
      </c>
      <c r="H97" s="267">
        <f t="shared" si="27"/>
        <v>-2.6814766334201496</v>
      </c>
      <c r="I97" s="267">
        <f t="shared" si="27"/>
        <v>-2.9645701997276239</v>
      </c>
      <c r="J97" s="267">
        <f t="shared" si="27"/>
        <v>-0.34006331510097265</v>
      </c>
      <c r="K97" s="110" t="s">
        <v>305</v>
      </c>
      <c r="L97" s="134" t="s">
        <v>3459</v>
      </c>
      <c r="N97" s="22"/>
    </row>
    <row r="98" spans="1:14">
      <c r="A98" s="22" t="str">
        <f t="shared" ref="A98:A104" si="28">IF(C98="","",B98&amp;"-"&amp;C98)</f>
        <v>SCHMDT-OTHER</v>
      </c>
      <c r="B98" s="91" t="s">
        <v>158</v>
      </c>
      <c r="C98" s="91" t="s">
        <v>306</v>
      </c>
      <c r="D98" s="91" t="s">
        <v>74</v>
      </c>
      <c r="E98" s="267">
        <f>SUMIFS('SCH M Jun22data'!G:G,'SCH M Jun22data'!C:C,B98,'SCH M Jun22data'!H:H,C98,'SCH M Jun22data'!I:I,D98)</f>
        <v>-1260.1279</v>
      </c>
      <c r="F98" s="267">
        <f t="shared" si="27"/>
        <v>0</v>
      </c>
      <c r="G98" s="267">
        <f t="shared" si="27"/>
        <v>0</v>
      </c>
      <c r="H98" s="267">
        <f t="shared" si="27"/>
        <v>0</v>
      </c>
      <c r="I98" s="267">
        <f t="shared" si="27"/>
        <v>0</v>
      </c>
      <c r="J98" s="267">
        <f t="shared" si="27"/>
        <v>-1260.1279</v>
      </c>
      <c r="K98" s="110" t="s">
        <v>305</v>
      </c>
      <c r="L98" s="134" t="s">
        <v>3459</v>
      </c>
      <c r="N98" s="22"/>
    </row>
    <row r="99" spans="1:14">
      <c r="A99" s="22" t="str">
        <f t="shared" si="28"/>
        <v>SCHMDT-OTHER</v>
      </c>
      <c r="B99" s="91" t="s">
        <v>158</v>
      </c>
      <c r="C99" s="91" t="s">
        <v>306</v>
      </c>
      <c r="D99" s="91" t="s">
        <v>70</v>
      </c>
      <c r="E99" s="267">
        <f>SUMIFS('SCH M Jun22data'!G:G,'SCH M Jun22data'!C:C,B99,'SCH M Jun22data'!H:H,C99,'SCH M Jun22data'!I:I,D99)</f>
        <v>0</v>
      </c>
      <c r="F99" s="267">
        <f t="shared" si="27"/>
        <v>0</v>
      </c>
      <c r="G99" s="267">
        <f t="shared" si="27"/>
        <v>0</v>
      </c>
      <c r="H99" s="267">
        <f t="shared" si="27"/>
        <v>0</v>
      </c>
      <c r="I99" s="267">
        <f t="shared" si="27"/>
        <v>0</v>
      </c>
      <c r="J99" s="267">
        <f t="shared" si="27"/>
        <v>0</v>
      </c>
      <c r="K99" s="110" t="s">
        <v>305</v>
      </c>
      <c r="L99" s="134" t="s">
        <v>3459</v>
      </c>
      <c r="N99" s="22"/>
    </row>
    <row r="100" spans="1:14">
      <c r="A100" s="22" t="str">
        <f t="shared" si="28"/>
        <v>SCHMDT-OTHER</v>
      </c>
      <c r="B100" s="91" t="s">
        <v>158</v>
      </c>
      <c r="C100" s="91" t="s">
        <v>306</v>
      </c>
      <c r="D100" s="91" t="s">
        <v>102</v>
      </c>
      <c r="E100" s="267">
        <f>SUMIFS('SCH M Jun22data'!G:G,'SCH M Jun22data'!C:C,B100,'SCH M Jun22data'!H:H,C100,'SCH M Jun22data'!I:I,D100)</f>
        <v>6137.5400500000005</v>
      </c>
      <c r="F100" s="267">
        <f t="shared" si="27"/>
        <v>2665.8522618694928</v>
      </c>
      <c r="G100" s="267">
        <f t="shared" si="27"/>
        <v>563.82676421332872</v>
      </c>
      <c r="H100" s="267">
        <f t="shared" si="27"/>
        <v>2182.9840464077179</v>
      </c>
      <c r="I100" s="267">
        <f t="shared" si="27"/>
        <v>724.87697750946097</v>
      </c>
      <c r="J100" s="267">
        <f t="shared" si="27"/>
        <v>0</v>
      </c>
      <c r="K100" s="110" t="s">
        <v>305</v>
      </c>
      <c r="L100" s="134" t="s">
        <v>3459</v>
      </c>
      <c r="N100" s="22"/>
    </row>
    <row r="101" spans="1:14">
      <c r="A101" s="22" t="str">
        <f t="shared" si="28"/>
        <v>SCHMDT-OTHER</v>
      </c>
      <c r="B101" s="91" t="s">
        <v>158</v>
      </c>
      <c r="C101" s="91" t="s">
        <v>306</v>
      </c>
      <c r="D101" s="91" t="s">
        <v>68</v>
      </c>
      <c r="E101" s="267">
        <f>SUMIFS('SCH M Jun22data'!G:G,'SCH M Jun22data'!C:C,B101,'SCH M Jun22data'!H:H,C101,'SCH M Jun22data'!I:I,D101)</f>
        <v>56450.892650000002</v>
      </c>
      <c r="F101" s="267">
        <f t="shared" si="27"/>
        <v>56450.892650000002</v>
      </c>
      <c r="G101" s="267">
        <f t="shared" si="27"/>
        <v>0</v>
      </c>
      <c r="H101" s="267">
        <f t="shared" si="27"/>
        <v>0</v>
      </c>
      <c r="I101" s="267">
        <f t="shared" si="27"/>
        <v>0</v>
      </c>
      <c r="J101" s="267">
        <f t="shared" si="27"/>
        <v>0</v>
      </c>
      <c r="K101" s="110" t="s">
        <v>305</v>
      </c>
      <c r="L101" s="134" t="s">
        <v>3459</v>
      </c>
      <c r="N101" s="22"/>
    </row>
    <row r="102" spans="1:14">
      <c r="A102" s="22" t="str">
        <f t="shared" si="28"/>
        <v>SCHMDT-OTHER</v>
      </c>
      <c r="B102" s="91" t="s">
        <v>158</v>
      </c>
      <c r="C102" s="91" t="s">
        <v>306</v>
      </c>
      <c r="D102" s="91" t="s">
        <v>171</v>
      </c>
      <c r="E102" s="267">
        <f>SUMIFS('SCH M Jun22data'!G:G,'SCH M Jun22data'!C:C,B102,'SCH M Jun22data'!H:H,C102,'SCH M Jun22data'!I:I,D102)</f>
        <v>0</v>
      </c>
      <c r="F102" s="267">
        <f t="shared" si="27"/>
        <v>0</v>
      </c>
      <c r="G102" s="267">
        <f t="shared" si="27"/>
        <v>0</v>
      </c>
      <c r="H102" s="267">
        <f t="shared" si="27"/>
        <v>0</v>
      </c>
      <c r="I102" s="267">
        <f t="shared" si="27"/>
        <v>0</v>
      </c>
      <c r="J102" s="267">
        <f t="shared" si="27"/>
        <v>0</v>
      </c>
      <c r="K102" s="110" t="s">
        <v>305</v>
      </c>
      <c r="L102" s="134" t="s">
        <v>3459</v>
      </c>
      <c r="N102" s="22"/>
    </row>
    <row r="103" spans="1:14">
      <c r="A103" s="22" t="str">
        <f t="shared" ref="A103" si="29">IF(C103="","",B103&amp;"-"&amp;C103)</f>
        <v>SCHMDT-OTHER</v>
      </c>
      <c r="B103" s="91" t="s">
        <v>158</v>
      </c>
      <c r="C103" s="91" t="s">
        <v>306</v>
      </c>
      <c r="D103" s="91" t="s">
        <v>92</v>
      </c>
      <c r="E103" s="267">
        <f>SUMIFS('SCH M Jun22data'!G:G,'SCH M Jun22data'!C:C,B103,'SCH M Jun22data'!H:H,C103,'SCH M Jun22data'!I:I,D103)</f>
        <v>11178.57366</v>
      </c>
      <c r="F103" s="267">
        <f t="shared" si="27"/>
        <v>5341.1299290768993</v>
      </c>
      <c r="G103" s="267">
        <f t="shared" si="27"/>
        <v>2770.0003169317079</v>
      </c>
      <c r="H103" s="267">
        <f t="shared" si="27"/>
        <v>3067.4434139913928</v>
      </c>
      <c r="I103" s="267">
        <f t="shared" si="27"/>
        <v>0</v>
      </c>
      <c r="J103" s="267">
        <f t="shared" si="27"/>
        <v>0</v>
      </c>
      <c r="K103" s="110" t="s">
        <v>305</v>
      </c>
      <c r="L103" s="134" t="s">
        <v>3459</v>
      </c>
      <c r="N103" s="22"/>
    </row>
    <row r="104" spans="1:14">
      <c r="A104" s="22" t="str">
        <f t="shared" si="28"/>
        <v>SCHMDT-OTHER</v>
      </c>
      <c r="B104" s="91" t="s">
        <v>158</v>
      </c>
      <c r="C104" s="91" t="s">
        <v>306</v>
      </c>
      <c r="D104" s="91" t="s">
        <v>110</v>
      </c>
      <c r="E104" s="267">
        <f>SUMIFS('SCH M Jun22data'!G:G,'SCH M Jun22data'!C:C,B104,'SCH M Jun22data'!H:H,C104,'SCH M Jun22data'!I:I,D104)</f>
        <v>5543.6737899999998</v>
      </c>
      <c r="F104" s="267">
        <f t="shared" si="27"/>
        <v>2588.3074891679476</v>
      </c>
      <c r="G104" s="267">
        <f t="shared" si="27"/>
        <v>1380.078541865189</v>
      </c>
      <c r="H104" s="267">
        <f t="shared" si="27"/>
        <v>1527.9616707381583</v>
      </c>
      <c r="I104" s="267">
        <f t="shared" si="27"/>
        <v>47.326088228705295</v>
      </c>
      <c r="J104" s="267">
        <f t="shared" si="27"/>
        <v>0</v>
      </c>
      <c r="K104" s="110" t="s">
        <v>305</v>
      </c>
      <c r="L104" s="134" t="s">
        <v>3459</v>
      </c>
      <c r="N104" s="22"/>
    </row>
    <row r="105" spans="1:14">
      <c r="A105" s="22" t="str">
        <f t="shared" si="20"/>
        <v>SCHMDT-TAXDEPR</v>
      </c>
      <c r="B105" s="91" t="s">
        <v>158</v>
      </c>
      <c r="C105" s="91" t="s">
        <v>111</v>
      </c>
      <c r="D105" s="91" t="s">
        <v>111</v>
      </c>
      <c r="E105" s="267">
        <f>SUMIFS('SCH M Jun22data'!G:G,'SCH M Jun22data'!C:C,B105,'SCH M Jun22data'!H:H,C105,'SCH M Jun22data'!I:I,D105)</f>
        <v>1421447.4210000001</v>
      </c>
      <c r="F105" s="267">
        <f t="shared" si="27"/>
        <v>854763.86074247828</v>
      </c>
      <c r="G105" s="267">
        <f t="shared" si="27"/>
        <v>298669.46818596061</v>
      </c>
      <c r="H105" s="267">
        <f t="shared" si="27"/>
        <v>256028.70050168058</v>
      </c>
      <c r="I105" s="267">
        <f t="shared" si="27"/>
        <v>11985.39156988053</v>
      </c>
      <c r="J105" s="267">
        <f t="shared" si="27"/>
        <v>0</v>
      </c>
      <c r="K105" s="110" t="s">
        <v>305</v>
      </c>
      <c r="L105" s="134" t="s">
        <v>3459</v>
      </c>
    </row>
    <row r="106" spans="1:14">
      <c r="A106" s="22" t="str">
        <f t="shared" si="20"/>
        <v>SCHMDT-SITUS</v>
      </c>
      <c r="B106" s="91" t="s">
        <v>158</v>
      </c>
      <c r="C106" s="91" t="s">
        <v>12</v>
      </c>
      <c r="D106" s="91" t="s">
        <v>74</v>
      </c>
      <c r="E106" s="267">
        <f>SUMIFS('SCH M Jun22data'!G:G,'SCH M Jun22data'!C:C,B106,'SCH M Jun22data'!H:H,C106,'SCH M Jun22data'!I:I,D106)</f>
        <v>0</v>
      </c>
      <c r="F106" s="267">
        <f t="shared" si="27"/>
        <v>0</v>
      </c>
      <c r="G106" s="267">
        <f t="shared" si="27"/>
        <v>0</v>
      </c>
      <c r="H106" s="267">
        <f t="shared" si="27"/>
        <v>0</v>
      </c>
      <c r="I106" s="267">
        <f t="shared" si="27"/>
        <v>0</v>
      </c>
      <c r="J106" s="267">
        <f t="shared" si="27"/>
        <v>0</v>
      </c>
      <c r="K106" s="110" t="s">
        <v>305</v>
      </c>
      <c r="L106" s="134" t="s">
        <v>3459</v>
      </c>
    </row>
    <row r="107" spans="1:14">
      <c r="A107" s="22" t="str">
        <f>IF(C107="","",B107&amp;"-"&amp;C107)</f>
        <v>SCHMDT-SITUS</v>
      </c>
      <c r="B107" s="91" t="s">
        <v>158</v>
      </c>
      <c r="C107" s="91" t="s">
        <v>12</v>
      </c>
      <c r="D107" s="91" t="s">
        <v>176</v>
      </c>
      <c r="E107" s="267">
        <f>SUMIFS('SCH M Jun22data'!G:G,'SCH M Jun22data'!C:C,B107,'SCH M Jun22data'!H:H,C107,'SCH M Jun22data'!I:I,D107)</f>
        <v>5680.8801699999995</v>
      </c>
      <c r="F107" s="267">
        <f t="shared" si="27"/>
        <v>5375.6202304814196</v>
      </c>
      <c r="G107" s="267">
        <f t="shared" si="27"/>
        <v>31.65539553650936</v>
      </c>
      <c r="H107" s="267">
        <f t="shared" si="27"/>
        <v>122.56109114532956</v>
      </c>
      <c r="I107" s="267">
        <f t="shared" si="27"/>
        <v>135.50032617368507</v>
      </c>
      <c r="J107" s="267">
        <f t="shared" si="27"/>
        <v>15.543126663055578</v>
      </c>
      <c r="K107" s="110" t="s">
        <v>305</v>
      </c>
      <c r="L107" s="134" t="s">
        <v>3459</v>
      </c>
    </row>
    <row r="108" spans="1:14">
      <c r="A108" s="22" t="str">
        <f t="shared" si="20"/>
        <v>SCHMDT-SITUS</v>
      </c>
      <c r="B108" s="91" t="s">
        <v>158</v>
      </c>
      <c r="C108" s="91" t="s">
        <v>12</v>
      </c>
      <c r="D108" s="91" t="s">
        <v>110</v>
      </c>
      <c r="E108" s="267">
        <f>SUMIFS('SCH M Jun22data'!G:G,'SCH M Jun22data'!C:C,B108,'SCH M Jun22data'!H:H,C108,'SCH M Jun22data'!I:I,D108)</f>
        <v>182.80758999999998</v>
      </c>
      <c r="F108" s="267">
        <f t="shared" si="27"/>
        <v>85.351749074280136</v>
      </c>
      <c r="G108" s="267">
        <f t="shared" si="27"/>
        <v>45.509321400581413</v>
      </c>
      <c r="H108" s="267">
        <f t="shared" si="27"/>
        <v>50.385899535408313</v>
      </c>
      <c r="I108" s="267">
        <f t="shared" si="27"/>
        <v>1.5606199897301285</v>
      </c>
      <c r="J108" s="267">
        <f t="shared" si="27"/>
        <v>0</v>
      </c>
      <c r="K108" s="110" t="s">
        <v>305</v>
      </c>
      <c r="L108" s="134" t="s">
        <v>3459</v>
      </c>
    </row>
    <row r="109" spans="1:14">
      <c r="A109" s="22" t="str">
        <f t="shared" si="20"/>
        <v>SCHMDT-SITUS</v>
      </c>
      <c r="B109" s="91" t="s">
        <v>158</v>
      </c>
      <c r="C109" s="91" t="s">
        <v>12</v>
      </c>
      <c r="D109" s="91" t="s">
        <v>102</v>
      </c>
      <c r="E109" s="267">
        <f>SUMIFS('SCH M Jun22data'!G:G,'SCH M Jun22data'!C:C,B109,'SCH M Jun22data'!H:H,C109,'SCH M Jun22data'!I:I,D109)</f>
        <v>1947.55099</v>
      </c>
      <c r="F109" s="267">
        <f t="shared" si="27"/>
        <v>845.92249818356288</v>
      </c>
      <c r="G109" s="267">
        <f t="shared" si="27"/>
        <v>178.91229448387304</v>
      </c>
      <c r="H109" s="267">
        <f t="shared" si="27"/>
        <v>692.69979602586159</v>
      </c>
      <c r="I109" s="267">
        <f t="shared" si="27"/>
        <v>230.01640130670239</v>
      </c>
      <c r="J109" s="267">
        <f t="shared" si="27"/>
        <v>0</v>
      </c>
      <c r="K109" s="110" t="s">
        <v>305</v>
      </c>
      <c r="L109" s="134" t="s">
        <v>3459</v>
      </c>
    </row>
    <row r="110" spans="1:14">
      <c r="A110" s="22" t="str">
        <f t="shared" si="20"/>
        <v>SCHMDT-SITUS</v>
      </c>
      <c r="B110" s="91" t="s">
        <v>158</v>
      </c>
      <c r="C110" s="91" t="s">
        <v>12</v>
      </c>
      <c r="D110" s="91" t="s">
        <v>68</v>
      </c>
      <c r="E110" s="267">
        <f>SUMIFS('SCH M Jun22data'!G:G,'SCH M Jun22data'!C:C,B110,'SCH M Jun22data'!H:H,C110,'SCH M Jun22data'!I:I,D110)</f>
        <v>-11867.49862</v>
      </c>
      <c r="F110" s="267">
        <f t="shared" si="27"/>
        <v>-11867.49862</v>
      </c>
      <c r="G110" s="267">
        <f t="shared" si="27"/>
        <v>0</v>
      </c>
      <c r="H110" s="267">
        <f t="shared" si="27"/>
        <v>0</v>
      </c>
      <c r="I110" s="267">
        <f t="shared" si="27"/>
        <v>0</v>
      </c>
      <c r="J110" s="267">
        <f t="shared" si="27"/>
        <v>0</v>
      </c>
      <c r="K110" s="110" t="s">
        <v>305</v>
      </c>
      <c r="L110" s="134" t="s">
        <v>3459</v>
      </c>
    </row>
    <row r="111" spans="1:14">
      <c r="A111" s="22" t="str">
        <f t="shared" si="20"/>
        <v>SCHMDT-SITUS</v>
      </c>
      <c r="B111" s="263" t="s">
        <v>158</v>
      </c>
      <c r="C111" s="263" t="s">
        <v>12</v>
      </c>
      <c r="D111" s="95" t="s">
        <v>92</v>
      </c>
      <c r="E111" s="282">
        <f>SUMIFS('SCH M Jun22data'!G:G,'SCH M Jun22data'!C:C,B111,'SCH M Jun22data'!H:H,C111,'SCH M Jun22data'!I:I,D111)</f>
        <v>5.5910799999999998</v>
      </c>
      <c r="F111" s="282">
        <f t="shared" si="27"/>
        <v>2.6714217423570004</v>
      </c>
      <c r="G111" s="282">
        <f t="shared" si="27"/>
        <v>1.3854444979334271</v>
      </c>
      <c r="H111" s="282">
        <f t="shared" si="27"/>
        <v>1.5342137597095726</v>
      </c>
      <c r="I111" s="282">
        <f t="shared" si="27"/>
        <v>0</v>
      </c>
      <c r="J111" s="282">
        <f t="shared" si="27"/>
        <v>0</v>
      </c>
      <c r="K111" s="110" t="s">
        <v>305</v>
      </c>
      <c r="L111" s="134" t="s">
        <v>3459</v>
      </c>
    </row>
    <row r="112" spans="1:14">
      <c r="A112" s="22" t="str">
        <f t="shared" si="20"/>
        <v/>
      </c>
      <c r="B112" s="64" t="s">
        <v>270</v>
      </c>
      <c r="C112" s="91"/>
      <c r="D112" s="93"/>
      <c r="E112" s="267">
        <f t="shared" ref="E112:J112" si="30">SUMIF($A:$A,"SCHMDT-GPS",E:E)</f>
        <v>90140.252589999989</v>
      </c>
      <c r="F112" s="267">
        <f t="shared" si="30"/>
        <v>43069.072635426048</v>
      </c>
      <c r="G112" s="267">
        <f t="shared" si="30"/>
        <v>22336.349505488179</v>
      </c>
      <c r="H112" s="267">
        <f t="shared" si="30"/>
        <v>24734.830449085763</v>
      </c>
      <c r="I112" s="267">
        <f t="shared" si="30"/>
        <v>0</v>
      </c>
      <c r="J112" s="267">
        <f t="shared" si="30"/>
        <v>0</v>
      </c>
    </row>
    <row r="113" spans="1:17">
      <c r="A113" s="22" t="str">
        <f>IF(C113="","",B113&amp;"-"&amp;C113)</f>
        <v/>
      </c>
      <c r="B113" s="64" t="s">
        <v>307</v>
      </c>
      <c r="C113" s="91"/>
      <c r="D113" s="93"/>
      <c r="E113" s="267">
        <f t="shared" ref="E113:J113" si="31">SUMIF($A:$A,"SCHMDT-CN",E:E)</f>
        <v>0</v>
      </c>
      <c r="F113" s="267">
        <f t="shared" si="31"/>
        <v>0</v>
      </c>
      <c r="G113" s="267">
        <f t="shared" si="31"/>
        <v>0</v>
      </c>
      <c r="H113" s="267">
        <f t="shared" si="31"/>
        <v>0</v>
      </c>
      <c r="I113" s="267">
        <f t="shared" si="31"/>
        <v>0</v>
      </c>
      <c r="J113" s="267">
        <f t="shared" si="31"/>
        <v>0</v>
      </c>
    </row>
    <row r="114" spans="1:17">
      <c r="A114" s="22" t="str">
        <f t="shared" si="20"/>
        <v/>
      </c>
      <c r="B114" s="64" t="s">
        <v>276</v>
      </c>
      <c r="C114" s="91"/>
      <c r="D114" s="93"/>
      <c r="E114" s="267">
        <f t="shared" ref="E114:J114" si="32">SUMIF($A:$A,"SCHMDT-SG",E:E)</f>
        <v>186496.26261000001</v>
      </c>
      <c r="F114" s="267">
        <f t="shared" si="32"/>
        <v>185715.32691999999</v>
      </c>
      <c r="G114" s="267">
        <f t="shared" si="32"/>
        <v>780.93569000000002</v>
      </c>
      <c r="H114" s="267">
        <f t="shared" si="32"/>
        <v>0</v>
      </c>
      <c r="I114" s="267">
        <f t="shared" si="32"/>
        <v>0</v>
      </c>
      <c r="J114" s="267">
        <f t="shared" si="32"/>
        <v>0</v>
      </c>
    </row>
    <row r="115" spans="1:17">
      <c r="A115" s="22" t="str">
        <f>IF(C115="","",B115&amp;"-"&amp;C115)</f>
        <v/>
      </c>
      <c r="B115" s="64" t="s">
        <v>304</v>
      </c>
      <c r="C115" s="91"/>
      <c r="D115" s="93"/>
      <c r="E115" s="267">
        <f t="shared" ref="E115:J115" si="33">SUMIF($A:$A,"SCHMDT-SE",E:E)</f>
        <v>-89165.063330000019</v>
      </c>
      <c r="F115" s="267">
        <f t="shared" si="33"/>
        <v>-89165.063330000019</v>
      </c>
      <c r="G115" s="267">
        <f t="shared" si="33"/>
        <v>0</v>
      </c>
      <c r="H115" s="267">
        <f t="shared" si="33"/>
        <v>0</v>
      </c>
      <c r="I115" s="267">
        <f t="shared" si="33"/>
        <v>0</v>
      </c>
      <c r="J115" s="267">
        <f t="shared" si="33"/>
        <v>0</v>
      </c>
    </row>
    <row r="116" spans="1:17">
      <c r="A116" s="22" t="str">
        <f t="shared" si="20"/>
        <v/>
      </c>
      <c r="B116" s="64" t="s">
        <v>271</v>
      </c>
      <c r="C116" s="91"/>
      <c r="D116" s="93"/>
      <c r="E116" s="267">
        <f t="shared" ref="E116:J116" si="34">SUMIF($A:$A,"SCHMDT-SNP",E:E)</f>
        <v>76711.742889999994</v>
      </c>
      <c r="F116" s="267">
        <f t="shared" si="34"/>
        <v>36652.921770113469</v>
      </c>
      <c r="G116" s="267">
        <f t="shared" si="34"/>
        <v>19008.825148957658</v>
      </c>
      <c r="H116" s="267">
        <f t="shared" si="34"/>
        <v>21049.995970928867</v>
      </c>
      <c r="I116" s="267">
        <f t="shared" si="34"/>
        <v>0</v>
      </c>
      <c r="J116" s="267">
        <f t="shared" si="34"/>
        <v>0</v>
      </c>
    </row>
    <row r="117" spans="1:17">
      <c r="A117" s="22" t="str">
        <f t="shared" si="20"/>
        <v/>
      </c>
      <c r="B117" s="65" t="s">
        <v>272</v>
      </c>
      <c r="C117" s="91"/>
      <c r="D117" s="93"/>
      <c r="E117" s="267">
        <f t="shared" ref="E117:J117" si="35">SUMIF($A:$A,"SCHMDT-SO",E:E)</f>
        <v>-81634.873989999993</v>
      </c>
      <c r="F117" s="267">
        <f t="shared" si="35"/>
        <v>-28249.988056572955</v>
      </c>
      <c r="G117" s="267">
        <f t="shared" si="35"/>
        <v>15891.054390303343</v>
      </c>
      <c r="H117" s="267">
        <f t="shared" si="35"/>
        <v>-42662.699607174349</v>
      </c>
      <c r="I117" s="267">
        <f t="shared" si="35"/>
        <v>-26613.240716556036</v>
      </c>
      <c r="J117" s="267">
        <f t="shared" si="35"/>
        <v>0</v>
      </c>
    </row>
    <row r="118" spans="1:17">
      <c r="A118" s="22" t="str">
        <f>IF(C118="","",B118&amp;"-"&amp;C118)</f>
        <v/>
      </c>
      <c r="B118" s="65" t="s">
        <v>310</v>
      </c>
      <c r="C118" s="91"/>
      <c r="D118" s="93"/>
      <c r="E118" s="267">
        <f t="shared" ref="E118:J118" si="36">SUMIF($A:$A,"SCHMDT-OTHER",E:E)</f>
        <v>86899.811390000003</v>
      </c>
      <c r="F118" s="267">
        <f t="shared" si="36"/>
        <v>66928.570778981171</v>
      </c>
      <c r="G118" s="267">
        <f t="shared" si="36"/>
        <v>4713.2130442916487</v>
      </c>
      <c r="H118" s="267">
        <f t="shared" si="36"/>
        <v>6775.707654503849</v>
      </c>
      <c r="I118" s="267">
        <f t="shared" si="36"/>
        <v>9742.787875538439</v>
      </c>
      <c r="J118" s="267">
        <f t="shared" si="36"/>
        <v>-1260.4679633151009</v>
      </c>
    </row>
    <row r="119" spans="1:17">
      <c r="A119" s="22" t="str">
        <f>IF(C119="","",B119&amp;"-"&amp;C119)</f>
        <v/>
      </c>
      <c r="B119" s="65" t="s">
        <v>312</v>
      </c>
      <c r="C119" s="91"/>
      <c r="D119" s="93"/>
      <c r="E119" s="267">
        <f t="shared" ref="E119:J119" si="37">SUMIF($A:$A,"SCHMDT-TAXDEPR",E:E)</f>
        <v>1421447.4210000001</v>
      </c>
      <c r="F119" s="267">
        <f t="shared" si="37"/>
        <v>854763.86074247828</v>
      </c>
      <c r="G119" s="267">
        <f t="shared" si="37"/>
        <v>298669.46818596061</v>
      </c>
      <c r="H119" s="267">
        <f t="shared" si="37"/>
        <v>256028.70050168058</v>
      </c>
      <c r="I119" s="267">
        <f t="shared" si="37"/>
        <v>11985.39156988053</v>
      </c>
      <c r="J119" s="267">
        <f t="shared" si="37"/>
        <v>0</v>
      </c>
    </row>
    <row r="120" spans="1:17">
      <c r="A120" s="22" t="str">
        <f t="shared" si="20"/>
        <v/>
      </c>
      <c r="B120" s="64" t="s">
        <v>273</v>
      </c>
      <c r="C120" s="91"/>
      <c r="D120" s="93"/>
      <c r="E120" s="267">
        <f t="shared" ref="E120:J120" si="38">SUMIF($A:$A,"SCHMDT-SITUS",E:E)+SUMIF($A:$A,"SCHMDT-CN",E:E)</f>
        <v>-4050.6687900000006</v>
      </c>
      <c r="F120" s="267">
        <f t="shared" si="38"/>
        <v>-5557.9327205183808</v>
      </c>
      <c r="G120" s="267">
        <f t="shared" si="38"/>
        <v>257.46245591889721</v>
      </c>
      <c r="H120" s="267">
        <f t="shared" si="38"/>
        <v>867.181000466309</v>
      </c>
      <c r="I120" s="267">
        <f t="shared" si="38"/>
        <v>367.07734747011762</v>
      </c>
      <c r="J120" s="267">
        <f t="shared" si="38"/>
        <v>15.543126663055578</v>
      </c>
    </row>
    <row r="121" spans="1:17">
      <c r="A121" s="22" t="str">
        <f t="shared" si="20"/>
        <v/>
      </c>
      <c r="B121" s="65" t="s">
        <v>159</v>
      </c>
      <c r="C121" s="93"/>
      <c r="D121" s="93"/>
      <c r="E121" s="267">
        <f t="shared" ref="E121:J121" si="39">SUMIF($B:$B,"SCHMDT",E:E)</f>
        <v>1687380.7398505358</v>
      </c>
      <c r="F121" s="267">
        <f t="shared" si="39"/>
        <v>1064733.0177204837</v>
      </c>
      <c r="G121" s="267">
        <f t="shared" si="39"/>
        <v>361657.30842092034</v>
      </c>
      <c r="H121" s="267">
        <f t="shared" si="39"/>
        <v>266753.32246945059</v>
      </c>
      <c r="I121" s="267">
        <f t="shared" si="39"/>
        <v>-4517.9839236669477</v>
      </c>
      <c r="J121" s="267">
        <f t="shared" si="39"/>
        <v>-1244.9248366520453</v>
      </c>
    </row>
    <row r="122" spans="1:17">
      <c r="A122" s="22" t="str">
        <f t="shared" si="20"/>
        <v/>
      </c>
      <c r="B122" s="65" t="s">
        <v>36</v>
      </c>
      <c r="C122" s="65"/>
      <c r="D122" s="93"/>
      <c r="E122" s="214">
        <f>SUM(F122:J122)</f>
        <v>1</v>
      </c>
      <c r="F122" s="215">
        <f t="shared" ref="F122:F128" si="40">IF(ISERROR(F112/$E112)," ",(F112/$E112))</f>
        <v>0.47780066505165375</v>
      </c>
      <c r="G122" s="215">
        <f t="shared" ref="F122:J129" si="41">IF(ISERROR(G112/$E112)," ",(G112/$E112))</f>
        <v>0.24779550604416806</v>
      </c>
      <c r="H122" s="215">
        <f t="shared" si="41"/>
        <v>0.27440382890417819</v>
      </c>
      <c r="I122" s="215">
        <f t="shared" si="41"/>
        <v>0</v>
      </c>
      <c r="J122" s="215">
        <f t="shared" si="41"/>
        <v>0</v>
      </c>
      <c r="L122" s="5"/>
      <c r="M122" s="14"/>
      <c r="N122" s="14"/>
      <c r="O122" s="14"/>
      <c r="P122" s="14"/>
      <c r="Q122" s="14"/>
    </row>
    <row r="123" spans="1:17">
      <c r="A123" s="22" t="str">
        <f>IF(C123="","",B123&amp;"-"&amp;C123)</f>
        <v/>
      </c>
      <c r="B123" s="65" t="s">
        <v>308</v>
      </c>
      <c r="C123" s="65"/>
      <c r="D123" s="93"/>
      <c r="E123" s="214">
        <f>SUM(F123:J123)</f>
        <v>0</v>
      </c>
      <c r="F123" s="215" t="str">
        <f t="shared" si="40"/>
        <v xml:space="preserve"> </v>
      </c>
      <c r="G123" s="215" t="str">
        <f t="shared" si="41"/>
        <v xml:space="preserve"> </v>
      </c>
      <c r="H123" s="215" t="str">
        <f t="shared" si="41"/>
        <v xml:space="preserve"> </v>
      </c>
      <c r="I123" s="215" t="str">
        <f t="shared" si="41"/>
        <v xml:space="preserve"> </v>
      </c>
      <c r="J123" s="215" t="str">
        <f t="shared" si="41"/>
        <v xml:space="preserve"> </v>
      </c>
      <c r="L123" s="5"/>
      <c r="M123" s="14"/>
      <c r="N123" s="14"/>
      <c r="O123" s="14"/>
      <c r="P123" s="14"/>
      <c r="Q123" s="14"/>
    </row>
    <row r="124" spans="1:17">
      <c r="A124" s="22" t="str">
        <f t="shared" si="20"/>
        <v/>
      </c>
      <c r="B124" s="65" t="s">
        <v>38</v>
      </c>
      <c r="C124" s="65"/>
      <c r="D124" s="93"/>
      <c r="E124" s="214">
        <f t="shared" ref="E124:E131" si="42">SUM(F124:J124)</f>
        <v>1</v>
      </c>
      <c r="F124" s="215">
        <f t="shared" si="40"/>
        <v>0.99581259335135797</v>
      </c>
      <c r="G124" s="215">
        <f t="shared" si="41"/>
        <v>4.1874066486420084E-3</v>
      </c>
      <c r="H124" s="215">
        <f t="shared" si="41"/>
        <v>0</v>
      </c>
      <c r="I124" s="215">
        <f t="shared" si="41"/>
        <v>0</v>
      </c>
      <c r="J124" s="215">
        <f t="shared" si="41"/>
        <v>0</v>
      </c>
      <c r="L124" s="5"/>
      <c r="M124" s="14"/>
      <c r="N124" s="14"/>
      <c r="O124" s="14"/>
      <c r="P124" s="14"/>
      <c r="Q124" s="14"/>
    </row>
    <row r="125" spans="1:17">
      <c r="A125" s="22" t="str">
        <f>IF(C125="","",B125&amp;"-"&amp;C125)</f>
        <v/>
      </c>
      <c r="B125" s="65" t="s">
        <v>309</v>
      </c>
      <c r="C125" s="65"/>
      <c r="D125" s="93"/>
      <c r="E125" s="214">
        <f>SUM(F125:J125)</f>
        <v>1</v>
      </c>
      <c r="F125" s="215">
        <f t="shared" si="40"/>
        <v>1</v>
      </c>
      <c r="G125" s="215">
        <f t="shared" si="41"/>
        <v>0</v>
      </c>
      <c r="H125" s="215">
        <f t="shared" si="41"/>
        <v>0</v>
      </c>
      <c r="I125" s="215">
        <f t="shared" si="41"/>
        <v>0</v>
      </c>
      <c r="J125" s="215">
        <f t="shared" si="41"/>
        <v>0</v>
      </c>
      <c r="L125" s="5"/>
      <c r="M125" s="14"/>
      <c r="N125" s="14"/>
      <c r="O125" s="14"/>
      <c r="P125" s="14"/>
      <c r="Q125" s="14"/>
    </row>
    <row r="126" spans="1:17">
      <c r="A126" s="22" t="str">
        <f t="shared" si="20"/>
        <v/>
      </c>
      <c r="B126" s="65" t="s">
        <v>40</v>
      </c>
      <c r="C126" s="65"/>
      <c r="D126" s="93"/>
      <c r="E126" s="214">
        <f t="shared" si="42"/>
        <v>1</v>
      </c>
      <c r="F126" s="215">
        <f t="shared" si="40"/>
        <v>0.47780066505165375</v>
      </c>
      <c r="G126" s="215">
        <f t="shared" si="41"/>
        <v>0.24779550604416803</v>
      </c>
      <c r="H126" s="215">
        <f t="shared" si="41"/>
        <v>0.27440382890417819</v>
      </c>
      <c r="I126" s="215">
        <f t="shared" si="41"/>
        <v>0</v>
      </c>
      <c r="J126" s="215">
        <f t="shared" si="41"/>
        <v>0</v>
      </c>
      <c r="L126" s="5"/>
      <c r="M126" s="14"/>
      <c r="N126" s="14"/>
      <c r="O126" s="14"/>
      <c r="P126" s="14"/>
      <c r="Q126" s="14"/>
    </row>
    <row r="127" spans="1:17">
      <c r="A127" s="22" t="str">
        <f t="shared" si="20"/>
        <v/>
      </c>
      <c r="B127" s="65" t="s">
        <v>42</v>
      </c>
      <c r="C127" s="65"/>
      <c r="D127" s="93"/>
      <c r="E127" s="214">
        <f t="shared" si="42"/>
        <v>1</v>
      </c>
      <c r="F127" s="215">
        <f t="shared" si="40"/>
        <v>0.34605293884612948</v>
      </c>
      <c r="G127" s="215">
        <f t="shared" si="41"/>
        <v>-0.19466012028449931</v>
      </c>
      <c r="H127" s="215">
        <f t="shared" si="41"/>
        <v>0.52260385203020454</v>
      </c>
      <c r="I127" s="215">
        <f t="shared" si="41"/>
        <v>0.32600332940816534</v>
      </c>
      <c r="J127" s="215">
        <f t="shared" si="41"/>
        <v>0</v>
      </c>
      <c r="L127" s="5"/>
      <c r="M127" s="14"/>
      <c r="N127" s="14"/>
      <c r="O127" s="14"/>
      <c r="P127" s="14"/>
      <c r="Q127" s="14"/>
    </row>
    <row r="128" spans="1:17">
      <c r="A128" s="22" t="str">
        <f>IF(C128="","",B128&amp;"-"&amp;C128)</f>
        <v/>
      </c>
      <c r="B128" s="65" t="s">
        <v>311</v>
      </c>
      <c r="C128" s="65"/>
      <c r="D128" s="93"/>
      <c r="E128" s="214">
        <f>SUM(F128:J128)</f>
        <v>1</v>
      </c>
      <c r="F128" s="215">
        <f t="shared" si="40"/>
        <v>0.77018085204593412</v>
      </c>
      <c r="G128" s="215">
        <f t="shared" si="41"/>
        <v>5.4237321910160348E-2</v>
      </c>
      <c r="H128" s="215">
        <f t="shared" si="41"/>
        <v>7.7971488615722867E-2</v>
      </c>
      <c r="I128" s="215">
        <f t="shared" si="41"/>
        <v>0.11211517861429549</v>
      </c>
      <c r="J128" s="215">
        <f t="shared" si="41"/>
        <v>-1.4504841186112737E-2</v>
      </c>
      <c r="L128" s="5"/>
      <c r="M128" s="14"/>
      <c r="N128" s="14"/>
      <c r="O128" s="14"/>
      <c r="P128" s="14"/>
      <c r="Q128" s="14"/>
    </row>
    <row r="129" spans="1:17">
      <c r="A129" s="22" t="str">
        <f>IF(C129="","",B129&amp;"-"&amp;C129)</f>
        <v/>
      </c>
      <c r="B129" s="65" t="s">
        <v>313</v>
      </c>
      <c r="C129" s="65"/>
      <c r="D129" s="93"/>
      <c r="E129" s="214">
        <f>SUM(F129:J129)</f>
        <v>0.99999999999999989</v>
      </c>
      <c r="F129" s="215">
        <f t="shared" si="41"/>
        <v>0.60133343528186556</v>
      </c>
      <c r="G129" s="215">
        <f t="shared" si="41"/>
        <v>0.21011643749428605</v>
      </c>
      <c r="H129" s="215">
        <f t="shared" si="41"/>
        <v>0.18011830527052647</v>
      </c>
      <c r="I129" s="215">
        <f t="shared" si="41"/>
        <v>8.4318219533218528E-3</v>
      </c>
      <c r="J129" s="215">
        <f t="shared" si="41"/>
        <v>0</v>
      </c>
      <c r="L129" s="5"/>
      <c r="M129" s="14"/>
      <c r="N129" s="14"/>
      <c r="O129" s="14"/>
      <c r="P129" s="14"/>
      <c r="Q129" s="14"/>
    </row>
    <row r="130" spans="1:17">
      <c r="A130" s="22" t="str">
        <f t="shared" ref="A130:A141" si="43">IF(C130="","",B130&amp;"-"&amp;C130)</f>
        <v/>
      </c>
      <c r="B130" s="65" t="s">
        <v>44</v>
      </c>
      <c r="C130" s="65"/>
      <c r="D130" s="93"/>
      <c r="E130" s="214">
        <f t="shared" si="42"/>
        <v>1.0000000000000002</v>
      </c>
      <c r="F130" s="215">
        <f t="shared" ref="F130:J131" si="44">IF(ISERROR(F120/$E120)," ",(F120/$E120))</f>
        <v>1.3721024869373188</v>
      </c>
      <c r="G130" s="215">
        <f t="shared" si="44"/>
        <v>-6.3560480816032647E-2</v>
      </c>
      <c r="H130" s="215">
        <f t="shared" si="44"/>
        <v>-0.21408341323959712</v>
      </c>
      <c r="I130" s="215">
        <f t="shared" si="44"/>
        <v>-9.0621417474648067E-2</v>
      </c>
      <c r="J130" s="215">
        <f t="shared" si="44"/>
        <v>-3.8371754070407656E-3</v>
      </c>
      <c r="M130" s="14"/>
      <c r="N130" s="14"/>
      <c r="O130" s="14"/>
      <c r="P130" s="14"/>
      <c r="Q130" s="14"/>
    </row>
    <row r="131" spans="1:17">
      <c r="A131" s="22" t="str">
        <f t="shared" si="43"/>
        <v/>
      </c>
      <c r="B131" s="65" t="s">
        <v>160</v>
      </c>
      <c r="C131" s="65"/>
      <c r="D131" s="93"/>
      <c r="E131" s="214">
        <f t="shared" si="42"/>
        <v>0.99999999999999967</v>
      </c>
      <c r="F131" s="215">
        <f t="shared" si="44"/>
        <v>0.63099749367460201</v>
      </c>
      <c r="G131" s="215">
        <f t="shared" si="44"/>
        <v>0.21433058934461649</v>
      </c>
      <c r="H131" s="215">
        <f t="shared" si="44"/>
        <v>0.15808721539222914</v>
      </c>
      <c r="I131" s="215">
        <f t="shared" si="44"/>
        <v>-2.6775130336423895E-3</v>
      </c>
      <c r="J131" s="215">
        <f t="shared" si="44"/>
        <v>-7.3778537780531841E-4</v>
      </c>
      <c r="M131" s="14"/>
      <c r="N131" s="14"/>
      <c r="O131" s="14"/>
      <c r="P131" s="14"/>
      <c r="Q131" s="14"/>
    </row>
    <row r="132" spans="1:17" s="2" customFormat="1">
      <c r="A132" s="22"/>
      <c r="B132" s="261"/>
      <c r="C132" s="261"/>
      <c r="D132" s="93"/>
      <c r="E132" s="245"/>
      <c r="F132" s="169"/>
      <c r="G132" s="169"/>
      <c r="H132" s="169"/>
      <c r="I132" s="169"/>
      <c r="J132" s="169"/>
    </row>
    <row r="133" spans="1:17">
      <c r="A133" s="22" t="str">
        <f t="shared" si="43"/>
        <v>SCHMDF-DGP</v>
      </c>
      <c r="B133" s="93" t="s">
        <v>161</v>
      </c>
      <c r="C133" s="91" t="s">
        <v>104</v>
      </c>
      <c r="D133" s="93" t="s">
        <v>68</v>
      </c>
      <c r="E133" s="267">
        <v>0</v>
      </c>
      <c r="F133" s="267">
        <f>VLOOKUP($D133,$D$143:$J$155,3,FALSE)*$E133</f>
        <v>0</v>
      </c>
      <c r="G133" s="267">
        <f>VLOOKUP($D133,$D$143:$J$155,4,FALSE)*$E133</f>
        <v>0</v>
      </c>
      <c r="H133" s="267">
        <f>VLOOKUP($D133,$D$143:$J$155,5,FALSE)*$E133</f>
        <v>0</v>
      </c>
      <c r="I133" s="267">
        <f>VLOOKUP($D133,$D$143:$J$155,6,FALSE)*$E133</f>
        <v>0</v>
      </c>
      <c r="J133" s="267">
        <f>VLOOKUP($D133,$D$143:$J$155,7,FALSE)*$E133</f>
        <v>0</v>
      </c>
    </row>
    <row r="134" spans="1:17">
      <c r="A134" s="22" t="str">
        <f t="shared" si="43"/>
        <v/>
      </c>
      <c r="B134" s="65" t="s">
        <v>278</v>
      </c>
      <c r="E134" s="267">
        <f t="shared" ref="E134:J134" si="45">SUMIF($A:$A,"SCHMDF",E:E)</f>
        <v>0</v>
      </c>
      <c r="F134" s="267">
        <f t="shared" si="45"/>
        <v>0</v>
      </c>
      <c r="G134" s="267">
        <f t="shared" si="45"/>
        <v>0</v>
      </c>
      <c r="H134" s="267">
        <f t="shared" si="45"/>
        <v>0</v>
      </c>
      <c r="I134" s="267">
        <f t="shared" si="45"/>
        <v>0</v>
      </c>
      <c r="J134" s="267">
        <f t="shared" si="45"/>
        <v>0</v>
      </c>
    </row>
    <row r="135" spans="1:17">
      <c r="A135" s="22" t="str">
        <f t="shared" si="43"/>
        <v/>
      </c>
      <c r="B135" s="65" t="s">
        <v>162</v>
      </c>
      <c r="C135" s="65"/>
      <c r="D135" s="93"/>
      <c r="E135" s="214">
        <f>SUM(F135:J135)</f>
        <v>0</v>
      </c>
      <c r="F135" s="215" t="str">
        <f>IF(ISERROR(F134/$E134)," ",(F134/$E134))</f>
        <v xml:space="preserve"> </v>
      </c>
      <c r="G135" s="215" t="str">
        <f>IF(ISERROR(G134/$E134)," ",(G134/$E134))</f>
        <v xml:space="preserve"> </v>
      </c>
      <c r="H135" s="215" t="str">
        <f>IF(ISERROR(H134/$E134)," ",(H134/$E134))</f>
        <v xml:space="preserve"> </v>
      </c>
      <c r="I135" s="215" t="str">
        <f>IF(ISERROR(I134/$E134)," ",(I134/$E134))</f>
        <v xml:space="preserve"> </v>
      </c>
      <c r="J135" s="215" t="str">
        <f>IF(ISERROR(J134/$E134)," ",(J134/$E134))</f>
        <v xml:space="preserve"> </v>
      </c>
    </row>
    <row r="136" spans="1:17" s="2" customFormat="1">
      <c r="A136" s="22"/>
      <c r="B136" s="261"/>
      <c r="C136" s="261"/>
      <c r="D136" s="93"/>
      <c r="E136" s="245"/>
      <c r="F136" s="169"/>
      <c r="G136" s="169"/>
      <c r="H136" s="169"/>
      <c r="I136" s="169"/>
      <c r="J136" s="169"/>
    </row>
    <row r="137" spans="1:17">
      <c r="A137" s="22" t="str">
        <f t="shared" si="43"/>
        <v/>
      </c>
      <c r="B137" s="18" t="s">
        <v>279</v>
      </c>
      <c r="C137" s="93"/>
      <c r="D137" s="93"/>
      <c r="E137" s="267">
        <f t="shared" ref="E137:J137" si="46">SUM(E134,E121,E77)</f>
        <v>1693808.4775505357</v>
      </c>
      <c r="F137" s="267">
        <f t="shared" si="46"/>
        <v>1071115.8327422715</v>
      </c>
      <c r="G137" s="267">
        <f t="shared" si="46"/>
        <v>361678.62525729963</v>
      </c>
      <c r="H137" s="267">
        <f t="shared" si="46"/>
        <v>266776.92831128358</v>
      </c>
      <c r="I137" s="267">
        <f t="shared" si="46"/>
        <v>-4517.9839236669477</v>
      </c>
      <c r="J137" s="267">
        <f t="shared" si="46"/>
        <v>-1244.9248366520453</v>
      </c>
    </row>
    <row r="138" spans="1:17">
      <c r="A138" s="22" t="str">
        <f t="shared" si="43"/>
        <v/>
      </c>
      <c r="B138" s="65" t="s">
        <v>163</v>
      </c>
      <c r="C138" s="65"/>
      <c r="D138" s="93"/>
      <c r="E138" s="214">
        <f>SUM(F138:J138)</f>
        <v>1</v>
      </c>
      <c r="F138" s="215">
        <f>IF(ISERROR(F137/$E137)," ",(F137/$E137))</f>
        <v>0.63237127865320542</v>
      </c>
      <c r="G138" s="215">
        <f>IF(ISERROR(G137/$E137)," ",(G137/$E137))</f>
        <v>0.21352982350184793</v>
      </c>
      <c r="H138" s="215">
        <f>IF(ISERROR(H137/$E137)," ",(H137/$E137))</f>
        <v>0.15750123573420605</v>
      </c>
      <c r="I138" s="215">
        <f>IF(ISERROR(I137/$E137)," ",(I137/$E137))</f>
        <v>-2.6673522913290243E-3</v>
      </c>
      <c r="J138" s="215">
        <f>IF(ISERROR(J137/$E137)," ",(J137/$E137))</f>
        <v>-7.349855979303907E-4</v>
      </c>
    </row>
    <row r="139" spans="1:17" s="2" customFormat="1">
      <c r="A139" s="22"/>
      <c r="B139" s="261"/>
      <c r="C139" s="261"/>
      <c r="D139" s="93"/>
      <c r="E139" s="245"/>
      <c r="F139" s="169"/>
      <c r="G139" s="169"/>
      <c r="H139" s="169"/>
      <c r="I139" s="169"/>
      <c r="J139" s="169"/>
    </row>
    <row r="140" spans="1:17">
      <c r="A140" s="22" t="str">
        <f t="shared" si="43"/>
        <v/>
      </c>
      <c r="B140" s="18" t="s">
        <v>164</v>
      </c>
      <c r="C140" s="93"/>
      <c r="D140" s="93"/>
      <c r="E140" s="42"/>
      <c r="F140" s="167"/>
      <c r="G140" s="93"/>
      <c r="H140" s="93"/>
      <c r="I140" s="93"/>
      <c r="J140" s="93"/>
    </row>
    <row r="141" spans="1:17">
      <c r="A141" s="22" t="str">
        <f t="shared" si="43"/>
        <v/>
      </c>
    </row>
    <row r="142" spans="1:17">
      <c r="E142" s="50" t="s">
        <v>72</v>
      </c>
      <c r="F142" s="50" t="s">
        <v>63</v>
      </c>
      <c r="G142" s="50" t="s">
        <v>64</v>
      </c>
      <c r="H142" s="50" t="s">
        <v>107</v>
      </c>
      <c r="I142" s="50" t="s">
        <v>108</v>
      </c>
      <c r="J142" s="50" t="s">
        <v>109</v>
      </c>
    </row>
    <row r="143" spans="1:17">
      <c r="D143" s="22" t="s">
        <v>74</v>
      </c>
      <c r="E143" s="224">
        <f>SUM(F143:J143)</f>
        <v>1</v>
      </c>
      <c r="F143" s="169">
        <v>0</v>
      </c>
      <c r="G143" s="169">
        <v>0</v>
      </c>
      <c r="H143" s="169">
        <v>0</v>
      </c>
      <c r="I143" s="169">
        <v>0</v>
      </c>
      <c r="J143" s="169">
        <v>1</v>
      </c>
    </row>
    <row r="144" spans="1:17">
      <c r="D144" s="22" t="s">
        <v>70</v>
      </c>
      <c r="E144" s="224">
        <f t="shared" ref="E144:E155" si="47">SUM(F144:J144)</f>
        <v>1</v>
      </c>
      <c r="F144" s="102">
        <v>0</v>
      </c>
      <c r="G144" s="102">
        <v>0</v>
      </c>
      <c r="H144" s="102">
        <v>1</v>
      </c>
      <c r="I144" s="102">
        <v>0</v>
      </c>
      <c r="J144" s="102">
        <v>0</v>
      </c>
    </row>
    <row r="145" spans="4:10">
      <c r="D145" s="22" t="s">
        <v>176</v>
      </c>
      <c r="E145" s="224">
        <f t="shared" si="47"/>
        <v>0.99999999999999989</v>
      </c>
      <c r="F145" s="102">
        <f>'REGASSETS&amp;DDS'!F35</f>
        <v>0.94626537959194801</v>
      </c>
      <c r="G145" s="102">
        <f>'REGASSETS&amp;DDS'!G35</f>
        <v>5.5722695408499286E-3</v>
      </c>
      <c r="H145" s="102">
        <f>'REGASSETS&amp;DDS'!H35</f>
        <v>2.1574313746760401E-2</v>
      </c>
      <c r="I145" s="102">
        <f>'REGASSETS&amp;DDS'!I35</f>
        <v>2.3851995134353463E-2</v>
      </c>
      <c r="J145" s="102">
        <f>'REGASSETS&amp;DDS'!J35</f>
        <v>2.7360419860881485E-3</v>
      </c>
    </row>
    <row r="146" spans="4:10">
      <c r="D146" s="22" t="s">
        <v>73</v>
      </c>
      <c r="E146" s="224">
        <f t="shared" si="47"/>
        <v>1</v>
      </c>
      <c r="F146" s="102">
        <v>0</v>
      </c>
      <c r="G146" s="102">
        <v>0</v>
      </c>
      <c r="H146" s="102">
        <v>0</v>
      </c>
      <c r="I146" s="102">
        <v>1</v>
      </c>
      <c r="J146" s="102">
        <v>0</v>
      </c>
    </row>
    <row r="147" spans="4:10">
      <c r="D147" s="22" t="s">
        <v>100</v>
      </c>
      <c r="E147" s="224">
        <f t="shared" si="47"/>
        <v>1</v>
      </c>
      <c r="F147" s="102">
        <v>0.3</v>
      </c>
      <c r="G147" s="102">
        <v>0.1</v>
      </c>
      <c r="H147" s="102">
        <v>0.6</v>
      </c>
      <c r="I147" s="102">
        <v>0</v>
      </c>
      <c r="J147" s="102">
        <v>0</v>
      </c>
    </row>
    <row r="148" spans="4:10">
      <c r="D148" s="22" t="s">
        <v>110</v>
      </c>
      <c r="E148" s="224">
        <f t="shared" si="47"/>
        <v>1</v>
      </c>
      <c r="F148" s="102">
        <f>'GROSS PLANT'!E42</f>
        <v>0.46689390234989775</v>
      </c>
      <c r="G148" s="102">
        <f>'GROSS PLANT'!F42</f>
        <v>0.24894656398337411</v>
      </c>
      <c r="H148" s="102">
        <f>'GROSS PLANT'!G42</f>
        <v>0.27562257965004799</v>
      </c>
      <c r="I148" s="102">
        <f>'GROSS PLANT'!H42</f>
        <v>8.5369540166802087E-3</v>
      </c>
      <c r="J148" s="102">
        <f>'GROSS PLANT'!I42</f>
        <v>0</v>
      </c>
    </row>
    <row r="149" spans="4:10">
      <c r="D149" s="22" t="s">
        <v>102</v>
      </c>
      <c r="E149" s="224">
        <f t="shared" si="47"/>
        <v>1</v>
      </c>
      <c r="F149" s="102">
        <f>'FORM 1'!C25</f>
        <v>0.43435191300617138</v>
      </c>
      <c r="G149" s="102">
        <f>'FORM 1'!D25</f>
        <v>9.1865268433291722E-2</v>
      </c>
      <c r="H149" s="102">
        <f>'FORM 1'!E25</f>
        <v>0.35567736073799106</v>
      </c>
      <c r="I149" s="102">
        <f>'FORM 1'!F25</f>
        <v>0.11810545782254585</v>
      </c>
      <c r="J149" s="102">
        <f>'FORM 1'!G25</f>
        <v>0</v>
      </c>
    </row>
    <row r="150" spans="4:10" ht="12" customHeight="1">
      <c r="D150" s="22" t="s">
        <v>68</v>
      </c>
      <c r="E150" s="224">
        <f t="shared" si="47"/>
        <v>1</v>
      </c>
      <c r="F150" s="102">
        <f>'FORM 1'!C13</f>
        <v>1</v>
      </c>
      <c r="G150" s="102">
        <f>'FORM 1'!D13</f>
        <v>0</v>
      </c>
      <c r="H150" s="102">
        <f>'FORM 1'!E13</f>
        <v>0</v>
      </c>
      <c r="I150" s="102">
        <f>'FORM 1'!F13</f>
        <v>0</v>
      </c>
      <c r="J150" s="102">
        <f>'FORM 1'!G13</f>
        <v>0</v>
      </c>
    </row>
    <row r="151" spans="4:10">
      <c r="D151" s="22" t="s">
        <v>171</v>
      </c>
      <c r="E151" s="224">
        <f>SUM(F151:J151)</f>
        <v>1</v>
      </c>
      <c r="F151" s="102">
        <f>+'FORM 1'!C17</f>
        <v>0.65849391725711803</v>
      </c>
      <c r="G151" s="102">
        <f>+'FORM 1'!D17</f>
        <v>0.34150608274288197</v>
      </c>
      <c r="H151" s="102">
        <v>0</v>
      </c>
      <c r="I151" s="102">
        <v>0</v>
      </c>
      <c r="J151" s="102">
        <v>0</v>
      </c>
    </row>
    <row r="152" spans="4:10">
      <c r="D152" s="22" t="s">
        <v>92</v>
      </c>
      <c r="E152" s="224">
        <f t="shared" si="47"/>
        <v>1</v>
      </c>
      <c r="F152" s="102">
        <f>'FORM 1'!C16</f>
        <v>0.47780066505165375</v>
      </c>
      <c r="G152" s="102">
        <f>'FORM 1'!D16</f>
        <v>0.24779550604416806</v>
      </c>
      <c r="H152" s="102">
        <f>'FORM 1'!E16</f>
        <v>0.27440382890417819</v>
      </c>
      <c r="I152" s="102">
        <f>'FORM 1'!F16</f>
        <v>0</v>
      </c>
      <c r="J152" s="102">
        <f>'FORM 1'!G16</f>
        <v>0</v>
      </c>
    </row>
    <row r="153" spans="4:10">
      <c r="D153" s="22" t="s">
        <v>69</v>
      </c>
      <c r="E153" s="224">
        <f t="shared" si="47"/>
        <v>1</v>
      </c>
      <c r="F153" s="102">
        <f>'FORM 1'!C14</f>
        <v>0</v>
      </c>
      <c r="G153" s="102">
        <f>'FORM 1'!D14</f>
        <v>1</v>
      </c>
      <c r="H153" s="102">
        <f>'FORM 1'!E14</f>
        <v>0</v>
      </c>
      <c r="I153" s="102">
        <f>'FORM 1'!F14</f>
        <v>0</v>
      </c>
      <c r="J153" s="102">
        <f>'FORM 1'!G14</f>
        <v>0</v>
      </c>
    </row>
    <row r="154" spans="4:10">
      <c r="D154" s="22" t="s">
        <v>111</v>
      </c>
      <c r="E154" s="224">
        <f t="shared" si="47"/>
        <v>0.99999999999999989</v>
      </c>
      <c r="F154" s="102">
        <f>'TAX DEPR'!C24</f>
        <v>0.60133343528186556</v>
      </c>
      <c r="G154" s="102">
        <f>'TAX DEPR'!D24</f>
        <v>0.21011643749428602</v>
      </c>
      <c r="H154" s="102">
        <f>'TAX DEPR'!E24</f>
        <v>0.18011830527052647</v>
      </c>
      <c r="I154" s="102">
        <f>'TAX DEPR'!F24</f>
        <v>8.4318219533218528E-3</v>
      </c>
      <c r="J154" s="102">
        <f>'TAX DEPR'!G24</f>
        <v>0</v>
      </c>
    </row>
    <row r="155" spans="4:10">
      <c r="D155" s="22" t="s">
        <v>96</v>
      </c>
      <c r="E155" s="224">
        <f t="shared" si="47"/>
        <v>0.99999999999999989</v>
      </c>
      <c r="F155" s="102">
        <f>'FORM 1'!C18</f>
        <v>0</v>
      </c>
      <c r="G155" s="102">
        <f>'FORM 1'!D18</f>
        <v>0.47452282961769554</v>
      </c>
      <c r="H155" s="102">
        <f>'FORM 1'!E18</f>
        <v>0.52547717038230435</v>
      </c>
      <c r="I155" s="102">
        <f>'FORM 1'!F18</f>
        <v>0</v>
      </c>
      <c r="J155" s="102">
        <f>'FORM 1'!G18</f>
        <v>0</v>
      </c>
    </row>
    <row r="156" spans="4:10">
      <c r="F156" s="102"/>
      <c r="G156" s="102"/>
      <c r="H156" s="102"/>
      <c r="I156" s="102"/>
      <c r="J156" s="102"/>
    </row>
    <row r="168" spans="5:5">
      <c r="E168" s="264"/>
    </row>
  </sheetData>
  <customSheetViews>
    <customSheetView guid="{20A63875-964B-11D5-AAED-0004762A99E9}" showRuler="0">
      <selection activeCell="E4" sqref="E4"/>
      <rowBreaks count="4" manualBreakCount="4">
        <brk id="40" max="8" man="1"/>
        <brk id="77" max="8" man="1"/>
        <brk id="141" max="16383" man="1"/>
        <brk id="233" max="8" man="1"/>
      </rowBreaks>
      <pageMargins left="0.75" right="0.75" top="1" bottom="1" header="0.5" footer="0.5"/>
      <printOptions horizontalCentered="1"/>
      <pageSetup scale="78" fitToHeight="6" orientation="landscape" horizontalDpi="0" r:id="rId1"/>
      <headerFooter alignWithMargins="0">
        <oddFooter>&amp;L&amp;D&amp;C&amp;A Page &amp;P of &amp;N&amp;R&amp;F</oddFooter>
      </headerFooter>
    </customSheetView>
  </customSheetViews>
  <phoneticPr fontId="0" type="noConversion"/>
  <printOptions horizontalCentered="1"/>
  <pageMargins left="0.12" right="0.16" top="0.25" bottom="0.71" header="0.24" footer="0.34"/>
  <pageSetup scale="61" fitToHeight="2" orientation="portrait" r:id="rId2"/>
  <headerFooter alignWithMargins="0"/>
  <rowBreaks count="1" manualBreakCount="1">
    <brk id="68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16AD35C-A908-4B73-8E00-290F90A8911B}"/>
</file>

<file path=customXml/itemProps2.xml><?xml version="1.0" encoding="utf-8"?>
<ds:datastoreItem xmlns:ds="http://schemas.openxmlformats.org/officeDocument/2006/customXml" ds:itemID="{BCB4FCEE-020E-4D14-A5F2-44025AD7E607}"/>
</file>

<file path=customXml/itemProps3.xml><?xml version="1.0" encoding="utf-8"?>
<ds:datastoreItem xmlns:ds="http://schemas.openxmlformats.org/officeDocument/2006/customXml" ds:itemID="{A4D57FB2-65E1-40EB-B25F-784E3402937E}"/>
</file>

<file path=customXml/itemProps4.xml><?xml version="1.0" encoding="utf-8"?>
<ds:datastoreItem xmlns:ds="http://schemas.openxmlformats.org/officeDocument/2006/customXml" ds:itemID="{28CAE33E-924B-4EF4-8FF8-806878DB37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10</vt:i4>
      </vt:variant>
    </vt:vector>
  </HeadingPairs>
  <TitlesOfParts>
    <vt:vector size="36" baseType="lpstr">
      <vt:lpstr>TOTAL FUNCFAC</vt:lpstr>
      <vt:lpstr>TAX DEPR</vt:lpstr>
      <vt:lpstr>GROSS PLANT</vt:lpstr>
      <vt:lpstr>FORM 1</vt:lpstr>
      <vt:lpstr>BOOKDPR</vt:lpstr>
      <vt:lpstr>ELEC OPS</vt:lpstr>
      <vt:lpstr>GP</vt:lpstr>
      <vt:lpstr>IP</vt:lpstr>
      <vt:lpstr>SCH M</vt:lpstr>
      <vt:lpstr>REGASSETS&amp;DDS</vt:lpstr>
      <vt:lpstr>ACCUMDIT</vt:lpstr>
      <vt:lpstr>data&gt;</vt:lpstr>
      <vt:lpstr>BOOKDEPR Jun22data</vt:lpstr>
      <vt:lpstr>BOOKDEPR Lookup</vt:lpstr>
      <vt:lpstr>GP Jun22data</vt:lpstr>
      <vt:lpstr>GP Lookup</vt:lpstr>
      <vt:lpstr>IP Jun22data</vt:lpstr>
      <vt:lpstr>IP Lookup</vt:lpstr>
      <vt:lpstr>SCH M Jun22data</vt:lpstr>
      <vt:lpstr>SCH M Lookup</vt:lpstr>
      <vt:lpstr>ELEC OPS Jun22data</vt:lpstr>
      <vt:lpstr>ELEC OPS Lookup</vt:lpstr>
      <vt:lpstr>REGASSET Jun22data</vt:lpstr>
      <vt:lpstr>REGASSET Lookup</vt:lpstr>
      <vt:lpstr>DDS Jun22data</vt:lpstr>
      <vt:lpstr>DDS Lookup</vt:lpstr>
      <vt:lpstr>ACCUMDIT!Print_Area</vt:lpstr>
      <vt:lpstr>BOOKDPR!Print_Area</vt:lpstr>
      <vt:lpstr>'ELEC OPS'!Print_Area</vt:lpstr>
      <vt:lpstr>'FORM 1'!Print_Area</vt:lpstr>
      <vt:lpstr>GP!Print_Area</vt:lpstr>
      <vt:lpstr>'GROSS PLANT'!Print_Area</vt:lpstr>
      <vt:lpstr>IP!Print_Area</vt:lpstr>
      <vt:lpstr>'REGASSETS&amp;DDS'!Print_Area</vt:lpstr>
      <vt:lpstr>'SCH M'!Print_Area</vt:lpstr>
      <vt:lpstr>'TAX DEPR'!Print_Area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paice</dc:creator>
  <cp:lastModifiedBy>Meredith, Robert</cp:lastModifiedBy>
  <cp:lastPrinted>2022-12-07T01:03:32Z</cp:lastPrinted>
  <dcterms:created xsi:type="dcterms:W3CDTF">1999-05-18T21:16:11Z</dcterms:created>
  <dcterms:modified xsi:type="dcterms:W3CDTF">2023-03-17T16:56:18Z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