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UG-200479 Cost Recovery Quarterly Report\Filed 4-27-22\"/>
    </mc:Choice>
  </mc:AlternateContent>
  <xr:revisionPtr revIDLastSave="0" documentId="13_ncr:1_{1E0E5F11-5875-40EF-BCE9-466E15CC1F14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COVID-19" sheetId="9" r:id="rId1"/>
    <sheet name="Sheet1" sheetId="29" r:id="rId2"/>
    <sheet name="Savings Mar Accrual" sheetId="4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'COVID-19'!$A$1:$Z$37</definedName>
    <definedName name="_xlnm.Print_Area" localSheetId="2">'Savings Mar Accrual'!$A$1:$Q$81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29" l="1"/>
  <c r="C70" i="29"/>
  <c r="H68" i="29"/>
  <c r="E68" i="29"/>
  <c r="J66" i="29"/>
  <c r="I66" i="29"/>
  <c r="J64" i="29"/>
  <c r="I64" i="29"/>
  <c r="J63" i="29"/>
  <c r="I63" i="29"/>
  <c r="G58" i="29"/>
  <c r="F58" i="29"/>
  <c r="D58" i="29"/>
  <c r="J58" i="29" s="1"/>
  <c r="C58" i="29"/>
  <c r="I58" i="29" s="1"/>
  <c r="J57" i="29"/>
  <c r="I57" i="29"/>
  <c r="G57" i="29"/>
  <c r="F57" i="29"/>
  <c r="D57" i="29"/>
  <c r="C57" i="29"/>
  <c r="J55" i="29"/>
  <c r="G55" i="29"/>
  <c r="F55" i="29"/>
  <c r="D55" i="29"/>
  <c r="C55" i="29"/>
  <c r="I55" i="29" s="1"/>
  <c r="J45" i="29"/>
  <c r="J44" i="29"/>
  <c r="J43" i="29"/>
  <c r="J42" i="29"/>
  <c r="J41" i="29"/>
  <c r="J40" i="29"/>
  <c r="J39" i="29"/>
  <c r="J38" i="29"/>
  <c r="I38" i="29"/>
  <c r="J37" i="29"/>
  <c r="I37" i="29"/>
  <c r="J36" i="29"/>
  <c r="J28" i="29"/>
  <c r="I28" i="29"/>
  <c r="G15" i="29"/>
  <c r="F15" i="29"/>
  <c r="D15" i="29"/>
  <c r="C15" i="29"/>
  <c r="G12" i="29"/>
  <c r="F12" i="29"/>
  <c r="D12" i="29"/>
  <c r="C12" i="29"/>
  <c r="G10" i="29"/>
  <c r="F10" i="29"/>
  <c r="D10" i="29"/>
  <c r="C10" i="29"/>
  <c r="G9" i="29"/>
  <c r="G59" i="29" s="1"/>
  <c r="G68" i="29" s="1"/>
  <c r="F9" i="29"/>
  <c r="D9" i="29"/>
  <c r="C9" i="29"/>
  <c r="C59" i="29" s="1"/>
  <c r="C68" i="29" s="1"/>
  <c r="C72" i="29" s="1"/>
  <c r="G8" i="29"/>
  <c r="F8" i="29"/>
  <c r="F59" i="29" s="1"/>
  <c r="F68" i="29" s="1"/>
  <c r="F72" i="29" s="1"/>
  <c r="D8" i="29"/>
  <c r="D59" i="29" s="1"/>
  <c r="D68" i="29" s="1"/>
  <c r="C8" i="29"/>
  <c r="J6" i="29"/>
  <c r="I6" i="29"/>
  <c r="J5" i="29"/>
  <c r="J59" i="29" s="1"/>
  <c r="J68" i="29" s="1"/>
  <c r="I5" i="29"/>
  <c r="I59" i="29" l="1"/>
  <c r="I68" i="29" s="1"/>
  <c r="I72" i="29" s="1"/>
  <c r="Y27" i="9" l="1"/>
  <c r="Y26" i="9"/>
  <c r="Y25" i="9"/>
  <c r="Y24" i="9"/>
  <c r="Y23" i="9"/>
  <c r="Y16" i="9"/>
  <c r="Y14" i="9"/>
  <c r="Y13" i="9"/>
  <c r="Y12" i="9"/>
  <c r="Y9" i="9"/>
  <c r="Y7" i="9"/>
  <c r="Y35" i="9"/>
  <c r="AC13" i="9" s="1"/>
  <c r="W28" i="9"/>
  <c r="V28" i="9"/>
  <c r="U28" i="9"/>
  <c r="W18" i="9"/>
  <c r="V18" i="9"/>
  <c r="U18" i="9"/>
  <c r="X18" i="9"/>
  <c r="X28" i="9"/>
  <c r="W32" i="9" l="1"/>
  <c r="V32" i="9"/>
  <c r="U32" i="9"/>
  <c r="E18" i="9" l="1"/>
  <c r="T28" i="9" l="1"/>
  <c r="R28" i="9"/>
  <c r="T18" i="9"/>
  <c r="R18" i="9"/>
  <c r="T32" i="9" l="1"/>
  <c r="R32" i="9"/>
  <c r="S18" i="9"/>
  <c r="S28" i="9"/>
  <c r="S32" i="9" l="1"/>
  <c r="Q18" i="9" l="1"/>
  <c r="P18" i="9"/>
  <c r="Q28" i="9"/>
  <c r="P28" i="9"/>
  <c r="O28" i="9"/>
  <c r="N28" i="9"/>
  <c r="M28" i="9"/>
  <c r="L28" i="9"/>
  <c r="K28" i="9"/>
  <c r="J28" i="9"/>
  <c r="H28" i="9"/>
  <c r="G28" i="9"/>
  <c r="E28" i="9"/>
  <c r="I21" i="9"/>
  <c r="Y21" i="9" s="1"/>
  <c r="P32" i="9" l="1"/>
  <c r="I28" i="9"/>
  <c r="Q32" i="9"/>
  <c r="AC16" i="9" l="1"/>
  <c r="F22" i="9" l="1"/>
  <c r="Y22" i="9" s="1"/>
  <c r="L15" i="9"/>
  <c r="Y15" i="9" s="1"/>
  <c r="L8" i="9"/>
  <c r="Y8" i="9" s="1"/>
  <c r="L17" i="9"/>
  <c r="Y17" i="9" s="1"/>
  <c r="G11" i="9"/>
  <c r="F11" i="9"/>
  <c r="Y11" i="9" l="1"/>
  <c r="AC9" i="9" s="1"/>
  <c r="F28" i="9"/>
  <c r="F18" i="9"/>
  <c r="AC11" i="9"/>
  <c r="E32" i="9"/>
  <c r="F32" i="9" l="1"/>
  <c r="AC17" i="9"/>
  <c r="Y28" i="9"/>
  <c r="L10" i="9" l="1"/>
  <c r="Y10" i="9" s="1"/>
  <c r="AC12" i="9" s="1"/>
  <c r="AC14" i="9" s="1"/>
  <c r="Y18" i="9" l="1"/>
  <c r="O18" i="9" l="1"/>
  <c r="O32" i="9" s="1"/>
  <c r="N18" i="9"/>
  <c r="N32" i="9" s="1"/>
  <c r="M18" i="9"/>
  <c r="M32" i="9" s="1"/>
  <c r="K18" i="9" l="1"/>
  <c r="J18" i="9"/>
  <c r="I18" i="9"/>
  <c r="H18" i="9"/>
  <c r="G18" i="9"/>
  <c r="I32" i="9" l="1"/>
  <c r="J32" i="9"/>
  <c r="G32" i="9"/>
  <c r="K32" i="9"/>
  <c r="H32" i="9"/>
  <c r="L18" i="9" l="1"/>
  <c r="L32" i="9" s="1"/>
  <c r="AC18" i="9" l="1"/>
  <c r="Y32" i="9"/>
  <c r="AC19" i="9" l="1"/>
  <c r="H78" i="4"/>
  <c r="F78" i="4"/>
  <c r="D78" i="4"/>
  <c r="L79" i="4" s="1"/>
  <c r="N76" i="4"/>
  <c r="H75" i="4"/>
  <c r="F75" i="4"/>
  <c r="D75" i="4"/>
  <c r="H72" i="4"/>
  <c r="F72" i="4"/>
  <c r="D72" i="4"/>
  <c r="L73" i="4" s="1"/>
  <c r="L69" i="4"/>
  <c r="L70" i="4" s="1"/>
  <c r="H69" i="4"/>
  <c r="F69" i="4"/>
  <c r="D69" i="4"/>
  <c r="H68" i="4"/>
  <c r="F68" i="4"/>
  <c r="D68" i="4"/>
  <c r="H67" i="4"/>
  <c r="F67" i="4"/>
  <c r="D67" i="4"/>
  <c r="H66" i="4"/>
  <c r="F66" i="4"/>
  <c r="D66" i="4"/>
  <c r="H65" i="4"/>
  <c r="F65" i="4"/>
  <c r="D65" i="4"/>
  <c r="H64" i="4"/>
  <c r="F64" i="4"/>
  <c r="D64" i="4"/>
  <c r="L61" i="4"/>
  <c r="L62" i="4" s="1"/>
  <c r="H61" i="4"/>
  <c r="F61" i="4"/>
  <c r="D61" i="4"/>
  <c r="H60" i="4"/>
  <c r="F60" i="4"/>
  <c r="D60" i="4"/>
  <c r="H59" i="4"/>
  <c r="F59" i="4"/>
  <c r="D59" i="4"/>
  <c r="H58" i="4"/>
  <c r="F58" i="4"/>
  <c r="D58" i="4"/>
  <c r="H57" i="4"/>
  <c r="F57" i="4"/>
  <c r="D57" i="4"/>
  <c r="H56" i="4"/>
  <c r="F56" i="4"/>
  <c r="D56" i="4"/>
  <c r="O54" i="4"/>
  <c r="M54" i="4"/>
  <c r="M75" i="4" s="1"/>
  <c r="K51" i="4"/>
  <c r="P38" i="4"/>
  <c r="L37" i="4"/>
  <c r="R36" i="4"/>
  <c r="O36" i="4"/>
  <c r="P36" i="4" s="1"/>
  <c r="P37" i="4" s="1"/>
  <c r="M36" i="4"/>
  <c r="N37" i="4" s="1"/>
  <c r="P34" i="4"/>
  <c r="L34" i="4"/>
  <c r="R33" i="4"/>
  <c r="O33" i="4"/>
  <c r="M33" i="4"/>
  <c r="N34" i="4" s="1"/>
  <c r="L31" i="4"/>
  <c r="R30" i="4"/>
  <c r="O30" i="4"/>
  <c r="P30" i="4" s="1"/>
  <c r="P31" i="4" s="1"/>
  <c r="M30" i="4"/>
  <c r="N31" i="4" s="1"/>
  <c r="N28" i="4"/>
  <c r="R27" i="4"/>
  <c r="P27" i="4"/>
  <c r="O27" i="4"/>
  <c r="M27" i="4"/>
  <c r="S27" i="4" s="1"/>
  <c r="L27" i="4"/>
  <c r="I27" i="4"/>
  <c r="G27" i="4"/>
  <c r="E27" i="4"/>
  <c r="R26" i="4"/>
  <c r="O26" i="4"/>
  <c r="P26" i="4" s="1"/>
  <c r="M26" i="4"/>
  <c r="R25" i="4"/>
  <c r="O25" i="4"/>
  <c r="P25" i="4" s="1"/>
  <c r="M25" i="4"/>
  <c r="S25" i="4" s="1"/>
  <c r="R24" i="4"/>
  <c r="P24" i="4"/>
  <c r="O24" i="4"/>
  <c r="M24" i="4"/>
  <c r="S24" i="4" s="1"/>
  <c r="R23" i="4"/>
  <c r="P23" i="4"/>
  <c r="O23" i="4"/>
  <c r="M23" i="4"/>
  <c r="S23" i="4" s="1"/>
  <c r="R22" i="4"/>
  <c r="O22" i="4"/>
  <c r="P22" i="4" s="1"/>
  <c r="M22" i="4"/>
  <c r="R19" i="4"/>
  <c r="O19" i="4"/>
  <c r="P19" i="4" s="1"/>
  <c r="M19" i="4"/>
  <c r="S19" i="4" s="1"/>
  <c r="L19" i="4"/>
  <c r="I19" i="4"/>
  <c r="G19" i="4"/>
  <c r="N20" i="4" s="1"/>
  <c r="E19" i="4"/>
  <c r="R18" i="4"/>
  <c r="O18" i="4"/>
  <c r="P18" i="4" s="1"/>
  <c r="M18" i="4"/>
  <c r="R17" i="4"/>
  <c r="O17" i="4"/>
  <c r="P17" i="4" s="1"/>
  <c r="M17" i="4"/>
  <c r="R16" i="4"/>
  <c r="O16" i="4"/>
  <c r="P16" i="4" s="1"/>
  <c r="M16" i="4"/>
  <c r="R15" i="4"/>
  <c r="O15" i="4"/>
  <c r="P15" i="4" s="1"/>
  <c r="M15" i="4"/>
  <c r="R14" i="4"/>
  <c r="O14" i="4"/>
  <c r="P14" i="4" s="1"/>
  <c r="M14" i="4"/>
  <c r="K9" i="4"/>
  <c r="D9" i="4"/>
  <c r="S22" i="4" l="1"/>
  <c r="S33" i="4"/>
  <c r="S18" i="4"/>
  <c r="S26" i="4"/>
  <c r="S14" i="4"/>
  <c r="S15" i="4"/>
  <c r="P20" i="4"/>
  <c r="S36" i="4"/>
  <c r="M57" i="4"/>
  <c r="S16" i="4"/>
  <c r="S17" i="4"/>
  <c r="L20" i="4"/>
  <c r="P28" i="4"/>
  <c r="L28" i="4"/>
  <c r="S30" i="4"/>
  <c r="M59" i="4"/>
  <c r="R66" i="4"/>
  <c r="R75" i="4"/>
  <c r="N59" i="4"/>
  <c r="N57" i="4"/>
  <c r="R59" i="4"/>
  <c r="R78" i="4"/>
  <c r="R57" i="4"/>
  <c r="R67" i="4"/>
  <c r="R72" i="4"/>
  <c r="I61" i="4"/>
  <c r="R58" i="4"/>
  <c r="R60" i="4"/>
  <c r="I69" i="4"/>
  <c r="L76" i="4"/>
  <c r="R65" i="4"/>
  <c r="R69" i="4"/>
  <c r="R64" i="4"/>
  <c r="R68" i="4"/>
  <c r="P39" i="4"/>
  <c r="M68" i="4"/>
  <c r="M67" i="4"/>
  <c r="M66" i="4"/>
  <c r="M65" i="4"/>
  <c r="M64" i="4"/>
  <c r="M61" i="4"/>
  <c r="N80" i="4"/>
  <c r="M78" i="4"/>
  <c r="M72" i="4"/>
  <c r="M69" i="4"/>
  <c r="M60" i="4"/>
  <c r="O72" i="4"/>
  <c r="P73" i="4" s="1"/>
  <c r="O69" i="4"/>
  <c r="O60" i="4"/>
  <c r="O59" i="4"/>
  <c r="O58" i="4"/>
  <c r="O57" i="4"/>
  <c r="S57" i="4" s="1"/>
  <c r="O56" i="4"/>
  <c r="O75" i="4"/>
  <c r="P76" i="4" s="1"/>
  <c r="O68" i="4"/>
  <c r="O67" i="4"/>
  <c r="O66" i="4"/>
  <c r="O65" i="4"/>
  <c r="O64" i="4"/>
  <c r="O61" i="4"/>
  <c r="M56" i="4"/>
  <c r="M58" i="4"/>
  <c r="O78" i="4"/>
  <c r="P79" i="4" s="1"/>
  <c r="R56" i="4"/>
  <c r="R61" i="4"/>
  <c r="S59" i="4" l="1"/>
  <c r="P61" i="4"/>
  <c r="P62" i="4" s="1"/>
  <c r="S75" i="4"/>
  <c r="N56" i="4"/>
  <c r="S56" i="4"/>
  <c r="S69" i="4"/>
  <c r="N69" i="4"/>
  <c r="N61" i="4"/>
  <c r="S61" i="4"/>
  <c r="S67" i="4"/>
  <c r="N67" i="4"/>
  <c r="N72" i="4"/>
  <c r="N73" i="4" s="1"/>
  <c r="S72" i="4"/>
  <c r="S64" i="4"/>
  <c r="N64" i="4"/>
  <c r="S68" i="4"/>
  <c r="N68" i="4"/>
  <c r="N58" i="4"/>
  <c r="S58" i="4"/>
  <c r="P69" i="4"/>
  <c r="P70" i="4" s="1"/>
  <c r="N78" i="4"/>
  <c r="N79" i="4" s="1"/>
  <c r="S78" i="4"/>
  <c r="S65" i="4"/>
  <c r="N65" i="4"/>
  <c r="N60" i="4"/>
  <c r="S60" i="4"/>
  <c r="S66" i="4"/>
  <c r="N66" i="4"/>
  <c r="N70" i="4" l="1"/>
  <c r="N62" i="4"/>
  <c r="N8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Steed, Shannon</author>
  </authors>
  <commentList>
    <comment ref="A57" authorId="0" shapeId="0" xr:uid="{4799FDD3-9330-4740-A733-08795A1087D4}">
      <text>
        <r>
          <rPr>
            <b/>
            <sz val="9"/>
            <color indexed="81"/>
            <rFont val="Tahoma"/>
            <family val="2"/>
          </rPr>
          <t>Steed, Shannon:</t>
        </r>
        <r>
          <rPr>
            <sz val="9"/>
            <color indexed="81"/>
            <rFont val="Tahoma"/>
            <family val="2"/>
          </rPr>
          <t xml:space="preserve">
Final day for BH in WA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sharedStrings.xml><?xml version="1.0" encoding="utf-8"?>
<sst xmlns="http://schemas.openxmlformats.org/spreadsheetml/2006/main" count="216" uniqueCount="110">
  <si>
    <t>Ledger Type</t>
  </si>
  <si>
    <t>AA</t>
  </si>
  <si>
    <t>UW</t>
  </si>
  <si>
    <t>UO</t>
  </si>
  <si>
    <t>Year</t>
  </si>
  <si>
    <t>Format</t>
  </si>
  <si>
    <t>PER</t>
  </si>
  <si>
    <t>Period</t>
  </si>
  <si>
    <t>Currency</t>
  </si>
  <si>
    <t>***</t>
  </si>
  <si>
    <t>Business Unit</t>
  </si>
  <si>
    <t>Company</t>
  </si>
  <si>
    <t>00047</t>
  </si>
  <si>
    <t>*</t>
  </si>
  <si>
    <t>Washington</t>
  </si>
  <si>
    <t>Oregon</t>
  </si>
  <si>
    <t>Check</t>
  </si>
  <si>
    <t>3-Factor</t>
  </si>
  <si>
    <t>WA</t>
  </si>
  <si>
    <t>OR</t>
  </si>
  <si>
    <t>2017</t>
  </si>
  <si>
    <t>2021</t>
  </si>
  <si>
    <t>12</t>
  </si>
  <si>
    <t>3</t>
  </si>
  <si>
    <t>CNG</t>
  </si>
  <si>
    <t>Object Account</t>
  </si>
  <si>
    <t>Sub Account</t>
  </si>
  <si>
    <t>5511</t>
  </si>
  <si>
    <t>Commercial Air Service</t>
  </si>
  <si>
    <t>5512</t>
  </si>
  <si>
    <t>Corporate Aircraft</t>
  </si>
  <si>
    <t>5514</t>
  </si>
  <si>
    <t>Personal Vehicle Use</t>
  </si>
  <si>
    <t>5521</t>
  </si>
  <si>
    <t>Meals &amp; Entertainment</t>
  </si>
  <si>
    <t>5522</t>
  </si>
  <si>
    <t>Lodging &amp; Other Reimbursable Expense</t>
  </si>
  <si>
    <t>5523</t>
  </si>
  <si>
    <t>Entertainment</t>
  </si>
  <si>
    <t>5830</t>
  </si>
  <si>
    <t>Employee Meeting</t>
  </si>
  <si>
    <t>5840</t>
  </si>
  <si>
    <t>Service Club Dues</t>
  </si>
  <si>
    <t>5851</t>
  </si>
  <si>
    <t>Seminars &amp; Meeting Registration</t>
  </si>
  <si>
    <t>5852</t>
  </si>
  <si>
    <t>Executive Training</t>
  </si>
  <si>
    <t>5853</t>
  </si>
  <si>
    <t>Safety Training Materials &amp; Expenses</t>
  </si>
  <si>
    <t>5854</t>
  </si>
  <si>
    <t>Other Employee Training</t>
  </si>
  <si>
    <t>5223</t>
  </si>
  <si>
    <t>External Auditing</t>
  </si>
  <si>
    <t>5400</t>
  </si>
  <si>
    <t>Company Vehicles &amp; Work Equipment</t>
  </si>
  <si>
    <t>Per Tony's Covid-19 Mileage-Auto Cost History.xlsx file</t>
  </si>
  <si>
    <t>monthly average 9 months</t>
  </si>
  <si>
    <t>5891</t>
  </si>
  <si>
    <t>Uniforms</t>
  </si>
  <si>
    <t>Care Act tax credit</t>
  </si>
  <si>
    <t>12-month average</t>
  </si>
  <si>
    <t>2015-2019 5 Year Average less January-February 2020</t>
  </si>
  <si>
    <t>Savings</t>
  </si>
  <si>
    <t>Total</t>
  </si>
  <si>
    <t>47WA.2530.01290</t>
  </si>
  <si>
    <t>Washington - Covid-19 Costs &amp; Savings</t>
  </si>
  <si>
    <t>Total WA Costs</t>
  </si>
  <si>
    <t>Bad Debts - True-up Jan-21</t>
  </si>
  <si>
    <t>Bad Debts - True-up Dec-20</t>
  </si>
  <si>
    <t>Savings - Not Recoverable Mar-Apr-20</t>
  </si>
  <si>
    <t xml:space="preserve">Savings - True-up Feb-21 </t>
  </si>
  <si>
    <t>Savings - True-up Jan-21</t>
  </si>
  <si>
    <t>Savings - True-up Dec-20</t>
  </si>
  <si>
    <t>Savings - True-up May-Nov-20</t>
  </si>
  <si>
    <t>4767000 - Credit &amp; Collections May-20-May-21</t>
  </si>
  <si>
    <t>Bad Debts - Not Recoverable Mar-Apr-20</t>
  </si>
  <si>
    <t>O&amp;M Work Order - Not Recoverable Mar-Apr-20</t>
  </si>
  <si>
    <t>Bad Debts - Costs</t>
  </si>
  <si>
    <t>O&amp;M Work Order - Costs</t>
  </si>
  <si>
    <t>Total WA Savings</t>
  </si>
  <si>
    <t>Interest - Past Due Bal Apr-20-May-21</t>
  </si>
  <si>
    <t xml:space="preserve"> Waived LPC not booked</t>
  </si>
  <si>
    <t>Total WA Booked</t>
  </si>
  <si>
    <t>Bad Debt Expense</t>
  </si>
  <si>
    <t xml:space="preserve">Assistance Program </t>
  </si>
  <si>
    <t>Other Direct Costs</t>
  </si>
  <si>
    <t>Reconnect Fees/Late Payment Fees</t>
  </si>
  <si>
    <t>Total 186</t>
  </si>
  <si>
    <t>Other Direct Benefits</t>
  </si>
  <si>
    <t xml:space="preserve">Cares Act Benefit </t>
  </si>
  <si>
    <t>Total 253</t>
  </si>
  <si>
    <t>4767000 - Credit &amp; Collections</t>
  </si>
  <si>
    <t>Interest - Past Due Bal</t>
  </si>
  <si>
    <t>47WA.1860.20489</t>
  </si>
  <si>
    <t>Big Heart Grant Running Total</t>
  </si>
  <si>
    <t xml:space="preserve"> </t>
  </si>
  <si>
    <t>Week Ending</t>
  </si>
  <si>
    <t>Pledges</t>
  </si>
  <si>
    <t>Count</t>
  </si>
  <si>
    <t>Since 4/1/21</t>
  </si>
  <si>
    <t>Auto Grants</t>
  </si>
  <si>
    <t>Grand Total</t>
  </si>
  <si>
    <t>BH Funds</t>
  </si>
  <si>
    <t>% Distributed</t>
  </si>
  <si>
    <t>Savings - Care Act Credit</t>
  </si>
  <si>
    <t>Past Due Interest</t>
  </si>
  <si>
    <t>Interest - Past Due Bal corrects Oct-21</t>
  </si>
  <si>
    <t>Washington COVID-19 Deferral Summary as of 3/31/2022</t>
  </si>
  <si>
    <t>COVID-19 - Deferral 2022</t>
  </si>
  <si>
    <t>Total Ending Balance 3.31.2022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</si>
</sst>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70" formatCode="_(* #,##0_);_(* \(#,##0\);_(* &quot;-&quot;??_);_(@_)"/>
    <numFmt numFmtId="172" formatCode="mm/dd/yy;@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43" fontId="0" fillId="0" borderId="0" xfId="1" applyFont="1"/>
    <xf numFmtId="43" fontId="0" fillId="0" borderId="0" xfId="4" applyFont="1"/>
    <xf numFmtId="0" fontId="0" fillId="0" borderId="0" xfId="0" applyFont="1"/>
    <xf numFmtId="0" fontId="4" fillId="0" borderId="0" xfId="5" applyAlignment="1">
      <alignment horizontal="center"/>
    </xf>
    <xf numFmtId="0" fontId="4" fillId="0" borderId="0" xfId="5"/>
    <xf numFmtId="0" fontId="4" fillId="6" borderId="0" xfId="5" applyFill="1" applyAlignment="1">
      <alignment horizontal="right"/>
    </xf>
    <xf numFmtId="49" fontId="4" fillId="0" borderId="0" xfId="5" applyNumberFormat="1"/>
    <xf numFmtId="0" fontId="4" fillId="7" borderId="0" xfId="5" applyFill="1"/>
    <xf numFmtId="49" fontId="5" fillId="3" borderId="0" xfId="5" quotePrefix="1" applyNumberFormat="1" applyFont="1" applyFill="1"/>
    <xf numFmtId="49" fontId="4" fillId="8" borderId="0" xfId="5" quotePrefix="1" applyNumberFormat="1" applyFill="1"/>
    <xf numFmtId="49" fontId="3" fillId="8" borderId="0" xfId="5" quotePrefix="1" applyNumberFormat="1" applyFont="1" applyFill="1" applyAlignment="1">
      <alignment horizontal="left"/>
    </xf>
    <xf numFmtId="49" fontId="4" fillId="0" borderId="0" xfId="5" applyNumberFormat="1" applyAlignment="1">
      <alignment wrapText="1"/>
    </xf>
    <xf numFmtId="49" fontId="5" fillId="9" borderId="0" xfId="5" applyNumberFormat="1" applyFont="1" applyFill="1" applyAlignment="1">
      <alignment horizontal="center"/>
    </xf>
    <xf numFmtId="0" fontId="5" fillId="10" borderId="2" xfId="5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/>
    <xf numFmtId="10" fontId="5" fillId="0" borderId="0" xfId="3" applyNumberFormat="1" applyFont="1" applyFill="1" applyBorder="1" applyAlignment="1">
      <alignment horizontal="center"/>
    </xf>
    <xf numFmtId="0" fontId="5" fillId="3" borderId="0" xfId="5" applyFont="1" applyFill="1"/>
    <xf numFmtId="49" fontId="4" fillId="11" borderId="0" xfId="5" applyNumberFormat="1" applyFill="1"/>
    <xf numFmtId="0" fontId="4" fillId="11" borderId="0" xfId="5" applyFill="1"/>
    <xf numFmtId="43" fontId="0" fillId="11" borderId="0" xfId="4" applyFont="1" applyFill="1"/>
    <xf numFmtId="43" fontId="4" fillId="3" borderId="0" xfId="5" applyNumberFormat="1" applyFill="1"/>
    <xf numFmtId="43" fontId="4" fillId="0" borderId="0" xfId="5" applyNumberFormat="1"/>
    <xf numFmtId="43" fontId="4" fillId="11" borderId="0" xfId="5" applyNumberFormat="1" applyFill="1"/>
    <xf numFmtId="43" fontId="0" fillId="0" borderId="0" xfId="4" applyFont="1" applyFill="1"/>
    <xf numFmtId="43" fontId="5" fillId="11" borderId="0" xfId="5" applyNumberFormat="1" applyFont="1" applyFill="1"/>
    <xf numFmtId="43" fontId="5" fillId="3" borderId="0" xfId="5" applyNumberFormat="1" applyFont="1" applyFill="1"/>
    <xf numFmtId="43" fontId="5" fillId="0" borderId="0" xfId="5" applyNumberFormat="1" applyFont="1"/>
    <xf numFmtId="49" fontId="4" fillId="9" borderId="0" xfId="5" applyNumberFormat="1" applyFill="1"/>
    <xf numFmtId="0" fontId="4" fillId="9" borderId="0" xfId="5" applyFill="1"/>
    <xf numFmtId="43" fontId="0" fillId="9" borderId="0" xfId="4" applyFont="1" applyFill="1"/>
    <xf numFmtId="43" fontId="4" fillId="9" borderId="0" xfId="5" applyNumberFormat="1" applyFill="1"/>
    <xf numFmtId="43" fontId="5" fillId="9" borderId="0" xfId="5" applyNumberFormat="1" applyFont="1" applyFill="1"/>
    <xf numFmtId="0" fontId="4" fillId="3" borderId="0" xfId="5" applyFill="1"/>
    <xf numFmtId="49" fontId="4" fillId="12" borderId="0" xfId="5" applyNumberFormat="1" applyFill="1"/>
    <xf numFmtId="0" fontId="4" fillId="12" borderId="0" xfId="5" applyFill="1"/>
    <xf numFmtId="43" fontId="0" fillId="12" borderId="0" xfId="4" applyFont="1" applyFill="1"/>
    <xf numFmtId="43" fontId="5" fillId="12" borderId="0" xfId="5" applyNumberFormat="1" applyFont="1" applyFill="1"/>
    <xf numFmtId="49" fontId="4" fillId="5" borderId="0" xfId="5" applyNumberFormat="1" applyFill="1"/>
    <xf numFmtId="0" fontId="4" fillId="5" borderId="0" xfId="5" applyFill="1"/>
    <xf numFmtId="43" fontId="0" fillId="5" borderId="0" xfId="4" applyFont="1" applyFill="1"/>
    <xf numFmtId="43" fontId="0" fillId="13" borderId="0" xfId="4" applyFont="1" applyFill="1"/>
    <xf numFmtId="43" fontId="4" fillId="13" borderId="0" xfId="5" applyNumberFormat="1" applyFill="1"/>
    <xf numFmtId="0" fontId="4" fillId="13" borderId="0" xfId="5" applyFill="1"/>
    <xf numFmtId="43" fontId="5" fillId="5" borderId="0" xfId="5" applyNumberFormat="1" applyFont="1" applyFill="1"/>
    <xf numFmtId="49" fontId="4" fillId="14" borderId="0" xfId="5" applyNumberFormat="1" applyFill="1"/>
    <xf numFmtId="0" fontId="4" fillId="14" borderId="0" xfId="5" applyFill="1"/>
    <xf numFmtId="43" fontId="0" fillId="14" borderId="0" xfId="4" applyFont="1" applyFill="1"/>
    <xf numFmtId="43" fontId="5" fillId="14" borderId="0" xfId="5" applyNumberFormat="1" applyFont="1" applyFill="1"/>
    <xf numFmtId="43" fontId="5" fillId="0" borderId="0" xfId="4" applyFont="1"/>
    <xf numFmtId="43" fontId="5" fillId="8" borderId="0" xfId="5" applyNumberFormat="1" applyFont="1" applyFill="1"/>
    <xf numFmtId="49" fontId="5" fillId="0" borderId="0" xfId="5" quotePrefix="1" applyNumberFormat="1" applyFont="1"/>
    <xf numFmtId="49" fontId="5" fillId="2" borderId="0" xfId="5" quotePrefix="1" applyNumberFormat="1" applyFont="1" applyFill="1"/>
    <xf numFmtId="49" fontId="4" fillId="0" borderId="0" xfId="5" quotePrefix="1" applyNumberFormat="1"/>
    <xf numFmtId="49" fontId="5" fillId="0" borderId="0" xfId="5" applyNumberFormat="1" applyFont="1" applyAlignment="1">
      <alignment horizontal="center"/>
    </xf>
    <xf numFmtId="49" fontId="5" fillId="0" borderId="0" xfId="5" applyNumberFormat="1" applyFont="1" applyAlignment="1">
      <alignment horizontal="left"/>
    </xf>
    <xf numFmtId="0" fontId="5" fillId="2" borderId="0" xfId="5" applyFont="1" applyFill="1"/>
    <xf numFmtId="43" fontId="0" fillId="2" borderId="0" xfId="4" applyFont="1" applyFill="1"/>
    <xf numFmtId="43" fontId="5" fillId="2" borderId="0" xfId="5" applyNumberFormat="1" applyFont="1" applyFill="1"/>
    <xf numFmtId="43" fontId="5" fillId="13" borderId="0" xfId="5" applyNumberFormat="1" applyFont="1" applyFill="1"/>
    <xf numFmtId="43" fontId="0" fillId="0" borderId="4" xfId="1" applyFont="1" applyBorder="1"/>
    <xf numFmtId="43" fontId="0" fillId="0" borderId="0" xfId="1" applyFont="1" applyBorder="1"/>
    <xf numFmtId="43" fontId="0" fillId="0" borderId="0" xfId="1" applyFont="1" applyFill="1"/>
    <xf numFmtId="43" fontId="0" fillId="0" borderId="4" xfId="1" applyFont="1" applyFill="1" applyBorder="1"/>
    <xf numFmtId="43" fontId="0" fillId="0" borderId="0" xfId="0" applyNumberFormat="1" applyFont="1"/>
    <xf numFmtId="43" fontId="0" fillId="7" borderId="9" xfId="0" applyNumberFormat="1" applyFont="1" applyFill="1" applyBorder="1"/>
    <xf numFmtId="43" fontId="0" fillId="0" borderId="0" xfId="0" applyNumberFormat="1" applyFont="1" applyFill="1"/>
    <xf numFmtId="0" fontId="0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Border="1"/>
    <xf numFmtId="17" fontId="12" fillId="4" borderId="0" xfId="5" applyNumberFormat="1" applyFont="1" applyFill="1" applyAlignment="1">
      <alignment horizontal="center" vertical="center"/>
    </xf>
    <xf numFmtId="17" fontId="12" fillId="4" borderId="0" xfId="5" applyNumberFormat="1" applyFont="1" applyFill="1" applyBorder="1" applyAlignment="1">
      <alignment horizontal="center" vertical="center"/>
    </xf>
    <xf numFmtId="17" fontId="12" fillId="4" borderId="1" xfId="5" applyNumberFormat="1" applyFont="1" applyFill="1" applyBorder="1" applyAlignment="1">
      <alignment horizontal="center" vertical="center"/>
    </xf>
    <xf numFmtId="17" fontId="12" fillId="7" borderId="1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3" fontId="0" fillId="0" borderId="0" xfId="1" applyFont="1" applyFill="1" applyBorder="1"/>
    <xf numFmtId="0" fontId="0" fillId="0" borderId="0" xfId="0" applyFont="1" applyFill="1" applyBorder="1"/>
    <xf numFmtId="43" fontId="0" fillId="0" borderId="11" xfId="1" applyFont="1" applyFill="1" applyBorder="1"/>
    <xf numFmtId="43" fontId="0" fillId="7" borderId="8" xfId="0" applyNumberFormat="1" applyFont="1" applyFill="1" applyBorder="1"/>
    <xf numFmtId="0" fontId="0" fillId="0" borderId="4" xfId="0" applyFont="1" applyFill="1" applyBorder="1"/>
    <xf numFmtId="0" fontId="13" fillId="0" borderId="0" xfId="0" applyFont="1" applyFill="1" applyBorder="1" applyAlignment="1">
      <alignment horizontal="left" indent="2"/>
    </xf>
    <xf numFmtId="0" fontId="13" fillId="0" borderId="0" xfId="0" applyFont="1" applyBorder="1"/>
    <xf numFmtId="43" fontId="0" fillId="0" borderId="6" xfId="0" applyNumberFormat="1" applyFont="1" applyBorder="1"/>
    <xf numFmtId="43" fontId="0" fillId="0" borderId="10" xfId="0" applyNumberFormat="1" applyFont="1" applyBorder="1"/>
    <xf numFmtId="43" fontId="0" fillId="7" borderId="7" xfId="0" applyNumberFormat="1" applyFont="1" applyFill="1" applyBorder="1"/>
    <xf numFmtId="43" fontId="9" fillId="0" borderId="4" xfId="0" applyNumberFormat="1" applyFont="1" applyBorder="1"/>
    <xf numFmtId="43" fontId="0" fillId="7" borderId="4" xfId="0" applyNumberFormat="1" applyFont="1" applyFill="1" applyBorder="1"/>
    <xf numFmtId="170" fontId="0" fillId="0" borderId="0" xfId="1" applyNumberFormat="1" applyFont="1"/>
    <xf numFmtId="170" fontId="0" fillId="0" borderId="0" xfId="1" applyNumberFormat="1" applyFont="1" applyBorder="1"/>
    <xf numFmtId="0" fontId="0" fillId="0" borderId="4" xfId="0" applyFont="1" applyBorder="1"/>
    <xf numFmtId="170" fontId="0" fillId="0" borderId="4" xfId="1" applyNumberFormat="1" applyFont="1" applyBorder="1"/>
    <xf numFmtId="0" fontId="0" fillId="0" borderId="3" xfId="0" applyFont="1" applyBorder="1"/>
    <xf numFmtId="0" fontId="0" fillId="0" borderId="6" xfId="0" applyFont="1" applyBorder="1"/>
    <xf numFmtId="0" fontId="0" fillId="0" borderId="14" xfId="0" applyFont="1" applyBorder="1"/>
    <xf numFmtId="1" fontId="13" fillId="0" borderId="0" xfId="11" applyNumberFormat="1" applyAlignment="1">
      <alignment horizontal="center"/>
    </xf>
    <xf numFmtId="9" fontId="0" fillId="0" borderId="0" xfId="12" applyFont="1"/>
    <xf numFmtId="44" fontId="13" fillId="0" borderId="0" xfId="11" applyNumberFormat="1" applyAlignment="1">
      <alignment horizontal="center"/>
    </xf>
    <xf numFmtId="43" fontId="0" fillId="0" borderId="0" xfId="0" applyNumberFormat="1" applyFont="1" applyBorder="1"/>
    <xf numFmtId="43" fontId="0" fillId="7" borderId="0" xfId="0" applyNumberFormat="1" applyFont="1" applyFill="1" applyBorder="1"/>
    <xf numFmtId="0" fontId="0" fillId="0" borderId="0" xfId="0" applyFont="1" applyAlignment="1">
      <alignment horizontal="left" indent="1"/>
    </xf>
    <xf numFmtId="43" fontId="0" fillId="0" borderId="13" xfId="1" applyFont="1" applyBorder="1"/>
    <xf numFmtId="43" fontId="0" fillId="0" borderId="13" xfId="1" applyFont="1" applyFill="1" applyBorder="1"/>
    <xf numFmtId="43" fontId="0" fillId="7" borderId="23" xfId="0" applyNumberFormat="1" applyFont="1" applyFill="1" applyBorder="1"/>
    <xf numFmtId="43" fontId="0" fillId="0" borderId="13" xfId="0" applyNumberFormat="1" applyFont="1" applyBorder="1"/>
    <xf numFmtId="0" fontId="0" fillId="0" borderId="13" xfId="0" applyFont="1" applyBorder="1"/>
    <xf numFmtId="43" fontId="10" fillId="0" borderId="0" xfId="1" applyFont="1"/>
    <xf numFmtId="43" fontId="10" fillId="0" borderId="20" xfId="1" applyFont="1" applyBorder="1"/>
    <xf numFmtId="170" fontId="10" fillId="0" borderId="21" xfId="1" applyNumberFormat="1" applyFont="1" applyBorder="1" applyAlignment="1">
      <alignment horizontal="center"/>
    </xf>
    <xf numFmtId="0" fontId="10" fillId="0" borderId="8" xfId="0" applyFont="1" applyBorder="1"/>
    <xf numFmtId="170" fontId="10" fillId="0" borderId="1" xfId="1" applyNumberFormat="1" applyFont="1" applyBorder="1"/>
    <xf numFmtId="0" fontId="10" fillId="0" borderId="1" xfId="0" applyFont="1" applyBorder="1"/>
    <xf numFmtId="43" fontId="11" fillId="0" borderId="6" xfId="1" applyFont="1" applyBorder="1" applyAlignment="1">
      <alignment horizontal="left" indent="1"/>
    </xf>
    <xf numFmtId="170" fontId="10" fillId="0" borderId="15" xfId="1" applyNumberFormat="1" applyFont="1" applyBorder="1"/>
    <xf numFmtId="43" fontId="10" fillId="0" borderId="0" xfId="1" applyFont="1" applyBorder="1"/>
    <xf numFmtId="43" fontId="11" fillId="0" borderId="0" xfId="1" applyFont="1" applyBorder="1" applyAlignment="1">
      <alignment horizontal="left" indent="1"/>
    </xf>
    <xf numFmtId="43" fontId="11" fillId="0" borderId="22" xfId="1" applyFont="1" applyBorder="1" applyAlignment="1">
      <alignment horizontal="left" indent="2"/>
    </xf>
    <xf numFmtId="43" fontId="10" fillId="0" borderId="4" xfId="1" applyFont="1" applyBorder="1"/>
    <xf numFmtId="170" fontId="10" fillId="0" borderId="16" xfId="1" applyNumberFormat="1" applyFont="1" applyBorder="1"/>
    <xf numFmtId="0" fontId="10" fillId="0" borderId="11" xfId="0" applyFont="1" applyBorder="1"/>
    <xf numFmtId="0" fontId="10" fillId="0" borderId="0" xfId="0" applyFont="1"/>
    <xf numFmtId="0" fontId="10" fillId="0" borderId="6" xfId="0" applyFont="1" applyBorder="1"/>
    <xf numFmtId="43" fontId="10" fillId="0" borderId="1" xfId="1" applyFont="1" applyBorder="1"/>
    <xf numFmtId="43" fontId="10" fillId="0" borderId="8" xfId="1" applyFont="1" applyBorder="1"/>
    <xf numFmtId="43" fontId="10" fillId="0" borderId="12" xfId="1" applyFont="1" applyBorder="1"/>
    <xf numFmtId="0" fontId="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indent="3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17" xfId="0" applyFont="1" applyBorder="1"/>
    <xf numFmtId="43" fontId="9" fillId="0" borderId="0" xfId="0" applyNumberFormat="1" applyFont="1" applyBorder="1"/>
    <xf numFmtId="43" fontId="0" fillId="0" borderId="1" xfId="0" applyNumberFormat="1" applyFont="1" applyFill="1" applyBorder="1"/>
    <xf numFmtId="0" fontId="10" fillId="0" borderId="10" xfId="0" applyFont="1" applyBorder="1"/>
    <xf numFmtId="170" fontId="0" fillId="0" borderId="1" xfId="1" applyNumberFormat="1" applyFont="1" applyBorder="1"/>
    <xf numFmtId="43" fontId="11" fillId="15" borderId="18" xfId="1" applyFont="1" applyFill="1" applyBorder="1" applyAlignment="1">
      <alignment horizontal="center" vertical="center"/>
    </xf>
    <xf numFmtId="43" fontId="11" fillId="15" borderId="19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inden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left" indent="1"/>
    </xf>
    <xf numFmtId="0" fontId="0" fillId="0" borderId="6" xfId="0" applyFont="1" applyBorder="1" applyAlignment="1">
      <alignment horizontal="left" indent="3"/>
    </xf>
    <xf numFmtId="0" fontId="9" fillId="0" borderId="4" xfId="0" applyFont="1" applyBorder="1" applyAlignment="1">
      <alignment horizontal="left" indent="3"/>
    </xf>
    <xf numFmtId="0" fontId="0" fillId="0" borderId="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12" fillId="4" borderId="0" xfId="5" applyFont="1" applyFill="1" applyAlignment="1">
      <alignment horizontal="left" vertical="center"/>
    </xf>
    <xf numFmtId="0" fontId="5" fillId="3" borderId="0" xfId="5" applyFont="1" applyFill="1" applyAlignment="1">
      <alignment horizontal="center"/>
    </xf>
    <xf numFmtId="0" fontId="5" fillId="2" borderId="0" xfId="5" quotePrefix="1" applyFont="1" applyFill="1" applyAlignment="1">
      <alignment horizontal="center" wrapText="1"/>
    </xf>
    <xf numFmtId="0" fontId="0" fillId="0" borderId="0" xfId="0" applyFont="1" applyFill="1" applyAlignment="1">
      <alignment horizontal="left" vertical="center" indent="1"/>
    </xf>
    <xf numFmtId="43" fontId="0" fillId="0" borderId="8" xfId="0" applyNumberFormat="1" applyFont="1" applyFill="1" applyBorder="1"/>
    <xf numFmtId="170" fontId="0" fillId="0" borderId="0" xfId="1" applyNumberFormat="1" applyFont="1" applyFill="1" applyBorder="1"/>
    <xf numFmtId="172" fontId="14" fillId="0" borderId="0" xfId="0" applyNumberFormat="1" applyFont="1" applyAlignment="1">
      <alignment horizontal="left"/>
    </xf>
    <xf numFmtId="44" fontId="0" fillId="0" borderId="0" xfId="0" applyNumberFormat="1"/>
    <xf numFmtId="3" fontId="0" fillId="0" borderId="0" xfId="0" applyNumberFormat="1" applyAlignment="1">
      <alignment horizontal="center"/>
    </xf>
    <xf numFmtId="1" fontId="0" fillId="0" borderId="0" xfId="0" applyNumberFormat="1"/>
    <xf numFmtId="172" fontId="14" fillId="0" borderId="0" xfId="0" applyNumberFormat="1" applyFont="1" applyAlignment="1">
      <alignment horizontal="center"/>
    </xf>
    <xf numFmtId="44" fontId="14" fillId="0" borderId="0" xfId="0" applyNumberFormat="1" applyFont="1" applyAlignment="1">
      <alignment horizontal="centerContinuous"/>
    </xf>
    <xf numFmtId="3" fontId="14" fillId="0" borderId="0" xfId="0" applyNumberFormat="1" applyFont="1" applyAlignment="1">
      <alignment horizontal="centerContinuous"/>
    </xf>
    <xf numFmtId="1" fontId="1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Continuous"/>
    </xf>
    <xf numFmtId="0" fontId="14" fillId="0" borderId="0" xfId="0" applyFont="1" applyAlignment="1">
      <alignment horizontal="centerContinuous"/>
    </xf>
    <xf numFmtId="3" fontId="14" fillId="0" borderId="0" xfId="0" applyNumberFormat="1" applyFont="1" applyAlignment="1">
      <alignment horizontal="center"/>
    </xf>
    <xf numFmtId="4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72" fontId="0" fillId="0" borderId="0" xfId="0" applyNumberFormat="1" applyAlignment="1">
      <alignment horizontal="center"/>
    </xf>
    <xf numFmtId="44" fontId="0" fillId="0" borderId="5" xfId="0" applyNumberFormat="1" applyBorder="1"/>
    <xf numFmtId="3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</cellXfs>
  <cellStyles count="16">
    <cellStyle name="Comma" xfId="1" builtinId="3"/>
    <cellStyle name="Comma 2" xfId="4" xr:uid="{00000000-0005-0000-0000-000001000000}"/>
    <cellStyle name="Comma 2 2" xfId="6" xr:uid="{00000000-0005-0000-0000-000002000000}"/>
    <cellStyle name="Comma 3" xfId="14" xr:uid="{3D37DA5E-4CF5-4389-AB8C-58833F6A7F2A}"/>
    <cellStyle name="Comma 4" xfId="10" xr:uid="{00000000-0005-0000-0000-000003000000}"/>
    <cellStyle name="Currency 2" xfId="8" xr:uid="{00000000-0005-0000-0000-000005000000}"/>
    <cellStyle name="Normal" xfId="0" builtinId="0"/>
    <cellStyle name="Normal 14" xfId="5" xr:uid="{00000000-0005-0000-0000-000007000000}"/>
    <cellStyle name="Normal 2" xfId="2" xr:uid="{00000000-0005-0000-0000-000008000000}"/>
    <cellStyle name="Normal 2 2" xfId="7" xr:uid="{00000000-0005-0000-0000-000009000000}"/>
    <cellStyle name="Normal 3" xfId="11" xr:uid="{23727E03-B171-41B0-849B-A7B364BB66E5}"/>
    <cellStyle name="Normal 4" xfId="13" xr:uid="{CFB10456-07E6-4CC9-BAEF-10F13C881162}"/>
    <cellStyle name="Percent 2" xfId="3" xr:uid="{00000000-0005-0000-0000-00000D000000}"/>
    <cellStyle name="Percent 2 2" xfId="9" xr:uid="{00000000-0005-0000-0000-00000E000000}"/>
    <cellStyle name="Percent 3" xfId="12" xr:uid="{14671C1C-29D1-4165-A405-3A0D0FA54A9C}"/>
    <cellStyle name="Percent 4" xfId="15" xr:uid="{E2DCBEF8-5C47-40A3-B824-DD0B23CD83FC}"/>
  </cellStyles>
  <dxfs count="0"/>
  <tableStyles count="1" defaultTableStyle="TableStyleMedium2" defaultPivotStyle="PivotStyleLight16">
    <tableStyle name="Invisible" pivot="0" table="0" count="0" xr9:uid="{C386C670-0F33-4148-AD32-C47B3FBDB2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59BFB-69F7-4AEB-9071-9A9CC4135F54}"/>
            </a:ext>
          </a:extLst>
        </xdr:cNvPr>
        <xdr:cNvSpPr txBox="1"/>
      </xdr:nvSpPr>
      <xdr:spPr>
        <a:xfrm>
          <a:off x="7747219" y="113340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COVID-19/Oregon/Reports/BH%20Oregon%20Staff%20Request/WE%2003.18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Districts/Corp.%20Contribution/CNG%20Consumer%20Specialist/Pledges%20Paid/Weekly%20Reports/Weekly%20FARs%202021-2022/03.28.2022%20F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3-2021%20Covid-19%20Accru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COVID-19/Oregon/Reports/BH%20Oregon%20Staff%20Request/WE%2004.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H Running Total"/>
      <sheetName val="BHG DQs"/>
      <sheetName val="RevAdmin BHGs"/>
      <sheetName val="Big HEART"/>
      <sheetName val="PPC"/>
      <sheetName val="WEAF"/>
      <sheetName val="WH"/>
    </sheetNames>
    <sheetDataSet>
      <sheetData sheetId="0">
        <row r="3">
          <cell r="B3">
            <v>35492.67</v>
          </cell>
          <cell r="C3">
            <v>126</v>
          </cell>
        </row>
        <row r="4">
          <cell r="B4">
            <v>116258.33100000003</v>
          </cell>
          <cell r="C4">
            <v>353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H Running Total"/>
      <sheetName val="BHG DQs"/>
      <sheetName val="RevAdmin BHGs"/>
      <sheetName val="Big HEART"/>
      <sheetName val="PPC"/>
      <sheetName val="WEAF"/>
      <sheetName val="WH"/>
    </sheetNames>
    <sheetDataSet>
      <sheetData sheetId="0" refreshError="1">
        <row r="3">
          <cell r="B3">
            <v>7640.13</v>
          </cell>
          <cell r="C3">
            <v>25</v>
          </cell>
        </row>
        <row r="4">
          <cell r="B4">
            <v>22078.989999999998</v>
          </cell>
          <cell r="C4">
            <v>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COSTS WA &amp; OR"/>
      <sheetName val="SS (Estimate) (3)"/>
      <sheetName val="WO SS"/>
      <sheetName val="SS (Estimate)"/>
      <sheetName val="OR Paste Special Monthly"/>
      <sheetName val="SAVINGS WA &amp; OR"/>
      <sheetName val="WO Paste Special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H Running Total"/>
      <sheetName val="BHG DQs"/>
      <sheetName val="BH WA Add Ons"/>
      <sheetName val="RevAdmin BHGs"/>
      <sheetName val="Big HEART"/>
      <sheetName val="PPC"/>
      <sheetName val="WEAF"/>
      <sheetName val="WH"/>
      <sheetName val="WA"/>
    </sheetNames>
    <sheetDataSet>
      <sheetData sheetId="0">
        <row r="3">
          <cell r="B3">
            <v>15383.16</v>
          </cell>
          <cell r="C3">
            <v>58</v>
          </cell>
        </row>
        <row r="4">
          <cell r="B4">
            <v>661.72</v>
          </cell>
          <cell r="C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E37"/>
  <sheetViews>
    <sheetView showGridLines="0" tabSelected="1" zoomScale="85" zoomScaleNormal="85" zoomScaleSheetLayoutView="175" workbookViewId="0">
      <selection activeCell="AB20" sqref="AB20"/>
    </sheetView>
  </sheetViews>
  <sheetFormatPr defaultRowHeight="14.25" x14ac:dyDescent="0.2"/>
  <cols>
    <col min="1" max="1" width="1.125" style="3" customWidth="1"/>
    <col min="2" max="2" width="2" style="3" customWidth="1"/>
    <col min="3" max="3" width="3.875" style="3" customWidth="1"/>
    <col min="4" max="4" width="34.75" style="3" customWidth="1"/>
    <col min="5" max="5" width="11.875" style="3" bestFit="1" customWidth="1"/>
    <col min="6" max="6" width="12.25" style="3" customWidth="1"/>
    <col min="7" max="8" width="11.75" style="3" bestFit="1" customWidth="1"/>
    <col min="9" max="9" width="12.25" style="3" bestFit="1" customWidth="1"/>
    <col min="10" max="11" width="11.5" style="3" customWidth="1"/>
    <col min="12" max="15" width="12.625" style="3" customWidth="1"/>
    <col min="16" max="17" width="12.625" style="3" hidden="1" customWidth="1"/>
    <col min="18" max="23" width="12.625" style="3" customWidth="1"/>
    <col min="24" max="24" width="1" style="3" customWidth="1"/>
    <col min="25" max="25" width="13.375" style="3" bestFit="1" customWidth="1"/>
    <col min="26" max="26" width="13.375" style="3" customWidth="1"/>
    <col min="27" max="27" width="2" style="1" customWidth="1"/>
    <col min="28" max="28" width="45.75" style="1" customWidth="1"/>
    <col min="29" max="29" width="12.625" style="88" bestFit="1" customWidth="1"/>
    <col min="30" max="31" width="2" style="3" customWidth="1"/>
    <col min="32" max="16384" width="9" style="3"/>
  </cols>
  <sheetData>
    <row r="1" spans="2:31" ht="9.75" customHeight="1" x14ac:dyDescent="0.2"/>
    <row r="2" spans="2:31" x14ac:dyDescent="0.2">
      <c r="C2" s="3" t="s">
        <v>108</v>
      </c>
    </row>
    <row r="4" spans="2:31" ht="15.75" x14ac:dyDescent="0.2">
      <c r="C4" s="143" t="s">
        <v>65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34"/>
      <c r="AA4" s="62"/>
      <c r="AB4" s="62"/>
      <c r="AC4" s="89"/>
      <c r="AD4" s="70"/>
      <c r="AE4" s="70"/>
    </row>
    <row r="5" spans="2:31" ht="15" x14ac:dyDescent="0.2">
      <c r="D5" s="75"/>
      <c r="E5" s="71">
        <v>43952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61"/>
      <c r="AB5" s="61"/>
      <c r="AC5" s="91"/>
    </row>
    <row r="6" spans="2:31" ht="15.75" thickBot="1" x14ac:dyDescent="0.25">
      <c r="B6" s="151" t="s">
        <v>93</v>
      </c>
      <c r="C6" s="151"/>
      <c r="D6" s="151"/>
      <c r="E6" s="71">
        <v>44156</v>
      </c>
      <c r="F6" s="71">
        <v>44186</v>
      </c>
      <c r="G6" s="71">
        <v>44197</v>
      </c>
      <c r="H6" s="71">
        <v>44228</v>
      </c>
      <c r="I6" s="72">
        <v>44256</v>
      </c>
      <c r="J6" s="72">
        <v>44287</v>
      </c>
      <c r="K6" s="71">
        <v>44317</v>
      </c>
      <c r="L6" s="72">
        <v>44348</v>
      </c>
      <c r="M6" s="72">
        <v>44378</v>
      </c>
      <c r="N6" s="72">
        <v>44409</v>
      </c>
      <c r="O6" s="72">
        <v>44440</v>
      </c>
      <c r="P6" s="72">
        <v>44470</v>
      </c>
      <c r="Q6" s="72">
        <v>44501</v>
      </c>
      <c r="R6" s="72">
        <v>44531</v>
      </c>
      <c r="S6" s="72">
        <v>44562</v>
      </c>
      <c r="T6" s="72">
        <v>44593</v>
      </c>
      <c r="U6" s="72">
        <v>44621</v>
      </c>
      <c r="V6" s="72">
        <v>44652</v>
      </c>
      <c r="W6" s="72">
        <v>44682</v>
      </c>
      <c r="X6" s="74"/>
      <c r="Y6" s="73" t="s">
        <v>63</v>
      </c>
      <c r="Z6" s="65"/>
      <c r="AA6" s="138"/>
      <c r="AB6" s="120"/>
      <c r="AC6" s="120"/>
      <c r="AD6" s="121"/>
      <c r="AE6" s="92"/>
    </row>
    <row r="7" spans="2:31" ht="15.75" customHeight="1" thickBot="1" x14ac:dyDescent="0.25">
      <c r="C7" s="149" t="s">
        <v>78</v>
      </c>
      <c r="D7" s="149"/>
      <c r="E7" s="63">
        <v>64076.89</v>
      </c>
      <c r="F7" s="63">
        <v>3023.96</v>
      </c>
      <c r="G7" s="63">
        <v>1120.47</v>
      </c>
      <c r="H7" s="63">
        <v>1596.99</v>
      </c>
      <c r="I7" s="63">
        <v>1889.89</v>
      </c>
      <c r="J7" s="63">
        <v>793.26</v>
      </c>
      <c r="K7" s="63">
        <v>732.38</v>
      </c>
      <c r="L7" s="63">
        <v>20735.18</v>
      </c>
      <c r="M7" s="63">
        <v>1611.76</v>
      </c>
      <c r="N7" s="63">
        <v>15855.71</v>
      </c>
      <c r="O7" s="63">
        <v>2330.2399999999998</v>
      </c>
      <c r="P7" s="63"/>
      <c r="Q7" s="63"/>
      <c r="R7" s="63">
        <v>4638.7700000000004</v>
      </c>
      <c r="S7" s="63">
        <v>1058.1099999999999</v>
      </c>
      <c r="T7" s="63">
        <v>771.89</v>
      </c>
      <c r="U7" s="63">
        <v>15519.05</v>
      </c>
      <c r="V7" s="63">
        <v>458.45</v>
      </c>
      <c r="W7" s="63">
        <v>1061.92</v>
      </c>
      <c r="X7" s="66"/>
      <c r="Y7" s="67">
        <f>SUM(E7:W7)</f>
        <v>137274.92000000004</v>
      </c>
      <c r="Z7" s="137"/>
      <c r="AA7" s="106"/>
      <c r="AB7" s="140" t="s">
        <v>107</v>
      </c>
      <c r="AC7" s="141"/>
      <c r="AD7" s="135"/>
    </row>
    <row r="8" spans="2:31" ht="15.75" customHeight="1" x14ac:dyDescent="0.2">
      <c r="C8" s="149" t="s">
        <v>91</v>
      </c>
      <c r="D8" s="149"/>
      <c r="E8" s="126"/>
      <c r="F8" s="126"/>
      <c r="G8" s="63"/>
      <c r="H8" s="63"/>
      <c r="I8" s="63"/>
      <c r="J8" s="63"/>
      <c r="K8" s="63"/>
      <c r="L8" s="63">
        <f>25049.67</f>
        <v>25049.67</v>
      </c>
      <c r="M8" s="63">
        <v>29351.72</v>
      </c>
      <c r="N8" s="63">
        <v>25225.040000000001</v>
      </c>
      <c r="O8" s="63">
        <v>25408.93</v>
      </c>
      <c r="P8" s="63"/>
      <c r="Q8" s="63"/>
      <c r="R8" s="63">
        <v>25999.73</v>
      </c>
      <c r="S8" s="63">
        <v>24940.06</v>
      </c>
      <c r="T8" s="63">
        <v>25829.45</v>
      </c>
      <c r="U8" s="63">
        <v>25810.2</v>
      </c>
      <c r="V8" s="63">
        <v>23362.34</v>
      </c>
      <c r="W8" s="63">
        <v>27041.01</v>
      </c>
      <c r="X8" s="66"/>
      <c r="Y8" s="67">
        <f t="shared" ref="Y8:Y17" si="0">SUM(E8:W8)</f>
        <v>258018.15000000002</v>
      </c>
      <c r="Z8" s="137"/>
      <c r="AA8" s="122"/>
      <c r="AB8" s="107"/>
      <c r="AC8" s="108" t="s">
        <v>18</v>
      </c>
      <c r="AD8" s="109"/>
    </row>
    <row r="9" spans="2:31" ht="15.75" customHeight="1" x14ac:dyDescent="0.2">
      <c r="C9" s="149" t="s">
        <v>76</v>
      </c>
      <c r="D9" s="149"/>
      <c r="E9" s="126"/>
      <c r="F9" s="126"/>
      <c r="G9" s="63"/>
      <c r="H9" s="63"/>
      <c r="I9" s="63"/>
      <c r="J9" s="63"/>
      <c r="K9" s="63"/>
      <c r="L9" s="63">
        <v>-20394.830000000002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6"/>
      <c r="Y9" s="67">
        <f t="shared" si="0"/>
        <v>-20394.830000000002</v>
      </c>
      <c r="Z9" s="137"/>
      <c r="AA9" s="122"/>
      <c r="AB9" s="106" t="s">
        <v>83</v>
      </c>
      <c r="AC9" s="110">
        <f>Y11+Y12+Y13+Y14</f>
        <v>-612934.73</v>
      </c>
      <c r="AD9" s="111"/>
    </row>
    <row r="10" spans="2:31" ht="15.75" customHeight="1" x14ac:dyDescent="0.2">
      <c r="C10" s="149" t="s">
        <v>74</v>
      </c>
      <c r="D10" s="149"/>
      <c r="E10" s="126"/>
      <c r="F10" s="126"/>
      <c r="G10" s="63"/>
      <c r="H10" s="63"/>
      <c r="I10" s="63"/>
      <c r="J10" s="63"/>
      <c r="K10" s="63"/>
      <c r="L10" s="63">
        <f>314488.43</f>
        <v>314488.43</v>
      </c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6"/>
      <c r="Y10" s="67">
        <f t="shared" si="0"/>
        <v>314488.43</v>
      </c>
      <c r="Z10" s="67"/>
      <c r="AA10" s="123"/>
      <c r="AB10" s="106" t="s">
        <v>84</v>
      </c>
      <c r="AC10" s="110">
        <v>3466200</v>
      </c>
      <c r="AD10" s="111"/>
    </row>
    <row r="11" spans="2:31" ht="15.75" customHeight="1" x14ac:dyDescent="0.2">
      <c r="C11" s="149" t="s">
        <v>77</v>
      </c>
      <c r="D11" s="149"/>
      <c r="E11" s="63">
        <v>95087.75</v>
      </c>
      <c r="F11" s="63">
        <f>225943.22-F7-J13</f>
        <v>215508.29</v>
      </c>
      <c r="G11" s="63">
        <f>4122.11-G7-I12</f>
        <v>-4356.18</v>
      </c>
      <c r="H11" s="63">
        <v>55165.84</v>
      </c>
      <c r="I11" s="63">
        <v>-41970.52</v>
      </c>
      <c r="J11" s="63">
        <v>-76832.52</v>
      </c>
      <c r="K11" s="63">
        <v>32913.49</v>
      </c>
      <c r="L11" s="63">
        <v>206292.17</v>
      </c>
      <c r="M11" s="63">
        <v>-89920.36</v>
      </c>
      <c r="N11" s="63">
        <v>7792.44</v>
      </c>
      <c r="O11" s="63">
        <v>-83970.18</v>
      </c>
      <c r="P11" s="63"/>
      <c r="Q11" s="63"/>
      <c r="R11" s="63">
        <v>-86758.71</v>
      </c>
      <c r="S11" s="63">
        <v>-171853.01</v>
      </c>
      <c r="T11" s="63">
        <v>-158238.84</v>
      </c>
      <c r="U11" s="63">
        <v>-2421.84</v>
      </c>
      <c r="V11" s="63">
        <v>-61922.69</v>
      </c>
      <c r="W11" s="63">
        <v>-414403.92</v>
      </c>
      <c r="X11" s="66"/>
      <c r="Y11" s="67">
        <f t="shared" si="0"/>
        <v>-579888.78999999992</v>
      </c>
      <c r="Z11" s="67"/>
      <c r="AA11" s="123"/>
      <c r="AB11" s="106" t="s">
        <v>105</v>
      </c>
      <c r="AC11" s="110">
        <f>+Y15+Y17+Y16</f>
        <v>167953.25</v>
      </c>
      <c r="AD11" s="111"/>
    </row>
    <row r="12" spans="2:31" ht="15.75" customHeight="1" x14ac:dyDescent="0.2">
      <c r="C12" s="149" t="s">
        <v>67</v>
      </c>
      <c r="D12" s="149"/>
      <c r="E12" s="126"/>
      <c r="F12" s="126"/>
      <c r="G12" s="63"/>
      <c r="H12" s="63"/>
      <c r="I12" s="63">
        <v>7357.82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6"/>
      <c r="Y12" s="67">
        <f t="shared" si="0"/>
        <v>7357.82</v>
      </c>
      <c r="Z12" s="67"/>
      <c r="AA12" s="123"/>
      <c r="AB12" s="106" t="s">
        <v>85</v>
      </c>
      <c r="AC12" s="110">
        <f>+Y7+Y9+Y8+Y10</f>
        <v>689386.67</v>
      </c>
      <c r="AD12" s="111"/>
    </row>
    <row r="13" spans="2:31" ht="15.75" customHeight="1" x14ac:dyDescent="0.2">
      <c r="C13" s="149" t="s">
        <v>68</v>
      </c>
      <c r="D13" s="149"/>
      <c r="E13" s="126"/>
      <c r="F13" s="126"/>
      <c r="G13" s="63"/>
      <c r="H13" s="63"/>
      <c r="I13" s="63"/>
      <c r="J13" s="63">
        <v>7410.97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6"/>
      <c r="Y13" s="67">
        <f t="shared" si="0"/>
        <v>7410.97</v>
      </c>
      <c r="Z13" s="67"/>
      <c r="AA13" s="123"/>
      <c r="AB13" s="106" t="s">
        <v>86</v>
      </c>
      <c r="AC13" s="110">
        <f>+Y35</f>
        <v>2689724.6800000006</v>
      </c>
      <c r="AD13" s="111"/>
    </row>
    <row r="14" spans="2:31" ht="15.75" customHeight="1" x14ac:dyDescent="0.25">
      <c r="C14" s="149" t="s">
        <v>75</v>
      </c>
      <c r="D14" s="149"/>
      <c r="E14" s="126"/>
      <c r="F14" s="126"/>
      <c r="G14" s="63"/>
      <c r="H14" s="63"/>
      <c r="I14" s="63"/>
      <c r="J14" s="63"/>
      <c r="K14" s="63"/>
      <c r="L14" s="63">
        <v>-47814.73</v>
      </c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6"/>
      <c r="Y14" s="67">
        <f t="shared" si="0"/>
        <v>-47814.73</v>
      </c>
      <c r="Z14" s="67"/>
      <c r="AA14" s="123"/>
      <c r="AB14" s="112" t="s">
        <v>87</v>
      </c>
      <c r="AC14" s="113">
        <f>SUM(AC9:AC13)</f>
        <v>6400329.870000001</v>
      </c>
      <c r="AD14" s="111"/>
    </row>
    <row r="15" spans="2:31" ht="15.75" customHeight="1" x14ac:dyDescent="0.2">
      <c r="C15" s="149" t="s">
        <v>92</v>
      </c>
      <c r="D15" s="149"/>
      <c r="E15" s="126"/>
      <c r="F15" s="126"/>
      <c r="G15" s="63"/>
      <c r="H15" s="63"/>
      <c r="I15" s="63"/>
      <c r="J15" s="63"/>
      <c r="K15" s="63"/>
      <c r="L15" s="76">
        <f>7261.85</f>
        <v>7261.85</v>
      </c>
      <c r="M15" s="76">
        <v>6846.45</v>
      </c>
      <c r="N15" s="76">
        <v>6066.44</v>
      </c>
      <c r="O15" s="76">
        <v>5547.32</v>
      </c>
      <c r="P15" s="76"/>
      <c r="Q15" s="76"/>
      <c r="R15" s="76">
        <v>4674.8900000000003</v>
      </c>
      <c r="S15" s="76">
        <v>4860.26</v>
      </c>
      <c r="T15" s="76">
        <v>6047.54</v>
      </c>
      <c r="U15" s="76">
        <v>8820.5400000000009</v>
      </c>
      <c r="V15" s="76">
        <v>11531.84</v>
      </c>
      <c r="W15" s="76">
        <v>8462.48</v>
      </c>
      <c r="X15" s="66"/>
      <c r="Y15" s="67">
        <f t="shared" si="0"/>
        <v>70119.61</v>
      </c>
      <c r="Z15" s="67"/>
      <c r="AA15" s="123"/>
      <c r="AC15" s="139"/>
      <c r="AD15" s="111"/>
    </row>
    <row r="16" spans="2:31" ht="15.75" customHeight="1" x14ac:dyDescent="0.2">
      <c r="C16" s="149" t="s">
        <v>106</v>
      </c>
      <c r="D16" s="149"/>
      <c r="E16" s="133"/>
      <c r="F16" s="133"/>
      <c r="G16" s="63"/>
      <c r="H16" s="63"/>
      <c r="I16" s="63"/>
      <c r="J16" s="63"/>
      <c r="K16" s="63"/>
      <c r="L16" s="76"/>
      <c r="M16" s="76"/>
      <c r="N16" s="76"/>
      <c r="O16" s="76"/>
      <c r="P16" s="76"/>
      <c r="Q16" s="76"/>
      <c r="R16" s="76"/>
      <c r="S16" s="76"/>
      <c r="T16" s="76">
        <v>301.66000000000003</v>
      </c>
      <c r="U16" s="76"/>
      <c r="V16" s="76"/>
      <c r="W16" s="76"/>
      <c r="X16" s="66"/>
      <c r="Y16" s="67">
        <f t="shared" si="0"/>
        <v>301.66000000000003</v>
      </c>
      <c r="AA16" s="123"/>
      <c r="AB16" s="114" t="s">
        <v>89</v>
      </c>
      <c r="AC16" s="110">
        <f>+Y21</f>
        <v>-107186.85999999999</v>
      </c>
      <c r="AD16" s="111"/>
    </row>
    <row r="17" spans="2:30" ht="15.75" customHeight="1" x14ac:dyDescent="0.2">
      <c r="C17" s="149" t="s">
        <v>80</v>
      </c>
      <c r="D17" s="149"/>
      <c r="E17" s="127"/>
      <c r="F17" s="127"/>
      <c r="G17" s="64"/>
      <c r="H17" s="64"/>
      <c r="I17" s="64"/>
      <c r="J17" s="64"/>
      <c r="K17" s="64"/>
      <c r="L17" s="64">
        <f>97531.98</f>
        <v>97531.98</v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78"/>
      <c r="X17" s="66"/>
      <c r="Y17" s="67">
        <f t="shared" si="0"/>
        <v>97531.98</v>
      </c>
      <c r="Z17" s="134"/>
      <c r="AA17" s="123"/>
      <c r="AB17" s="106" t="s">
        <v>88</v>
      </c>
      <c r="AC17" s="110">
        <f>SUM(Y22:Y27)</f>
        <v>-1001620.5999999996</v>
      </c>
      <c r="AD17" s="111"/>
    </row>
    <row r="18" spans="2:30" ht="15.75" customHeight="1" x14ac:dyDescent="0.25">
      <c r="B18" s="93"/>
      <c r="C18" s="145" t="s">
        <v>66</v>
      </c>
      <c r="D18" s="145"/>
      <c r="E18" s="76">
        <f t="shared" ref="E18:Y18" si="1">SUM(E7:E17)</f>
        <v>159164.64000000001</v>
      </c>
      <c r="F18" s="76">
        <f t="shared" si="1"/>
        <v>218532.25</v>
      </c>
      <c r="G18" s="65">
        <f t="shared" si="1"/>
        <v>-3235.71</v>
      </c>
      <c r="H18" s="65">
        <f t="shared" si="1"/>
        <v>56762.829999999994</v>
      </c>
      <c r="I18" s="65">
        <f t="shared" si="1"/>
        <v>-32722.809999999998</v>
      </c>
      <c r="J18" s="65">
        <f t="shared" si="1"/>
        <v>-68628.290000000008</v>
      </c>
      <c r="K18" s="65">
        <f t="shared" si="1"/>
        <v>33645.869999999995</v>
      </c>
      <c r="L18" s="67">
        <f t="shared" si="1"/>
        <v>603149.72</v>
      </c>
      <c r="M18" s="67">
        <f t="shared" si="1"/>
        <v>-52110.430000000008</v>
      </c>
      <c r="N18" s="67">
        <f t="shared" si="1"/>
        <v>54939.630000000005</v>
      </c>
      <c r="O18" s="67">
        <f t="shared" si="1"/>
        <v>-50683.689999999995</v>
      </c>
      <c r="P18" s="67">
        <f t="shared" si="1"/>
        <v>0</v>
      </c>
      <c r="Q18" s="67">
        <f t="shared" si="1"/>
        <v>0</v>
      </c>
      <c r="R18" s="67">
        <f t="shared" si="1"/>
        <v>-51445.320000000007</v>
      </c>
      <c r="S18" s="67">
        <f t="shared" si="1"/>
        <v>-140994.57999999999</v>
      </c>
      <c r="T18" s="67">
        <f t="shared" si="1"/>
        <v>-125288.3</v>
      </c>
      <c r="U18" s="67">
        <f t="shared" si="1"/>
        <v>47727.950000000004</v>
      </c>
      <c r="V18" s="67">
        <f t="shared" si="1"/>
        <v>-26570.06</v>
      </c>
      <c r="W18" s="67">
        <f t="shared" si="1"/>
        <v>-377838.51</v>
      </c>
      <c r="X18" s="66">
        <f t="shared" si="1"/>
        <v>0</v>
      </c>
      <c r="Y18" s="84">
        <f t="shared" si="1"/>
        <v>244405.19000000012</v>
      </c>
      <c r="Z18" s="98"/>
      <c r="AA18" s="123"/>
      <c r="AB18" s="115" t="s">
        <v>90</v>
      </c>
      <c r="AC18" s="113">
        <f>+AC16+AC17</f>
        <v>-1108807.4599999995</v>
      </c>
      <c r="AD18" s="111"/>
    </row>
    <row r="19" spans="2:30" ht="15.75" customHeight="1" thickBot="1" x14ac:dyDescent="0.3">
      <c r="C19" s="150"/>
      <c r="D19" s="150"/>
      <c r="E19" s="128"/>
      <c r="F19" s="128"/>
      <c r="G19" s="65"/>
      <c r="H19" s="65"/>
      <c r="I19" s="65"/>
      <c r="J19" s="65"/>
      <c r="K19" s="65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6"/>
      <c r="Y19" s="65"/>
      <c r="Z19" s="62"/>
      <c r="AA19" s="123"/>
      <c r="AB19" s="116" t="s">
        <v>109</v>
      </c>
      <c r="AC19" s="113">
        <f>+AC14+AC18</f>
        <v>5291522.410000002</v>
      </c>
      <c r="AD19" s="111"/>
    </row>
    <row r="20" spans="2:30" ht="15.75" customHeight="1" thickTop="1" x14ac:dyDescent="0.2">
      <c r="B20" s="132" t="s">
        <v>64</v>
      </c>
      <c r="D20" s="125"/>
      <c r="E20" s="125"/>
      <c r="F20" s="125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6"/>
      <c r="Y20" s="65"/>
      <c r="Z20" s="65"/>
      <c r="AA20" s="124"/>
      <c r="AB20" s="117"/>
      <c r="AC20" s="118"/>
      <c r="AD20" s="119"/>
    </row>
    <row r="21" spans="2:30" s="68" customFormat="1" ht="15.75" customHeight="1" x14ac:dyDescent="0.2">
      <c r="B21" s="154"/>
      <c r="C21" s="142" t="s">
        <v>104</v>
      </c>
      <c r="D21" s="142"/>
      <c r="E21" s="63"/>
      <c r="F21" s="63"/>
      <c r="G21" s="63"/>
      <c r="H21" s="63"/>
      <c r="I21" s="63">
        <f>+-60630.47</f>
        <v>-60630.47</v>
      </c>
      <c r="J21" s="63"/>
      <c r="K21" s="63"/>
      <c r="L21" s="63"/>
      <c r="M21" s="63">
        <v>-36075.24</v>
      </c>
      <c r="N21" s="63"/>
      <c r="O21" s="63"/>
      <c r="P21" s="63"/>
      <c r="Q21" s="63"/>
      <c r="R21" s="63"/>
      <c r="S21" s="63"/>
      <c r="T21" s="63">
        <v>957.71</v>
      </c>
      <c r="U21" s="63"/>
      <c r="V21" s="63"/>
      <c r="W21" s="63">
        <v>-11438.86</v>
      </c>
      <c r="X21" s="155"/>
      <c r="Y21" s="67">
        <f>SUM(E21:W21)</f>
        <v>-107186.85999999999</v>
      </c>
      <c r="Z21" s="67"/>
      <c r="AA21" s="76"/>
      <c r="AB21" s="76"/>
      <c r="AC21" s="156"/>
      <c r="AD21" s="77"/>
    </row>
    <row r="22" spans="2:30" ht="15.75" customHeight="1" x14ac:dyDescent="0.2">
      <c r="C22" s="144" t="s">
        <v>62</v>
      </c>
      <c r="D22" s="144"/>
      <c r="E22" s="63">
        <v>-589798.68000000005</v>
      </c>
      <c r="F22" s="63">
        <f>-74435.35-J25</f>
        <v>-45280.94</v>
      </c>
      <c r="G22" s="63">
        <v>-54563.8</v>
      </c>
      <c r="H22" s="63">
        <v>-54213.71</v>
      </c>
      <c r="I22" s="63">
        <v>-53307.5</v>
      </c>
      <c r="J22" s="63">
        <v>-52164.36</v>
      </c>
      <c r="K22" s="63">
        <v>-55635.519999999997</v>
      </c>
      <c r="L22" s="63">
        <v>-59690.81</v>
      </c>
      <c r="M22" s="63">
        <v>-50992.19</v>
      </c>
      <c r="N22" s="63">
        <v>459.77</v>
      </c>
      <c r="O22" s="63">
        <v>-94037.94</v>
      </c>
      <c r="P22" s="63"/>
      <c r="Q22" s="63"/>
      <c r="R22" s="63">
        <v>-48130.39</v>
      </c>
      <c r="S22" s="63">
        <v>-18648.64</v>
      </c>
      <c r="T22" s="63">
        <v>-17212.32</v>
      </c>
      <c r="U22" s="63">
        <v>5775.18</v>
      </c>
      <c r="V22" s="63">
        <v>-14927.01</v>
      </c>
      <c r="W22" s="63">
        <v>1087.3599999999999</v>
      </c>
      <c r="X22" s="66"/>
      <c r="Y22" s="67">
        <f t="shared" ref="Y22:Y27" si="2">SUM(E22:W22)</f>
        <v>-1201281.4999999998</v>
      </c>
      <c r="Z22" s="67"/>
    </row>
    <row r="23" spans="2:30" ht="15.75" customHeight="1" x14ac:dyDescent="0.2">
      <c r="C23" s="144" t="s">
        <v>70</v>
      </c>
      <c r="D23" s="144"/>
      <c r="E23" s="100"/>
      <c r="F23" s="100"/>
      <c r="G23" s="76"/>
      <c r="H23" s="76"/>
      <c r="I23" s="76"/>
      <c r="J23" s="76">
        <v>5272.16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9"/>
      <c r="Y23" s="67">
        <f t="shared" si="2"/>
        <v>5272.16</v>
      </c>
      <c r="Z23" s="67"/>
      <c r="AA23" s="3"/>
      <c r="AB23" s="3"/>
      <c r="AC23" s="3"/>
    </row>
    <row r="24" spans="2:30" ht="15.75" customHeight="1" x14ac:dyDescent="0.2">
      <c r="C24" s="144" t="s">
        <v>71</v>
      </c>
      <c r="D24" s="144"/>
      <c r="E24" s="100"/>
      <c r="F24" s="100"/>
      <c r="G24" s="63"/>
      <c r="H24" s="63"/>
      <c r="I24" s="63">
        <v>-122.08</v>
      </c>
      <c r="J24" s="63">
        <v>62796.59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6"/>
      <c r="Y24" s="67">
        <f t="shared" si="2"/>
        <v>62674.509999999995</v>
      </c>
      <c r="Z24" s="67"/>
    </row>
    <row r="25" spans="2:30" ht="15.75" customHeight="1" x14ac:dyDescent="0.2">
      <c r="C25" s="144" t="s">
        <v>72</v>
      </c>
      <c r="D25" s="144"/>
      <c r="E25" s="100"/>
      <c r="F25" s="100"/>
      <c r="G25" s="63"/>
      <c r="H25" s="63"/>
      <c r="I25" s="63"/>
      <c r="J25" s="63">
        <v>-29154.41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6"/>
      <c r="Y25" s="67">
        <f t="shared" si="2"/>
        <v>-29154.41</v>
      </c>
      <c r="Z25" s="67"/>
    </row>
    <row r="26" spans="2:30" ht="15.75" customHeight="1" x14ac:dyDescent="0.2">
      <c r="C26" s="144" t="s">
        <v>73</v>
      </c>
      <c r="D26" s="144"/>
      <c r="E26" s="100"/>
      <c r="F26" s="100"/>
      <c r="G26" s="63"/>
      <c r="H26" s="63"/>
      <c r="I26" s="63"/>
      <c r="J26" s="63"/>
      <c r="K26" s="63"/>
      <c r="L26" s="76">
        <v>78885.58</v>
      </c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66"/>
      <c r="Y26" s="67">
        <f t="shared" si="2"/>
        <v>78885.58</v>
      </c>
      <c r="Z26" s="67"/>
    </row>
    <row r="27" spans="2:30" ht="15.75" customHeight="1" x14ac:dyDescent="0.2">
      <c r="B27" s="90"/>
      <c r="C27" s="144" t="s">
        <v>69</v>
      </c>
      <c r="D27" s="144"/>
      <c r="E27" s="100"/>
      <c r="F27" s="100"/>
      <c r="G27" s="80"/>
      <c r="H27" s="80"/>
      <c r="I27" s="80"/>
      <c r="J27" s="80"/>
      <c r="K27" s="64"/>
      <c r="L27" s="64">
        <v>81983.06</v>
      </c>
      <c r="M27" s="64"/>
      <c r="N27" s="64"/>
      <c r="O27" s="64"/>
      <c r="P27" s="64"/>
      <c r="Q27" s="78"/>
      <c r="R27" s="64"/>
      <c r="S27" s="64"/>
      <c r="T27" s="64"/>
      <c r="U27" s="64"/>
      <c r="V27" s="64"/>
      <c r="W27" s="78"/>
      <c r="X27" s="66"/>
      <c r="Y27" s="67">
        <f t="shared" si="2"/>
        <v>81983.06</v>
      </c>
      <c r="Z27" s="67"/>
    </row>
    <row r="28" spans="2:30" ht="15.75" customHeight="1" x14ac:dyDescent="0.2">
      <c r="C28" s="145" t="s">
        <v>79</v>
      </c>
      <c r="D28" s="145"/>
      <c r="E28" s="83">
        <f>SUM(E21:E27)</f>
        <v>-589798.68000000005</v>
      </c>
      <c r="F28" s="83">
        <f t="shared" ref="F28:W28" si="3">SUM(F21:F27)</f>
        <v>-45280.94</v>
      </c>
      <c r="G28" s="83">
        <f t="shared" si="3"/>
        <v>-54563.8</v>
      </c>
      <c r="H28" s="83">
        <f t="shared" si="3"/>
        <v>-54213.71</v>
      </c>
      <c r="I28" s="83">
        <f t="shared" si="3"/>
        <v>-114060.05</v>
      </c>
      <c r="J28" s="83">
        <f t="shared" si="3"/>
        <v>-13250.02</v>
      </c>
      <c r="K28" s="83">
        <f t="shared" si="3"/>
        <v>-55635.519999999997</v>
      </c>
      <c r="L28" s="83">
        <f t="shared" si="3"/>
        <v>101177.83</v>
      </c>
      <c r="M28" s="83">
        <f t="shared" si="3"/>
        <v>-87067.43</v>
      </c>
      <c r="N28" s="83">
        <f t="shared" si="3"/>
        <v>459.77</v>
      </c>
      <c r="O28" s="83">
        <f t="shared" si="3"/>
        <v>-94037.94</v>
      </c>
      <c r="P28" s="83">
        <f t="shared" si="3"/>
        <v>0</v>
      </c>
      <c r="Q28" s="83">
        <f t="shared" si="3"/>
        <v>0</v>
      </c>
      <c r="R28" s="83">
        <f t="shared" si="3"/>
        <v>-48130.39</v>
      </c>
      <c r="S28" s="83">
        <f t="shared" si="3"/>
        <v>-18648.64</v>
      </c>
      <c r="T28" s="83">
        <f t="shared" si="3"/>
        <v>-16254.61</v>
      </c>
      <c r="U28" s="83">
        <f t="shared" si="3"/>
        <v>5775.18</v>
      </c>
      <c r="V28" s="83">
        <f t="shared" si="3"/>
        <v>-14927.01</v>
      </c>
      <c r="W28" s="83">
        <f t="shared" si="3"/>
        <v>-10351.5</v>
      </c>
      <c r="X28" s="85">
        <f>SUM(X22:X27)</f>
        <v>0</v>
      </c>
      <c r="Y28" s="84">
        <f>SUM(Y21:Y27)</f>
        <v>-1108807.4599999997</v>
      </c>
      <c r="Z28" s="98"/>
    </row>
    <row r="29" spans="2:30" ht="15.75" customHeight="1" x14ac:dyDescent="0.2">
      <c r="C29" s="129"/>
      <c r="D29" s="129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9"/>
      <c r="Y29" s="98"/>
      <c r="Z29" s="62"/>
    </row>
    <row r="30" spans="2:30" ht="15.75" customHeight="1" x14ac:dyDescent="0.2">
      <c r="C30" s="129"/>
      <c r="D30" s="129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9"/>
      <c r="Y30" s="98"/>
      <c r="Z30" s="98"/>
    </row>
    <row r="31" spans="2:30" ht="15.75" customHeight="1" x14ac:dyDescent="0.2">
      <c r="B31" s="90"/>
      <c r="C31" s="147"/>
      <c r="D31" s="147"/>
      <c r="E31" s="130"/>
      <c r="F31" s="130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87"/>
      <c r="Y31" s="64"/>
      <c r="Z31" s="76"/>
    </row>
    <row r="32" spans="2:30" ht="15.75" customHeight="1" x14ac:dyDescent="0.25">
      <c r="B32" s="94"/>
      <c r="C32" s="146" t="s">
        <v>82</v>
      </c>
      <c r="D32" s="146"/>
      <c r="E32" s="86">
        <f t="shared" ref="E32:W32" si="4">+E18+E28</f>
        <v>-430634.04000000004</v>
      </c>
      <c r="F32" s="86">
        <f t="shared" si="4"/>
        <v>173251.31</v>
      </c>
      <c r="G32" s="86">
        <f t="shared" si="4"/>
        <v>-57799.51</v>
      </c>
      <c r="H32" s="86">
        <f t="shared" si="4"/>
        <v>2549.1199999999953</v>
      </c>
      <c r="I32" s="86">
        <f t="shared" si="4"/>
        <v>-146782.85999999999</v>
      </c>
      <c r="J32" s="86">
        <f t="shared" si="4"/>
        <v>-81878.310000000012</v>
      </c>
      <c r="K32" s="86">
        <f t="shared" si="4"/>
        <v>-21989.65</v>
      </c>
      <c r="L32" s="86">
        <f t="shared" si="4"/>
        <v>704327.54999999993</v>
      </c>
      <c r="M32" s="86">
        <f t="shared" si="4"/>
        <v>-139177.85999999999</v>
      </c>
      <c r="N32" s="86">
        <f t="shared" si="4"/>
        <v>55399.4</v>
      </c>
      <c r="O32" s="86">
        <f t="shared" si="4"/>
        <v>-144721.63</v>
      </c>
      <c r="P32" s="86">
        <f t="shared" si="4"/>
        <v>0</v>
      </c>
      <c r="Q32" s="86">
        <f t="shared" si="4"/>
        <v>0</v>
      </c>
      <c r="R32" s="86">
        <f t="shared" si="4"/>
        <v>-99575.71</v>
      </c>
      <c r="S32" s="86">
        <f t="shared" si="4"/>
        <v>-159643.21999999997</v>
      </c>
      <c r="T32" s="86">
        <f t="shared" si="4"/>
        <v>-141542.91</v>
      </c>
      <c r="U32" s="86">
        <f t="shared" si="4"/>
        <v>53503.130000000005</v>
      </c>
      <c r="V32" s="86">
        <f t="shared" si="4"/>
        <v>-41497.07</v>
      </c>
      <c r="W32" s="86">
        <f t="shared" si="4"/>
        <v>-388190.01</v>
      </c>
      <c r="X32" s="66"/>
      <c r="Y32" s="86">
        <f>+Y18+Y28</f>
        <v>-864402.26999999955</v>
      </c>
      <c r="Z32" s="136"/>
    </row>
    <row r="33" spans="2:29" ht="15.75" customHeight="1" x14ac:dyDescent="0.2">
      <c r="B33" s="70"/>
      <c r="C33" s="131"/>
      <c r="D33" s="131"/>
      <c r="E33" s="131"/>
      <c r="F33" s="131"/>
      <c r="G33" s="63"/>
      <c r="H33" s="63"/>
      <c r="I33" s="63"/>
      <c r="J33" s="63"/>
      <c r="K33" s="63"/>
      <c r="L33" s="63"/>
      <c r="O33" s="63"/>
      <c r="P33" s="63"/>
      <c r="Q33" s="63"/>
      <c r="R33" s="63"/>
      <c r="S33" s="63"/>
      <c r="T33" s="63"/>
      <c r="U33" s="63"/>
      <c r="V33" s="63"/>
      <c r="W33" s="63"/>
      <c r="X33" s="66"/>
      <c r="Y33" s="63"/>
      <c r="Z33" s="63"/>
      <c r="AC33" s="89"/>
    </row>
    <row r="34" spans="2:29" ht="15.75" customHeight="1" x14ac:dyDescent="0.2">
      <c r="B34" s="70"/>
      <c r="C34" s="131"/>
      <c r="D34" s="131"/>
      <c r="E34" s="131"/>
      <c r="F34" s="131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79"/>
      <c r="Y34" s="63"/>
      <c r="Z34" s="63"/>
      <c r="AC34" s="89"/>
    </row>
    <row r="35" spans="2:29" ht="15.75" customHeight="1" thickBot="1" x14ac:dyDescent="0.25">
      <c r="B35" s="105"/>
      <c r="C35" s="148" t="s">
        <v>81</v>
      </c>
      <c r="D35" s="148"/>
      <c r="E35" s="101">
        <v>274704.58999999997</v>
      </c>
      <c r="F35" s="101">
        <v>85717.04</v>
      </c>
      <c r="G35" s="102">
        <v>110279.5</v>
      </c>
      <c r="H35" s="102">
        <v>173644.32</v>
      </c>
      <c r="I35" s="102">
        <v>169823.35</v>
      </c>
      <c r="J35" s="102">
        <v>176527.62</v>
      </c>
      <c r="K35" s="102">
        <v>173084.35</v>
      </c>
      <c r="L35" s="102">
        <v>168228.91</v>
      </c>
      <c r="M35" s="102">
        <v>169463.26</v>
      </c>
      <c r="N35" s="102">
        <v>166165.07</v>
      </c>
      <c r="O35" s="102">
        <v>164080.9</v>
      </c>
      <c r="P35" s="102"/>
      <c r="Q35" s="102"/>
      <c r="R35" s="102">
        <v>163118.51999999999</v>
      </c>
      <c r="S35" s="102">
        <v>136848.84</v>
      </c>
      <c r="T35" s="102">
        <v>124345.49</v>
      </c>
      <c r="U35" s="102">
        <v>127726.62</v>
      </c>
      <c r="V35" s="102">
        <v>145980.93</v>
      </c>
      <c r="W35" s="102">
        <v>159985.37</v>
      </c>
      <c r="X35" s="103"/>
      <c r="Y35" s="104">
        <f>SUM(E35:W35)</f>
        <v>2689724.6800000006</v>
      </c>
      <c r="Z35" s="98"/>
      <c r="AC35" s="89"/>
    </row>
    <row r="36" spans="2:29" ht="12.75" customHeight="1" thickTop="1" x14ac:dyDescent="0.2">
      <c r="C36" s="81"/>
      <c r="D36" s="82"/>
      <c r="E36" s="82"/>
      <c r="F36" s="82"/>
      <c r="G36" s="76"/>
      <c r="H36" s="76"/>
      <c r="I36" s="76"/>
      <c r="J36" s="76"/>
      <c r="K36" s="76"/>
      <c r="L36" s="76"/>
      <c r="O36" s="76"/>
      <c r="P36" s="76"/>
      <c r="Q36" s="76"/>
      <c r="R36" s="76"/>
      <c r="S36" s="76"/>
      <c r="T36" s="76"/>
      <c r="U36" s="76"/>
      <c r="V36" s="76"/>
      <c r="W36" s="76"/>
      <c r="X36" s="70"/>
      <c r="Y36" s="76"/>
      <c r="Z36" s="76"/>
      <c r="AC36" s="89"/>
    </row>
    <row r="37" spans="2:29" x14ac:dyDescent="0.2">
      <c r="X37" s="70"/>
      <c r="Y37" s="70"/>
      <c r="Z37" s="70"/>
      <c r="AC37" s="89"/>
    </row>
  </sheetData>
  <mergeCells count="27">
    <mergeCell ref="C15:D15"/>
    <mergeCell ref="C25:D25"/>
    <mergeCell ref="C26:D26"/>
    <mergeCell ref="C27:D27"/>
    <mergeCell ref="C23:D23"/>
    <mergeCell ref="C24:D24"/>
    <mergeCell ref="C16:D16"/>
    <mergeCell ref="B6:D6"/>
    <mergeCell ref="C17:D17"/>
    <mergeCell ref="C13:D13"/>
    <mergeCell ref="C18:D18"/>
    <mergeCell ref="C19:D19"/>
    <mergeCell ref="C14:D14"/>
    <mergeCell ref="C7:D7"/>
    <mergeCell ref="C9:D9"/>
    <mergeCell ref="C8:D8"/>
    <mergeCell ref="C11:D11"/>
    <mergeCell ref="C12:D12"/>
    <mergeCell ref="C10:D10"/>
    <mergeCell ref="C21:D21"/>
    <mergeCell ref="AB7:AC7"/>
    <mergeCell ref="C4:Y4"/>
    <mergeCell ref="C28:D28"/>
    <mergeCell ref="C32:D32"/>
    <mergeCell ref="C31:D31"/>
    <mergeCell ref="C35:D35"/>
    <mergeCell ref="C22:D22"/>
  </mergeCells>
  <pageMargins left="0.2" right="0.2" top="0.25" bottom="0.25" header="0.3" footer="0.3"/>
  <pageSetup scale="70" fitToHeight="2" orientation="portrait" r:id="rId1"/>
  <colBreaks count="1" manualBreakCount="1">
    <brk id="28" max="115" man="1"/>
  </colBreaks>
  <ignoredErrors>
    <ignoredError sqref="F18:O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68F31-A51F-43E1-AEE7-3986185AD64A}">
  <dimension ref="A1:K74"/>
  <sheetViews>
    <sheetView workbookViewId="0">
      <selection activeCell="C74" sqref="C74:F76"/>
    </sheetView>
  </sheetViews>
  <sheetFormatPr defaultRowHeight="14.25" x14ac:dyDescent="0.2"/>
  <cols>
    <col min="1" max="1" width="25.125" style="170" bestFit="1" customWidth="1"/>
    <col min="2" max="2" width="2" style="170" customWidth="1"/>
    <col min="3" max="3" width="13.75" style="158" bestFit="1" customWidth="1"/>
    <col min="4" max="4" width="5.5" style="159" bestFit="1" customWidth="1"/>
    <col min="5" max="5" width="5.75" style="160" bestFit="1" customWidth="1"/>
    <col min="6" max="6" width="13.75" style="158" bestFit="1" customWidth="1"/>
    <col min="7" max="7" width="6.375" style="159" bestFit="1" customWidth="1"/>
    <col min="8" max="8" width="5.75" bestFit="1" customWidth="1"/>
    <col min="9" max="9" width="13.75" bestFit="1" customWidth="1"/>
    <col min="10" max="10" width="6.375" style="159" bestFit="1" customWidth="1"/>
    <col min="11" max="11" width="1.375" bestFit="1" customWidth="1"/>
  </cols>
  <sheetData>
    <row r="1" spans="1:10" x14ac:dyDescent="0.2">
      <c r="A1" s="157" t="s">
        <v>94</v>
      </c>
      <c r="B1" s="157"/>
    </row>
    <row r="3" spans="1:10" s="69" customFormat="1" x14ac:dyDescent="0.2">
      <c r="A3" s="161" t="s">
        <v>95</v>
      </c>
      <c r="B3" s="161"/>
      <c r="C3" s="162" t="s">
        <v>19</v>
      </c>
      <c r="D3" s="163"/>
      <c r="E3" s="164"/>
      <c r="F3" s="162" t="s">
        <v>18</v>
      </c>
      <c r="G3" s="165"/>
      <c r="I3" s="166" t="s">
        <v>63</v>
      </c>
      <c r="J3" s="167"/>
    </row>
    <row r="4" spans="1:10" s="69" customFormat="1" x14ac:dyDescent="0.2">
      <c r="A4" s="161" t="s">
        <v>96</v>
      </c>
      <c r="B4" s="161"/>
      <c r="C4" s="168" t="s">
        <v>97</v>
      </c>
      <c r="D4" s="167" t="s">
        <v>98</v>
      </c>
      <c r="E4" s="164"/>
      <c r="F4" s="168" t="s">
        <v>97</v>
      </c>
      <c r="G4" s="167" t="s">
        <v>98</v>
      </c>
      <c r="I4" s="169" t="s">
        <v>97</v>
      </c>
      <c r="J4" s="167" t="s">
        <v>98</v>
      </c>
    </row>
    <row r="5" spans="1:10" x14ac:dyDescent="0.2">
      <c r="A5" s="170">
        <v>44288</v>
      </c>
      <c r="C5" s="158">
        <v>6498.36</v>
      </c>
      <c r="D5" s="159">
        <v>18</v>
      </c>
      <c r="F5" s="158">
        <v>29337.23</v>
      </c>
      <c r="G5" s="159">
        <v>79</v>
      </c>
      <c r="I5" s="158">
        <f>SUM(C5,F5)</f>
        <v>35835.589999999997</v>
      </c>
      <c r="J5" s="159">
        <f>SUM(D5,G5)</f>
        <v>97</v>
      </c>
    </row>
    <row r="6" spans="1:10" x14ac:dyDescent="0.2">
      <c r="A6" s="170">
        <v>44295</v>
      </c>
      <c r="C6" s="158">
        <v>22234.739999999998</v>
      </c>
      <c r="D6" s="159">
        <v>73</v>
      </c>
      <c r="F6" s="158">
        <v>90508.43</v>
      </c>
      <c r="G6" s="159">
        <v>175</v>
      </c>
      <c r="I6" s="158">
        <f>SUM(C6,F6)</f>
        <v>112743.16999999998</v>
      </c>
      <c r="J6" s="159">
        <f>SUM(D6,G6)</f>
        <v>248</v>
      </c>
    </row>
    <row r="7" spans="1:10" x14ac:dyDescent="0.2">
      <c r="A7" s="170">
        <v>44302</v>
      </c>
      <c r="B7"/>
      <c r="C7" s="158">
        <v>20469.785000000003</v>
      </c>
      <c r="D7" s="159">
        <v>88</v>
      </c>
      <c r="E7"/>
      <c r="F7" s="158">
        <v>101686.06300000002</v>
      </c>
      <c r="G7" s="159">
        <v>259</v>
      </c>
      <c r="I7" s="158">
        <v>122155.84800000003</v>
      </c>
      <c r="J7" s="159">
        <v>347</v>
      </c>
    </row>
    <row r="8" spans="1:10" x14ac:dyDescent="0.2">
      <c r="A8" s="170">
        <v>44309</v>
      </c>
      <c r="C8" s="158">
        <f>SUM(19034.94+522+398)</f>
        <v>19954.939999999999</v>
      </c>
      <c r="D8" s="159">
        <f>SUM(77+2)</f>
        <v>79</v>
      </c>
      <c r="E8"/>
      <c r="F8" s="158">
        <f>SUM(138119.805-522-398)</f>
        <v>137199.80499999999</v>
      </c>
      <c r="G8" s="159">
        <f>SUM(365-2)</f>
        <v>363</v>
      </c>
      <c r="I8" s="158">
        <v>157154.74500000008</v>
      </c>
      <c r="J8" s="159">
        <v>442</v>
      </c>
    </row>
    <row r="9" spans="1:10" x14ac:dyDescent="0.2">
      <c r="A9" s="170">
        <v>44316</v>
      </c>
      <c r="C9" s="158">
        <f>SUM(10702.8+534)</f>
        <v>11236.8</v>
      </c>
      <c r="D9" s="159">
        <f>SUM(34+1)</f>
        <v>35</v>
      </c>
      <c r="E9"/>
      <c r="F9" s="158">
        <f>SUM(129855.22-534)</f>
        <v>129321.22</v>
      </c>
      <c r="G9" s="159">
        <f>SUM(340-1)</f>
        <v>339</v>
      </c>
      <c r="I9" s="158">
        <v>140558.01999999999</v>
      </c>
      <c r="J9" s="159">
        <v>374</v>
      </c>
    </row>
    <row r="10" spans="1:10" x14ac:dyDescent="0.2">
      <c r="A10" s="170">
        <v>44323</v>
      </c>
      <c r="C10" s="158">
        <f>SUM(10929.01+525)</f>
        <v>11454.01</v>
      </c>
      <c r="D10" s="159">
        <f>SUM(42+1)</f>
        <v>43</v>
      </c>
      <c r="E10"/>
      <c r="F10" s="158">
        <f>SUM(82898.832-525)</f>
        <v>82373.831999999995</v>
      </c>
      <c r="G10" s="159">
        <f>SUM(251-1)</f>
        <v>250</v>
      </c>
      <c r="I10" s="158">
        <v>93827.841999999946</v>
      </c>
      <c r="J10" s="159">
        <v>293</v>
      </c>
    </row>
    <row r="11" spans="1:10" x14ac:dyDescent="0.2">
      <c r="A11" s="170">
        <v>44330</v>
      </c>
      <c r="C11" s="158">
        <v>24450.82</v>
      </c>
      <c r="D11" s="159">
        <v>107</v>
      </c>
      <c r="E11"/>
      <c r="F11" s="158">
        <v>90149.21</v>
      </c>
      <c r="G11" s="159">
        <v>286</v>
      </c>
      <c r="I11" s="158">
        <v>114600.03</v>
      </c>
      <c r="J11" s="159">
        <v>393</v>
      </c>
    </row>
    <row r="12" spans="1:10" x14ac:dyDescent="0.2">
      <c r="A12" s="170">
        <v>44337</v>
      </c>
      <c r="C12" s="158">
        <f>SUM(28796.49+628)</f>
        <v>29424.49</v>
      </c>
      <c r="D12" s="159">
        <f>SUM(110+3)</f>
        <v>113</v>
      </c>
      <c r="E12"/>
      <c r="F12" s="158">
        <f>SUM(112143.74-628)</f>
        <v>111515.74</v>
      </c>
      <c r="G12" s="159">
        <f>SUM(381-3)</f>
        <v>378</v>
      </c>
      <c r="I12" s="158">
        <v>140940.23000000001</v>
      </c>
      <c r="J12" s="159">
        <v>491</v>
      </c>
    </row>
    <row r="13" spans="1:10" x14ac:dyDescent="0.2">
      <c r="A13" s="170">
        <v>44344</v>
      </c>
      <c r="C13" s="158">
        <v>21846.65</v>
      </c>
      <c r="D13" s="159">
        <v>64</v>
      </c>
      <c r="E13"/>
      <c r="F13" s="158">
        <v>33777.22</v>
      </c>
      <c r="G13" s="159">
        <v>119</v>
      </c>
      <c r="I13" s="158">
        <v>55623.87</v>
      </c>
      <c r="J13" s="159">
        <v>183</v>
      </c>
    </row>
    <row r="14" spans="1:10" x14ac:dyDescent="0.2">
      <c r="A14" s="170">
        <v>44351</v>
      </c>
      <c r="C14" s="158">
        <v>8044.6</v>
      </c>
      <c r="D14" s="159">
        <v>31</v>
      </c>
      <c r="E14"/>
      <c r="F14" s="158">
        <v>36303.550000000003</v>
      </c>
      <c r="G14" s="159">
        <v>106</v>
      </c>
      <c r="I14" s="158">
        <v>44348.15</v>
      </c>
      <c r="J14" s="159">
        <v>137</v>
      </c>
    </row>
    <row r="15" spans="1:10" x14ac:dyDescent="0.2">
      <c r="A15" s="170">
        <v>44358</v>
      </c>
      <c r="C15" s="158">
        <f>SUM(20037.98+458.57)</f>
        <v>20496.55</v>
      </c>
      <c r="D15" s="159">
        <f>SUM(61+1)</f>
        <v>62</v>
      </c>
      <c r="E15"/>
      <c r="F15" s="158">
        <f>SUM(49059.33-458.57)</f>
        <v>48600.76</v>
      </c>
      <c r="G15" s="159">
        <f>SUM(134-1)</f>
        <v>133</v>
      </c>
      <c r="I15" s="158">
        <v>69097.31</v>
      </c>
      <c r="J15" s="159">
        <v>195</v>
      </c>
    </row>
    <row r="16" spans="1:10" x14ac:dyDescent="0.2">
      <c r="A16" s="170">
        <v>44365</v>
      </c>
      <c r="C16" s="158">
        <v>33544.959999999999</v>
      </c>
      <c r="D16" s="159">
        <v>98</v>
      </c>
      <c r="E16"/>
      <c r="F16" s="158">
        <v>62642.64</v>
      </c>
      <c r="G16" s="159">
        <v>192</v>
      </c>
      <c r="I16" s="158">
        <v>96187.6</v>
      </c>
      <c r="J16" s="159">
        <v>290</v>
      </c>
    </row>
    <row r="17" spans="1:10" x14ac:dyDescent="0.2">
      <c r="A17" s="170">
        <v>44372</v>
      </c>
      <c r="C17" s="158">
        <v>19092.61</v>
      </c>
      <c r="D17" s="159">
        <v>74</v>
      </c>
      <c r="E17"/>
      <c r="F17" s="158">
        <v>71490.22</v>
      </c>
      <c r="G17" s="159">
        <v>182</v>
      </c>
      <c r="I17" s="158">
        <v>90582.83</v>
      </c>
      <c r="J17" s="159">
        <v>256</v>
      </c>
    </row>
    <row r="18" spans="1:10" x14ac:dyDescent="0.2">
      <c r="A18" s="170">
        <v>44379</v>
      </c>
      <c r="C18" s="158">
        <v>9281.99</v>
      </c>
      <c r="D18" s="159">
        <v>27</v>
      </c>
      <c r="E18"/>
      <c r="F18" s="158">
        <v>43029.83</v>
      </c>
      <c r="G18" s="159">
        <v>96</v>
      </c>
      <c r="I18" s="158">
        <v>52311.82</v>
      </c>
      <c r="J18" s="159">
        <v>123</v>
      </c>
    </row>
    <row r="19" spans="1:10" x14ac:dyDescent="0.2">
      <c r="A19" s="170">
        <v>44386</v>
      </c>
      <c r="C19" s="158">
        <v>15663.73</v>
      </c>
      <c r="D19" s="159">
        <v>54</v>
      </c>
      <c r="E19"/>
      <c r="F19" s="158">
        <v>62319.05</v>
      </c>
      <c r="G19" s="159">
        <v>158</v>
      </c>
      <c r="H19" t="s">
        <v>95</v>
      </c>
      <c r="I19" s="158">
        <v>77982.78</v>
      </c>
      <c r="J19" s="159">
        <v>212</v>
      </c>
    </row>
    <row r="20" spans="1:10" x14ac:dyDescent="0.2">
      <c r="A20" s="170">
        <v>44393</v>
      </c>
      <c r="C20" s="158">
        <v>10260.24</v>
      </c>
      <c r="D20" s="159">
        <v>39</v>
      </c>
      <c r="E20"/>
      <c r="F20" s="158">
        <v>48250.21</v>
      </c>
      <c r="G20" s="159">
        <v>129</v>
      </c>
      <c r="I20" s="158">
        <v>58510.45</v>
      </c>
      <c r="J20" s="159">
        <v>168</v>
      </c>
    </row>
    <row r="21" spans="1:10" x14ac:dyDescent="0.2">
      <c r="A21" s="170">
        <v>44400</v>
      </c>
      <c r="C21" s="158">
        <v>5647.8499999999995</v>
      </c>
      <c r="D21" s="159">
        <v>40</v>
      </c>
      <c r="E21"/>
      <c r="F21" s="158">
        <v>50027.599999999991</v>
      </c>
      <c r="G21" s="159">
        <v>149</v>
      </c>
      <c r="I21" s="158">
        <v>55675.44999999999</v>
      </c>
      <c r="J21" s="159">
        <v>189</v>
      </c>
    </row>
    <row r="22" spans="1:10" x14ac:dyDescent="0.2">
      <c r="A22" s="170">
        <v>44406</v>
      </c>
      <c r="C22" s="158">
        <v>4102.6099999999997</v>
      </c>
      <c r="D22" s="159">
        <v>23</v>
      </c>
      <c r="E22"/>
      <c r="F22" s="158">
        <v>28272.14</v>
      </c>
      <c r="G22" s="159">
        <v>99</v>
      </c>
      <c r="I22" s="158">
        <v>32374.75</v>
      </c>
      <c r="J22" s="159">
        <v>122</v>
      </c>
    </row>
    <row r="23" spans="1:10" x14ac:dyDescent="0.2">
      <c r="A23" s="170">
        <v>44414</v>
      </c>
      <c r="C23" s="158">
        <v>20183.27</v>
      </c>
      <c r="D23" s="159">
        <v>72</v>
      </c>
      <c r="E23"/>
      <c r="F23" s="158">
        <v>62193.99</v>
      </c>
      <c r="G23" s="159">
        <v>146</v>
      </c>
      <c r="I23" s="158">
        <v>82377.259999999995</v>
      </c>
      <c r="J23" s="159">
        <v>218</v>
      </c>
    </row>
    <row r="24" spans="1:10" x14ac:dyDescent="0.2">
      <c r="A24" s="170">
        <v>44421</v>
      </c>
      <c r="C24" s="158">
        <v>12493.62</v>
      </c>
      <c r="D24" s="159">
        <v>74</v>
      </c>
      <c r="E24"/>
      <c r="F24" s="158">
        <v>43211.79</v>
      </c>
      <c r="G24" s="159">
        <v>121</v>
      </c>
      <c r="I24" s="158">
        <v>55705.41</v>
      </c>
      <c r="J24" s="159">
        <v>195</v>
      </c>
    </row>
    <row r="25" spans="1:10" x14ac:dyDescent="0.2">
      <c r="A25" s="170">
        <v>44428</v>
      </c>
      <c r="C25" s="158">
        <v>22122.84</v>
      </c>
      <c r="D25" s="159">
        <v>61</v>
      </c>
      <c r="E25"/>
      <c r="F25" s="158">
        <v>36837.730000000003</v>
      </c>
      <c r="G25" s="159">
        <v>142</v>
      </c>
      <c r="I25" s="158">
        <v>58960.57</v>
      </c>
      <c r="J25" s="159">
        <v>203</v>
      </c>
    </row>
    <row r="26" spans="1:10" x14ac:dyDescent="0.2">
      <c r="A26" s="170">
        <v>44435</v>
      </c>
      <c r="C26" s="158">
        <v>24999.710000000003</v>
      </c>
      <c r="D26" s="159">
        <v>72</v>
      </c>
      <c r="E26"/>
      <c r="F26" s="158">
        <v>39214.179999999978</v>
      </c>
      <c r="G26" s="159">
        <v>141</v>
      </c>
      <c r="I26" s="158">
        <v>64213.889999999985</v>
      </c>
      <c r="J26" s="159">
        <v>213</v>
      </c>
    </row>
    <row r="27" spans="1:10" x14ac:dyDescent="0.2">
      <c r="A27" s="170">
        <v>44441</v>
      </c>
      <c r="C27" s="158">
        <v>15029.71</v>
      </c>
      <c r="D27" s="159">
        <v>35</v>
      </c>
      <c r="E27"/>
      <c r="F27" s="158">
        <v>16420.11</v>
      </c>
      <c r="G27" s="159">
        <v>71</v>
      </c>
      <c r="I27" s="158">
        <v>31449.82</v>
      </c>
      <c r="J27" s="159">
        <v>106</v>
      </c>
    </row>
    <row r="28" spans="1:10" x14ac:dyDescent="0.2">
      <c r="A28" s="170">
        <v>44449</v>
      </c>
      <c r="C28" s="158">
        <v>14336.25</v>
      </c>
      <c r="D28" s="159">
        <v>70</v>
      </c>
      <c r="E28"/>
      <c r="F28" s="158">
        <v>42262.75</v>
      </c>
      <c r="G28" s="159">
        <v>151</v>
      </c>
      <c r="I28" s="158">
        <f>SUM(C28,F28)</f>
        <v>56599</v>
      </c>
      <c r="J28" s="159">
        <f>SUM(D28,G28)</f>
        <v>221</v>
      </c>
    </row>
    <row r="29" spans="1:10" x14ac:dyDescent="0.2">
      <c r="A29" s="170">
        <v>44456</v>
      </c>
      <c r="C29" s="158">
        <v>25820.47</v>
      </c>
      <c r="D29" s="159">
        <v>69</v>
      </c>
      <c r="E29"/>
      <c r="F29" s="158">
        <v>22840.02</v>
      </c>
      <c r="G29" s="159">
        <v>98</v>
      </c>
      <c r="I29" s="158">
        <v>48660.49</v>
      </c>
      <c r="J29" s="159">
        <v>167</v>
      </c>
    </row>
    <row r="30" spans="1:10" x14ac:dyDescent="0.2">
      <c r="A30" s="170">
        <v>44463</v>
      </c>
      <c r="C30" s="158">
        <v>18215.21</v>
      </c>
      <c r="D30" s="159">
        <v>51</v>
      </c>
      <c r="E30"/>
      <c r="F30" s="158">
        <v>19867.060000000001</v>
      </c>
      <c r="G30" s="159">
        <v>77</v>
      </c>
      <c r="I30" s="158">
        <v>38082.269999999997</v>
      </c>
      <c r="J30" s="159">
        <v>128</v>
      </c>
    </row>
    <row r="31" spans="1:10" x14ac:dyDescent="0.2">
      <c r="A31" s="170">
        <v>44470</v>
      </c>
      <c r="C31" s="158">
        <v>5958.61</v>
      </c>
      <c r="D31" s="159">
        <v>17</v>
      </c>
      <c r="E31"/>
      <c r="F31" s="158">
        <v>40996.37999999999</v>
      </c>
      <c r="G31" s="159">
        <v>113</v>
      </c>
      <c r="I31" s="158">
        <v>46954.989999999991</v>
      </c>
      <c r="J31" s="159">
        <v>130</v>
      </c>
    </row>
    <row r="32" spans="1:10" x14ac:dyDescent="0.2">
      <c r="A32" s="170">
        <v>44477</v>
      </c>
      <c r="C32" s="158">
        <v>2010.06</v>
      </c>
      <c r="D32" s="159">
        <v>13</v>
      </c>
      <c r="E32"/>
      <c r="F32" s="158">
        <v>25581.759999999998</v>
      </c>
      <c r="G32" s="159">
        <v>92</v>
      </c>
      <c r="I32" s="158">
        <v>27591.82</v>
      </c>
      <c r="J32" s="159">
        <v>105</v>
      </c>
    </row>
    <row r="33" spans="1:10" x14ac:dyDescent="0.2">
      <c r="A33" s="170">
        <v>44484</v>
      </c>
      <c r="C33" s="158">
        <v>3460.28</v>
      </c>
      <c r="D33" s="159">
        <v>21</v>
      </c>
      <c r="E33"/>
      <c r="F33" s="158">
        <v>39471.919999999998</v>
      </c>
      <c r="G33" s="159">
        <v>165</v>
      </c>
      <c r="I33" s="158">
        <v>42932.2</v>
      </c>
      <c r="J33" s="159">
        <v>186</v>
      </c>
    </row>
    <row r="34" spans="1:10" x14ac:dyDescent="0.2">
      <c r="A34" s="170">
        <v>44491</v>
      </c>
      <c r="C34" s="158">
        <v>1289.9100000000001</v>
      </c>
      <c r="D34" s="159">
        <v>15</v>
      </c>
      <c r="E34"/>
      <c r="F34" s="158">
        <v>27997.31</v>
      </c>
      <c r="G34" s="159">
        <v>100</v>
      </c>
      <c r="I34" s="158">
        <v>29287.22</v>
      </c>
      <c r="J34" s="159">
        <v>115</v>
      </c>
    </row>
    <row r="35" spans="1:10" x14ac:dyDescent="0.2">
      <c r="A35" s="170">
        <v>44498</v>
      </c>
      <c r="C35" s="158">
        <v>5714.69</v>
      </c>
      <c r="D35" s="159">
        <v>26</v>
      </c>
      <c r="E35"/>
      <c r="F35" s="158">
        <v>37840.26</v>
      </c>
      <c r="G35" s="159">
        <v>103</v>
      </c>
      <c r="I35" s="158">
        <v>43554.95</v>
      </c>
      <c r="J35" s="159">
        <v>129</v>
      </c>
    </row>
    <row r="36" spans="1:10" x14ac:dyDescent="0.2">
      <c r="A36" s="170">
        <v>44505</v>
      </c>
      <c r="C36" s="158">
        <v>4149.79</v>
      </c>
      <c r="D36" s="159">
        <v>20</v>
      </c>
      <c r="E36"/>
      <c r="F36" s="158">
        <v>36976.92</v>
      </c>
      <c r="G36" s="159">
        <v>127</v>
      </c>
      <c r="I36" s="158">
        <v>41126.71</v>
      </c>
      <c r="J36" s="159">
        <f t="shared" ref="J36:J45" si="0">SUM(D36,G36)</f>
        <v>147</v>
      </c>
    </row>
    <row r="37" spans="1:10" x14ac:dyDescent="0.2">
      <c r="A37" s="170">
        <v>44512</v>
      </c>
      <c r="C37" s="158">
        <v>1592.23</v>
      </c>
      <c r="D37" s="159">
        <v>16</v>
      </c>
      <c r="E37"/>
      <c r="F37" s="158">
        <v>17815.169999999998</v>
      </c>
      <c r="G37" s="159">
        <v>94</v>
      </c>
      <c r="I37" s="158">
        <f>SUM(C37,F37)</f>
        <v>19407.399999999998</v>
      </c>
      <c r="J37" s="159">
        <f t="shared" si="0"/>
        <v>110</v>
      </c>
    </row>
    <row r="38" spans="1:10" x14ac:dyDescent="0.2">
      <c r="A38" s="170">
        <v>44519</v>
      </c>
      <c r="C38" s="158">
        <v>3867.87</v>
      </c>
      <c r="D38" s="159">
        <v>18</v>
      </c>
      <c r="E38"/>
      <c r="F38" s="158">
        <v>21504.1</v>
      </c>
      <c r="G38" s="159">
        <v>89</v>
      </c>
      <c r="I38" s="158">
        <f>SUM(C38,F38)</f>
        <v>25371.969999999998</v>
      </c>
      <c r="J38" s="159">
        <f t="shared" si="0"/>
        <v>107</v>
      </c>
    </row>
    <row r="39" spans="1:10" x14ac:dyDescent="0.2">
      <c r="A39" s="170">
        <v>44526</v>
      </c>
      <c r="C39" s="158">
        <v>1367.53</v>
      </c>
      <c r="D39" s="159">
        <v>8</v>
      </c>
      <c r="E39"/>
      <c r="F39" s="158">
        <v>19901.73</v>
      </c>
      <c r="G39" s="159">
        <v>91</v>
      </c>
      <c r="I39" s="158">
        <v>21269.26</v>
      </c>
      <c r="J39" s="159">
        <f t="shared" si="0"/>
        <v>99</v>
      </c>
    </row>
    <row r="40" spans="1:10" x14ac:dyDescent="0.2">
      <c r="A40" s="170">
        <v>44533</v>
      </c>
      <c r="C40" s="158">
        <v>2261.87</v>
      </c>
      <c r="D40" s="159">
        <v>13</v>
      </c>
      <c r="E40"/>
      <c r="F40" s="158">
        <v>22627.29</v>
      </c>
      <c r="G40" s="159">
        <v>89</v>
      </c>
      <c r="I40" s="158">
        <v>24889.16</v>
      </c>
      <c r="J40" s="159">
        <f t="shared" si="0"/>
        <v>102</v>
      </c>
    </row>
    <row r="41" spans="1:10" x14ac:dyDescent="0.2">
      <c r="A41" s="170">
        <v>44540</v>
      </c>
      <c r="C41" s="158">
        <v>1110.96</v>
      </c>
      <c r="D41" s="159">
        <v>14</v>
      </c>
      <c r="E41"/>
      <c r="F41" s="158">
        <v>34217.68</v>
      </c>
      <c r="G41" s="159">
        <v>156</v>
      </c>
      <c r="I41" s="158">
        <v>35328.639999999999</v>
      </c>
      <c r="J41" s="159">
        <f t="shared" si="0"/>
        <v>170</v>
      </c>
    </row>
    <row r="42" spans="1:10" x14ac:dyDescent="0.2">
      <c r="A42" s="170">
        <v>44547</v>
      </c>
      <c r="C42" s="158">
        <v>2393.6800000000003</v>
      </c>
      <c r="D42" s="159">
        <v>24</v>
      </c>
      <c r="E42"/>
      <c r="F42" s="158">
        <v>31012.65</v>
      </c>
      <c r="G42" s="159">
        <v>161</v>
      </c>
      <c r="I42" s="158">
        <v>33406.33</v>
      </c>
      <c r="J42" s="159">
        <f t="shared" si="0"/>
        <v>185</v>
      </c>
    </row>
    <row r="43" spans="1:10" x14ac:dyDescent="0.2">
      <c r="A43" s="170">
        <v>44554</v>
      </c>
      <c r="C43" s="158">
        <v>537</v>
      </c>
      <c r="D43" s="159">
        <v>5</v>
      </c>
      <c r="E43"/>
      <c r="F43" s="158">
        <v>8907.7099999999991</v>
      </c>
      <c r="G43" s="159">
        <v>42</v>
      </c>
      <c r="I43" s="158">
        <v>9444.7099999999991</v>
      </c>
      <c r="J43" s="159">
        <f t="shared" si="0"/>
        <v>47</v>
      </c>
    </row>
    <row r="44" spans="1:10" x14ac:dyDescent="0.2">
      <c r="A44" s="170">
        <v>44561</v>
      </c>
      <c r="C44" s="158">
        <v>3215.48</v>
      </c>
      <c r="D44" s="159">
        <v>24</v>
      </c>
      <c r="E44"/>
      <c r="F44" s="158">
        <v>34277.839999999997</v>
      </c>
      <c r="G44" s="159">
        <v>134</v>
      </c>
      <c r="I44" s="158">
        <v>37493.32</v>
      </c>
      <c r="J44" s="159">
        <f t="shared" si="0"/>
        <v>158</v>
      </c>
    </row>
    <row r="45" spans="1:10" x14ac:dyDescent="0.2">
      <c r="A45" s="170">
        <v>44568</v>
      </c>
      <c r="C45" s="158">
        <v>2220.11</v>
      </c>
      <c r="D45" s="159">
        <v>20</v>
      </c>
      <c r="E45"/>
      <c r="F45" s="158">
        <v>44014.82</v>
      </c>
      <c r="G45" s="159">
        <v>179</v>
      </c>
      <c r="I45" s="158">
        <v>46234.93</v>
      </c>
      <c r="J45" s="159">
        <f t="shared" si="0"/>
        <v>199</v>
      </c>
    </row>
    <row r="46" spans="1:10" x14ac:dyDescent="0.2">
      <c r="A46" s="170">
        <v>44575</v>
      </c>
      <c r="C46" s="158">
        <v>4628.6400000000003</v>
      </c>
      <c r="D46" s="159">
        <v>44</v>
      </c>
      <c r="E46"/>
      <c r="F46" s="158">
        <v>73960.53</v>
      </c>
      <c r="G46" s="159">
        <v>279</v>
      </c>
      <c r="I46" s="158">
        <v>78589.17</v>
      </c>
      <c r="J46" s="159">
        <v>323</v>
      </c>
    </row>
    <row r="47" spans="1:10" x14ac:dyDescent="0.2">
      <c r="A47" s="170">
        <v>44582</v>
      </c>
      <c r="C47" s="158">
        <v>5629.95</v>
      </c>
      <c r="D47" s="159">
        <v>43</v>
      </c>
      <c r="E47"/>
      <c r="F47" s="158">
        <v>58234.69</v>
      </c>
      <c r="G47" s="159">
        <v>215</v>
      </c>
      <c r="I47" s="158">
        <v>63864.639999999999</v>
      </c>
      <c r="J47" s="159">
        <v>258</v>
      </c>
    </row>
    <row r="48" spans="1:10" x14ac:dyDescent="0.2">
      <c r="A48" s="170">
        <v>44589</v>
      </c>
      <c r="C48" s="158">
        <v>5412.73</v>
      </c>
      <c r="D48" s="159">
        <v>36</v>
      </c>
      <c r="E48"/>
      <c r="F48" s="158">
        <v>76123.899999999994</v>
      </c>
      <c r="G48" s="159">
        <v>283</v>
      </c>
      <c r="I48" s="158">
        <v>81536.63</v>
      </c>
      <c r="J48" s="159">
        <v>319</v>
      </c>
    </row>
    <row r="49" spans="1:11" x14ac:dyDescent="0.2">
      <c r="A49" s="170">
        <v>44596</v>
      </c>
      <c r="C49" s="158">
        <v>5184.82</v>
      </c>
      <c r="D49" s="159">
        <v>38</v>
      </c>
      <c r="E49"/>
      <c r="F49" s="158">
        <v>63217.05</v>
      </c>
      <c r="G49" s="159">
        <v>211</v>
      </c>
      <c r="I49" s="158">
        <v>68401.87</v>
      </c>
      <c r="J49" s="159">
        <v>249</v>
      </c>
    </row>
    <row r="50" spans="1:11" x14ac:dyDescent="0.2">
      <c r="A50" s="170">
        <v>44603</v>
      </c>
      <c r="C50" s="158">
        <v>5833.99</v>
      </c>
      <c r="D50" s="159">
        <v>49</v>
      </c>
      <c r="E50"/>
      <c r="F50" s="158">
        <v>78298.102999999901</v>
      </c>
      <c r="G50" s="159">
        <v>263</v>
      </c>
      <c r="I50" s="158">
        <v>84132.092999999906</v>
      </c>
      <c r="J50" s="159">
        <v>312</v>
      </c>
    </row>
    <row r="51" spans="1:11" x14ac:dyDescent="0.2">
      <c r="A51" s="170">
        <v>44610</v>
      </c>
      <c r="C51" s="158">
        <v>9926.3000000000011</v>
      </c>
      <c r="D51" s="159">
        <v>80</v>
      </c>
      <c r="E51"/>
      <c r="F51" s="158">
        <v>81650.161000000022</v>
      </c>
      <c r="G51" s="159">
        <v>257</v>
      </c>
      <c r="I51" s="158">
        <v>91576.461000000025</v>
      </c>
      <c r="J51" s="159">
        <v>337</v>
      </c>
    </row>
    <row r="52" spans="1:11" x14ac:dyDescent="0.2">
      <c r="A52" s="170">
        <v>44617</v>
      </c>
      <c r="C52" s="158">
        <v>6708.0400000000009</v>
      </c>
      <c r="D52" s="159">
        <v>30</v>
      </c>
      <c r="E52"/>
      <c r="F52" s="158">
        <v>57238.832000000002</v>
      </c>
      <c r="G52" s="159">
        <v>179</v>
      </c>
      <c r="I52" s="158">
        <v>63946.872000000003</v>
      </c>
      <c r="J52" s="159">
        <v>209</v>
      </c>
    </row>
    <row r="53" spans="1:11" x14ac:dyDescent="0.2">
      <c r="A53" s="170">
        <v>44624</v>
      </c>
      <c r="C53" s="158">
        <v>3247.66</v>
      </c>
      <c r="D53" s="159">
        <v>23</v>
      </c>
      <c r="E53"/>
      <c r="F53" s="158">
        <v>83064.789999999979</v>
      </c>
      <c r="G53" s="159">
        <v>283</v>
      </c>
      <c r="I53" s="158">
        <v>86312.449999999983</v>
      </c>
      <c r="J53" s="159">
        <v>306</v>
      </c>
    </row>
    <row r="54" spans="1:11" x14ac:dyDescent="0.2">
      <c r="A54" s="170">
        <v>44631</v>
      </c>
      <c r="C54" s="158">
        <v>27069.11</v>
      </c>
      <c r="D54" s="159">
        <v>98</v>
      </c>
      <c r="E54"/>
      <c r="F54" s="158">
        <v>92071.050000000017</v>
      </c>
      <c r="G54" s="159">
        <v>299</v>
      </c>
      <c r="I54" s="158">
        <v>119140.16000000002</v>
      </c>
      <c r="J54" s="159">
        <v>397</v>
      </c>
    </row>
    <row r="55" spans="1:11" x14ac:dyDescent="0.2">
      <c r="A55" s="170">
        <v>44638</v>
      </c>
      <c r="C55" s="158">
        <f>[1]Summary!B3</f>
        <v>35492.67</v>
      </c>
      <c r="D55" s="159">
        <f>[1]Summary!C3</f>
        <v>126</v>
      </c>
      <c r="E55"/>
      <c r="F55" s="158">
        <f>[1]Summary!B4</f>
        <v>116258.33100000003</v>
      </c>
      <c r="G55" s="159">
        <f>[1]Summary!C4</f>
        <v>353</v>
      </c>
      <c r="I55" s="158">
        <f>SUM(C55,F55)</f>
        <v>151751.00100000005</v>
      </c>
      <c r="J55" s="159">
        <f>SUM(D55,G55)</f>
        <v>479</v>
      </c>
    </row>
    <row r="56" spans="1:11" x14ac:dyDescent="0.2">
      <c r="A56" s="170">
        <v>44645</v>
      </c>
      <c r="C56" s="158">
        <v>47733.509999999995</v>
      </c>
      <c r="D56" s="159">
        <v>171</v>
      </c>
      <c r="E56"/>
      <c r="F56" s="158">
        <v>82439.62999999999</v>
      </c>
      <c r="G56" s="159">
        <v>277</v>
      </c>
      <c r="I56" s="158">
        <v>130173.13999999998</v>
      </c>
      <c r="J56" s="159">
        <v>448</v>
      </c>
    </row>
    <row r="57" spans="1:11" x14ac:dyDescent="0.2">
      <c r="A57" s="170">
        <v>44648</v>
      </c>
      <c r="C57" s="158">
        <f>[2]Summary!B3</f>
        <v>7640.13</v>
      </c>
      <c r="D57" s="159">
        <f>[2]Summary!C3</f>
        <v>25</v>
      </c>
      <c r="E57"/>
      <c r="F57" s="158">
        <f>[2]Summary!B4</f>
        <v>22078.989999999998</v>
      </c>
      <c r="G57" s="159">
        <f>[2]Summary!C4</f>
        <v>59</v>
      </c>
      <c r="I57" s="158">
        <f>SUM(C57,F57)</f>
        <v>29719.119999999999</v>
      </c>
      <c r="J57" s="159">
        <f>SUM(D57,G57)</f>
        <v>84</v>
      </c>
    </row>
    <row r="58" spans="1:11" x14ac:dyDescent="0.2">
      <c r="A58" s="170">
        <v>44652</v>
      </c>
      <c r="C58" s="158">
        <f>[4]Summary!B3</f>
        <v>15383.16</v>
      </c>
      <c r="D58" s="159">
        <f>[4]Summary!C3</f>
        <v>58</v>
      </c>
      <c r="E58"/>
      <c r="F58" s="158">
        <f>[4]Summary!B4</f>
        <v>661.72</v>
      </c>
      <c r="G58" s="159">
        <f>[4]Summary!C4</f>
        <v>2</v>
      </c>
      <c r="I58" s="158">
        <f>SUM(C58,F58)</f>
        <v>16044.88</v>
      </c>
      <c r="J58" s="159">
        <f>SUM(D58,G58)</f>
        <v>60</v>
      </c>
    </row>
    <row r="59" spans="1:11" ht="15" thickBot="1" x14ac:dyDescent="0.25">
      <c r="A59" s="161" t="s">
        <v>99</v>
      </c>
      <c r="B59"/>
      <c r="C59" s="171">
        <f>SUM(C5:C58)</f>
        <v>667947.59500000009</v>
      </c>
      <c r="D59" s="172">
        <f>SUM(D5:D58)</f>
        <v>2647</v>
      </c>
      <c r="E59" t="s">
        <v>95</v>
      </c>
      <c r="F59" s="171">
        <f>SUM(F5:F58)</f>
        <v>2868093.6970000002</v>
      </c>
      <c r="G59" s="172">
        <f>SUM(G5:G58)</f>
        <v>9134</v>
      </c>
      <c r="I59" s="171">
        <f>SUM(I5:I58)</f>
        <v>3536041.2920000018</v>
      </c>
      <c r="J59" s="172">
        <f>SUM(J5:J58)</f>
        <v>11781</v>
      </c>
      <c r="K59" s="173" t="s">
        <v>95</v>
      </c>
    </row>
    <row r="60" spans="1:11" ht="15" thickTop="1" x14ac:dyDescent="0.2"/>
    <row r="62" spans="1:11" x14ac:dyDescent="0.2">
      <c r="A62" s="170" t="s">
        <v>100</v>
      </c>
    </row>
    <row r="63" spans="1:11" x14ac:dyDescent="0.2">
      <c r="A63" s="170">
        <v>44288</v>
      </c>
      <c r="C63" s="158">
        <v>88841.7</v>
      </c>
      <c r="D63" s="159">
        <v>276</v>
      </c>
      <c r="F63" s="158">
        <v>480111.76</v>
      </c>
      <c r="G63" s="159">
        <v>1129</v>
      </c>
      <c r="I63" s="158">
        <f>C63+F63</f>
        <v>568953.46</v>
      </c>
      <c r="J63" s="159">
        <f>D63+G63</f>
        <v>1405</v>
      </c>
    </row>
    <row r="64" spans="1:11" x14ac:dyDescent="0.2">
      <c r="A64" s="170">
        <v>44378</v>
      </c>
      <c r="C64" s="158">
        <v>3852.44</v>
      </c>
      <c r="D64" s="159">
        <v>53</v>
      </c>
      <c r="F64" s="158">
        <v>117994.05</v>
      </c>
      <c r="G64" s="159">
        <v>1003</v>
      </c>
      <c r="I64" s="158">
        <f>C64+F64</f>
        <v>121846.49</v>
      </c>
      <c r="J64" s="159">
        <f>D64+G64</f>
        <v>1056</v>
      </c>
    </row>
    <row r="65" spans="1:10" x14ac:dyDescent="0.2">
      <c r="A65" s="170">
        <v>44476</v>
      </c>
      <c r="C65" s="158">
        <v>551.27</v>
      </c>
      <c r="D65" s="159">
        <v>19</v>
      </c>
      <c r="F65" s="158">
        <v>54054.12</v>
      </c>
      <c r="G65" s="159">
        <v>896</v>
      </c>
      <c r="I65" s="158">
        <v>54605.39</v>
      </c>
      <c r="J65" s="159">
        <v>915</v>
      </c>
    </row>
    <row r="66" spans="1:10" x14ac:dyDescent="0.2">
      <c r="A66" s="170">
        <v>44568</v>
      </c>
      <c r="C66" s="158">
        <v>1022.98</v>
      </c>
      <c r="D66" s="159">
        <v>16</v>
      </c>
      <c r="F66" s="158">
        <v>144918.54999999999</v>
      </c>
      <c r="G66" s="159">
        <v>803</v>
      </c>
      <c r="I66" s="158">
        <f>C66+F66</f>
        <v>145941.53</v>
      </c>
      <c r="J66" s="159">
        <f>D66+G66</f>
        <v>819</v>
      </c>
    </row>
    <row r="68" spans="1:10" x14ac:dyDescent="0.2">
      <c r="A68" s="170" t="s">
        <v>101</v>
      </c>
      <c r="C68" s="158">
        <f>SUM(C59,C63,C64,C65,C66)</f>
        <v>762215.98499999999</v>
      </c>
      <c r="D68" s="159">
        <f>SUM(D59,D63,D64,D65,D66)</f>
        <v>3011</v>
      </c>
      <c r="E68" s="158">
        <f t="shared" ref="E68:H68" si="1">SUM(E60,E63)</f>
        <v>0</v>
      </c>
      <c r="F68" s="158">
        <f>SUM(F59,F63,F64,F65,F66)</f>
        <v>3665172.1770000001</v>
      </c>
      <c r="G68" s="159">
        <f>SUM(G59,G63,G64,G65,G66)</f>
        <v>12965</v>
      </c>
      <c r="H68" s="158">
        <f t="shared" si="1"/>
        <v>0</v>
      </c>
      <c r="I68" s="158">
        <f>SUM(I59,I63,I64,I65,I66)</f>
        <v>4427388.1620000014</v>
      </c>
      <c r="J68" s="159">
        <f>SUM(J59,J63,J64,J65,J66)</f>
        <v>15976</v>
      </c>
    </row>
    <row r="70" spans="1:10" x14ac:dyDescent="0.2">
      <c r="A70" s="170" t="s">
        <v>102</v>
      </c>
      <c r="C70" s="158">
        <f>SUM(707517+353759)</f>
        <v>1061276</v>
      </c>
      <c r="F70" s="158">
        <v>3709875</v>
      </c>
      <c r="I70" s="158">
        <f>SUM(C70,F70)</f>
        <v>4771151</v>
      </c>
    </row>
    <row r="72" spans="1:10" x14ac:dyDescent="0.2">
      <c r="A72" t="s">
        <v>103</v>
      </c>
      <c r="C72" s="96">
        <f>C68/C70</f>
        <v>0.71820712519646157</v>
      </c>
      <c r="F72" s="96">
        <f>F68/F70</f>
        <v>0.98795031557667046</v>
      </c>
      <c r="I72" s="96">
        <f>I68/I70</f>
        <v>0.92794970479869565</v>
      </c>
    </row>
    <row r="74" spans="1:10" x14ac:dyDescent="0.2">
      <c r="C74" s="97"/>
      <c r="D74" s="95"/>
      <c r="E74" s="95"/>
      <c r="F74" s="9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Z81"/>
  <sheetViews>
    <sheetView view="pageBreakPreview" topLeftCell="A34" zoomScaleNormal="130" zoomScaleSheetLayoutView="100" workbookViewId="0">
      <selection activeCell="F87" sqref="F87"/>
    </sheetView>
  </sheetViews>
  <sheetFormatPr defaultRowHeight="15" x14ac:dyDescent="0.25"/>
  <cols>
    <col min="1" max="1" width="12.75" style="5" bestFit="1" customWidth="1"/>
    <col min="2" max="2" width="10.375" style="5" bestFit="1" customWidth="1"/>
    <col min="3" max="3" width="32.125" style="5" bestFit="1" customWidth="1"/>
    <col min="4" max="4" width="11.75" style="5" bestFit="1" customWidth="1"/>
    <col min="5" max="5" width="10.75" style="5" bestFit="1" customWidth="1"/>
    <col min="6" max="6" width="11.75" style="5" bestFit="1" customWidth="1"/>
    <col min="7" max="7" width="10.375" style="5" bestFit="1" customWidth="1"/>
    <col min="8" max="8" width="11.125" style="5" customWidth="1"/>
    <col min="9" max="9" width="10.75" style="5" bestFit="1" customWidth="1"/>
    <col min="10" max="10" width="3.125" style="5" customWidth="1"/>
    <col min="11" max="11" width="11.125" style="5" bestFit="1" customWidth="1"/>
    <col min="12" max="12" width="14.5" style="5" bestFit="1" customWidth="1"/>
    <col min="13" max="13" width="11.75" style="5" bestFit="1" customWidth="1"/>
    <col min="14" max="14" width="14.875" style="5" bestFit="1" customWidth="1"/>
    <col min="15" max="15" width="11.125" style="5" customWidth="1"/>
    <col min="16" max="16" width="13.875" style="5" bestFit="1" customWidth="1"/>
    <col min="17" max="17" width="1" style="5" customWidth="1"/>
    <col min="18" max="18" width="6.125" style="5" bestFit="1" customWidth="1"/>
    <col min="19" max="19" width="5.375" style="5" bestFit="1" customWidth="1"/>
    <col min="20" max="16384" width="9" style="5"/>
  </cols>
  <sheetData>
    <row r="1" spans="1:19" x14ac:dyDescent="0.25">
      <c r="A1" s="4"/>
      <c r="C1" s="6" t="s">
        <v>0</v>
      </c>
      <c r="D1" s="7" t="s">
        <v>1</v>
      </c>
      <c r="F1" s="7" t="s">
        <v>2</v>
      </c>
      <c r="G1" s="7"/>
      <c r="H1" s="7" t="s">
        <v>3</v>
      </c>
      <c r="J1" s="8"/>
      <c r="K1" s="7" t="s">
        <v>1</v>
      </c>
      <c r="M1" s="7" t="s">
        <v>2</v>
      </c>
      <c r="N1" s="7"/>
      <c r="O1" s="7" t="s">
        <v>3</v>
      </c>
    </row>
    <row r="2" spans="1:19" x14ac:dyDescent="0.25">
      <c r="A2" s="4"/>
      <c r="C2" s="6" t="s">
        <v>4</v>
      </c>
      <c r="D2" s="9" t="s">
        <v>20</v>
      </c>
      <c r="J2" s="8"/>
      <c r="K2" s="9" t="s">
        <v>21</v>
      </c>
    </row>
    <row r="3" spans="1:19" x14ac:dyDescent="0.25">
      <c r="A3" s="4"/>
      <c r="C3" s="6" t="s">
        <v>5</v>
      </c>
      <c r="D3" s="7" t="s">
        <v>6</v>
      </c>
      <c r="J3" s="8"/>
      <c r="K3" s="7" t="s">
        <v>6</v>
      </c>
    </row>
    <row r="4" spans="1:19" ht="15.75" x14ac:dyDescent="0.25">
      <c r="A4" s="4"/>
      <c r="C4" s="6" t="s">
        <v>7</v>
      </c>
      <c r="D4" s="10" t="s">
        <v>22</v>
      </c>
      <c r="J4" s="8"/>
      <c r="K4" s="11" t="s">
        <v>23</v>
      </c>
    </row>
    <row r="5" spans="1:19" x14ac:dyDescent="0.25">
      <c r="A5" s="4"/>
      <c r="C5" s="6" t="s">
        <v>8</v>
      </c>
      <c r="D5" s="7" t="s">
        <v>9</v>
      </c>
      <c r="J5" s="8"/>
      <c r="K5" s="7" t="s">
        <v>9</v>
      </c>
    </row>
    <row r="6" spans="1:19" x14ac:dyDescent="0.25">
      <c r="A6" s="4"/>
      <c r="C6" s="6" t="s">
        <v>11</v>
      </c>
      <c r="D6" s="7" t="s">
        <v>12</v>
      </c>
      <c r="J6" s="8"/>
      <c r="K6" s="7" t="s">
        <v>12</v>
      </c>
    </row>
    <row r="7" spans="1:19" x14ac:dyDescent="0.25">
      <c r="A7" s="4"/>
      <c r="C7" s="6" t="s">
        <v>10</v>
      </c>
      <c r="D7" s="12" t="s">
        <v>13</v>
      </c>
      <c r="J7" s="8"/>
      <c r="K7" s="12" t="s">
        <v>13</v>
      </c>
    </row>
    <row r="8" spans="1:19" x14ac:dyDescent="0.25">
      <c r="D8" s="13" t="s">
        <v>24</v>
      </c>
      <c r="J8" s="8"/>
      <c r="K8" s="13" t="s">
        <v>24</v>
      </c>
    </row>
    <row r="9" spans="1:19" x14ac:dyDescent="0.25">
      <c r="A9" s="5" t="s">
        <v>25</v>
      </c>
      <c r="B9" s="5" t="s">
        <v>26</v>
      </c>
      <c r="D9" s="14" t="str">
        <f t="shared" ref="D9" si="0">TEXT(D4&amp;"/1/"&amp;D2,"mmm yy")</f>
        <v>Dec 17</v>
      </c>
      <c r="J9" s="8"/>
      <c r="K9" s="14" t="str">
        <f t="shared" ref="K9" si="1">TEXT(K4&amp;"/1/"&amp;K2,"mmm yy")</f>
        <v>Mar 21</v>
      </c>
    </row>
    <row r="10" spans="1:19" x14ac:dyDescent="0.25">
      <c r="D10" s="15"/>
      <c r="F10" s="15"/>
      <c r="G10" s="16"/>
      <c r="H10" s="15"/>
      <c r="J10" s="8"/>
      <c r="K10" s="15"/>
      <c r="M10" s="15"/>
      <c r="N10" s="16"/>
      <c r="O10" s="15"/>
    </row>
    <row r="11" spans="1:19" x14ac:dyDescent="0.25">
      <c r="D11" s="152"/>
      <c r="E11" s="152"/>
      <c r="F11" s="152"/>
      <c r="G11" s="16"/>
      <c r="H11" s="15"/>
      <c r="J11" s="8"/>
      <c r="K11" s="152" t="s">
        <v>17</v>
      </c>
      <c r="L11" s="152"/>
      <c r="M11" s="152"/>
      <c r="N11" s="152"/>
      <c r="O11" s="152"/>
    </row>
    <row r="12" spans="1:19" x14ac:dyDescent="0.25">
      <c r="D12" s="15"/>
      <c r="F12" s="15"/>
      <c r="G12" s="16"/>
      <c r="H12" s="15"/>
      <c r="J12" s="8"/>
      <c r="K12" s="15">
        <v>2021</v>
      </c>
      <c r="M12" s="17">
        <v>0.74890000000000001</v>
      </c>
      <c r="N12" s="16"/>
      <c r="O12" s="17">
        <v>0.25109999999999999</v>
      </c>
      <c r="R12" s="5" t="s">
        <v>16</v>
      </c>
    </row>
    <row r="13" spans="1:19" x14ac:dyDescent="0.25">
      <c r="D13" s="15">
        <v>2017</v>
      </c>
      <c r="J13" s="8"/>
      <c r="K13" s="15"/>
      <c r="M13" s="17"/>
      <c r="O13" s="17"/>
      <c r="P13" s="18" t="s">
        <v>15</v>
      </c>
    </row>
    <row r="14" spans="1:19" x14ac:dyDescent="0.25">
      <c r="A14" s="7" t="s">
        <v>27</v>
      </c>
      <c r="B14" s="19" t="s">
        <v>13</v>
      </c>
      <c r="C14" s="20" t="s">
        <v>28</v>
      </c>
      <c r="D14" s="21">
        <v>20296.75</v>
      </c>
      <c r="E14" s="20"/>
      <c r="F14" s="21">
        <v>14330.43</v>
      </c>
      <c r="G14" s="21"/>
      <c r="H14" s="21">
        <v>5966.32</v>
      </c>
      <c r="I14" s="20"/>
      <c r="J14" s="8"/>
      <c r="K14" s="21">
        <v>211.82</v>
      </c>
      <c r="L14" s="20"/>
      <c r="M14" s="21">
        <f>SUM(K14*$M$12)</f>
        <v>158.63199800000001</v>
      </c>
      <c r="N14" s="21"/>
      <c r="O14" s="21">
        <f>SUM(K14*$O$12)</f>
        <v>53.188001999999997</v>
      </c>
      <c r="P14" s="22">
        <f>O14-H14</f>
        <v>-5913.1319979999998</v>
      </c>
      <c r="R14" s="23">
        <f t="shared" ref="R14:R19" si="2">D14-F14-H14</f>
        <v>0</v>
      </c>
      <c r="S14" s="23">
        <f t="shared" ref="S14:S36" si="3">K14-M14-O14</f>
        <v>0</v>
      </c>
    </row>
    <row r="15" spans="1:19" x14ac:dyDescent="0.25">
      <c r="A15" s="7" t="s">
        <v>29</v>
      </c>
      <c r="B15" s="19" t="s">
        <v>13</v>
      </c>
      <c r="C15" s="20" t="s">
        <v>30</v>
      </c>
      <c r="D15" s="21">
        <v>2117.64</v>
      </c>
      <c r="E15" s="20"/>
      <c r="F15" s="21">
        <v>1589.08</v>
      </c>
      <c r="G15" s="21"/>
      <c r="H15" s="21">
        <v>528.55999999999995</v>
      </c>
      <c r="I15" s="20"/>
      <c r="J15" s="8"/>
      <c r="K15" s="21">
        <v>0</v>
      </c>
      <c r="L15" s="20"/>
      <c r="M15" s="21">
        <f t="shared" ref="M15:M19" si="4">SUM(K15*$M$12)</f>
        <v>0</v>
      </c>
      <c r="N15" s="21"/>
      <c r="O15" s="21">
        <f t="shared" ref="O15:O19" si="5">SUM(K15*$O$12)</f>
        <v>0</v>
      </c>
      <c r="P15" s="22">
        <f t="shared" ref="P15:P19" si="6">O15-H15</f>
        <v>-528.55999999999995</v>
      </c>
      <c r="R15" s="23">
        <f t="shared" si="2"/>
        <v>0</v>
      </c>
      <c r="S15" s="23">
        <f t="shared" si="3"/>
        <v>0</v>
      </c>
    </row>
    <row r="16" spans="1:19" x14ac:dyDescent="0.25">
      <c r="A16" s="7" t="s">
        <v>31</v>
      </c>
      <c r="B16" s="19" t="s">
        <v>13</v>
      </c>
      <c r="C16" s="20" t="s">
        <v>32</v>
      </c>
      <c r="D16" s="21">
        <v>815.66</v>
      </c>
      <c r="E16" s="20"/>
      <c r="F16" s="21">
        <v>657.82</v>
      </c>
      <c r="G16" s="21"/>
      <c r="H16" s="21">
        <v>157.84</v>
      </c>
      <c r="I16" s="20"/>
      <c r="J16" s="8"/>
      <c r="K16" s="21">
        <v>7.27</v>
      </c>
      <c r="L16" s="20"/>
      <c r="M16" s="21">
        <f t="shared" si="4"/>
        <v>5.4445030000000001</v>
      </c>
      <c r="N16" s="21"/>
      <c r="O16" s="21">
        <f t="shared" si="5"/>
        <v>1.8254969999999999</v>
      </c>
      <c r="P16" s="22">
        <f t="shared" si="6"/>
        <v>-156.01450299999999</v>
      </c>
      <c r="R16" s="23">
        <f t="shared" si="2"/>
        <v>0</v>
      </c>
      <c r="S16" s="23">
        <f t="shared" si="3"/>
        <v>0</v>
      </c>
    </row>
    <row r="17" spans="1:19" x14ac:dyDescent="0.25">
      <c r="A17" s="7" t="s">
        <v>33</v>
      </c>
      <c r="B17" s="19" t="s">
        <v>13</v>
      </c>
      <c r="C17" s="20" t="s">
        <v>34</v>
      </c>
      <c r="D17" s="21">
        <v>21933.759999999998</v>
      </c>
      <c r="E17" s="20"/>
      <c r="F17" s="21">
        <v>13313.07</v>
      </c>
      <c r="G17" s="21"/>
      <c r="H17" s="21">
        <v>8620.69</v>
      </c>
      <c r="I17" s="20"/>
      <c r="J17" s="8"/>
      <c r="K17" s="21">
        <v>6177.3</v>
      </c>
      <c r="L17" s="20"/>
      <c r="M17" s="21">
        <f t="shared" si="4"/>
        <v>4626.1799700000001</v>
      </c>
      <c r="N17" s="21"/>
      <c r="O17" s="21">
        <f t="shared" si="5"/>
        <v>1551.12003</v>
      </c>
      <c r="P17" s="22">
        <f>SUM(O17-H17)/2</f>
        <v>-3534.7849850000002</v>
      </c>
      <c r="R17" s="23">
        <f t="shared" si="2"/>
        <v>0</v>
      </c>
      <c r="S17" s="23">
        <f t="shared" si="3"/>
        <v>0</v>
      </c>
    </row>
    <row r="18" spans="1:19" x14ac:dyDescent="0.25">
      <c r="A18" s="7" t="s">
        <v>35</v>
      </c>
      <c r="B18" s="19" t="s">
        <v>13</v>
      </c>
      <c r="C18" s="20" t="s">
        <v>36</v>
      </c>
      <c r="D18" s="21">
        <v>16375.43</v>
      </c>
      <c r="E18" s="20"/>
      <c r="F18" s="21">
        <v>10951.77</v>
      </c>
      <c r="G18" s="21"/>
      <c r="H18" s="21">
        <v>5423.66</v>
      </c>
      <c r="I18" s="20"/>
      <c r="J18" s="8"/>
      <c r="K18" s="21">
        <v>3508.43</v>
      </c>
      <c r="L18" s="20"/>
      <c r="M18" s="21">
        <f t="shared" si="4"/>
        <v>2627.4632269999997</v>
      </c>
      <c r="N18" s="21"/>
      <c r="O18" s="21">
        <f t="shared" si="5"/>
        <v>880.96677299999988</v>
      </c>
      <c r="P18" s="22">
        <f t="shared" si="6"/>
        <v>-4542.6932269999998</v>
      </c>
      <c r="R18" s="23">
        <f t="shared" si="2"/>
        <v>0</v>
      </c>
      <c r="S18" s="23">
        <f t="shared" si="3"/>
        <v>0</v>
      </c>
    </row>
    <row r="19" spans="1:19" x14ac:dyDescent="0.25">
      <c r="A19" s="7" t="s">
        <v>37</v>
      </c>
      <c r="B19" s="19" t="s">
        <v>13</v>
      </c>
      <c r="C19" s="20" t="s">
        <v>38</v>
      </c>
      <c r="D19" s="21">
        <v>0</v>
      </c>
      <c r="E19" s="24">
        <f>SUM(D14:D19)</f>
        <v>61539.24</v>
      </c>
      <c r="F19" s="21">
        <v>0</v>
      </c>
      <c r="G19" s="24">
        <f>SUM(F14:F19)</f>
        <v>40842.17</v>
      </c>
      <c r="H19" s="21">
        <v>0</v>
      </c>
      <c r="I19" s="24">
        <f>SUM(H14:H19)</f>
        <v>20697.07</v>
      </c>
      <c r="J19" s="8"/>
      <c r="K19" s="21">
        <v>0</v>
      </c>
      <c r="L19" s="24">
        <f>SUM(K14:K19)</f>
        <v>9904.82</v>
      </c>
      <c r="M19" s="21">
        <f t="shared" si="4"/>
        <v>0</v>
      </c>
      <c r="N19" s="21"/>
      <c r="O19" s="21">
        <f t="shared" si="5"/>
        <v>0</v>
      </c>
      <c r="P19" s="22">
        <f t="shared" si="6"/>
        <v>0</v>
      </c>
      <c r="R19" s="23">
        <f t="shared" si="2"/>
        <v>0</v>
      </c>
      <c r="S19" s="23">
        <f t="shared" si="3"/>
        <v>0</v>
      </c>
    </row>
    <row r="20" spans="1:19" x14ac:dyDescent="0.25">
      <c r="A20" s="7"/>
      <c r="B20" s="7"/>
      <c r="D20" s="2"/>
      <c r="F20" s="2"/>
      <c r="G20" s="25"/>
      <c r="H20" s="2"/>
      <c r="J20" s="8"/>
      <c r="K20" s="2"/>
      <c r="L20" s="26">
        <f>L19-E19</f>
        <v>-51634.42</v>
      </c>
      <c r="M20" s="2"/>
      <c r="N20" s="26">
        <f>N19-G19</f>
        <v>-40842.17</v>
      </c>
      <c r="O20" s="2"/>
      <c r="P20" s="27">
        <f>SUM(P14:P19)</f>
        <v>-14675.184713000001</v>
      </c>
      <c r="R20" s="23"/>
      <c r="S20" s="23"/>
    </row>
    <row r="21" spans="1:19" x14ac:dyDescent="0.25">
      <c r="A21" s="7"/>
      <c r="B21" s="7"/>
      <c r="D21" s="2"/>
      <c r="F21" s="2"/>
      <c r="G21" s="25"/>
      <c r="H21" s="2"/>
      <c r="J21" s="8"/>
      <c r="K21" s="2"/>
      <c r="L21" s="28"/>
      <c r="M21" s="25"/>
      <c r="N21" s="28"/>
      <c r="O21" s="2"/>
      <c r="P21" s="27"/>
      <c r="R21" s="23"/>
      <c r="S21" s="23"/>
    </row>
    <row r="22" spans="1:19" x14ac:dyDescent="0.25">
      <c r="A22" s="7" t="s">
        <v>39</v>
      </c>
      <c r="B22" s="29" t="s">
        <v>13</v>
      </c>
      <c r="C22" s="30" t="s">
        <v>40</v>
      </c>
      <c r="D22" s="31">
        <v>0</v>
      </c>
      <c r="E22" s="30"/>
      <c r="F22" s="31">
        <v>0</v>
      </c>
      <c r="G22" s="30"/>
      <c r="H22" s="31">
        <v>0</v>
      </c>
      <c r="I22" s="30"/>
      <c r="J22" s="8"/>
      <c r="K22" s="31">
        <v>0</v>
      </c>
      <c r="L22" s="30"/>
      <c r="M22" s="31">
        <f>SUM(K22*$M$12)</f>
        <v>0</v>
      </c>
      <c r="N22" s="31"/>
      <c r="O22" s="31">
        <f>SUM(K22*$O$12)</f>
        <v>0</v>
      </c>
      <c r="P22" s="22">
        <f>O22-H22</f>
        <v>0</v>
      </c>
      <c r="R22" s="23">
        <f t="shared" ref="R22:R27" si="7">D22-F22-H22</f>
        <v>0</v>
      </c>
      <c r="S22" s="23">
        <f t="shared" si="3"/>
        <v>0</v>
      </c>
    </row>
    <row r="23" spans="1:19" x14ac:dyDescent="0.25">
      <c r="A23" s="7" t="s">
        <v>41</v>
      </c>
      <c r="B23" s="29" t="s">
        <v>13</v>
      </c>
      <c r="C23" s="30" t="s">
        <v>42</v>
      </c>
      <c r="D23" s="31">
        <v>0</v>
      </c>
      <c r="E23" s="30"/>
      <c r="F23" s="31">
        <v>0</v>
      </c>
      <c r="G23" s="30"/>
      <c r="H23" s="31">
        <v>0</v>
      </c>
      <c r="I23" s="30"/>
      <c r="J23" s="8"/>
      <c r="K23" s="31">
        <v>0</v>
      </c>
      <c r="L23" s="30"/>
      <c r="M23" s="31">
        <f t="shared" ref="M23:M27" si="8">SUM(K23*$M$12)</f>
        <v>0</v>
      </c>
      <c r="N23" s="31"/>
      <c r="O23" s="31">
        <f t="shared" ref="O23:O27" si="9">SUM(K23*$O$12)</f>
        <v>0</v>
      </c>
      <c r="P23" s="22">
        <f t="shared" ref="P23:P27" si="10">O23-H23</f>
        <v>0</v>
      </c>
      <c r="R23" s="23">
        <f t="shared" si="7"/>
        <v>0</v>
      </c>
      <c r="S23" s="23">
        <f t="shared" si="3"/>
        <v>0</v>
      </c>
    </row>
    <row r="24" spans="1:19" x14ac:dyDescent="0.25">
      <c r="A24" s="7" t="s">
        <v>43</v>
      </c>
      <c r="B24" s="29" t="s">
        <v>13</v>
      </c>
      <c r="C24" s="30" t="s">
        <v>44</v>
      </c>
      <c r="D24" s="31">
        <v>8244.5300000000007</v>
      </c>
      <c r="E24" s="30"/>
      <c r="F24" s="31">
        <v>5694.03</v>
      </c>
      <c r="G24" s="30"/>
      <c r="H24" s="31">
        <v>2550.5</v>
      </c>
      <c r="I24" s="30"/>
      <c r="J24" s="8"/>
      <c r="K24" s="31">
        <v>7952.46</v>
      </c>
      <c r="L24" s="30"/>
      <c r="M24" s="31">
        <f t="shared" si="8"/>
        <v>5955.5972940000001</v>
      </c>
      <c r="N24" s="31"/>
      <c r="O24" s="31">
        <f t="shared" si="9"/>
        <v>1996.8627059999999</v>
      </c>
      <c r="P24" s="22">
        <f t="shared" si="10"/>
        <v>-553.63729400000011</v>
      </c>
      <c r="R24" s="23">
        <f t="shared" si="7"/>
        <v>0</v>
      </c>
      <c r="S24" s="23">
        <f t="shared" si="3"/>
        <v>0</v>
      </c>
    </row>
    <row r="25" spans="1:19" x14ac:dyDescent="0.25">
      <c r="A25" s="7" t="s">
        <v>45</v>
      </c>
      <c r="B25" s="29" t="s">
        <v>13</v>
      </c>
      <c r="C25" s="30" t="s">
        <v>46</v>
      </c>
      <c r="D25" s="31">
        <v>0</v>
      </c>
      <c r="E25" s="30"/>
      <c r="F25" s="31">
        <v>0</v>
      </c>
      <c r="G25" s="30"/>
      <c r="H25" s="31">
        <v>0</v>
      </c>
      <c r="I25" s="30"/>
      <c r="J25" s="8"/>
      <c r="K25" s="31">
        <v>0</v>
      </c>
      <c r="L25" s="30"/>
      <c r="M25" s="31">
        <f t="shared" si="8"/>
        <v>0</v>
      </c>
      <c r="N25" s="31"/>
      <c r="O25" s="31">
        <f t="shared" si="9"/>
        <v>0</v>
      </c>
      <c r="P25" s="22">
        <f t="shared" si="10"/>
        <v>0</v>
      </c>
      <c r="R25" s="23">
        <f t="shared" si="7"/>
        <v>0</v>
      </c>
      <c r="S25" s="23">
        <f t="shared" si="3"/>
        <v>0</v>
      </c>
    </row>
    <row r="26" spans="1:19" x14ac:dyDescent="0.25">
      <c r="A26" s="7" t="s">
        <v>47</v>
      </c>
      <c r="B26" s="29" t="s">
        <v>13</v>
      </c>
      <c r="C26" s="30" t="s">
        <v>48</v>
      </c>
      <c r="D26" s="31">
        <v>8700.1200000000008</v>
      </c>
      <c r="E26" s="30"/>
      <c r="F26" s="31">
        <v>5989.28</v>
      </c>
      <c r="G26" s="30"/>
      <c r="H26" s="31">
        <v>2710.84</v>
      </c>
      <c r="I26" s="30"/>
      <c r="J26" s="8"/>
      <c r="K26" s="31">
        <v>12283.56</v>
      </c>
      <c r="L26" s="30"/>
      <c r="M26" s="31">
        <f t="shared" si="8"/>
        <v>9199.1580840000006</v>
      </c>
      <c r="N26" s="31"/>
      <c r="O26" s="31">
        <f t="shared" si="9"/>
        <v>3084.4019159999998</v>
      </c>
      <c r="P26" s="22">
        <f t="shared" si="10"/>
        <v>373.56191599999966</v>
      </c>
      <c r="R26" s="23">
        <f t="shared" si="7"/>
        <v>0</v>
      </c>
      <c r="S26" s="23">
        <f t="shared" si="3"/>
        <v>0</v>
      </c>
    </row>
    <row r="27" spans="1:19" x14ac:dyDescent="0.25">
      <c r="A27" s="7" t="s">
        <v>49</v>
      </c>
      <c r="B27" s="29" t="s">
        <v>13</v>
      </c>
      <c r="C27" s="30" t="s">
        <v>50</v>
      </c>
      <c r="D27" s="31">
        <v>7099.07</v>
      </c>
      <c r="E27" s="32">
        <f>SUM(D22:D27)</f>
        <v>24043.72</v>
      </c>
      <c r="F27" s="31">
        <v>6475.3</v>
      </c>
      <c r="G27" s="32">
        <f>SUM(F22:F27)</f>
        <v>18158.61</v>
      </c>
      <c r="H27" s="31">
        <v>623.77</v>
      </c>
      <c r="I27" s="32">
        <f>SUM(H22:H27)</f>
        <v>5885.1100000000006</v>
      </c>
      <c r="J27" s="8"/>
      <c r="K27" s="31">
        <v>0</v>
      </c>
      <c r="L27" s="32">
        <f>SUM(K22:K27)</f>
        <v>20236.02</v>
      </c>
      <c r="M27" s="31">
        <f t="shared" si="8"/>
        <v>0</v>
      </c>
      <c r="N27" s="31"/>
      <c r="O27" s="31">
        <f t="shared" si="9"/>
        <v>0</v>
      </c>
      <c r="P27" s="22">
        <f t="shared" si="10"/>
        <v>-623.77</v>
      </c>
      <c r="R27" s="23">
        <f t="shared" si="7"/>
        <v>0</v>
      </c>
      <c r="S27" s="23">
        <f t="shared" si="3"/>
        <v>0</v>
      </c>
    </row>
    <row r="28" spans="1:19" x14ac:dyDescent="0.25">
      <c r="A28" s="7"/>
      <c r="B28" s="7"/>
      <c r="D28" s="25"/>
      <c r="E28" s="23"/>
      <c r="F28" s="25"/>
      <c r="G28" s="25"/>
      <c r="H28" s="25"/>
      <c r="J28" s="8"/>
      <c r="K28" s="25"/>
      <c r="L28" s="33">
        <f>L27-E27</f>
        <v>-3807.7000000000007</v>
      </c>
      <c r="M28" s="25"/>
      <c r="N28" s="33">
        <f>N27-G27</f>
        <v>-18158.61</v>
      </c>
      <c r="O28" s="25"/>
      <c r="P28" s="27">
        <f>SUM(P22:P27)</f>
        <v>-803.84537800000044</v>
      </c>
      <c r="R28" s="23"/>
      <c r="S28" s="23"/>
    </row>
    <row r="29" spans="1:19" x14ac:dyDescent="0.25">
      <c r="A29" s="7"/>
      <c r="B29" s="7"/>
      <c r="D29" s="25"/>
      <c r="E29" s="23"/>
      <c r="F29" s="25"/>
      <c r="G29" s="25"/>
      <c r="H29" s="25"/>
      <c r="J29" s="8"/>
      <c r="K29" s="25"/>
      <c r="L29" s="28"/>
      <c r="M29" s="25"/>
      <c r="N29" s="25"/>
      <c r="O29" s="25"/>
      <c r="P29" s="34"/>
      <c r="R29" s="23"/>
      <c r="S29" s="23"/>
    </row>
    <row r="30" spans="1:19" x14ac:dyDescent="0.25">
      <c r="A30" s="7" t="s">
        <v>51</v>
      </c>
      <c r="B30" s="35" t="s">
        <v>13</v>
      </c>
      <c r="C30" s="36" t="s">
        <v>52</v>
      </c>
      <c r="D30" s="37">
        <v>22557.41</v>
      </c>
      <c r="E30" s="36"/>
      <c r="F30" s="37">
        <v>16927.080000000002</v>
      </c>
      <c r="G30" s="37"/>
      <c r="H30" s="37">
        <v>5630.33</v>
      </c>
      <c r="I30" s="36"/>
      <c r="J30" s="8"/>
      <c r="K30" s="37">
        <v>35751.360000000001</v>
      </c>
      <c r="L30" s="36"/>
      <c r="M30" s="37">
        <f t="shared" ref="M30" si="11">SUM(K30*$M$12)</f>
        <v>26774.193504000003</v>
      </c>
      <c r="N30" s="37"/>
      <c r="O30" s="37">
        <f t="shared" ref="O30" si="12">SUM(K30*$O$12)</f>
        <v>8977.1664959999998</v>
      </c>
      <c r="P30" s="22">
        <f t="shared" ref="P30" si="13">O30-H30</f>
        <v>3346.8364959999999</v>
      </c>
      <c r="R30" s="23">
        <f>D30-F30-H30</f>
        <v>0</v>
      </c>
      <c r="S30" s="23">
        <f>K30-M30-O30</f>
        <v>0</v>
      </c>
    </row>
    <row r="31" spans="1:19" x14ac:dyDescent="0.25">
      <c r="A31" s="7"/>
      <c r="B31" s="7"/>
      <c r="D31" s="25"/>
      <c r="F31" s="25"/>
      <c r="G31" s="25"/>
      <c r="H31" s="25"/>
      <c r="J31" s="8"/>
      <c r="K31" s="25"/>
      <c r="L31" s="38">
        <f>K30-D30</f>
        <v>13193.95</v>
      </c>
      <c r="M31" s="2"/>
      <c r="N31" s="38">
        <f>M30-F30</f>
        <v>9847.1135040000008</v>
      </c>
      <c r="O31" s="2"/>
      <c r="P31" s="27">
        <f>SUM(P30)</f>
        <v>3346.8364959999999</v>
      </c>
      <c r="Q31" s="28"/>
      <c r="R31" s="23"/>
      <c r="S31" s="23"/>
    </row>
    <row r="32" spans="1:19" x14ac:dyDescent="0.25">
      <c r="A32" s="7"/>
      <c r="B32" s="7"/>
      <c r="D32" s="25"/>
      <c r="F32" s="25"/>
      <c r="G32" s="25"/>
      <c r="H32" s="25"/>
      <c r="J32" s="8"/>
      <c r="K32" s="25"/>
      <c r="L32" s="28"/>
      <c r="M32" s="2"/>
      <c r="N32" s="28"/>
      <c r="O32" s="2"/>
      <c r="P32" s="27"/>
      <c r="Q32" s="28"/>
      <c r="R32" s="23"/>
      <c r="S32" s="23"/>
    </row>
    <row r="33" spans="1:26" x14ac:dyDescent="0.25">
      <c r="A33" s="7" t="s">
        <v>53</v>
      </c>
      <c r="B33" s="39" t="s">
        <v>13</v>
      </c>
      <c r="C33" s="40" t="s">
        <v>54</v>
      </c>
      <c r="D33" s="41">
        <v>226939.45</v>
      </c>
      <c r="E33" s="40"/>
      <c r="F33" s="41">
        <v>167967.75</v>
      </c>
      <c r="G33" s="41"/>
      <c r="H33" s="41">
        <v>58971.7</v>
      </c>
      <c r="I33" s="40"/>
      <c r="J33" s="8"/>
      <c r="K33" s="41">
        <v>185122.35</v>
      </c>
      <c r="L33" s="40"/>
      <c r="M33" s="41">
        <f t="shared" ref="M33" si="14">SUM(K33*$M$12)</f>
        <v>138638.12791500002</v>
      </c>
      <c r="N33" s="42"/>
      <c r="O33" s="41">
        <f t="shared" ref="O33" si="15">SUM(K33*$O$12)</f>
        <v>46484.222085000001</v>
      </c>
      <c r="P33" s="42">
        <v>-1715.7</v>
      </c>
      <c r="R33" s="23">
        <f>D33-F33-H33</f>
        <v>0</v>
      </c>
      <c r="S33" s="23">
        <f>K33-M33-O33</f>
        <v>0</v>
      </c>
      <c r="T33" s="43" t="s">
        <v>55</v>
      </c>
      <c r="U33" s="43"/>
      <c r="V33" s="44"/>
      <c r="W33" s="44"/>
      <c r="X33" s="44"/>
      <c r="Y33" s="44"/>
      <c r="Z33" s="44"/>
    </row>
    <row r="34" spans="1:26" x14ac:dyDescent="0.25">
      <c r="A34" s="7"/>
      <c r="B34" s="7"/>
      <c r="D34" s="25"/>
      <c r="E34" s="23"/>
      <c r="F34" s="25"/>
      <c r="G34" s="25"/>
      <c r="H34" s="25"/>
      <c r="J34" s="8"/>
      <c r="K34" s="25"/>
      <c r="L34" s="45">
        <f>K33-D33</f>
        <v>-41817.100000000006</v>
      </c>
      <c r="M34" s="2"/>
      <c r="N34" s="45">
        <f>M33-F33</f>
        <v>-29329.622084999981</v>
      </c>
      <c r="O34" s="2"/>
      <c r="P34" s="27">
        <f>SUM(P33)</f>
        <v>-1715.7</v>
      </c>
      <c r="Q34" s="28"/>
      <c r="R34" s="23"/>
      <c r="S34" s="23"/>
      <c r="T34" s="44" t="s">
        <v>56</v>
      </c>
      <c r="U34" s="44"/>
      <c r="V34" s="44"/>
    </row>
    <row r="35" spans="1:26" x14ac:dyDescent="0.25">
      <c r="A35" s="7"/>
      <c r="B35" s="7"/>
      <c r="D35" s="25"/>
      <c r="E35" s="23"/>
      <c r="F35" s="25"/>
      <c r="G35" s="25"/>
      <c r="H35" s="25"/>
      <c r="J35" s="8"/>
      <c r="K35" s="25"/>
      <c r="L35" s="28"/>
      <c r="M35" s="2"/>
      <c r="N35" s="28"/>
      <c r="O35" s="2"/>
      <c r="P35" s="27"/>
      <c r="Q35" s="28"/>
      <c r="R35" s="23"/>
      <c r="S35" s="23"/>
    </row>
    <row r="36" spans="1:26" x14ac:dyDescent="0.25">
      <c r="A36" s="7" t="s">
        <v>57</v>
      </c>
      <c r="B36" s="46" t="s">
        <v>13</v>
      </c>
      <c r="C36" s="47" t="s">
        <v>58</v>
      </c>
      <c r="D36" s="48">
        <v>11714.45</v>
      </c>
      <c r="E36" s="47"/>
      <c r="F36" s="48">
        <v>7500.92</v>
      </c>
      <c r="G36" s="48"/>
      <c r="H36" s="48">
        <v>4213.53</v>
      </c>
      <c r="I36" s="47"/>
      <c r="J36" s="8"/>
      <c r="K36" s="48">
        <v>12859.96</v>
      </c>
      <c r="L36" s="47"/>
      <c r="M36" s="48">
        <f t="shared" ref="M36" si="16">SUM(K36*$M$12)</f>
        <v>9630.824043999999</v>
      </c>
      <c r="N36" s="48"/>
      <c r="O36" s="48">
        <f t="shared" ref="O36" si="17">SUM(K36*$O$12)</f>
        <v>3229.1359559999996</v>
      </c>
      <c r="P36" s="22">
        <f t="shared" ref="P36" si="18">O36-H36</f>
        <v>-984.39404400000012</v>
      </c>
      <c r="R36" s="23">
        <f>D36-F36-H36</f>
        <v>0</v>
      </c>
      <c r="S36" s="23">
        <f t="shared" si="3"/>
        <v>0</v>
      </c>
    </row>
    <row r="37" spans="1:26" x14ac:dyDescent="0.25">
      <c r="A37" s="7"/>
      <c r="B37" s="7"/>
      <c r="D37" s="2"/>
      <c r="F37" s="2"/>
      <c r="G37" s="25"/>
      <c r="H37" s="2"/>
      <c r="J37" s="8"/>
      <c r="K37" s="2"/>
      <c r="L37" s="49">
        <f>K36-D36</f>
        <v>1145.5099999999984</v>
      </c>
      <c r="M37" s="2"/>
      <c r="N37" s="49">
        <f>M36-F36</f>
        <v>2129.904043999999</v>
      </c>
      <c r="O37" s="2"/>
      <c r="P37" s="27">
        <f>SUM(P36)</f>
        <v>-984.39404400000012</v>
      </c>
      <c r="Q37" s="28"/>
      <c r="R37" s="23"/>
      <c r="S37" s="23"/>
    </row>
    <row r="38" spans="1:26" x14ac:dyDescent="0.25">
      <c r="A38" s="7"/>
      <c r="B38" s="7"/>
      <c r="D38" s="2"/>
      <c r="F38" s="2"/>
      <c r="G38" s="25"/>
      <c r="H38" s="23" t="s">
        <v>59</v>
      </c>
      <c r="J38" s="8"/>
      <c r="K38" s="50">
        <v>80959.37</v>
      </c>
      <c r="M38" s="2"/>
      <c r="N38" s="25"/>
      <c r="O38" s="2"/>
      <c r="P38" s="27">
        <f>-K38*O12</f>
        <v>-20328.897806999998</v>
      </c>
      <c r="R38" s="23"/>
      <c r="S38" s="23" t="s">
        <v>59</v>
      </c>
    </row>
    <row r="39" spans="1:26" x14ac:dyDescent="0.25">
      <c r="A39" s="7"/>
      <c r="B39" s="7"/>
      <c r="D39" s="2"/>
      <c r="F39" s="2"/>
      <c r="G39" s="25"/>
      <c r="H39" s="2"/>
      <c r="J39" s="8"/>
      <c r="K39" s="2"/>
      <c r="M39" s="2"/>
      <c r="N39" s="25"/>
      <c r="O39" s="2"/>
      <c r="P39" s="51">
        <f>P20+P28+P31+P34+P37+P38</f>
        <v>-35161.185446000003</v>
      </c>
      <c r="R39" s="23"/>
      <c r="S39" s="23"/>
    </row>
    <row r="43" spans="1:26" x14ac:dyDescent="0.25">
      <c r="A43" s="4"/>
      <c r="C43" s="6" t="s">
        <v>0</v>
      </c>
      <c r="D43" s="7" t="s">
        <v>1</v>
      </c>
      <c r="F43" s="7" t="s">
        <v>2</v>
      </c>
      <c r="G43" s="7"/>
      <c r="H43" s="7" t="s">
        <v>3</v>
      </c>
      <c r="J43" s="8"/>
      <c r="K43" s="7" t="s">
        <v>1</v>
      </c>
      <c r="M43" s="7" t="s">
        <v>2</v>
      </c>
      <c r="N43" s="7"/>
      <c r="O43" s="7" t="s">
        <v>3</v>
      </c>
    </row>
    <row r="44" spans="1:26" x14ac:dyDescent="0.25">
      <c r="A44" s="4"/>
      <c r="C44" s="6" t="s">
        <v>4</v>
      </c>
      <c r="D44" s="52"/>
      <c r="J44" s="8"/>
      <c r="K44" s="53" t="s">
        <v>21</v>
      </c>
    </row>
    <row r="45" spans="1:26" x14ac:dyDescent="0.25">
      <c r="A45" s="4"/>
      <c r="C45" s="6" t="s">
        <v>5</v>
      </c>
      <c r="D45" s="7"/>
      <c r="J45" s="8"/>
      <c r="K45" s="7" t="s">
        <v>6</v>
      </c>
    </row>
    <row r="46" spans="1:26" ht="15.75" x14ac:dyDescent="0.25">
      <c r="A46" s="4"/>
      <c r="C46" s="6" t="s">
        <v>7</v>
      </c>
      <c r="D46" s="54"/>
      <c r="J46" s="8"/>
      <c r="K46" s="11" t="s">
        <v>23</v>
      </c>
    </row>
    <row r="47" spans="1:26" x14ac:dyDescent="0.25">
      <c r="A47" s="4"/>
      <c r="C47" s="6" t="s">
        <v>8</v>
      </c>
      <c r="D47" s="7"/>
      <c r="J47" s="8"/>
      <c r="K47" s="7" t="s">
        <v>9</v>
      </c>
    </row>
    <row r="48" spans="1:26" x14ac:dyDescent="0.25">
      <c r="A48" s="4"/>
      <c r="C48" s="6" t="s">
        <v>11</v>
      </c>
      <c r="D48" s="7"/>
      <c r="J48" s="8"/>
      <c r="K48" s="7" t="s">
        <v>12</v>
      </c>
    </row>
    <row r="49" spans="1:19" x14ac:dyDescent="0.25">
      <c r="A49" s="4"/>
      <c r="C49" s="6" t="s">
        <v>10</v>
      </c>
      <c r="D49" s="12"/>
      <c r="J49" s="8"/>
      <c r="K49" s="12" t="s">
        <v>13</v>
      </c>
    </row>
    <row r="50" spans="1:19" x14ac:dyDescent="0.25">
      <c r="D50" s="55"/>
      <c r="J50" s="8"/>
      <c r="K50" s="13" t="s">
        <v>24</v>
      </c>
    </row>
    <row r="51" spans="1:19" x14ac:dyDescent="0.25">
      <c r="A51" s="5" t="s">
        <v>25</v>
      </c>
      <c r="B51" s="5" t="s">
        <v>26</v>
      </c>
      <c r="D51" s="56" t="s">
        <v>60</v>
      </c>
      <c r="J51" s="8"/>
      <c r="K51" s="14" t="str">
        <f t="shared" ref="K51" si="19">TEXT(K46&amp;"/1/"&amp;K44,"mmm yy")</f>
        <v>Mar 21</v>
      </c>
    </row>
    <row r="52" spans="1:19" x14ac:dyDescent="0.25">
      <c r="D52" s="15"/>
      <c r="F52" s="15"/>
      <c r="G52" s="16"/>
      <c r="H52" s="15"/>
      <c r="J52" s="8"/>
      <c r="K52" s="15"/>
      <c r="M52" s="15"/>
      <c r="N52" s="16"/>
      <c r="O52" s="15"/>
    </row>
    <row r="53" spans="1:19" x14ac:dyDescent="0.25">
      <c r="D53" s="153" t="s">
        <v>61</v>
      </c>
      <c r="E53" s="153"/>
      <c r="F53" s="153"/>
      <c r="G53" s="16"/>
      <c r="H53" s="15"/>
      <c r="J53" s="8"/>
      <c r="K53" s="152" t="s">
        <v>17</v>
      </c>
      <c r="L53" s="152"/>
      <c r="M53" s="152"/>
      <c r="N53" s="152"/>
      <c r="O53" s="152"/>
    </row>
    <row r="54" spans="1:19" x14ac:dyDescent="0.25">
      <c r="D54" s="153"/>
      <c r="E54" s="153"/>
      <c r="F54" s="153"/>
      <c r="G54" s="16"/>
      <c r="H54" s="15"/>
      <c r="J54" s="8"/>
      <c r="K54" s="15">
        <v>2021</v>
      </c>
      <c r="M54" s="17">
        <f>+M12</f>
        <v>0.74890000000000001</v>
      </c>
      <c r="N54" s="16"/>
      <c r="O54" s="17">
        <f>+O12</f>
        <v>0.25109999999999999</v>
      </c>
      <c r="R54" s="5" t="s">
        <v>16</v>
      </c>
    </row>
    <row r="55" spans="1:19" x14ac:dyDescent="0.25">
      <c r="D55" s="15"/>
      <c r="J55" s="8"/>
      <c r="K55" s="15"/>
      <c r="N55" s="57" t="s">
        <v>14</v>
      </c>
    </row>
    <row r="56" spans="1:19" x14ac:dyDescent="0.25">
      <c r="A56" s="7" t="s">
        <v>27</v>
      </c>
      <c r="B56" s="19" t="s">
        <v>13</v>
      </c>
      <c r="C56" s="20" t="s">
        <v>28</v>
      </c>
      <c r="D56" s="21">
        <f>SUM('[3]Paste Special WA 5yr'!D14)/12</f>
        <v>14761.550000000001</v>
      </c>
      <c r="E56" s="20"/>
      <c r="F56" s="21">
        <f>SUM('[3]Paste Special WA 5yr'!F14)/12</f>
        <v>10845.024666666666</v>
      </c>
      <c r="G56" s="21"/>
      <c r="H56" s="21">
        <f>SUM('[3]Paste Special WA 5yr'!H14)/12</f>
        <v>3916.5253333333335</v>
      </c>
      <c r="I56" s="20"/>
      <c r="J56" s="8"/>
      <c r="K56" s="21">
        <v>211.82</v>
      </c>
      <c r="L56" s="20"/>
      <c r="M56" s="21">
        <f>SUM(K56*$M$54)</f>
        <v>158.63199800000001</v>
      </c>
      <c r="N56" s="58">
        <f>M56-F56</f>
        <v>-10686.392668666665</v>
      </c>
      <c r="O56" s="21">
        <f>SUM(K56*$O$54)</f>
        <v>53.188001999999997</v>
      </c>
      <c r="P56" s="20"/>
      <c r="R56" s="23">
        <f t="shared" ref="R56:R61" si="20">D56-F56-H56</f>
        <v>0</v>
      </c>
      <c r="S56" s="23">
        <f t="shared" ref="S56:S61" si="21">K56-M56-O56</f>
        <v>0</v>
      </c>
    </row>
    <row r="57" spans="1:19" x14ac:dyDescent="0.25">
      <c r="A57" s="7" t="s">
        <v>29</v>
      </c>
      <c r="B57" s="19" t="s">
        <v>13</v>
      </c>
      <c r="C57" s="20" t="s">
        <v>30</v>
      </c>
      <c r="D57" s="21">
        <f>SUM('[3]Paste Special WA 5yr'!D15)/12</f>
        <v>3779.2791666666667</v>
      </c>
      <c r="E57" s="20"/>
      <c r="F57" s="21">
        <f>SUM('[3]Paste Special WA 5yr'!F15)/12</f>
        <v>2797.3644999999997</v>
      </c>
      <c r="G57" s="21"/>
      <c r="H57" s="21">
        <f>SUM('[3]Paste Special WA 5yr'!H15)/12</f>
        <v>981.91466666666656</v>
      </c>
      <c r="I57" s="20"/>
      <c r="J57" s="8"/>
      <c r="K57" s="21">
        <v>0</v>
      </c>
      <c r="L57" s="20"/>
      <c r="M57" s="21">
        <f t="shared" ref="M57:M61" si="22">SUM(K57*$M$54)</f>
        <v>0</v>
      </c>
      <c r="N57" s="58">
        <f t="shared" ref="N57:N61" si="23">M57-F57</f>
        <v>-2797.3644999999997</v>
      </c>
      <c r="O57" s="21">
        <f t="shared" ref="O57:O61" si="24">SUM(K57*$O$54)</f>
        <v>0</v>
      </c>
      <c r="P57" s="20"/>
      <c r="R57" s="23">
        <f t="shared" si="20"/>
        <v>0</v>
      </c>
      <c r="S57" s="23">
        <f t="shared" si="21"/>
        <v>0</v>
      </c>
    </row>
    <row r="58" spans="1:19" x14ac:dyDescent="0.25">
      <c r="A58" s="7" t="s">
        <v>31</v>
      </c>
      <c r="B58" s="19" t="s">
        <v>13</v>
      </c>
      <c r="C58" s="20" t="s">
        <v>32</v>
      </c>
      <c r="D58" s="21">
        <f>SUM('[3]Paste Special WA 5yr'!D16)/12</f>
        <v>1259.5603333333331</v>
      </c>
      <c r="E58" s="20"/>
      <c r="F58" s="21">
        <f>SUM('[3]Paste Special WA 5yr'!F16)/12</f>
        <v>941.35399999999993</v>
      </c>
      <c r="G58" s="21"/>
      <c r="H58" s="21">
        <f>SUM('[3]Paste Special WA 5yr'!H16)/12</f>
        <v>318.20633333333336</v>
      </c>
      <c r="I58" s="20"/>
      <c r="J58" s="8"/>
      <c r="K58" s="21">
        <v>7.27</v>
      </c>
      <c r="L58" s="20"/>
      <c r="M58" s="21">
        <f t="shared" si="22"/>
        <v>5.4445030000000001</v>
      </c>
      <c r="N58" s="58">
        <f t="shared" si="23"/>
        <v>-935.90949699999987</v>
      </c>
      <c r="O58" s="21">
        <f t="shared" si="24"/>
        <v>1.8254969999999999</v>
      </c>
      <c r="P58" s="20"/>
      <c r="R58" s="23">
        <f t="shared" si="20"/>
        <v>0</v>
      </c>
      <c r="S58" s="23">
        <f t="shared" si="21"/>
        <v>0</v>
      </c>
    </row>
    <row r="59" spans="1:19" x14ac:dyDescent="0.25">
      <c r="A59" s="7" t="s">
        <v>33</v>
      </c>
      <c r="B59" s="19" t="s">
        <v>13</v>
      </c>
      <c r="C59" s="20" t="s">
        <v>34</v>
      </c>
      <c r="D59" s="21">
        <f>SUM('[3]Paste Special WA 5yr'!D17)/12</f>
        <v>23419.128000000001</v>
      </c>
      <c r="E59" s="20"/>
      <c r="F59" s="21">
        <f>SUM('[3]Paste Special WA 5yr'!F17)/12</f>
        <v>16565.006833333333</v>
      </c>
      <c r="G59" s="21"/>
      <c r="H59" s="21">
        <f>SUM('[3]Paste Special WA 5yr'!H17)/12</f>
        <v>6854.1211666666668</v>
      </c>
      <c r="I59" s="20"/>
      <c r="J59" s="8"/>
      <c r="K59" s="21">
        <v>6177.3</v>
      </c>
      <c r="L59" s="20"/>
      <c r="M59" s="21">
        <f t="shared" si="22"/>
        <v>4626.1799700000001</v>
      </c>
      <c r="N59" s="58">
        <f t="shared" si="23"/>
        <v>-11938.826863333332</v>
      </c>
      <c r="O59" s="21">
        <f t="shared" si="24"/>
        <v>1551.12003</v>
      </c>
      <c r="P59" s="20"/>
      <c r="R59" s="23">
        <f t="shared" si="20"/>
        <v>0</v>
      </c>
      <c r="S59" s="23">
        <f t="shared" si="21"/>
        <v>0</v>
      </c>
    </row>
    <row r="60" spans="1:19" x14ac:dyDescent="0.25">
      <c r="A60" s="7" t="s">
        <v>35</v>
      </c>
      <c r="B60" s="19" t="s">
        <v>13</v>
      </c>
      <c r="C60" s="20" t="s">
        <v>36</v>
      </c>
      <c r="D60" s="21">
        <f>SUM('[3]Paste Special WA 5yr'!D18)/12</f>
        <v>25420.995500000001</v>
      </c>
      <c r="E60" s="20"/>
      <c r="F60" s="21">
        <f>SUM('[3]Paste Special WA 5yr'!F18)/12</f>
        <v>18246.845166666666</v>
      </c>
      <c r="G60" s="21"/>
      <c r="H60" s="21">
        <f>SUM('[3]Paste Special WA 5yr'!H18)/12</f>
        <v>7174.1503333333339</v>
      </c>
      <c r="I60" s="20"/>
      <c r="J60" s="8"/>
      <c r="K60" s="21">
        <v>3508.43</v>
      </c>
      <c r="L60" s="20"/>
      <c r="M60" s="21">
        <f t="shared" si="22"/>
        <v>2627.4632269999997</v>
      </c>
      <c r="N60" s="58">
        <f t="shared" si="23"/>
        <v>-15619.381939666666</v>
      </c>
      <c r="O60" s="21">
        <f t="shared" si="24"/>
        <v>880.96677299999988</v>
      </c>
      <c r="P60" s="20"/>
      <c r="R60" s="23">
        <f t="shared" si="20"/>
        <v>0</v>
      </c>
      <c r="S60" s="23">
        <f t="shared" si="21"/>
        <v>0</v>
      </c>
    </row>
    <row r="61" spans="1:19" x14ac:dyDescent="0.25">
      <c r="A61" s="7" t="s">
        <v>37</v>
      </c>
      <c r="B61" s="19" t="s">
        <v>13</v>
      </c>
      <c r="C61" s="20" t="s">
        <v>38</v>
      </c>
      <c r="D61" s="21">
        <f>SUM('[3]Paste Special WA 5yr'!D19)/12</f>
        <v>335.31433333333331</v>
      </c>
      <c r="E61" s="20"/>
      <c r="F61" s="21">
        <f>SUM('[3]Paste Special WA 5yr'!F19)/12</f>
        <v>255.99350000000001</v>
      </c>
      <c r="G61" s="21"/>
      <c r="H61" s="21">
        <f>SUM('[3]Paste Special WA 5yr'!H19)/12</f>
        <v>79.32083333333334</v>
      </c>
      <c r="I61" s="24">
        <f>SUM(H56:H61)</f>
        <v>19324.238666666672</v>
      </c>
      <c r="J61" s="8"/>
      <c r="K61" s="21">
        <v>0</v>
      </c>
      <c r="L61" s="24">
        <f>SUM(K56:K61)</f>
        <v>9904.82</v>
      </c>
      <c r="M61" s="21">
        <f t="shared" si="22"/>
        <v>0</v>
      </c>
      <c r="N61" s="58">
        <f t="shared" si="23"/>
        <v>-255.99350000000001</v>
      </c>
      <c r="O61" s="21">
        <f t="shared" si="24"/>
        <v>0</v>
      </c>
      <c r="P61" s="24">
        <f>SUM(O56:O61)</f>
        <v>2487.1003019999998</v>
      </c>
      <c r="R61" s="23">
        <f t="shared" si="20"/>
        <v>0</v>
      </c>
      <c r="S61" s="23">
        <f t="shared" si="21"/>
        <v>0</v>
      </c>
    </row>
    <row r="62" spans="1:19" x14ac:dyDescent="0.25">
      <c r="A62" s="7"/>
      <c r="B62" s="7"/>
      <c r="D62" s="2"/>
      <c r="F62" s="2"/>
      <c r="G62" s="25"/>
      <c r="H62" s="2"/>
      <c r="J62" s="8"/>
      <c r="K62" s="2"/>
      <c r="L62" s="26">
        <f>L61-E61</f>
        <v>9904.82</v>
      </c>
      <c r="M62" s="2"/>
      <c r="N62" s="59">
        <f>SUM(N56:N61)</f>
        <v>-42233.868968666662</v>
      </c>
      <c r="O62" s="2"/>
      <c r="P62" s="26">
        <f>P61-I61</f>
        <v>-16837.138364666673</v>
      </c>
      <c r="R62" s="23"/>
      <c r="S62" s="23"/>
    </row>
    <row r="63" spans="1:19" x14ac:dyDescent="0.25">
      <c r="A63" s="7"/>
      <c r="B63" s="7"/>
      <c r="D63" s="2"/>
      <c r="F63" s="2"/>
      <c r="G63" s="25"/>
      <c r="H63" s="2"/>
      <c r="J63" s="8"/>
      <c r="K63" s="2"/>
      <c r="L63" s="28"/>
      <c r="M63" s="25"/>
      <c r="N63" s="59"/>
      <c r="O63" s="2"/>
      <c r="P63" s="2"/>
      <c r="R63" s="23"/>
      <c r="S63" s="23"/>
    </row>
    <row r="64" spans="1:19" x14ac:dyDescent="0.25">
      <c r="A64" s="7" t="s">
        <v>39</v>
      </c>
      <c r="B64" s="29" t="s">
        <v>13</v>
      </c>
      <c r="C64" s="30" t="s">
        <v>40</v>
      </c>
      <c r="D64" s="31">
        <f>SUM('[3]Paste Special WA 5yr'!D22)/12</f>
        <v>235.60100000000003</v>
      </c>
      <c r="E64" s="30"/>
      <c r="F64" s="31">
        <f>SUM('[3]Paste Special WA 5yr'!F22)/12</f>
        <v>178.32866666666669</v>
      </c>
      <c r="G64" s="30"/>
      <c r="H64" s="31">
        <f>SUM('[3]Paste Special WA 5yr'!H22)/12</f>
        <v>57.272333333333329</v>
      </c>
      <c r="I64" s="30"/>
      <c r="J64" s="8"/>
      <c r="K64" s="31">
        <v>0</v>
      </c>
      <c r="L64" s="30"/>
      <c r="M64" s="31">
        <f>SUM(K64*$M$54)</f>
        <v>0</v>
      </c>
      <c r="N64" s="58">
        <f>M64-F64</f>
        <v>-178.32866666666669</v>
      </c>
      <c r="O64" s="31">
        <f>SUM(K64*$O$54)</f>
        <v>0</v>
      </c>
      <c r="P64" s="30"/>
      <c r="R64" s="23">
        <f t="shared" ref="R64:R69" si="25">D64-F64-H64</f>
        <v>0</v>
      </c>
      <c r="S64" s="23">
        <f t="shared" ref="S64:S69" si="26">K64-M64-O64</f>
        <v>0</v>
      </c>
    </row>
    <row r="65" spans="1:26" x14ac:dyDescent="0.25">
      <c r="A65" s="7" t="s">
        <v>41</v>
      </c>
      <c r="B65" s="29" t="s">
        <v>13</v>
      </c>
      <c r="C65" s="30" t="s">
        <v>42</v>
      </c>
      <c r="D65" s="31">
        <f>SUM('[3]Paste Special WA 5yr'!D23)/12</f>
        <v>98.616666666666674</v>
      </c>
      <c r="E65" s="30"/>
      <c r="F65" s="31">
        <f>SUM('[3]Paste Special WA 5yr'!F23)/12</f>
        <v>97.95</v>
      </c>
      <c r="G65" s="30"/>
      <c r="H65" s="31">
        <f>SUM('[3]Paste Special WA 5yr'!H23)/12</f>
        <v>0.66666666666666663</v>
      </c>
      <c r="I65" s="30"/>
      <c r="J65" s="8"/>
      <c r="K65" s="31">
        <v>0</v>
      </c>
      <c r="L65" s="30"/>
      <c r="M65" s="31">
        <f t="shared" ref="M65:M69" si="27">SUM(K65*$M$54)</f>
        <v>0</v>
      </c>
      <c r="N65" s="58">
        <f t="shared" ref="N65:N69" si="28">M65-F65</f>
        <v>-97.95</v>
      </c>
      <c r="O65" s="31">
        <f t="shared" ref="O65:O69" si="29">SUM(K65*$O$54)</f>
        <v>0</v>
      </c>
      <c r="P65" s="30"/>
      <c r="R65" s="23">
        <f t="shared" si="25"/>
        <v>4.7739590058881731E-15</v>
      </c>
      <c r="S65" s="23">
        <f t="shared" si="26"/>
        <v>0</v>
      </c>
    </row>
    <row r="66" spans="1:26" x14ac:dyDescent="0.25">
      <c r="A66" s="7" t="s">
        <v>43</v>
      </c>
      <c r="B66" s="29" t="s">
        <v>13</v>
      </c>
      <c r="C66" s="30" t="s">
        <v>44</v>
      </c>
      <c r="D66" s="31">
        <f>SUM('[3]Paste Special WA 5yr'!D24)/12</f>
        <v>9038.3494999999984</v>
      </c>
      <c r="E66" s="30"/>
      <c r="F66" s="31">
        <f>SUM('[3]Paste Special WA 5yr'!F24)/12</f>
        <v>6827.0563333333339</v>
      </c>
      <c r="G66" s="30"/>
      <c r="H66" s="31">
        <f>SUM('[3]Paste Special WA 5yr'!H24)/12</f>
        <v>2211.2931666666668</v>
      </c>
      <c r="I66" s="30"/>
      <c r="J66" s="8"/>
      <c r="K66" s="31">
        <v>7952.46</v>
      </c>
      <c r="L66" s="30"/>
      <c r="M66" s="31">
        <f t="shared" si="27"/>
        <v>5955.5972940000001</v>
      </c>
      <c r="N66" s="58">
        <f t="shared" si="28"/>
        <v>-871.45903933333375</v>
      </c>
      <c r="O66" s="31">
        <f t="shared" si="29"/>
        <v>1996.8627059999999</v>
      </c>
      <c r="P66" s="30"/>
      <c r="R66" s="23">
        <f t="shared" si="25"/>
        <v>0</v>
      </c>
      <c r="S66" s="23">
        <f t="shared" si="26"/>
        <v>0</v>
      </c>
    </row>
    <row r="67" spans="1:26" x14ac:dyDescent="0.25">
      <c r="A67" s="7" t="s">
        <v>45</v>
      </c>
      <c r="B67" s="29" t="s">
        <v>13</v>
      </c>
      <c r="C67" s="30" t="s">
        <v>46</v>
      </c>
      <c r="D67" s="31">
        <f>SUM('[3]Paste Special WA 5yr'!D25)/12</f>
        <v>479.02249999999998</v>
      </c>
      <c r="E67" s="30"/>
      <c r="F67" s="31">
        <f>SUM('[3]Paste Special WA 5yr'!F25)/12</f>
        <v>362.63016666666664</v>
      </c>
      <c r="G67" s="30"/>
      <c r="H67" s="31">
        <f>SUM('[3]Paste Special WA 5yr'!H25)/12</f>
        <v>116.39233333333334</v>
      </c>
      <c r="I67" s="30"/>
      <c r="J67" s="8"/>
      <c r="K67" s="31">
        <v>0</v>
      </c>
      <c r="L67" s="30"/>
      <c r="M67" s="31">
        <f t="shared" si="27"/>
        <v>0</v>
      </c>
      <c r="N67" s="58">
        <f t="shared" si="28"/>
        <v>-362.63016666666664</v>
      </c>
      <c r="O67" s="31">
        <f t="shared" si="29"/>
        <v>0</v>
      </c>
      <c r="P67" s="30"/>
      <c r="R67" s="23">
        <f t="shared" si="25"/>
        <v>0</v>
      </c>
      <c r="S67" s="23">
        <f t="shared" si="26"/>
        <v>0</v>
      </c>
    </row>
    <row r="68" spans="1:26" x14ac:dyDescent="0.25">
      <c r="A68" s="7" t="s">
        <v>47</v>
      </c>
      <c r="B68" s="29" t="s">
        <v>13</v>
      </c>
      <c r="C68" s="30" t="s">
        <v>48</v>
      </c>
      <c r="D68" s="31">
        <f>SUM('[3]Paste Special WA 5yr'!D26)/12</f>
        <v>12340.912666666665</v>
      </c>
      <c r="E68" s="30"/>
      <c r="F68" s="31">
        <f>SUM('[3]Paste Special WA 5yr'!F26)/12</f>
        <v>8779.150333333333</v>
      </c>
      <c r="G68" s="30"/>
      <c r="H68" s="31">
        <f>SUM('[3]Paste Special WA 5yr'!H26)/12</f>
        <v>3561.7623333333336</v>
      </c>
      <c r="I68" s="30"/>
      <c r="J68" s="8"/>
      <c r="K68" s="31">
        <v>12283.56</v>
      </c>
      <c r="L68" s="30"/>
      <c r="M68" s="31">
        <f t="shared" si="27"/>
        <v>9199.1580840000006</v>
      </c>
      <c r="N68" s="58">
        <f t="shared" si="28"/>
        <v>420.00775066666756</v>
      </c>
      <c r="O68" s="31">
        <f t="shared" si="29"/>
        <v>3084.4019159999998</v>
      </c>
      <c r="P68" s="30"/>
      <c r="R68" s="23">
        <f t="shared" si="25"/>
        <v>0</v>
      </c>
      <c r="S68" s="23">
        <f t="shared" si="26"/>
        <v>0</v>
      </c>
    </row>
    <row r="69" spans="1:26" x14ac:dyDescent="0.25">
      <c r="A69" s="7" t="s">
        <v>49</v>
      </c>
      <c r="B69" s="29" t="s">
        <v>13</v>
      </c>
      <c r="C69" s="30" t="s">
        <v>50</v>
      </c>
      <c r="D69" s="31">
        <f>SUM('[3]Paste Special WA 5yr'!D27)/12</f>
        <v>1336.7904999999998</v>
      </c>
      <c r="E69" s="30"/>
      <c r="F69" s="31">
        <f>SUM('[3]Paste Special WA 5yr'!F27)/12</f>
        <v>1078.6363333333334</v>
      </c>
      <c r="G69" s="30"/>
      <c r="H69" s="31">
        <f>SUM('[3]Paste Special WA 5yr'!H27)/12</f>
        <v>258.15416666666664</v>
      </c>
      <c r="I69" s="32">
        <f>SUM(H64:H69)</f>
        <v>6205.5410000000002</v>
      </c>
      <c r="J69" s="8"/>
      <c r="K69" s="31">
        <v>0</v>
      </c>
      <c r="L69" s="32">
        <f>SUM(K64:K69)</f>
        <v>20236.02</v>
      </c>
      <c r="M69" s="31">
        <f t="shared" si="27"/>
        <v>0</v>
      </c>
      <c r="N69" s="58">
        <f t="shared" si="28"/>
        <v>-1078.6363333333334</v>
      </c>
      <c r="O69" s="31">
        <f t="shared" si="29"/>
        <v>0</v>
      </c>
      <c r="P69" s="32">
        <f>SUM(O64:O69)</f>
        <v>5081.2646219999997</v>
      </c>
      <c r="R69" s="23">
        <f t="shared" si="25"/>
        <v>0</v>
      </c>
      <c r="S69" s="23">
        <f t="shared" si="26"/>
        <v>0</v>
      </c>
    </row>
    <row r="70" spans="1:26" x14ac:dyDescent="0.25">
      <c r="A70" s="7"/>
      <c r="B70" s="7"/>
      <c r="D70" s="25"/>
      <c r="E70" s="23"/>
      <c r="F70" s="25"/>
      <c r="G70" s="25"/>
      <c r="H70" s="25"/>
      <c r="J70" s="8"/>
      <c r="K70" s="25"/>
      <c r="L70" s="33">
        <f>L69-E69</f>
        <v>20236.02</v>
      </c>
      <c r="M70" s="25"/>
      <c r="N70" s="59">
        <f>SUM(N64:N69)</f>
        <v>-2168.996455333333</v>
      </c>
      <c r="O70" s="25"/>
      <c r="P70" s="33">
        <f>P69-I69</f>
        <v>-1124.2763780000005</v>
      </c>
      <c r="R70" s="23"/>
      <c r="S70" s="23"/>
    </row>
    <row r="71" spans="1:26" x14ac:dyDescent="0.25">
      <c r="A71" s="7"/>
      <c r="B71" s="7"/>
      <c r="D71" s="25"/>
      <c r="E71" s="23"/>
      <c r="F71" s="25"/>
      <c r="G71" s="25"/>
      <c r="H71" s="25"/>
      <c r="J71" s="8"/>
      <c r="K71" s="25"/>
      <c r="L71" s="28"/>
      <c r="M71" s="25"/>
      <c r="N71" s="58"/>
      <c r="O71" s="25"/>
      <c r="P71" s="25"/>
      <c r="R71" s="23"/>
      <c r="S71" s="23"/>
    </row>
    <row r="72" spans="1:26" x14ac:dyDescent="0.25">
      <c r="A72" s="7" t="s">
        <v>51</v>
      </c>
      <c r="B72" s="35" t="s">
        <v>13</v>
      </c>
      <c r="C72" s="36" t="s">
        <v>52</v>
      </c>
      <c r="D72" s="37">
        <f>SUM('[3]Paste Special WA 5yr'!D30)/12</f>
        <v>30235.661500000002</v>
      </c>
      <c r="E72" s="36"/>
      <c r="F72" s="37">
        <f>SUM('[3]Paste Special WA 5yr'!F30)/12</f>
        <v>22754.826499999999</v>
      </c>
      <c r="G72" s="36"/>
      <c r="H72" s="37">
        <f>SUM('[3]Paste Special WA 5yr'!H30)/12</f>
        <v>7480.835</v>
      </c>
      <c r="I72" s="36"/>
      <c r="J72" s="8"/>
      <c r="K72" s="37">
        <v>35751.360000000001</v>
      </c>
      <c r="L72" s="36"/>
      <c r="M72" s="37">
        <f t="shared" ref="M72" si="30">SUM(K72*$M$54)</f>
        <v>26774.193504000003</v>
      </c>
      <c r="N72" s="58">
        <f t="shared" ref="N72" si="31">M72-F72</f>
        <v>4019.3670040000034</v>
      </c>
      <c r="O72" s="37">
        <f t="shared" ref="O72" si="32">SUM(K72*$O$54)</f>
        <v>8977.1664959999998</v>
      </c>
      <c r="P72" s="36"/>
      <c r="R72" s="23">
        <f>D72-F72-H72</f>
        <v>0</v>
      </c>
      <c r="S72" s="23">
        <f>K72-M72-O72</f>
        <v>0</v>
      </c>
    </row>
    <row r="73" spans="1:26" x14ac:dyDescent="0.25">
      <c r="A73" s="7"/>
      <c r="B73" s="7"/>
      <c r="D73" s="25"/>
      <c r="F73" s="25"/>
      <c r="G73" s="25"/>
      <c r="H73" s="25"/>
      <c r="J73" s="8"/>
      <c r="K73" s="25"/>
      <c r="L73" s="38">
        <f>K72-D72</f>
        <v>5515.6984999999986</v>
      </c>
      <c r="M73" s="25"/>
      <c r="N73" s="59">
        <f>SUM(N72)</f>
        <v>4019.3670040000034</v>
      </c>
      <c r="O73" s="25"/>
      <c r="P73" s="38">
        <f>O72-H72</f>
        <v>1496.3314959999998</v>
      </c>
      <c r="Q73" s="28"/>
      <c r="R73" s="23"/>
      <c r="S73" s="23"/>
    </row>
    <row r="74" spans="1:26" x14ac:dyDescent="0.25">
      <c r="A74" s="7"/>
      <c r="B74" s="7"/>
      <c r="D74" s="25"/>
      <c r="F74" s="25"/>
      <c r="G74" s="25"/>
      <c r="H74" s="25"/>
      <c r="J74" s="8"/>
      <c r="K74" s="25"/>
      <c r="L74" s="28"/>
      <c r="M74" s="25"/>
      <c r="N74" s="59"/>
      <c r="O74" s="25"/>
      <c r="P74" s="2"/>
      <c r="Q74" s="28"/>
      <c r="R74" s="23"/>
      <c r="S74" s="23"/>
    </row>
    <row r="75" spans="1:26" x14ac:dyDescent="0.25">
      <c r="A75" s="7" t="s">
        <v>53</v>
      </c>
      <c r="B75" s="39" t="s">
        <v>13</v>
      </c>
      <c r="C75" s="40" t="s">
        <v>54</v>
      </c>
      <c r="D75" s="41">
        <f>SUM('[3]Paste Special WA 5yr'!D33)/12</f>
        <v>158545.38866666667</v>
      </c>
      <c r="E75" s="40"/>
      <c r="F75" s="41">
        <f>SUM('[3]Paste Special WA 5yr'!F33)/12</f>
        <v>117254.6565</v>
      </c>
      <c r="G75" s="40"/>
      <c r="H75" s="41">
        <f>SUM('[3]Paste Special WA 5yr'!H33)/12</f>
        <v>41290.732166666668</v>
      </c>
      <c r="I75" s="40"/>
      <c r="J75" s="8"/>
      <c r="K75" s="41">
        <v>185122.35</v>
      </c>
      <c r="L75" s="40"/>
      <c r="M75" s="41">
        <f t="shared" ref="M75" si="33">SUM(K75*$M$54)</f>
        <v>138638.12791500002</v>
      </c>
      <c r="N75" s="60">
        <v>-6092.3722222222223</v>
      </c>
      <c r="O75" s="41">
        <f t="shared" ref="O75" si="34">SUM(K75*$O$54)</f>
        <v>46484.222085000001</v>
      </c>
      <c r="P75" s="40"/>
      <c r="R75" s="23">
        <f>D75-F75-H75</f>
        <v>0</v>
      </c>
      <c r="S75" s="23">
        <f>K75-M75-O75</f>
        <v>0</v>
      </c>
      <c r="T75" s="43" t="s">
        <v>55</v>
      </c>
      <c r="U75" s="43"/>
      <c r="V75" s="44"/>
      <c r="W75" s="44"/>
      <c r="X75" s="44"/>
      <c r="Y75" s="44"/>
      <c r="Z75" s="44"/>
    </row>
    <row r="76" spans="1:26" x14ac:dyDescent="0.25">
      <c r="A76" s="7"/>
      <c r="B76" s="7"/>
      <c r="D76" s="25"/>
      <c r="E76" s="23"/>
      <c r="F76" s="25"/>
      <c r="G76" s="25"/>
      <c r="H76" s="25"/>
      <c r="J76" s="8"/>
      <c r="K76" s="25"/>
      <c r="L76" s="45">
        <f>K75-D75</f>
        <v>26576.96133333334</v>
      </c>
      <c r="M76" s="25"/>
      <c r="N76" s="59">
        <f>SUM(N75)</f>
        <v>-6092.3722222222223</v>
      </c>
      <c r="O76" s="25"/>
      <c r="P76" s="45">
        <f>O75-H75</f>
        <v>5193.4899183333328</v>
      </c>
      <c r="Q76" s="28"/>
      <c r="R76" s="23"/>
      <c r="S76" s="23"/>
      <c r="T76" s="44" t="s">
        <v>56</v>
      </c>
      <c r="U76" s="44"/>
      <c r="V76" s="44"/>
    </row>
    <row r="77" spans="1:26" x14ac:dyDescent="0.25">
      <c r="A77" s="7"/>
      <c r="B77" s="7"/>
      <c r="D77" s="25"/>
      <c r="E77" s="23"/>
      <c r="F77" s="25"/>
      <c r="G77" s="25"/>
      <c r="H77" s="25"/>
      <c r="J77" s="8"/>
      <c r="K77" s="25"/>
      <c r="L77" s="28"/>
      <c r="M77" s="25"/>
      <c r="N77" s="59"/>
      <c r="O77" s="25"/>
      <c r="P77" s="2"/>
      <c r="Q77" s="28"/>
      <c r="R77" s="23"/>
      <c r="S77" s="23"/>
    </row>
    <row r="78" spans="1:26" x14ac:dyDescent="0.25">
      <c r="A78" s="7" t="s">
        <v>57</v>
      </c>
      <c r="B78" s="46" t="s">
        <v>13</v>
      </c>
      <c r="C78" s="47" t="s">
        <v>58</v>
      </c>
      <c r="D78" s="48">
        <f>SUM('[3]Paste Special WA 5yr'!D36)/12</f>
        <v>21244.650333333335</v>
      </c>
      <c r="E78" s="48"/>
      <c r="F78" s="48">
        <f>SUM('[3]Paste Special WA 5yr'!F36)/12</f>
        <v>16000.9475</v>
      </c>
      <c r="G78" s="48"/>
      <c r="H78" s="48">
        <f>SUM('[3]Paste Special WA 5yr'!H36)/12</f>
        <v>5243.7028333333328</v>
      </c>
      <c r="I78" s="47"/>
      <c r="J78" s="8"/>
      <c r="K78" s="48">
        <v>12859.96</v>
      </c>
      <c r="L78" s="47"/>
      <c r="M78" s="48">
        <f t="shared" ref="M78" si="35">SUM(K78*$M$54)</f>
        <v>9630.824043999999</v>
      </c>
      <c r="N78" s="58">
        <f t="shared" ref="N78" si="36">M78-F78</f>
        <v>-6370.1234560000012</v>
      </c>
      <c r="O78" s="48">
        <f t="shared" ref="O78" si="37">SUM(K78*$O$54)</f>
        <v>3229.1359559999996</v>
      </c>
      <c r="P78" s="47"/>
      <c r="R78" s="23">
        <f>D78-F78-H78</f>
        <v>0</v>
      </c>
      <c r="S78" s="23">
        <f t="shared" ref="S78" si="38">K78-M78-O78</f>
        <v>0</v>
      </c>
    </row>
    <row r="79" spans="1:26" x14ac:dyDescent="0.25">
      <c r="A79" s="7"/>
      <c r="B79" s="7"/>
      <c r="D79" s="2"/>
      <c r="F79" s="2"/>
      <c r="G79" s="25"/>
      <c r="H79" s="2"/>
      <c r="J79" s="8"/>
      <c r="K79" s="2"/>
      <c r="L79" s="49">
        <f>K78-D78</f>
        <v>-8384.6903333333357</v>
      </c>
      <c r="M79" s="2"/>
      <c r="N79" s="59">
        <f>SUM(N78)</f>
        <v>-6370.1234560000012</v>
      </c>
      <c r="O79" s="2"/>
      <c r="P79" s="49">
        <f>O78-H78</f>
        <v>-2014.5668773333332</v>
      </c>
      <c r="Q79" s="28"/>
      <c r="R79" s="23"/>
      <c r="S79" s="23"/>
    </row>
    <row r="80" spans="1:26" x14ac:dyDescent="0.25">
      <c r="H80" s="23" t="s">
        <v>59</v>
      </c>
      <c r="K80" s="50">
        <v>80959.37</v>
      </c>
      <c r="M80" s="2"/>
      <c r="N80" s="59">
        <f>-K80*M54</f>
        <v>-60630.472192999994</v>
      </c>
      <c r="O80" s="2"/>
      <c r="R80" s="23"/>
      <c r="S80" s="23" t="s">
        <v>59</v>
      </c>
    </row>
    <row r="81" spans="11:14" x14ac:dyDescent="0.25">
      <c r="K81" s="16"/>
      <c r="N81" s="51">
        <f>N62+N70+N73+N76+N79+N80</f>
        <v>-113476.4662912222</v>
      </c>
    </row>
  </sheetData>
  <mergeCells count="4">
    <mergeCell ref="D11:F11"/>
    <mergeCell ref="K11:O11"/>
    <mergeCell ref="D53:F54"/>
    <mergeCell ref="K53:O53"/>
  </mergeCells>
  <pageMargins left="0.7" right="0.7" top="0.75" bottom="0.75" header="0.3" footer="0.3"/>
  <pageSetup scale="3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2022-04-26T07:00:00+00:00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A44E4A-73DE-4376-BD1E-BBE4108D4BD9}"/>
</file>

<file path=customXml/itemProps2.xml><?xml version="1.0" encoding="utf-8"?>
<ds:datastoreItem xmlns:ds="http://schemas.openxmlformats.org/officeDocument/2006/customXml" ds:itemID="{43DA5A08-1988-4E92-870A-69BAC1462478}"/>
</file>

<file path=customXml/itemProps3.xml><?xml version="1.0" encoding="utf-8"?>
<ds:datastoreItem xmlns:ds="http://schemas.openxmlformats.org/officeDocument/2006/customXml" ds:itemID="{ADDE08F9-C680-4192-A5FB-B7BA60FA2960}"/>
</file>

<file path=customXml/itemProps4.xml><?xml version="1.0" encoding="utf-8"?>
<ds:datastoreItem xmlns:ds="http://schemas.openxmlformats.org/officeDocument/2006/customXml" ds:itemID="{803E8C58-733A-4ACD-ABFC-DDBF547D3F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COVID-19</vt:lpstr>
      <vt:lpstr>Sheet1</vt:lpstr>
      <vt:lpstr>Savings Mar Accrual</vt:lpstr>
      <vt:lpstr>'COVID-19'!Print_Area</vt:lpstr>
      <vt:lpstr>'Savings Mar Accrual'!Print_Area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Hoyle, Brian</dc:creator>
  <cp:lastModifiedBy>Peters, Maryalice</cp:lastModifiedBy>
  <cp:lastPrinted>2021-07-28T03:13:49Z</cp:lastPrinted>
  <dcterms:created xsi:type="dcterms:W3CDTF">2021-04-28T21:51:49Z</dcterms:created>
  <dcterms:modified xsi:type="dcterms:W3CDTF">2022-04-22T21:09:05Z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0x0101006E56B4D1795A2E4DB2F0B01679ED314A00997A3B8E360FE040B2ACCDE0622B3ACE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