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5605" windowHeight="15600" tabRatio="797" firstSheet="2" activeTab="11"/>
  </bookViews>
  <sheets>
    <sheet name="Earnings" sheetId="12" r:id="rId1"/>
    <sheet name="$perShare" sheetId="11" r:id="rId2"/>
    <sheet name="DATA" sheetId="1" r:id="rId3"/>
    <sheet name="SGH-4" sheetId="14" r:id="rId4"/>
    <sheet name="SGH-5" sheetId="2" r:id="rId5"/>
    <sheet name="SGH-6,p1" sheetId="3" r:id="rId6"/>
    <sheet name="SGH-6,p2" sheetId="4" r:id="rId7"/>
    <sheet name="SGH-8" sheetId="5" r:id="rId8"/>
    <sheet name="SGH-9" sheetId="6" r:id="rId9"/>
    <sheet name="SGH-10" sheetId="15" r:id="rId10"/>
    <sheet name="SGH-11" sheetId="13" r:id="rId11"/>
    <sheet name="SGH-13" sheetId="7" r:id="rId12"/>
    <sheet name="SGH-14,p1" sheetId="8" r:id="rId13"/>
    <sheet name="SGH-14,p2" sheetId="9" r:id="rId14"/>
    <sheet name="SGH-15" sheetId="16" r:id="rId15"/>
    <sheet name="SGH-17" sheetId="17" r:id="rId16"/>
  </sheets>
  <externalReferences>
    <externalReference r:id="rId17"/>
    <externalReference r:id="rId18"/>
  </externalReferences>
  <definedNames>
    <definedName name="\d">#REF!</definedName>
    <definedName name="\h">#REF!</definedName>
    <definedName name="\p">#REF!</definedName>
    <definedName name="\w">#REF!</definedName>
    <definedName name="__DCF3">#REF!</definedName>
    <definedName name="_1">#REF!</definedName>
    <definedName name="_2">#REF!</definedName>
    <definedName name="_3">#REF!</definedName>
    <definedName name="_Criteria">#REF!</definedName>
    <definedName name="_Database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rint_Area" localSheetId="9">'SGH-10'!$B$1:$L$44</definedName>
    <definedName name="_Regression_Out" localSheetId="9" hidden="1">#REF!</definedName>
    <definedName name="_Regression_Out" hidden="1">#REF!</definedName>
    <definedName name="_Regression_X" localSheetId="9" hidden="1">#REF!</definedName>
    <definedName name="_Regression_X" hidden="1">#REF!</definedName>
    <definedName name="_Regression_Y" localSheetId="9" hidden="1">#REF!</definedName>
    <definedName name="_Regression_Y" hidden="1">#REF!</definedName>
    <definedName name="_Sort" hidden="1">#REF!</definedName>
    <definedName name="A">#REF!</definedName>
    <definedName name="B">#REF!</definedName>
    <definedName name="bruce">#REF!</definedName>
    <definedName name="C_">#REF!</definedName>
    <definedName name="_xlnm.Criteria">#REF!</definedName>
    <definedName name="DATA">#N/A</definedName>
    <definedName name="_xlnm.Database">#REF!</definedName>
    <definedName name="inputs" localSheetId="9">#REF!</definedName>
    <definedName name="inputs">#REF!</definedName>
    <definedName name="N" localSheetId="9">#REF!</definedName>
    <definedName name="N">#REF!</definedName>
    <definedName name="NAME">#N/A</definedName>
    <definedName name="_xlnm.Print_Area" localSheetId="10">'SGH-11'!$A$1:$E$39</definedName>
    <definedName name="_xlnm.Print_Area" localSheetId="11">'SGH-13'!$A$1:$G$42</definedName>
    <definedName name="_xlnm.Print_Area" localSheetId="12">'SGH-14,p1'!$A$1:$K$35</definedName>
    <definedName name="_xlnm.Print_Area" localSheetId="13">'SGH-14,p2'!$A$1:$K$35</definedName>
    <definedName name="_xlnm.Print_Area" localSheetId="14">'SGH-15'!$D$1:$P$45</definedName>
    <definedName name="_xlnm.Print_Area" localSheetId="3">'SGH-4'!$B$1:$L$66</definedName>
    <definedName name="_xlnm.Print_Area" localSheetId="4">'SGH-5'!$A$1:$K$277</definedName>
    <definedName name="_xlnm.Print_Area" localSheetId="5">'SGH-6,p1'!$A$1:$L$45</definedName>
    <definedName name="_xlnm.Print_Area" localSheetId="6">'SGH-6,p2'!$A$1:$M$33</definedName>
    <definedName name="_xlnm.Print_Area" localSheetId="7">'SGH-8'!$A$1:$E$39</definedName>
    <definedName name="_xlnm.Print_Area" localSheetId="8">'SGH-9'!$A$1:$E$35</definedName>
    <definedName name="Print_Area_MI">#REF!</definedName>
    <definedName name="START" localSheetId="9">#REF!</definedName>
    <definedName name="START">#REF!</definedName>
    <definedName name="temp" localSheetId="9">#REF!</definedName>
    <definedName name="temp">#REF!</definedName>
    <definedName name="tv" localSheetId="9">#REF!</definedName>
    <definedName name="tv">#REF!</definedName>
    <definedName name="X">#REF!</definedName>
    <definedName name="Z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1" l="1"/>
  <c r="B5" i="1"/>
  <c r="I11" i="3"/>
  <c r="F67" i="11"/>
  <c r="B6" i="1"/>
  <c r="I12" i="3"/>
  <c r="F102" i="11"/>
  <c r="B7" i="1"/>
  <c r="I13" i="3"/>
  <c r="F137" i="11"/>
  <c r="B8" i="1"/>
  <c r="I14" i="3"/>
  <c r="F172" i="11"/>
  <c r="B9" i="1"/>
  <c r="I15" i="3"/>
  <c r="F207" i="11"/>
  <c r="B10" i="1"/>
  <c r="I16" i="3"/>
  <c r="F242" i="11"/>
  <c r="B11" i="1"/>
  <c r="I17" i="3"/>
  <c r="F277" i="11"/>
  <c r="B12" i="1"/>
  <c r="I18" i="3"/>
  <c r="F312" i="11"/>
  <c r="B13" i="1"/>
  <c r="I19" i="3"/>
  <c r="F347" i="11"/>
  <c r="B14" i="1"/>
  <c r="I20" i="3"/>
  <c r="F382" i="11"/>
  <c r="B15" i="1"/>
  <c r="I21" i="3"/>
  <c r="F417" i="11"/>
  <c r="B16" i="1"/>
  <c r="I22" i="3"/>
  <c r="F452" i="11"/>
  <c r="B17" i="1"/>
  <c r="I23" i="3"/>
  <c r="F487" i="11"/>
  <c r="B18" i="1"/>
  <c r="I24" i="3"/>
  <c r="F522" i="11"/>
  <c r="B19" i="1"/>
  <c r="I25" i="3"/>
  <c r="I27" i="3"/>
  <c r="G525" i="11"/>
  <c r="F525" i="11"/>
  <c r="E525" i="11"/>
  <c r="D525" i="11"/>
  <c r="C525" i="11"/>
  <c r="G524" i="11"/>
  <c r="F524" i="11"/>
  <c r="E524" i="11"/>
  <c r="D524" i="11"/>
  <c r="C524" i="11"/>
  <c r="G523" i="11"/>
  <c r="F523" i="11"/>
  <c r="E523" i="11"/>
  <c r="D523" i="11"/>
  <c r="C523" i="11"/>
  <c r="G522" i="11"/>
  <c r="E522" i="11"/>
  <c r="D522" i="11"/>
  <c r="C522" i="11"/>
  <c r="A491" i="11"/>
  <c r="G490" i="11"/>
  <c r="F490" i="11"/>
  <c r="E490" i="11"/>
  <c r="D490" i="11"/>
  <c r="C490" i="11"/>
  <c r="G489" i="11"/>
  <c r="F489" i="11"/>
  <c r="E489" i="11"/>
  <c r="D489" i="11"/>
  <c r="C489" i="11"/>
  <c r="G488" i="11"/>
  <c r="F488" i="11"/>
  <c r="E488" i="11"/>
  <c r="D488" i="11"/>
  <c r="C488" i="11"/>
  <c r="G487" i="11"/>
  <c r="E487" i="11"/>
  <c r="D487" i="11"/>
  <c r="C487" i="11"/>
  <c r="A456" i="11"/>
  <c r="G455" i="11"/>
  <c r="F455" i="11"/>
  <c r="E455" i="11"/>
  <c r="D455" i="11"/>
  <c r="C455" i="11"/>
  <c r="G454" i="11"/>
  <c r="F454" i="11"/>
  <c r="E454" i="11"/>
  <c r="D454" i="11"/>
  <c r="C454" i="11"/>
  <c r="G453" i="11"/>
  <c r="F453" i="11"/>
  <c r="E453" i="11"/>
  <c r="D453" i="11"/>
  <c r="C453" i="11"/>
  <c r="G452" i="11"/>
  <c r="E452" i="11"/>
  <c r="D452" i="11"/>
  <c r="C452" i="11"/>
  <c r="A421" i="11"/>
  <c r="G420" i="11"/>
  <c r="F420" i="11"/>
  <c r="E420" i="11"/>
  <c r="D420" i="11"/>
  <c r="C420" i="11"/>
  <c r="G419" i="11"/>
  <c r="F419" i="11"/>
  <c r="E419" i="11"/>
  <c r="D419" i="11"/>
  <c r="C419" i="11"/>
  <c r="G418" i="11"/>
  <c r="F418" i="11"/>
  <c r="E418" i="11"/>
  <c r="D418" i="11"/>
  <c r="C418" i="11"/>
  <c r="G417" i="11"/>
  <c r="E417" i="11"/>
  <c r="D417" i="11"/>
  <c r="C417" i="11"/>
  <c r="A386" i="11"/>
  <c r="G385" i="11"/>
  <c r="F385" i="11"/>
  <c r="E385" i="11"/>
  <c r="D385" i="11"/>
  <c r="C385" i="11"/>
  <c r="G384" i="11"/>
  <c r="F384" i="11"/>
  <c r="E384" i="11"/>
  <c r="D384" i="11"/>
  <c r="C384" i="11"/>
  <c r="G383" i="11"/>
  <c r="F383" i="11"/>
  <c r="E383" i="11"/>
  <c r="D383" i="11"/>
  <c r="C383" i="11"/>
  <c r="G382" i="11"/>
  <c r="E382" i="11"/>
  <c r="D382" i="11"/>
  <c r="C382" i="11"/>
  <c r="A351" i="11"/>
  <c r="G350" i="11"/>
  <c r="F350" i="11"/>
  <c r="E350" i="11"/>
  <c r="D350" i="11"/>
  <c r="C350" i="11"/>
  <c r="G349" i="11"/>
  <c r="F349" i="11"/>
  <c r="E349" i="11"/>
  <c r="D349" i="11"/>
  <c r="C349" i="11"/>
  <c r="G348" i="11"/>
  <c r="F348" i="11"/>
  <c r="E348" i="11"/>
  <c r="D348" i="11"/>
  <c r="C348" i="11"/>
  <c r="G347" i="11"/>
  <c r="E347" i="11"/>
  <c r="D347" i="11"/>
  <c r="C347" i="11"/>
  <c r="A316" i="11"/>
  <c r="G315" i="11"/>
  <c r="F315" i="11"/>
  <c r="E315" i="11"/>
  <c r="D315" i="11"/>
  <c r="C315" i="11"/>
  <c r="G314" i="11"/>
  <c r="F314" i="11"/>
  <c r="E314" i="11"/>
  <c r="D314" i="11"/>
  <c r="C314" i="11"/>
  <c r="G313" i="11"/>
  <c r="F313" i="11"/>
  <c r="E313" i="11"/>
  <c r="D313" i="11"/>
  <c r="C313" i="11"/>
  <c r="G312" i="11"/>
  <c r="E312" i="11"/>
  <c r="D312" i="11"/>
  <c r="C312" i="11"/>
  <c r="A281" i="11"/>
  <c r="G280" i="11"/>
  <c r="F280" i="11"/>
  <c r="E280" i="11"/>
  <c r="D280" i="11"/>
  <c r="C280" i="11"/>
  <c r="G279" i="11"/>
  <c r="F279" i="11"/>
  <c r="E279" i="11"/>
  <c r="D279" i="11"/>
  <c r="C279" i="11"/>
  <c r="G278" i="11"/>
  <c r="F278" i="11"/>
  <c r="E278" i="11"/>
  <c r="D278" i="11"/>
  <c r="C278" i="11"/>
  <c r="G277" i="11"/>
  <c r="E277" i="11"/>
  <c r="D277" i="11"/>
  <c r="C277" i="11"/>
  <c r="A246" i="11"/>
  <c r="G245" i="11"/>
  <c r="F245" i="11"/>
  <c r="E245" i="11"/>
  <c r="D245" i="11"/>
  <c r="C245" i="11"/>
  <c r="G244" i="11"/>
  <c r="F244" i="11"/>
  <c r="E244" i="11"/>
  <c r="D244" i="11"/>
  <c r="C244" i="11"/>
  <c r="G243" i="11"/>
  <c r="F243" i="11"/>
  <c r="E243" i="11"/>
  <c r="D243" i="11"/>
  <c r="C243" i="11"/>
  <c r="G242" i="11"/>
  <c r="E242" i="11"/>
  <c r="D242" i="11"/>
  <c r="C242" i="11"/>
  <c r="A211" i="11"/>
  <c r="G210" i="11"/>
  <c r="F210" i="11"/>
  <c r="E210" i="11"/>
  <c r="D210" i="11"/>
  <c r="C210" i="11"/>
  <c r="G209" i="11"/>
  <c r="F209" i="11"/>
  <c r="E209" i="11"/>
  <c r="D209" i="11"/>
  <c r="C209" i="11"/>
  <c r="G208" i="11"/>
  <c r="F208" i="11"/>
  <c r="E208" i="11"/>
  <c r="D208" i="11"/>
  <c r="C208" i="11"/>
  <c r="G207" i="11"/>
  <c r="E207" i="11"/>
  <c r="D207" i="11"/>
  <c r="C207" i="11"/>
  <c r="A176" i="11"/>
  <c r="G175" i="11"/>
  <c r="F175" i="11"/>
  <c r="E175" i="11"/>
  <c r="D175" i="11"/>
  <c r="C175" i="11"/>
  <c r="G174" i="11"/>
  <c r="F174" i="11"/>
  <c r="E174" i="11"/>
  <c r="D174" i="11"/>
  <c r="C174" i="11"/>
  <c r="G173" i="11"/>
  <c r="F173" i="11"/>
  <c r="E173" i="11"/>
  <c r="D173" i="11"/>
  <c r="C173" i="11"/>
  <c r="G172" i="11"/>
  <c r="E172" i="11"/>
  <c r="D172" i="11"/>
  <c r="C172" i="11"/>
  <c r="A141" i="11"/>
  <c r="G140" i="11"/>
  <c r="F140" i="11"/>
  <c r="E140" i="11"/>
  <c r="D140" i="11"/>
  <c r="C140" i="11"/>
  <c r="G139" i="11"/>
  <c r="F139" i="11"/>
  <c r="E139" i="11"/>
  <c r="D139" i="11"/>
  <c r="C139" i="11"/>
  <c r="G138" i="11"/>
  <c r="F138" i="11"/>
  <c r="E138" i="11"/>
  <c r="D138" i="11"/>
  <c r="C138" i="11"/>
  <c r="G137" i="11"/>
  <c r="E137" i="11"/>
  <c r="D137" i="11"/>
  <c r="C137" i="11"/>
  <c r="A106" i="11"/>
  <c r="G105" i="11"/>
  <c r="F105" i="11"/>
  <c r="E105" i="11"/>
  <c r="D105" i="11"/>
  <c r="C105" i="11"/>
  <c r="G104" i="11"/>
  <c r="F104" i="11"/>
  <c r="E104" i="11"/>
  <c r="D104" i="11"/>
  <c r="C104" i="11"/>
  <c r="G103" i="11"/>
  <c r="F103" i="11"/>
  <c r="E103" i="11"/>
  <c r="D103" i="11"/>
  <c r="C103" i="11"/>
  <c r="G102" i="11"/>
  <c r="E102" i="11"/>
  <c r="D102" i="11"/>
  <c r="C102" i="11"/>
  <c r="A71" i="11"/>
  <c r="G70" i="11"/>
  <c r="F70" i="11"/>
  <c r="E70" i="11"/>
  <c r="D70" i="11"/>
  <c r="C70" i="11"/>
  <c r="G69" i="11"/>
  <c r="F69" i="11"/>
  <c r="E69" i="11"/>
  <c r="D69" i="11"/>
  <c r="C69" i="11"/>
  <c r="G68" i="11"/>
  <c r="F68" i="11"/>
  <c r="E68" i="11"/>
  <c r="D68" i="11"/>
  <c r="C68" i="11"/>
  <c r="G67" i="11"/>
  <c r="E67" i="11"/>
  <c r="D67" i="11"/>
  <c r="C67" i="11"/>
  <c r="A36" i="11"/>
  <c r="G35" i="11"/>
  <c r="F35" i="11"/>
  <c r="E35" i="11"/>
  <c r="D35" i="11"/>
  <c r="C35" i="11"/>
  <c r="G34" i="11"/>
  <c r="F34" i="11"/>
  <c r="E34" i="11"/>
  <c r="D34" i="11"/>
  <c r="C34" i="11"/>
  <c r="G33" i="11"/>
  <c r="F33" i="11"/>
  <c r="E33" i="11"/>
  <c r="D33" i="11"/>
  <c r="C33" i="11"/>
  <c r="G32" i="11"/>
  <c r="E32" i="11"/>
  <c r="D32" i="11"/>
  <c r="C32" i="11"/>
  <c r="A1" i="11"/>
  <c r="Q41" i="1"/>
  <c r="Q38" i="1"/>
  <c r="Q45" i="1"/>
  <c r="Q43" i="1"/>
  <c r="I272" i="2"/>
  <c r="K41" i="1"/>
  <c r="I19" i="2"/>
  <c r="K27" i="1"/>
  <c r="I36" i="2"/>
  <c r="K28" i="1"/>
  <c r="I52" i="2"/>
  <c r="K29" i="1"/>
  <c r="I75" i="2"/>
  <c r="K30" i="1"/>
  <c r="I91" i="2"/>
  <c r="K31" i="1"/>
  <c r="I107" i="2"/>
  <c r="K32" i="1"/>
  <c r="I130" i="2"/>
  <c r="K33" i="1"/>
  <c r="I146" i="2"/>
  <c r="K34" i="1"/>
  <c r="I162" i="2"/>
  <c r="K35" i="1"/>
  <c r="I185" i="2"/>
  <c r="K36" i="1"/>
  <c r="I201" i="2"/>
  <c r="K37" i="1"/>
  <c r="I217" i="2"/>
  <c r="K38" i="1"/>
  <c r="I240" i="2"/>
  <c r="K39" i="1"/>
  <c r="I256" i="2"/>
  <c r="K40" i="1"/>
  <c r="K43" i="1"/>
  <c r="L41" i="1"/>
  <c r="O41" i="1"/>
  <c r="L35" i="1"/>
  <c r="O35" i="1"/>
  <c r="L32" i="1"/>
  <c r="O32" i="1"/>
  <c r="L30" i="1"/>
  <c r="O30" i="1"/>
  <c r="L29" i="1"/>
  <c r="O29" i="1"/>
  <c r="L28" i="1"/>
  <c r="O28" i="1"/>
  <c r="K49" i="1"/>
  <c r="K48" i="1"/>
  <c r="AA27" i="1"/>
  <c r="AB27" i="1"/>
  <c r="AC27" i="1"/>
  <c r="AD27" i="1"/>
  <c r="AE27" i="1"/>
  <c r="AF27" i="1"/>
  <c r="Z27" i="1"/>
  <c r="Y27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5" i="1"/>
  <c r="F43" i="1"/>
  <c r="E43" i="1"/>
  <c r="D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1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M21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A30" i="1"/>
  <c r="AC30" i="1"/>
  <c r="AE30" i="1"/>
  <c r="L36" i="1"/>
  <c r="O36" i="1"/>
  <c r="L38" i="1"/>
  <c r="O38" i="1"/>
  <c r="L40" i="1"/>
  <c r="O40" i="1"/>
  <c r="L27" i="1"/>
  <c r="O27" i="1"/>
  <c r="O43" i="1"/>
  <c r="L31" i="1"/>
  <c r="L33" i="1"/>
  <c r="L34" i="1"/>
  <c r="L37" i="1"/>
  <c r="L39" i="1"/>
  <c r="L43" i="1"/>
  <c r="G49" i="12"/>
  <c r="F49" i="12"/>
  <c r="E49" i="12"/>
  <c r="G48" i="12"/>
  <c r="F48" i="12"/>
  <c r="E48" i="12"/>
  <c r="F23" i="12"/>
  <c r="E23" i="12"/>
  <c r="F22" i="12"/>
  <c r="E22" i="12"/>
  <c r="G19" i="15"/>
  <c r="H19" i="15"/>
  <c r="I19" i="15"/>
  <c r="K19" i="15"/>
  <c r="G20" i="15"/>
  <c r="H20" i="15"/>
  <c r="I20" i="15"/>
  <c r="K20" i="15"/>
  <c r="I21" i="15"/>
  <c r="K21" i="15"/>
  <c r="G22" i="15"/>
  <c r="H22" i="15"/>
  <c r="I22" i="15"/>
  <c r="K22" i="15"/>
  <c r="G23" i="15"/>
  <c r="H23" i="15"/>
  <c r="I23" i="15"/>
  <c r="K23" i="15"/>
  <c r="G24" i="15"/>
  <c r="I24" i="15"/>
  <c r="K24" i="15"/>
  <c r="G25" i="15"/>
  <c r="I25" i="15"/>
  <c r="K25" i="15"/>
  <c r="G26" i="15"/>
  <c r="I26" i="15"/>
  <c r="K26" i="15"/>
  <c r="G27" i="15"/>
  <c r="H27" i="15"/>
  <c r="I27" i="15"/>
  <c r="K27" i="15"/>
  <c r="G13" i="15"/>
  <c r="H13" i="15"/>
  <c r="I13" i="15"/>
  <c r="K13" i="15"/>
  <c r="G14" i="15"/>
  <c r="I14" i="15"/>
  <c r="K14" i="15"/>
  <c r="G15" i="15"/>
  <c r="I15" i="15"/>
  <c r="K15" i="15"/>
  <c r="G16" i="15"/>
  <c r="H16" i="15"/>
  <c r="I16" i="15"/>
  <c r="K16" i="15"/>
  <c r="K31" i="15"/>
  <c r="G17" i="15"/>
  <c r="H17" i="15"/>
  <c r="I17" i="15"/>
  <c r="I18" i="15"/>
  <c r="I33" i="15"/>
  <c r="I34" i="15"/>
  <c r="I36" i="15"/>
  <c r="I35" i="15"/>
  <c r="K17" i="15"/>
  <c r="G18" i="15"/>
  <c r="H18" i="15"/>
  <c r="G21" i="15"/>
  <c r="K18" i="15"/>
  <c r="K29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O47" i="13"/>
  <c r="N47" i="13"/>
  <c r="M47" i="13"/>
  <c r="L47" i="13"/>
  <c r="M33" i="13"/>
  <c r="D23" i="13"/>
  <c r="O33" i="13"/>
  <c r="N33" i="13"/>
  <c r="L33" i="13"/>
  <c r="G29" i="13"/>
  <c r="G28" i="13"/>
  <c r="H29" i="13"/>
  <c r="H28" i="13"/>
  <c r="H27" i="13"/>
  <c r="C7" i="13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D31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6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A26" i="7"/>
  <c r="A27" i="7"/>
  <c r="A28" i="7"/>
  <c r="A29" i="7"/>
  <c r="D5" i="7"/>
  <c r="G13" i="7"/>
  <c r="A15" i="7"/>
  <c r="A16" i="7"/>
  <c r="A17" i="7"/>
  <c r="A18" i="7"/>
  <c r="A19" i="7"/>
  <c r="A20" i="7"/>
  <c r="A21" i="7"/>
  <c r="A22" i="7"/>
  <c r="A23" i="7"/>
  <c r="A24" i="7"/>
  <c r="A25" i="7"/>
  <c r="E33" i="7"/>
  <c r="D36" i="7"/>
  <c r="F38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A24" i="8"/>
  <c r="A25" i="8"/>
  <c r="A26" i="8"/>
  <c r="A27" i="8"/>
  <c r="A23" i="8"/>
  <c r="F4" i="8"/>
  <c r="A13" i="8"/>
  <c r="A14" i="8"/>
  <c r="A15" i="8"/>
  <c r="A16" i="8"/>
  <c r="A17" i="8"/>
  <c r="A18" i="8"/>
  <c r="A19" i="8"/>
  <c r="A20" i="8"/>
  <c r="A21" i="8"/>
  <c r="A22" i="8"/>
  <c r="G13" i="8"/>
  <c r="L11" i="3"/>
  <c r="I13" i="8"/>
  <c r="G14" i="8"/>
  <c r="L12" i="3"/>
  <c r="I14" i="8"/>
  <c r="C38" i="2"/>
  <c r="E14" i="8"/>
  <c r="K14" i="8"/>
  <c r="G15" i="8"/>
  <c r="L13" i="3"/>
  <c r="I15" i="8"/>
  <c r="C54" i="2"/>
  <c r="E15" i="8"/>
  <c r="K15" i="8"/>
  <c r="G16" i="8"/>
  <c r="L14" i="3"/>
  <c r="I16" i="8"/>
  <c r="C77" i="2"/>
  <c r="E16" i="8"/>
  <c r="K16" i="8"/>
  <c r="G17" i="8"/>
  <c r="L15" i="3"/>
  <c r="I17" i="8"/>
  <c r="C93" i="2"/>
  <c r="E17" i="8"/>
  <c r="K17" i="8"/>
  <c r="G18" i="8"/>
  <c r="L16" i="3"/>
  <c r="I18" i="8"/>
  <c r="C109" i="2"/>
  <c r="E18" i="8"/>
  <c r="K18" i="8"/>
  <c r="G19" i="8"/>
  <c r="L17" i="3"/>
  <c r="I19" i="8"/>
  <c r="C132" i="2"/>
  <c r="E19" i="8"/>
  <c r="K19" i="8"/>
  <c r="G20" i="8"/>
  <c r="L18" i="3"/>
  <c r="I20" i="8"/>
  <c r="C148" i="2"/>
  <c r="E20" i="8"/>
  <c r="K20" i="8"/>
  <c r="G21" i="8"/>
  <c r="L19" i="3"/>
  <c r="I21" i="8"/>
  <c r="C164" i="2"/>
  <c r="E21" i="8"/>
  <c r="K21" i="8"/>
  <c r="G22" i="8"/>
  <c r="L20" i="3"/>
  <c r="I22" i="8"/>
  <c r="C187" i="2"/>
  <c r="E22" i="8"/>
  <c r="K22" i="8"/>
  <c r="G23" i="8"/>
  <c r="L21" i="3"/>
  <c r="I23" i="8"/>
  <c r="C203" i="2"/>
  <c r="E23" i="8"/>
  <c r="K23" i="8"/>
  <c r="G24" i="8"/>
  <c r="L22" i="3"/>
  <c r="I24" i="8"/>
  <c r="C219" i="2"/>
  <c r="E24" i="8"/>
  <c r="K24" i="8"/>
  <c r="G25" i="8"/>
  <c r="L23" i="3"/>
  <c r="I25" i="8"/>
  <c r="C242" i="2"/>
  <c r="E25" i="8"/>
  <c r="K25" i="8"/>
  <c r="G26" i="8"/>
  <c r="L24" i="3"/>
  <c r="I26" i="8"/>
  <c r="C258" i="2"/>
  <c r="E26" i="8"/>
  <c r="K26" i="8"/>
  <c r="G27" i="8"/>
  <c r="L25" i="3"/>
  <c r="I27" i="8"/>
  <c r="C274" i="2"/>
  <c r="E27" i="8"/>
  <c r="K27" i="8"/>
  <c r="C21" i="2"/>
  <c r="E13" i="8"/>
  <c r="K13" i="8"/>
  <c r="K29" i="8"/>
  <c r="K31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A24" i="9"/>
  <c r="A25" i="9"/>
  <c r="A26" i="9"/>
  <c r="A27" i="9"/>
  <c r="F4" i="9"/>
  <c r="A13" i="9"/>
  <c r="A14" i="9"/>
  <c r="A15" i="9"/>
  <c r="A16" i="9"/>
  <c r="A17" i="9"/>
  <c r="A18" i="9"/>
  <c r="A19" i="9"/>
  <c r="A20" i="9"/>
  <c r="A21" i="9"/>
  <c r="A22" i="9"/>
  <c r="A23" i="9"/>
  <c r="G13" i="9"/>
  <c r="I13" i="9"/>
  <c r="G14" i="9"/>
  <c r="I14" i="9"/>
  <c r="C40" i="2"/>
  <c r="E14" i="9"/>
  <c r="K14" i="9"/>
  <c r="G15" i="9"/>
  <c r="I15" i="9"/>
  <c r="C56" i="2"/>
  <c r="E15" i="9"/>
  <c r="K15" i="9"/>
  <c r="G16" i="9"/>
  <c r="I16" i="9"/>
  <c r="C79" i="2"/>
  <c r="E16" i="9"/>
  <c r="K16" i="9"/>
  <c r="G17" i="9"/>
  <c r="I17" i="9"/>
  <c r="C95" i="2"/>
  <c r="E17" i="9"/>
  <c r="K17" i="9"/>
  <c r="G18" i="9"/>
  <c r="I18" i="9"/>
  <c r="C111" i="2"/>
  <c r="E18" i="9"/>
  <c r="K18" i="9"/>
  <c r="G19" i="9"/>
  <c r="I19" i="9"/>
  <c r="C134" i="2"/>
  <c r="E19" i="9"/>
  <c r="K19" i="9"/>
  <c r="G20" i="9"/>
  <c r="I20" i="9"/>
  <c r="C150" i="2"/>
  <c r="E20" i="9"/>
  <c r="K20" i="9"/>
  <c r="G21" i="9"/>
  <c r="I21" i="9"/>
  <c r="C166" i="2"/>
  <c r="E21" i="9"/>
  <c r="K21" i="9"/>
  <c r="G22" i="9"/>
  <c r="I22" i="9"/>
  <c r="C189" i="2"/>
  <c r="E22" i="9"/>
  <c r="K22" i="9"/>
  <c r="G23" i="9"/>
  <c r="I23" i="9"/>
  <c r="C205" i="2"/>
  <c r="E23" i="9"/>
  <c r="K23" i="9"/>
  <c r="G24" i="9"/>
  <c r="I24" i="9"/>
  <c r="C221" i="2"/>
  <c r="E24" i="9"/>
  <c r="K24" i="9"/>
  <c r="G25" i="9"/>
  <c r="I25" i="9"/>
  <c r="C244" i="2"/>
  <c r="E25" i="9"/>
  <c r="K25" i="9"/>
  <c r="G26" i="9"/>
  <c r="I26" i="9"/>
  <c r="C260" i="2"/>
  <c r="E26" i="9"/>
  <c r="K26" i="9"/>
  <c r="G27" i="9"/>
  <c r="I27" i="9"/>
  <c r="C276" i="2"/>
  <c r="E27" i="9"/>
  <c r="K27" i="9"/>
  <c r="C23" i="2"/>
  <c r="E13" i="9"/>
  <c r="K13" i="9"/>
  <c r="K29" i="9"/>
  <c r="K31" i="9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42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42" i="16"/>
  <c r="P40" i="16"/>
  <c r="N40" i="16"/>
  <c r="L40" i="16"/>
  <c r="J40" i="16"/>
  <c r="H40" i="16"/>
  <c r="F40" i="16"/>
  <c r="V15" i="17"/>
  <c r="W15" i="17"/>
  <c r="W17" i="17"/>
  <c r="W19" i="17"/>
  <c r="W31" i="17"/>
  <c r="W29" i="17"/>
  <c r="W27" i="17"/>
  <c r="V27" i="17"/>
  <c r="V31" i="17"/>
  <c r="U27" i="17"/>
  <c r="V19" i="17"/>
  <c r="O15" i="17"/>
  <c r="P15" i="17"/>
  <c r="P17" i="17"/>
  <c r="P19" i="17"/>
  <c r="P31" i="17"/>
  <c r="P29" i="17"/>
  <c r="P27" i="17"/>
  <c r="O27" i="17"/>
  <c r="O31" i="17"/>
  <c r="N27" i="17"/>
  <c r="O19" i="17"/>
  <c r="E15" i="17"/>
  <c r="F15" i="17"/>
  <c r="F17" i="17"/>
  <c r="F19" i="17"/>
  <c r="F31" i="17"/>
  <c r="F29" i="17"/>
  <c r="F27" i="17"/>
  <c r="E27" i="17"/>
  <c r="F45" i="17"/>
  <c r="F43" i="17"/>
  <c r="F41" i="17"/>
  <c r="E41" i="17"/>
  <c r="E45" i="17"/>
  <c r="D41" i="17"/>
  <c r="E31" i="17"/>
  <c r="D27" i="17"/>
  <c r="E19" i="17"/>
  <c r="G5" i="14"/>
  <c r="O70" i="14"/>
  <c r="N70" i="14"/>
  <c r="M70" i="14"/>
  <c r="C15" i="2"/>
  <c r="D15" i="2"/>
  <c r="E15" i="2"/>
  <c r="D23" i="2"/>
  <c r="E23" i="2"/>
  <c r="D40" i="2"/>
  <c r="E40" i="2"/>
  <c r="D56" i="2"/>
  <c r="E56" i="2"/>
  <c r="D79" i="2"/>
  <c r="E79" i="2"/>
  <c r="D95" i="2"/>
  <c r="E95" i="2"/>
  <c r="D111" i="2"/>
  <c r="E111" i="2"/>
  <c r="D150" i="2"/>
  <c r="E150" i="2"/>
  <c r="D166" i="2"/>
  <c r="E166" i="2"/>
  <c r="D189" i="2"/>
  <c r="E189" i="2"/>
  <c r="D205" i="2"/>
  <c r="E205" i="2"/>
  <c r="D221" i="2"/>
  <c r="E221" i="2"/>
  <c r="D244" i="2"/>
  <c r="E244" i="2"/>
  <c r="D260" i="2"/>
  <c r="E260" i="2"/>
  <c r="D276" i="2"/>
  <c r="E276" i="2"/>
  <c r="C299" i="2"/>
  <c r="D299" i="2"/>
  <c r="E299" i="2"/>
  <c r="M7" i="2"/>
  <c r="O182" i="2"/>
  <c r="O183" i="2"/>
  <c r="I105" i="2"/>
  <c r="L106" i="2"/>
  <c r="D254" i="2"/>
  <c r="D255" i="2"/>
  <c r="D256" i="2"/>
  <c r="M256" i="2"/>
  <c r="M257" i="2"/>
  <c r="D215" i="2"/>
  <c r="D216" i="2"/>
  <c r="D217" i="2"/>
  <c r="M217" i="2"/>
  <c r="M218" i="2"/>
  <c r="I161" i="2"/>
  <c r="I159" i="2"/>
  <c r="L162" i="2"/>
  <c r="D160" i="2"/>
  <c r="D161" i="2"/>
  <c r="D162" i="2"/>
  <c r="N163" i="2"/>
  <c r="N164" i="2"/>
  <c r="D144" i="2"/>
  <c r="D145" i="2"/>
  <c r="D146" i="2"/>
  <c r="N147" i="2"/>
  <c r="N148" i="2"/>
  <c r="I143" i="2"/>
  <c r="L146" i="2"/>
  <c r="I129" i="2"/>
  <c r="I126" i="2"/>
  <c r="L129" i="2"/>
  <c r="I106" i="2"/>
  <c r="I103" i="2"/>
  <c r="D89" i="2"/>
  <c r="D90" i="2"/>
  <c r="D91" i="2"/>
  <c r="I134" i="2"/>
  <c r="I132" i="2"/>
  <c r="L134" i="2"/>
  <c r="C71" i="2"/>
  <c r="D71" i="2"/>
  <c r="E71" i="2"/>
  <c r="I22" i="2"/>
  <c r="J22" i="2"/>
  <c r="C19" i="2"/>
  <c r="D19" i="2"/>
  <c r="E19" i="2"/>
  <c r="F6" i="2"/>
  <c r="A14" i="2"/>
  <c r="A15" i="2"/>
  <c r="G15" i="2"/>
  <c r="I15" i="2"/>
  <c r="A16" i="2"/>
  <c r="C16" i="2"/>
  <c r="D16" i="2"/>
  <c r="E16" i="2"/>
  <c r="G16" i="2"/>
  <c r="I16" i="2"/>
  <c r="A17" i="2"/>
  <c r="C17" i="2"/>
  <c r="D17" i="2"/>
  <c r="E17" i="2"/>
  <c r="G17" i="2"/>
  <c r="I17" i="2"/>
  <c r="A18" i="2"/>
  <c r="C18" i="2"/>
  <c r="D18" i="2"/>
  <c r="E18" i="2"/>
  <c r="G18" i="2"/>
  <c r="I18" i="2"/>
  <c r="A19" i="2"/>
  <c r="G19" i="2"/>
  <c r="E20" i="2"/>
  <c r="G20" i="2"/>
  <c r="J20" i="2"/>
  <c r="A21" i="2"/>
  <c r="D21" i="2"/>
  <c r="E21" i="2"/>
  <c r="I21" i="2"/>
  <c r="J21" i="2"/>
  <c r="A22" i="2"/>
  <c r="C22" i="2"/>
  <c r="D22" i="2"/>
  <c r="E22" i="2"/>
  <c r="A23" i="2"/>
  <c r="G23" i="2"/>
  <c r="I23" i="2"/>
  <c r="J23" i="2"/>
  <c r="L23" i="2"/>
  <c r="A31" i="2"/>
  <c r="A32" i="2"/>
  <c r="C32" i="2"/>
  <c r="D32" i="2"/>
  <c r="E32" i="2"/>
  <c r="G32" i="2"/>
  <c r="I32" i="2"/>
  <c r="A33" i="2"/>
  <c r="C33" i="2"/>
  <c r="D33" i="2"/>
  <c r="E33" i="2"/>
  <c r="G33" i="2"/>
  <c r="I33" i="2"/>
  <c r="A34" i="2"/>
  <c r="C34" i="2"/>
  <c r="D34" i="2"/>
  <c r="E34" i="2"/>
  <c r="G34" i="2"/>
  <c r="I34" i="2"/>
  <c r="L34" i="2"/>
  <c r="A35" i="2"/>
  <c r="C35" i="2"/>
  <c r="D35" i="2"/>
  <c r="E35" i="2"/>
  <c r="G35" i="2"/>
  <c r="I35" i="2"/>
  <c r="A36" i="2"/>
  <c r="C36" i="2"/>
  <c r="D36" i="2"/>
  <c r="E36" i="2"/>
  <c r="G36" i="2"/>
  <c r="E37" i="2"/>
  <c r="G37" i="2"/>
  <c r="J37" i="2"/>
  <c r="L37" i="2"/>
  <c r="A38" i="2"/>
  <c r="D38" i="2"/>
  <c r="E38" i="2"/>
  <c r="I38" i="2"/>
  <c r="J38" i="2"/>
  <c r="A39" i="2"/>
  <c r="C39" i="2"/>
  <c r="D39" i="2"/>
  <c r="E39" i="2"/>
  <c r="I39" i="2"/>
  <c r="J39" i="2"/>
  <c r="A40" i="2"/>
  <c r="G40" i="2"/>
  <c r="I40" i="2"/>
  <c r="J40" i="2"/>
  <c r="A47" i="2"/>
  <c r="A48" i="2"/>
  <c r="C48" i="2"/>
  <c r="D48" i="2"/>
  <c r="E48" i="2"/>
  <c r="G48" i="2"/>
  <c r="I48" i="2"/>
  <c r="A49" i="2"/>
  <c r="C49" i="2"/>
  <c r="D49" i="2"/>
  <c r="E49" i="2"/>
  <c r="G49" i="2"/>
  <c r="I49" i="2"/>
  <c r="A50" i="2"/>
  <c r="C50" i="2"/>
  <c r="D50" i="2"/>
  <c r="E50" i="2"/>
  <c r="G50" i="2"/>
  <c r="I50" i="2"/>
  <c r="A51" i="2"/>
  <c r="C51" i="2"/>
  <c r="D51" i="2"/>
  <c r="E51" i="2"/>
  <c r="G51" i="2"/>
  <c r="I51" i="2"/>
  <c r="L51" i="2"/>
  <c r="A52" i="2"/>
  <c r="C52" i="2"/>
  <c r="D52" i="2"/>
  <c r="E52" i="2"/>
  <c r="G52" i="2"/>
  <c r="E53" i="2"/>
  <c r="G53" i="2"/>
  <c r="J53" i="2"/>
  <c r="A54" i="2"/>
  <c r="D54" i="2"/>
  <c r="E54" i="2"/>
  <c r="I54" i="2"/>
  <c r="J54" i="2"/>
  <c r="A55" i="2"/>
  <c r="C55" i="2"/>
  <c r="D55" i="2"/>
  <c r="E55" i="2"/>
  <c r="I55" i="2"/>
  <c r="J55" i="2"/>
  <c r="A56" i="2"/>
  <c r="G56" i="2"/>
  <c r="I56" i="2"/>
  <c r="J56" i="2"/>
  <c r="F62" i="2"/>
  <c r="A70" i="2"/>
  <c r="A71" i="2"/>
  <c r="G71" i="2"/>
  <c r="I71" i="2"/>
  <c r="A72" i="2"/>
  <c r="C72" i="2"/>
  <c r="D72" i="2"/>
  <c r="E72" i="2"/>
  <c r="G72" i="2"/>
  <c r="I72" i="2"/>
  <c r="A73" i="2"/>
  <c r="C73" i="2"/>
  <c r="D73" i="2"/>
  <c r="E73" i="2"/>
  <c r="G73" i="2"/>
  <c r="I73" i="2"/>
  <c r="A74" i="2"/>
  <c r="C74" i="2"/>
  <c r="D74" i="2"/>
  <c r="E74" i="2"/>
  <c r="G74" i="2"/>
  <c r="I74" i="2"/>
  <c r="A75" i="2"/>
  <c r="C75" i="2"/>
  <c r="D75" i="2"/>
  <c r="E75" i="2"/>
  <c r="G75" i="2"/>
  <c r="E76" i="2"/>
  <c r="G76" i="2"/>
  <c r="J76" i="2"/>
  <c r="A77" i="2"/>
  <c r="D77" i="2"/>
  <c r="E77" i="2"/>
  <c r="I77" i="2"/>
  <c r="J77" i="2"/>
  <c r="A78" i="2"/>
  <c r="C78" i="2"/>
  <c r="D78" i="2"/>
  <c r="E78" i="2"/>
  <c r="I78" i="2"/>
  <c r="J78" i="2"/>
  <c r="A79" i="2"/>
  <c r="G79" i="2"/>
  <c r="I79" i="2"/>
  <c r="J79" i="2"/>
  <c r="A86" i="2"/>
  <c r="A87" i="2"/>
  <c r="C87" i="2"/>
  <c r="D87" i="2"/>
  <c r="E87" i="2"/>
  <c r="G87" i="2"/>
  <c r="I87" i="2"/>
  <c r="A88" i="2"/>
  <c r="C88" i="2"/>
  <c r="D88" i="2"/>
  <c r="E88" i="2"/>
  <c r="G88" i="2"/>
  <c r="I88" i="2"/>
  <c r="A89" i="2"/>
  <c r="C89" i="2"/>
  <c r="E89" i="2"/>
  <c r="G89" i="2"/>
  <c r="I89" i="2"/>
  <c r="A90" i="2"/>
  <c r="C90" i="2"/>
  <c r="E90" i="2"/>
  <c r="G90" i="2"/>
  <c r="I90" i="2"/>
  <c r="A91" i="2"/>
  <c r="C91" i="2"/>
  <c r="E91" i="2"/>
  <c r="G91" i="2"/>
  <c r="E92" i="2"/>
  <c r="G92" i="2"/>
  <c r="J92" i="2"/>
  <c r="A93" i="2"/>
  <c r="D93" i="2"/>
  <c r="E93" i="2"/>
  <c r="I93" i="2"/>
  <c r="J93" i="2"/>
  <c r="A94" i="2"/>
  <c r="C94" i="2"/>
  <c r="D94" i="2"/>
  <c r="E94" i="2"/>
  <c r="I94" i="2"/>
  <c r="J94" i="2"/>
  <c r="A95" i="2"/>
  <c r="G95" i="2"/>
  <c r="I95" i="2"/>
  <c r="J95" i="2"/>
  <c r="A102" i="2"/>
  <c r="A103" i="2"/>
  <c r="C103" i="2"/>
  <c r="D103" i="2"/>
  <c r="E103" i="2"/>
  <c r="G103" i="2"/>
  <c r="A104" i="2"/>
  <c r="C104" i="2"/>
  <c r="D104" i="2"/>
  <c r="E104" i="2"/>
  <c r="G104" i="2"/>
  <c r="I104" i="2"/>
  <c r="A105" i="2"/>
  <c r="C105" i="2"/>
  <c r="D105" i="2"/>
  <c r="E105" i="2"/>
  <c r="G105" i="2"/>
  <c r="A106" i="2"/>
  <c r="C106" i="2"/>
  <c r="D106" i="2"/>
  <c r="E106" i="2"/>
  <c r="G106" i="2"/>
  <c r="A107" i="2"/>
  <c r="C107" i="2"/>
  <c r="D107" i="2"/>
  <c r="E107" i="2"/>
  <c r="G107" i="2"/>
  <c r="E108" i="2"/>
  <c r="G108" i="2"/>
  <c r="J108" i="2"/>
  <c r="A109" i="2"/>
  <c r="D109" i="2"/>
  <c r="E109" i="2"/>
  <c r="I109" i="2"/>
  <c r="J109" i="2"/>
  <c r="A110" i="2"/>
  <c r="C110" i="2"/>
  <c r="D110" i="2"/>
  <c r="E110" i="2"/>
  <c r="I110" i="2"/>
  <c r="J110" i="2"/>
  <c r="A111" i="2"/>
  <c r="G111" i="2"/>
  <c r="I111" i="2"/>
  <c r="J111" i="2"/>
  <c r="F117" i="2"/>
  <c r="A125" i="2"/>
  <c r="A126" i="2"/>
  <c r="C126" i="2"/>
  <c r="D126" i="2"/>
  <c r="E126" i="2"/>
  <c r="G126" i="2"/>
  <c r="A127" i="2"/>
  <c r="C127" i="2"/>
  <c r="D127" i="2"/>
  <c r="E127" i="2"/>
  <c r="G127" i="2"/>
  <c r="I127" i="2"/>
  <c r="A128" i="2"/>
  <c r="C128" i="2"/>
  <c r="D128" i="2"/>
  <c r="E128" i="2"/>
  <c r="G128" i="2"/>
  <c r="I128" i="2"/>
  <c r="A129" i="2"/>
  <c r="C129" i="2"/>
  <c r="D129" i="2"/>
  <c r="E129" i="2"/>
  <c r="G129" i="2"/>
  <c r="A130" i="2"/>
  <c r="C130" i="2"/>
  <c r="D130" i="2"/>
  <c r="E130" i="2"/>
  <c r="G130" i="2"/>
  <c r="E131" i="2"/>
  <c r="G131" i="2"/>
  <c r="J131" i="2"/>
  <c r="A132" i="2"/>
  <c r="D132" i="2"/>
  <c r="E132" i="2"/>
  <c r="J132" i="2"/>
  <c r="A133" i="2"/>
  <c r="C133" i="2"/>
  <c r="D133" i="2"/>
  <c r="E133" i="2"/>
  <c r="I133" i="2"/>
  <c r="J133" i="2"/>
  <c r="A134" i="2"/>
  <c r="D134" i="2"/>
  <c r="E134" i="2"/>
  <c r="G134" i="2"/>
  <c r="J134" i="2"/>
  <c r="A141" i="2"/>
  <c r="A142" i="2"/>
  <c r="C142" i="2"/>
  <c r="D142" i="2"/>
  <c r="E142" i="2"/>
  <c r="G142" i="2"/>
  <c r="I142" i="2"/>
  <c r="A143" i="2"/>
  <c r="C143" i="2"/>
  <c r="D143" i="2"/>
  <c r="E143" i="2"/>
  <c r="G143" i="2"/>
  <c r="A144" i="2"/>
  <c r="C144" i="2"/>
  <c r="E144" i="2"/>
  <c r="G144" i="2"/>
  <c r="I144" i="2"/>
  <c r="A145" i="2"/>
  <c r="C145" i="2"/>
  <c r="E145" i="2"/>
  <c r="G145" i="2"/>
  <c r="I145" i="2"/>
  <c r="A146" i="2"/>
  <c r="C146" i="2"/>
  <c r="E146" i="2"/>
  <c r="G146" i="2"/>
  <c r="E147" i="2"/>
  <c r="G147" i="2"/>
  <c r="J147" i="2"/>
  <c r="L147" i="2"/>
  <c r="A148" i="2"/>
  <c r="D148" i="2"/>
  <c r="E148" i="2"/>
  <c r="I148" i="2"/>
  <c r="J148" i="2"/>
  <c r="A149" i="2"/>
  <c r="C149" i="2"/>
  <c r="D149" i="2"/>
  <c r="E149" i="2"/>
  <c r="I149" i="2"/>
  <c r="J149" i="2"/>
  <c r="A150" i="2"/>
  <c r="G150" i="2"/>
  <c r="I150" i="2"/>
  <c r="J150" i="2"/>
  <c r="A157" i="2"/>
  <c r="A158" i="2"/>
  <c r="C158" i="2"/>
  <c r="D158" i="2"/>
  <c r="E158" i="2"/>
  <c r="G158" i="2"/>
  <c r="I158" i="2"/>
  <c r="A159" i="2"/>
  <c r="C159" i="2"/>
  <c r="D159" i="2"/>
  <c r="E159" i="2"/>
  <c r="G159" i="2"/>
  <c r="A160" i="2"/>
  <c r="C160" i="2"/>
  <c r="E160" i="2"/>
  <c r="G160" i="2"/>
  <c r="I160" i="2"/>
  <c r="A161" i="2"/>
  <c r="C161" i="2"/>
  <c r="E161" i="2"/>
  <c r="G161" i="2"/>
  <c r="A162" i="2"/>
  <c r="C162" i="2"/>
  <c r="E162" i="2"/>
  <c r="G162" i="2"/>
  <c r="E163" i="2"/>
  <c r="G163" i="2"/>
  <c r="J163" i="2"/>
  <c r="A164" i="2"/>
  <c r="D164" i="2"/>
  <c r="E164" i="2"/>
  <c r="I164" i="2"/>
  <c r="J164" i="2"/>
  <c r="A165" i="2"/>
  <c r="C165" i="2"/>
  <c r="D165" i="2"/>
  <c r="E165" i="2"/>
  <c r="I165" i="2"/>
  <c r="J165" i="2"/>
  <c r="A166" i="2"/>
  <c r="G166" i="2"/>
  <c r="I166" i="2"/>
  <c r="J166" i="2"/>
  <c r="F172" i="2"/>
  <c r="A180" i="2"/>
  <c r="A181" i="2"/>
  <c r="C181" i="2"/>
  <c r="D181" i="2"/>
  <c r="E181" i="2"/>
  <c r="G181" i="2"/>
  <c r="I181" i="2"/>
  <c r="A182" i="2"/>
  <c r="C182" i="2"/>
  <c r="D182" i="2"/>
  <c r="E182" i="2"/>
  <c r="G182" i="2"/>
  <c r="I182" i="2"/>
  <c r="A183" i="2"/>
  <c r="C183" i="2"/>
  <c r="D183" i="2"/>
  <c r="E183" i="2"/>
  <c r="G183" i="2"/>
  <c r="I183" i="2"/>
  <c r="A184" i="2"/>
  <c r="C184" i="2"/>
  <c r="D184" i="2"/>
  <c r="E184" i="2"/>
  <c r="G184" i="2"/>
  <c r="I184" i="2"/>
  <c r="A185" i="2"/>
  <c r="C185" i="2"/>
  <c r="D185" i="2"/>
  <c r="E185" i="2"/>
  <c r="G185" i="2"/>
  <c r="E186" i="2"/>
  <c r="G186" i="2"/>
  <c r="J186" i="2"/>
  <c r="A187" i="2"/>
  <c r="D187" i="2"/>
  <c r="E187" i="2"/>
  <c r="I187" i="2"/>
  <c r="J187" i="2"/>
  <c r="A188" i="2"/>
  <c r="C188" i="2"/>
  <c r="D188" i="2"/>
  <c r="E188" i="2"/>
  <c r="I188" i="2"/>
  <c r="J188" i="2"/>
  <c r="A189" i="2"/>
  <c r="G189" i="2"/>
  <c r="I189" i="2"/>
  <c r="J189" i="2"/>
  <c r="A196" i="2"/>
  <c r="A197" i="2"/>
  <c r="C197" i="2"/>
  <c r="D197" i="2"/>
  <c r="E197" i="2"/>
  <c r="G197" i="2"/>
  <c r="I197" i="2"/>
  <c r="A198" i="2"/>
  <c r="C198" i="2"/>
  <c r="D198" i="2"/>
  <c r="E198" i="2"/>
  <c r="G198" i="2"/>
  <c r="I198" i="2"/>
  <c r="A199" i="2"/>
  <c r="C199" i="2"/>
  <c r="D199" i="2"/>
  <c r="E199" i="2"/>
  <c r="G199" i="2"/>
  <c r="I199" i="2"/>
  <c r="A200" i="2"/>
  <c r="C200" i="2"/>
  <c r="D200" i="2"/>
  <c r="E200" i="2"/>
  <c r="G200" i="2"/>
  <c r="I200" i="2"/>
  <c r="A201" i="2"/>
  <c r="C201" i="2"/>
  <c r="D201" i="2"/>
  <c r="E201" i="2"/>
  <c r="G201" i="2"/>
  <c r="E202" i="2"/>
  <c r="G202" i="2"/>
  <c r="J202" i="2"/>
  <c r="A203" i="2"/>
  <c r="D203" i="2"/>
  <c r="E203" i="2"/>
  <c r="I203" i="2"/>
  <c r="J203" i="2"/>
  <c r="A204" i="2"/>
  <c r="C204" i="2"/>
  <c r="D204" i="2"/>
  <c r="E204" i="2"/>
  <c r="I204" i="2"/>
  <c r="J204" i="2"/>
  <c r="A205" i="2"/>
  <c r="G205" i="2"/>
  <c r="I205" i="2"/>
  <c r="J205" i="2"/>
  <c r="A212" i="2"/>
  <c r="A213" i="2"/>
  <c r="C213" i="2"/>
  <c r="D213" i="2"/>
  <c r="E213" i="2"/>
  <c r="G213" i="2"/>
  <c r="I213" i="2"/>
  <c r="A214" i="2"/>
  <c r="C214" i="2"/>
  <c r="D214" i="2"/>
  <c r="E214" i="2"/>
  <c r="G214" i="2"/>
  <c r="I214" i="2"/>
  <c r="A215" i="2"/>
  <c r="C215" i="2"/>
  <c r="E215" i="2"/>
  <c r="G215" i="2"/>
  <c r="I215" i="2"/>
  <c r="A216" i="2"/>
  <c r="C216" i="2"/>
  <c r="E216" i="2"/>
  <c r="G216" i="2"/>
  <c r="I216" i="2"/>
  <c r="A217" i="2"/>
  <c r="C217" i="2"/>
  <c r="E217" i="2"/>
  <c r="G217" i="2"/>
  <c r="E218" i="2"/>
  <c r="G218" i="2"/>
  <c r="J218" i="2"/>
  <c r="A219" i="2"/>
  <c r="D219" i="2"/>
  <c r="E219" i="2"/>
  <c r="I219" i="2"/>
  <c r="J219" i="2"/>
  <c r="A220" i="2"/>
  <c r="C220" i="2"/>
  <c r="D220" i="2"/>
  <c r="E220" i="2"/>
  <c r="I220" i="2"/>
  <c r="J220" i="2"/>
  <c r="A221" i="2"/>
  <c r="G221" i="2"/>
  <c r="I221" i="2"/>
  <c r="J221" i="2"/>
  <c r="F227" i="2"/>
  <c r="A235" i="2"/>
  <c r="A236" i="2"/>
  <c r="C236" i="2"/>
  <c r="D236" i="2"/>
  <c r="E236" i="2"/>
  <c r="G236" i="2"/>
  <c r="I236" i="2"/>
  <c r="A237" i="2"/>
  <c r="C237" i="2"/>
  <c r="D237" i="2"/>
  <c r="E237" i="2"/>
  <c r="G237" i="2"/>
  <c r="I237" i="2"/>
  <c r="A238" i="2"/>
  <c r="C238" i="2"/>
  <c r="D238" i="2"/>
  <c r="E238" i="2"/>
  <c r="G238" i="2"/>
  <c r="I238" i="2"/>
  <c r="A239" i="2"/>
  <c r="C239" i="2"/>
  <c r="D239" i="2"/>
  <c r="E239" i="2"/>
  <c r="G239" i="2"/>
  <c r="I239" i="2"/>
  <c r="A240" i="2"/>
  <c r="C240" i="2"/>
  <c r="D240" i="2"/>
  <c r="E240" i="2"/>
  <c r="G240" i="2"/>
  <c r="E241" i="2"/>
  <c r="G241" i="2"/>
  <c r="J241" i="2"/>
  <c r="A242" i="2"/>
  <c r="D242" i="2"/>
  <c r="E242" i="2"/>
  <c r="I242" i="2"/>
  <c r="J242" i="2"/>
  <c r="A243" i="2"/>
  <c r="C243" i="2"/>
  <c r="D243" i="2"/>
  <c r="E243" i="2"/>
  <c r="I243" i="2"/>
  <c r="J243" i="2"/>
  <c r="A244" i="2"/>
  <c r="G244" i="2"/>
  <c r="I244" i="2"/>
  <c r="J244" i="2"/>
  <c r="A251" i="2"/>
  <c r="A252" i="2"/>
  <c r="C252" i="2"/>
  <c r="D252" i="2"/>
  <c r="E252" i="2"/>
  <c r="G252" i="2"/>
  <c r="I252" i="2"/>
  <c r="A253" i="2"/>
  <c r="C253" i="2"/>
  <c r="D253" i="2"/>
  <c r="E253" i="2"/>
  <c r="G253" i="2"/>
  <c r="I253" i="2"/>
  <c r="A254" i="2"/>
  <c r="C254" i="2"/>
  <c r="E254" i="2"/>
  <c r="G254" i="2"/>
  <c r="I254" i="2"/>
  <c r="A255" i="2"/>
  <c r="C255" i="2"/>
  <c r="E255" i="2"/>
  <c r="G255" i="2"/>
  <c r="I255" i="2"/>
  <c r="A256" i="2"/>
  <c r="C256" i="2"/>
  <c r="E256" i="2"/>
  <c r="G256" i="2"/>
  <c r="E257" i="2"/>
  <c r="G257" i="2"/>
  <c r="J257" i="2"/>
  <c r="A258" i="2"/>
  <c r="D258" i="2"/>
  <c r="E258" i="2"/>
  <c r="I258" i="2"/>
  <c r="J258" i="2"/>
  <c r="A259" i="2"/>
  <c r="C259" i="2"/>
  <c r="D259" i="2"/>
  <c r="E259" i="2"/>
  <c r="I259" i="2"/>
  <c r="J259" i="2"/>
  <c r="A260" i="2"/>
  <c r="G260" i="2"/>
  <c r="I260" i="2"/>
  <c r="J260" i="2"/>
  <c r="A267" i="2"/>
  <c r="A268" i="2"/>
  <c r="C268" i="2"/>
  <c r="D268" i="2"/>
  <c r="E268" i="2"/>
  <c r="G268" i="2"/>
  <c r="I268" i="2"/>
  <c r="A269" i="2"/>
  <c r="C269" i="2"/>
  <c r="D269" i="2"/>
  <c r="E269" i="2"/>
  <c r="G269" i="2"/>
  <c r="I269" i="2"/>
  <c r="A270" i="2"/>
  <c r="C270" i="2"/>
  <c r="D270" i="2"/>
  <c r="E270" i="2"/>
  <c r="G270" i="2"/>
  <c r="I270" i="2"/>
  <c r="A271" i="2"/>
  <c r="C271" i="2"/>
  <c r="D271" i="2"/>
  <c r="E271" i="2"/>
  <c r="G271" i="2"/>
  <c r="I271" i="2"/>
  <c r="A272" i="2"/>
  <c r="C272" i="2"/>
  <c r="D272" i="2"/>
  <c r="E272" i="2"/>
  <c r="G272" i="2"/>
  <c r="E273" i="2"/>
  <c r="G273" i="2"/>
  <c r="J273" i="2"/>
  <c r="A274" i="2"/>
  <c r="D274" i="2"/>
  <c r="E274" i="2"/>
  <c r="I274" i="2"/>
  <c r="J274" i="2"/>
  <c r="I276" i="2"/>
  <c r="L274" i="2"/>
  <c r="A275" i="2"/>
  <c r="C275" i="2"/>
  <c r="D275" i="2"/>
  <c r="E275" i="2"/>
  <c r="I275" i="2"/>
  <c r="J275" i="2"/>
  <c r="A276" i="2"/>
  <c r="G276" i="2"/>
  <c r="J276" i="2"/>
  <c r="F282" i="2"/>
  <c r="A290" i="2"/>
  <c r="C291" i="2"/>
  <c r="D291" i="2"/>
  <c r="E291" i="2"/>
  <c r="G291" i="2"/>
  <c r="I291" i="2"/>
  <c r="C292" i="2"/>
  <c r="D292" i="2"/>
  <c r="E292" i="2"/>
  <c r="G292" i="2"/>
  <c r="I292" i="2"/>
  <c r="C293" i="2"/>
  <c r="D293" i="2"/>
  <c r="E293" i="2"/>
  <c r="G293" i="2"/>
  <c r="I293" i="2"/>
  <c r="C294" i="2"/>
  <c r="D294" i="2"/>
  <c r="E294" i="2"/>
  <c r="G294" i="2"/>
  <c r="I294" i="2"/>
  <c r="C295" i="2"/>
  <c r="D295" i="2"/>
  <c r="E295" i="2"/>
  <c r="G295" i="2"/>
  <c r="I295" i="2"/>
  <c r="E296" i="2"/>
  <c r="G296" i="2"/>
  <c r="J296" i="2"/>
  <c r="C297" i="2"/>
  <c r="D297" i="2"/>
  <c r="E297" i="2"/>
  <c r="I297" i="2"/>
  <c r="J297" i="2"/>
  <c r="C298" i="2"/>
  <c r="D298" i="2"/>
  <c r="E298" i="2"/>
  <c r="I298" i="2"/>
  <c r="J298" i="2"/>
  <c r="G299" i="2"/>
  <c r="I299" i="2"/>
  <c r="J299" i="2"/>
  <c r="A306" i="2"/>
  <c r="A307" i="2"/>
  <c r="C307" i="2"/>
  <c r="D307" i="2"/>
  <c r="E307" i="2"/>
  <c r="G307" i="2"/>
  <c r="I307" i="2"/>
  <c r="A308" i="2"/>
  <c r="C308" i="2"/>
  <c r="D308" i="2"/>
  <c r="E308" i="2"/>
  <c r="G308" i="2"/>
  <c r="I308" i="2"/>
  <c r="A309" i="2"/>
  <c r="C309" i="2"/>
  <c r="D309" i="2"/>
  <c r="E309" i="2"/>
  <c r="G309" i="2"/>
  <c r="I309" i="2"/>
  <c r="A310" i="2"/>
  <c r="C310" i="2"/>
  <c r="D310" i="2"/>
  <c r="E310" i="2"/>
  <c r="G310" i="2"/>
  <c r="I310" i="2"/>
  <c r="A311" i="2"/>
  <c r="C311" i="2"/>
  <c r="D311" i="2"/>
  <c r="E311" i="2"/>
  <c r="G311" i="2"/>
  <c r="I311" i="2"/>
  <c r="E312" i="2"/>
  <c r="G312" i="2"/>
  <c r="J312" i="2"/>
  <c r="A313" i="2"/>
  <c r="C313" i="2"/>
  <c r="D313" i="2"/>
  <c r="E313" i="2"/>
  <c r="I313" i="2"/>
  <c r="J313" i="2"/>
  <c r="A314" i="2"/>
  <c r="C314" i="2"/>
  <c r="D314" i="2"/>
  <c r="E314" i="2"/>
  <c r="I314" i="2"/>
  <c r="J314" i="2"/>
  <c r="A315" i="2"/>
  <c r="C315" i="2"/>
  <c r="D315" i="2"/>
  <c r="E315" i="2"/>
  <c r="G315" i="2"/>
  <c r="I315" i="2"/>
  <c r="J315" i="2"/>
  <c r="N22" i="3"/>
  <c r="N23" i="3"/>
  <c r="N24" i="3"/>
  <c r="N25" i="3"/>
  <c r="A22" i="3"/>
  <c r="C40" i="3"/>
  <c r="E40" i="3"/>
  <c r="A23" i="3"/>
  <c r="C41" i="3"/>
  <c r="E41" i="3"/>
  <c r="A24" i="3"/>
  <c r="C42" i="3"/>
  <c r="E42" i="3"/>
  <c r="A25" i="3"/>
  <c r="F4" i="3"/>
  <c r="A11" i="3"/>
  <c r="N11" i="3"/>
  <c r="A12" i="3"/>
  <c r="N12" i="3"/>
  <c r="A13" i="3"/>
  <c r="N13" i="3"/>
  <c r="A14" i="3"/>
  <c r="N14" i="3"/>
  <c r="A15" i="3"/>
  <c r="N15" i="3"/>
  <c r="A16" i="3"/>
  <c r="N16" i="3"/>
  <c r="A17" i="3"/>
  <c r="N17" i="3"/>
  <c r="A18" i="3"/>
  <c r="N18" i="3"/>
  <c r="A19" i="3"/>
  <c r="N19" i="3"/>
  <c r="A20" i="3"/>
  <c r="N20" i="3"/>
  <c r="A21" i="3"/>
  <c r="N21" i="3"/>
  <c r="C29" i="3"/>
  <c r="E29" i="3"/>
  <c r="C30" i="3"/>
  <c r="E30" i="3"/>
  <c r="C31" i="3"/>
  <c r="E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17" i="4"/>
  <c r="D17" i="4"/>
  <c r="E17" i="4"/>
  <c r="L36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C11" i="4"/>
  <c r="D11" i="4"/>
  <c r="E11" i="4"/>
  <c r="G11" i="4"/>
  <c r="H11" i="4"/>
  <c r="I11" i="4"/>
  <c r="F11" i="4"/>
  <c r="J11" i="4"/>
  <c r="C12" i="4"/>
  <c r="D12" i="4"/>
  <c r="E12" i="4"/>
  <c r="G12" i="4"/>
  <c r="H12" i="4"/>
  <c r="I12" i="4"/>
  <c r="F12" i="4"/>
  <c r="J12" i="4"/>
  <c r="C13" i="4"/>
  <c r="D13" i="4"/>
  <c r="E13" i="4"/>
  <c r="G13" i="4"/>
  <c r="H13" i="4"/>
  <c r="I13" i="4"/>
  <c r="F13" i="4"/>
  <c r="J13" i="4"/>
  <c r="C14" i="4"/>
  <c r="D14" i="4"/>
  <c r="E14" i="4"/>
  <c r="G14" i="4"/>
  <c r="H14" i="4"/>
  <c r="I14" i="4"/>
  <c r="F14" i="4"/>
  <c r="J14" i="4"/>
  <c r="C15" i="4"/>
  <c r="D15" i="4"/>
  <c r="E15" i="4"/>
  <c r="G15" i="4"/>
  <c r="H15" i="4"/>
  <c r="I15" i="4"/>
  <c r="F15" i="4"/>
  <c r="J15" i="4"/>
  <c r="C16" i="4"/>
  <c r="D16" i="4"/>
  <c r="E16" i="4"/>
  <c r="G16" i="4"/>
  <c r="H16" i="4"/>
  <c r="I16" i="4"/>
  <c r="F16" i="4"/>
  <c r="J16" i="4"/>
  <c r="G17" i="4"/>
  <c r="H17" i="4"/>
  <c r="I17" i="4"/>
  <c r="F17" i="4"/>
  <c r="J17" i="4"/>
  <c r="C18" i="4"/>
  <c r="D18" i="4"/>
  <c r="E18" i="4"/>
  <c r="G18" i="4"/>
  <c r="H18" i="4"/>
  <c r="I18" i="4"/>
  <c r="F18" i="4"/>
  <c r="J18" i="4"/>
  <c r="C19" i="4"/>
  <c r="D19" i="4"/>
  <c r="E19" i="4"/>
  <c r="G19" i="4"/>
  <c r="H19" i="4"/>
  <c r="I19" i="4"/>
  <c r="F19" i="4"/>
  <c r="J19" i="4"/>
  <c r="C20" i="4"/>
  <c r="D20" i="4"/>
  <c r="E20" i="4"/>
  <c r="G20" i="4"/>
  <c r="H20" i="4"/>
  <c r="I20" i="4"/>
  <c r="F20" i="4"/>
  <c r="J20" i="4"/>
  <c r="C21" i="4"/>
  <c r="D21" i="4"/>
  <c r="E21" i="4"/>
  <c r="G21" i="4"/>
  <c r="H21" i="4"/>
  <c r="I21" i="4"/>
  <c r="F21" i="4"/>
  <c r="J21" i="4"/>
  <c r="C22" i="4"/>
  <c r="D22" i="4"/>
  <c r="E22" i="4"/>
  <c r="G22" i="4"/>
  <c r="H22" i="4"/>
  <c r="I22" i="4"/>
  <c r="F22" i="4"/>
  <c r="J22" i="4"/>
  <c r="C23" i="4"/>
  <c r="D23" i="4"/>
  <c r="E23" i="4"/>
  <c r="G23" i="4"/>
  <c r="H23" i="4"/>
  <c r="I23" i="4"/>
  <c r="F23" i="4"/>
  <c r="J23" i="4"/>
  <c r="C24" i="4"/>
  <c r="D24" i="4"/>
  <c r="E24" i="4"/>
  <c r="G24" i="4"/>
  <c r="H24" i="4"/>
  <c r="I24" i="4"/>
  <c r="F24" i="4"/>
  <c r="J24" i="4"/>
  <c r="C25" i="4"/>
  <c r="D25" i="4"/>
  <c r="E25" i="4"/>
  <c r="G25" i="4"/>
  <c r="H25" i="4"/>
  <c r="I25" i="4"/>
  <c r="F25" i="4"/>
  <c r="J25" i="4"/>
  <c r="J27" i="4"/>
  <c r="I26" i="4"/>
  <c r="H26" i="4"/>
  <c r="G26" i="4"/>
  <c r="F27" i="4"/>
  <c r="E26" i="4"/>
  <c r="D26" i="4"/>
  <c r="C26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7" i="4"/>
  <c r="A22" i="4"/>
  <c r="A23" i="4"/>
  <c r="A24" i="4"/>
  <c r="A25" i="4"/>
  <c r="G4" i="4"/>
  <c r="A11" i="4"/>
  <c r="A12" i="4"/>
  <c r="A13" i="4"/>
  <c r="A14" i="4"/>
  <c r="A15" i="4"/>
  <c r="A16" i="4"/>
  <c r="A17" i="4"/>
  <c r="A18" i="4"/>
  <c r="A19" i="4"/>
  <c r="A20" i="4"/>
  <c r="A21" i="4"/>
  <c r="D27" i="4"/>
  <c r="H27" i="4"/>
  <c r="L27" i="4"/>
  <c r="B14" i="5"/>
  <c r="D14" i="5"/>
  <c r="E14" i="5"/>
  <c r="B15" i="5"/>
  <c r="D15" i="5"/>
  <c r="E15" i="5"/>
  <c r="B16" i="5"/>
  <c r="D16" i="5"/>
  <c r="E16" i="5"/>
  <c r="B17" i="5"/>
  <c r="D17" i="5"/>
  <c r="E17" i="5"/>
  <c r="B18" i="5"/>
  <c r="D18" i="5"/>
  <c r="E18" i="5"/>
  <c r="B19" i="5"/>
  <c r="D19" i="5"/>
  <c r="E19" i="5"/>
  <c r="B20" i="5"/>
  <c r="D20" i="5"/>
  <c r="E20" i="5"/>
  <c r="B21" i="5"/>
  <c r="D21" i="5"/>
  <c r="E21" i="5"/>
  <c r="B22" i="5"/>
  <c r="D22" i="5"/>
  <c r="E22" i="5"/>
  <c r="B23" i="5"/>
  <c r="D23" i="5"/>
  <c r="E23" i="5"/>
  <c r="B24" i="5"/>
  <c r="D24" i="5"/>
  <c r="E24" i="5"/>
  <c r="B25" i="5"/>
  <c r="D25" i="5"/>
  <c r="E25" i="5"/>
  <c r="B26" i="5"/>
  <c r="D26" i="5"/>
  <c r="E26" i="5"/>
  <c r="B27" i="5"/>
  <c r="D27" i="5"/>
  <c r="E27" i="5"/>
  <c r="B28" i="5"/>
  <c r="D28" i="5"/>
  <c r="E28" i="5"/>
  <c r="E31" i="5"/>
  <c r="A25" i="5"/>
  <c r="A26" i="5"/>
  <c r="A27" i="5"/>
  <c r="A28" i="5"/>
  <c r="C5" i="5"/>
  <c r="B11" i="5"/>
  <c r="A14" i="5"/>
  <c r="A15" i="5"/>
  <c r="A16" i="5"/>
  <c r="A17" i="5"/>
  <c r="A18" i="5"/>
  <c r="A19" i="5"/>
  <c r="A20" i="5"/>
  <c r="A21" i="5"/>
  <c r="A22" i="5"/>
  <c r="A23" i="5"/>
  <c r="A24" i="5"/>
  <c r="B14" i="6"/>
  <c r="D14" i="6"/>
  <c r="E14" i="6"/>
  <c r="B15" i="6"/>
  <c r="D15" i="6"/>
  <c r="E15" i="6"/>
  <c r="B16" i="6"/>
  <c r="D16" i="6"/>
  <c r="E16" i="6"/>
  <c r="B17" i="6"/>
  <c r="D17" i="6"/>
  <c r="E17" i="6"/>
  <c r="B18" i="6"/>
  <c r="D18" i="6"/>
  <c r="E18" i="6"/>
  <c r="B19" i="6"/>
  <c r="D19" i="6"/>
  <c r="E19" i="6"/>
  <c r="B20" i="6"/>
  <c r="D20" i="6"/>
  <c r="E20" i="6"/>
  <c r="B21" i="6"/>
  <c r="D21" i="6"/>
  <c r="E21" i="6"/>
  <c r="B22" i="6"/>
  <c r="D22" i="6"/>
  <c r="E22" i="6"/>
  <c r="B23" i="6"/>
  <c r="D23" i="6"/>
  <c r="E23" i="6"/>
  <c r="B24" i="6"/>
  <c r="D24" i="6"/>
  <c r="E24" i="6"/>
  <c r="B25" i="6"/>
  <c r="D25" i="6"/>
  <c r="E25" i="6"/>
  <c r="B26" i="6"/>
  <c r="D26" i="6"/>
  <c r="E26" i="6"/>
  <c r="B27" i="6"/>
  <c r="D27" i="6"/>
  <c r="E27" i="6"/>
  <c r="B28" i="6"/>
  <c r="D28" i="6"/>
  <c r="E28" i="6"/>
  <c r="E30" i="6"/>
  <c r="A25" i="6"/>
  <c r="A26" i="6"/>
  <c r="A27" i="6"/>
  <c r="A28" i="6"/>
  <c r="E32" i="6"/>
  <c r="C5" i="6"/>
  <c r="A14" i="6"/>
  <c r="A15" i="6"/>
  <c r="A16" i="6"/>
  <c r="A17" i="6"/>
  <c r="A18" i="6"/>
  <c r="A19" i="6"/>
  <c r="A20" i="6"/>
  <c r="A21" i="6"/>
  <c r="A22" i="6"/>
  <c r="A23" i="6"/>
  <c r="A24" i="6"/>
</calcChain>
</file>

<file path=xl/sharedStrings.xml><?xml version="1.0" encoding="utf-8"?>
<sst xmlns="http://schemas.openxmlformats.org/spreadsheetml/2006/main" count="1760" uniqueCount="558">
  <si>
    <r>
      <t>MN</t>
    </r>
    <r>
      <rPr>
        <sz val="9"/>
        <rFont val="Geneva"/>
      </rPr>
      <t xml:space="preserve">, </t>
    </r>
    <r>
      <rPr>
        <sz val="9"/>
        <color indexed="48"/>
        <rFont val="Geneva"/>
      </rPr>
      <t>WI</t>
    </r>
    <phoneticPr fontId="16"/>
  </si>
  <si>
    <r>
      <t>WI</t>
    </r>
    <r>
      <rPr>
        <sz val="9"/>
        <rFont val="Geneva"/>
      </rPr>
      <t xml:space="preserve">, IA, </t>
    </r>
    <r>
      <rPr>
        <sz val="9"/>
        <color indexed="11"/>
        <rFont val="Geneva"/>
      </rPr>
      <t>MN</t>
    </r>
    <phoneticPr fontId="16"/>
  </si>
  <si>
    <t>CA</t>
    <phoneticPr fontId="16"/>
  </si>
  <si>
    <r>
      <t>ID</t>
    </r>
    <r>
      <rPr>
        <sz val="9"/>
        <rFont val="Geneva"/>
      </rPr>
      <t xml:space="preserve">, </t>
    </r>
    <r>
      <rPr>
        <sz val="10"/>
        <color indexed="48"/>
        <rFont val="Times"/>
      </rPr>
      <t>OR</t>
    </r>
    <phoneticPr fontId="21" type="noConversion"/>
  </si>
  <si>
    <t>CA</t>
    <phoneticPr fontId="21" type="noConversion"/>
  </si>
  <si>
    <t>OR</t>
    <phoneticPr fontId="21" type="noConversion"/>
  </si>
  <si>
    <r>
      <t>MN</t>
    </r>
    <r>
      <rPr>
        <sz val="9"/>
        <rFont val="Geneva"/>
      </rPr>
      <t xml:space="preserve">, </t>
    </r>
    <r>
      <rPr>
        <sz val="10"/>
        <color indexed="10"/>
        <rFont val="Times"/>
      </rPr>
      <t>WI</t>
    </r>
    <r>
      <rPr>
        <sz val="9"/>
        <rFont val="Geneva"/>
      </rPr>
      <t>, ND, SD,</t>
    </r>
    <r>
      <rPr>
        <sz val="9"/>
        <color indexed="11"/>
        <rFont val="Geneva"/>
      </rPr>
      <t xml:space="preserve"> MI</t>
    </r>
    <r>
      <rPr>
        <sz val="9"/>
        <rFont val="Geneva"/>
      </rPr>
      <t>, CO, NM, TX</t>
    </r>
    <phoneticPr fontId="21" type="noConversion"/>
  </si>
  <si>
    <t>Weighted</t>
    <phoneticPr fontId="16"/>
  </si>
  <si>
    <t>BBB-/BB+</t>
    <phoneticPr fontId="21" type="noConversion"/>
  </si>
  <si>
    <t>Baa2</t>
    <phoneticPr fontId="21" type="noConversion"/>
  </si>
  <si>
    <t>Vectren Corp.</t>
  </si>
  <si>
    <t>A/A-</t>
    <phoneticPr fontId="16"/>
  </si>
  <si>
    <t>A2</t>
    <phoneticPr fontId="16"/>
  </si>
  <si>
    <t>Westar Energy</t>
    <phoneticPr fontId="16"/>
  </si>
  <si>
    <t>Wisconsin Energy</t>
  </si>
  <si>
    <t>A-/BBB+</t>
    <phoneticPr fontId="21" type="noConversion"/>
  </si>
  <si>
    <t>A1</t>
    <phoneticPr fontId="16"/>
  </si>
  <si>
    <t>√</t>
    <phoneticPr fontId="16"/>
  </si>
  <si>
    <t>WEST</t>
  </si>
  <si>
    <t>Avista Corp.</t>
  </si>
  <si>
    <t>A3</t>
    <phoneticPr fontId="21" type="noConversion"/>
  </si>
  <si>
    <t>Black Hills Corp.</t>
  </si>
  <si>
    <t>Edison International</t>
  </si>
  <si>
    <t>BBB +</t>
    <phoneticPr fontId="21" type="noConversion"/>
  </si>
  <si>
    <t>El Paso Electric</t>
  </si>
  <si>
    <t>Hawaiian Electric</t>
  </si>
  <si>
    <t>BBB-</t>
    <phoneticPr fontId="16"/>
  </si>
  <si>
    <t>IDACORP, Inc.</t>
  </si>
  <si>
    <t>NV Energy Inc.</t>
  </si>
  <si>
    <t>Baa1</t>
    <phoneticPr fontId="16"/>
  </si>
  <si>
    <t>PG&amp;E Corp.</t>
  </si>
  <si>
    <t>PNM Resources</t>
  </si>
  <si>
    <t>Baa1/Baa2</t>
    <phoneticPr fontId="21" type="noConversion"/>
  </si>
  <si>
    <t>Pinnacle West Capital</t>
  </si>
  <si>
    <t>Baa1</t>
    <phoneticPr fontId="21" type="noConversion"/>
  </si>
  <si>
    <t>e</t>
  </si>
  <si>
    <t>FirstEnergy Corp.</t>
  </si>
  <si>
    <t>no</t>
    <phoneticPr fontId="16"/>
  </si>
  <si>
    <t>BBB</t>
    <phoneticPr fontId="16"/>
  </si>
  <si>
    <t>Baa2</t>
    <phoneticPr fontId="21" type="noConversion"/>
  </si>
  <si>
    <t>NextEra Energy</t>
    <phoneticPr fontId="16"/>
  </si>
  <si>
    <t>Aa3</t>
    <phoneticPr fontId="16"/>
  </si>
  <si>
    <t>Northeast Utilities</t>
  </si>
  <si>
    <t>A3</t>
  </si>
  <si>
    <t>e+g</t>
    <phoneticPr fontId="16"/>
  </si>
  <si>
    <t>PPL Corporation</t>
  </si>
  <si>
    <t>Electric Decoupling</t>
    <phoneticPr fontId="16"/>
  </si>
  <si>
    <t>Gas Decoupling</t>
    <phoneticPr fontId="16"/>
  </si>
  <si>
    <t>AZ,AK,CT,DC,GA,ILL,IND,MI,MN,NV,NJ,NC,TN,UT,VA,WA,WY</t>
    <phoneticPr fontId="16"/>
  </si>
  <si>
    <r>
      <t>AK</t>
    </r>
    <r>
      <rPr>
        <sz val="9"/>
        <rFont val="Geneva"/>
      </rPr>
      <t>, KY,</t>
    </r>
    <r>
      <rPr>
        <sz val="9"/>
        <color indexed="11"/>
        <rFont val="Geneva"/>
      </rPr>
      <t xml:space="preserve"> IN</t>
    </r>
    <r>
      <rPr>
        <sz val="9"/>
        <rFont val="Geneva"/>
      </rPr>
      <t xml:space="preserve">, LA, </t>
    </r>
    <r>
      <rPr>
        <sz val="9"/>
        <color indexed="11"/>
        <rFont val="Geneva"/>
      </rPr>
      <t>MI,</t>
    </r>
    <r>
      <rPr>
        <sz val="9"/>
        <rFont val="Geneva"/>
      </rPr>
      <t xml:space="preserve"> </t>
    </r>
    <r>
      <rPr>
        <sz val="10"/>
        <color indexed="10"/>
        <rFont val="Times"/>
      </rPr>
      <t>OH</t>
    </r>
    <r>
      <rPr>
        <sz val="9"/>
        <rFont val="Geneva"/>
      </rPr>
      <t xml:space="preserve">, OK, </t>
    </r>
    <r>
      <rPr>
        <sz val="9"/>
        <color indexed="11"/>
        <rFont val="Geneva"/>
      </rPr>
      <t>TN</t>
    </r>
    <r>
      <rPr>
        <sz val="9"/>
        <rFont val="Geneva"/>
      </rPr>
      <t xml:space="preserve">, TX, </t>
    </r>
    <r>
      <rPr>
        <sz val="9"/>
        <color indexed="11"/>
        <rFont val="Geneva"/>
      </rPr>
      <t>VA</t>
    </r>
    <r>
      <rPr>
        <sz val="9"/>
        <rFont val="Geneva"/>
      </rPr>
      <t>, WV</t>
    </r>
    <phoneticPr fontId="21" type="noConversion"/>
  </si>
  <si>
    <r>
      <t>AK</t>
    </r>
    <r>
      <rPr>
        <sz val="9"/>
        <rFont val="Geneva"/>
      </rPr>
      <t xml:space="preserve">, LA, </t>
    </r>
    <r>
      <rPr>
        <sz val="9"/>
        <color indexed="11"/>
        <rFont val="Geneva"/>
      </rPr>
      <t>MI</t>
    </r>
    <r>
      <rPr>
        <sz val="9"/>
        <rFont val="Geneva"/>
      </rPr>
      <t>, TX</t>
    </r>
    <phoneticPr fontId="21" type="noConversion"/>
  </si>
  <si>
    <r>
      <t xml:space="preserve">OK, </t>
    </r>
    <r>
      <rPr>
        <sz val="9"/>
        <color indexed="11"/>
        <rFont val="Geneva"/>
      </rPr>
      <t>AK</t>
    </r>
    <phoneticPr fontId="16"/>
  </si>
  <si>
    <t>AZ</t>
    <phoneticPr fontId="21" type="noConversion"/>
  </si>
  <si>
    <t>%GAS</t>
    <phoneticPr fontId="16"/>
  </si>
  <si>
    <t>%ELEC</t>
    <phoneticPr fontId="16"/>
  </si>
  <si>
    <t>Data from May 2013 AUS</t>
    <phoneticPr fontId="16"/>
  </si>
  <si>
    <t>CT,DC,HI,ID,OH,</t>
    <phoneticPr fontId="16"/>
  </si>
  <si>
    <t>Gas Only</t>
    <phoneticPr fontId="16"/>
  </si>
  <si>
    <t>Elec Only</t>
    <phoneticPr fontId="16"/>
  </si>
  <si>
    <t>Both</t>
    <phoneticPr fontId="16"/>
  </si>
  <si>
    <t>CA,MD,MA,NY,OR,RI,WI</t>
    <phoneticPr fontId="16"/>
  </si>
  <si>
    <t>NWE</t>
  </si>
  <si>
    <t>PCG</t>
  </si>
  <si>
    <t>PNW</t>
  </si>
  <si>
    <t>POR</t>
  </si>
  <si>
    <t>XEL</t>
  </si>
  <si>
    <t>Southern Company</t>
    <phoneticPr fontId="16"/>
  </si>
  <si>
    <t>ALLETE</t>
    <phoneticPr fontId="16"/>
  </si>
  <si>
    <t>Alliant Energy</t>
    <phoneticPr fontId="16"/>
  </si>
  <si>
    <t>American Electric Power</t>
    <phoneticPr fontId="16"/>
  </si>
  <si>
    <t>Cleco Corporation</t>
    <phoneticPr fontId="16"/>
  </si>
  <si>
    <t>Entergy Corp.</t>
    <phoneticPr fontId="16"/>
  </si>
  <si>
    <t>Westar Energy</t>
    <phoneticPr fontId="16"/>
  </si>
  <si>
    <t>† Daily closing average price from Yahoo!Finance, Historical Prices</t>
    <phoneticPr fontId="16"/>
  </si>
  <si>
    <t>AVG. STOCK PRICE†</t>
    <phoneticPr fontId="16"/>
  </si>
  <si>
    <t>PROJECTED DIVIDEND*</t>
    <phoneticPr fontId="16"/>
  </si>
  <si>
    <t xml:space="preserve"> </t>
    <phoneticPr fontId="16"/>
  </si>
  <si>
    <t>CNL</t>
    <phoneticPr fontId="16"/>
  </si>
  <si>
    <t>2014 EPS</t>
    <phoneticPr fontId="16"/>
  </si>
  <si>
    <r>
      <t xml:space="preserve">*Value Line </t>
    </r>
    <r>
      <rPr>
        <i/>
        <sz val="10"/>
        <rFont val="Times"/>
      </rPr>
      <t>Summary &amp; Index</t>
    </r>
    <r>
      <rPr>
        <sz val="10"/>
        <rFont val="Times"/>
      </rPr>
      <t>, June 21, 2012</t>
    </r>
    <phoneticPr fontId="16"/>
  </si>
  <si>
    <t>2014 Earnings</t>
    <phoneticPr fontId="16" type="noConversion"/>
  </si>
  <si>
    <t xml:space="preserve">SO-4.76%, ALE-6.5%, LNT-5.68%, AEP-3.38%, CNL-8.0%, ETR, n/a, WR-5.1%, </t>
    <phoneticPr fontId="21" type="noConversion"/>
  </si>
  <si>
    <t xml:space="preserve">WEC-5.2%, EIX-458%, IDA-4.0%, NWE-5.0%, PCG-1.35%, PNW-4.13%, </t>
    <phoneticPr fontId="21" type="noConversion"/>
  </si>
  <si>
    <t>Ameren Corp.</t>
  </si>
  <si>
    <t>no</t>
    <phoneticPr fontId="21" type="noConversion"/>
  </si>
  <si>
    <t>BBB/BBB-</t>
    <phoneticPr fontId="16"/>
  </si>
  <si>
    <t>Percent</t>
    <phoneticPr fontId="21" type="noConversion"/>
  </si>
  <si>
    <t>Cost</t>
    <phoneticPr fontId="21" type="noConversion"/>
  </si>
  <si>
    <t>Wt. Cost</t>
    <phoneticPr fontId="21" type="noConversion"/>
  </si>
  <si>
    <t>ATWACC</t>
    <phoneticPr fontId="21" type="noConversion"/>
  </si>
  <si>
    <t>Equity</t>
    <phoneticPr fontId="21" type="noConversion"/>
  </si>
  <si>
    <t>Debt</t>
    <phoneticPr fontId="21" type="noConversion"/>
  </si>
  <si>
    <t xml:space="preserve">Assumptions: </t>
    <phoneticPr fontId="21" type="noConversion"/>
  </si>
  <si>
    <t>2) Market Value Capital Structure = 60% Equity, 40% Debt</t>
    <phoneticPr fontId="21" type="noConversion"/>
  </si>
  <si>
    <t>4) Debt Cost - 5.00%</t>
    <phoneticPr fontId="21" type="noConversion"/>
  </si>
  <si>
    <t>PUGET SOUND ENERGY</t>
    <phoneticPr fontId="21" type="noConversion"/>
  </si>
  <si>
    <t>COST OF EQUITY IMPACT OF A 41 TO 49 BASIS POINT REDUCTION IN ATWACC</t>
    <phoneticPr fontId="21" type="noConversion"/>
  </si>
  <si>
    <t>I. ESTIMATED INITIAL AFTER-TAX  WEIGHTED AVERAGE COST OF CAPITAL (ATWACC)</t>
    <phoneticPr fontId="21" type="noConversion"/>
  </si>
  <si>
    <t>II: A 41 BASIS POINT REDUCTION IN ATWACC</t>
    <phoneticPr fontId="21" type="noConversion"/>
  </si>
  <si>
    <t>1) Tax Rate = 35%</t>
    <phoneticPr fontId="21" type="noConversion"/>
  </si>
  <si>
    <t>III: A 49 BASIS POINT REDUCTION IN ATWACC</t>
    <phoneticPr fontId="21" type="noConversion"/>
  </si>
  <si>
    <t>Cost of Equity Reduction = 9.00% - 8.32% =  0.68%</t>
    <phoneticPr fontId="21" type="noConversion"/>
  </si>
  <si>
    <t>Cost of Equity Reduction = 9.00% - 8.18% =  0.82%</t>
    <phoneticPr fontId="21" type="noConversion"/>
  </si>
  <si>
    <t>3) Equity Cost = 9.00%</t>
    <phoneticPr fontId="21" type="noConversion"/>
  </si>
  <si>
    <t>Cost of Equity Reduction = 9.00% - 8.58% =  0.42%</t>
    <phoneticPr fontId="21" type="noConversion"/>
  </si>
  <si>
    <t>25 BASIS POINTS</t>
    <phoneticPr fontId="21" type="noConversion"/>
  </si>
  <si>
    <t>II: A 25 BASIS POINT REDUCTION IN ATWACC</t>
    <phoneticPr fontId="21" type="noConversion"/>
  </si>
  <si>
    <t>Type</t>
  </si>
  <si>
    <t>Percent</t>
  </si>
  <si>
    <t>Cost</t>
  </si>
  <si>
    <t>Wt. Cost</t>
  </si>
  <si>
    <t>Debt</t>
  </si>
  <si>
    <t>Type</t>
    <phoneticPr fontId="21" type="noConversion"/>
  </si>
  <si>
    <t>Percent</t>
    <phoneticPr fontId="21" type="noConversion"/>
  </si>
  <si>
    <t>Cost</t>
    <phoneticPr fontId="21" type="noConversion"/>
  </si>
  <si>
    <t>Wt. Cost</t>
    <phoneticPr fontId="21" type="noConversion"/>
  </si>
  <si>
    <t>ATWACC</t>
    <phoneticPr fontId="21" type="noConversion"/>
  </si>
  <si>
    <t>Equity</t>
    <phoneticPr fontId="21" type="noConversion"/>
  </si>
  <si>
    <t>Debt</t>
    <phoneticPr fontId="21" type="noConversion"/>
  </si>
  <si>
    <t>ATWACC</t>
    <phoneticPr fontId="21" type="noConversion"/>
  </si>
  <si>
    <t>Type</t>
    <phoneticPr fontId="21" type="noConversion"/>
  </si>
  <si>
    <t>Otter Tail Corp.</t>
    <phoneticPr fontId="21" type="noConversion"/>
  </si>
  <si>
    <t>A-</t>
    <phoneticPr fontId="16"/>
  </si>
  <si>
    <t>A2/A3</t>
    <phoneticPr fontId="16"/>
  </si>
  <si>
    <t>√</t>
    <phoneticPr fontId="16"/>
  </si>
  <si>
    <t>POR</t>
    <phoneticPr fontId="16"/>
  </si>
  <si>
    <t>Northwestern Corp.</t>
    <phoneticPr fontId="16"/>
  </si>
  <si>
    <t>NWE</t>
    <phoneticPr fontId="16"/>
  </si>
  <si>
    <t>PG&amp;E Corp.</t>
    <phoneticPr fontId="16"/>
  </si>
  <si>
    <t>PCG</t>
    <phoneticPr fontId="16"/>
  </si>
  <si>
    <t>Northwestern Corp.</t>
    <phoneticPr fontId="16"/>
  </si>
  <si>
    <t>NWE</t>
    <phoneticPr fontId="16"/>
  </si>
  <si>
    <t>PG&amp;E Corp.</t>
    <phoneticPr fontId="16"/>
  </si>
  <si>
    <t>PCG</t>
    <phoneticPr fontId="16"/>
  </si>
  <si>
    <t>Pinnacle West Capital</t>
    <phoneticPr fontId="16"/>
  </si>
  <si>
    <t>PNW</t>
    <phoneticPr fontId="16"/>
  </si>
  <si>
    <t>Portland General</t>
    <phoneticPr fontId="16"/>
  </si>
  <si>
    <t>POR</t>
    <phoneticPr fontId="16"/>
  </si>
  <si>
    <t>Xcel Energy</t>
    <phoneticPr fontId="16"/>
  </si>
  <si>
    <t>XEL</t>
    <phoneticPr fontId="16"/>
  </si>
  <si>
    <t>[2013]</t>
    <phoneticPr fontId="16" type="noConversion"/>
  </si>
  <si>
    <t>[2016-2018]</t>
    <phoneticPr fontId="16" type="noConversion"/>
  </si>
  <si>
    <t>BAA</t>
    <phoneticPr fontId="16"/>
  </si>
  <si>
    <t>Last Year</t>
    <phoneticPr fontId="16"/>
  </si>
  <si>
    <t>3.40% + 0.66 (6.0%)</t>
    <phoneticPr fontId="16"/>
  </si>
  <si>
    <t>Value Line Historic</t>
  </si>
  <si>
    <t>BAA-RATED</t>
  </si>
  <si>
    <t>IBES</t>
    <phoneticPr fontId="16"/>
  </si>
  <si>
    <t>GROWTH</t>
  </si>
  <si>
    <t>BV GROWTH</t>
  </si>
  <si>
    <t>DCF COST OF EQUITY CAPITAL</t>
  </si>
  <si>
    <t>SHARE</t>
  </si>
  <si>
    <t>[4]</t>
  </si>
  <si>
    <t>[5]</t>
  </si>
  <si>
    <t>COST OF EQUITY</t>
  </si>
  <si>
    <t>[rf]*</t>
  </si>
  <si>
    <t>[rm - rf]†</t>
  </si>
  <si>
    <t>PROJECTED M.E.P.R.</t>
  </si>
  <si>
    <t>Overall Beta</t>
    <phoneticPr fontId="16"/>
  </si>
  <si>
    <t>Cleco Corporation</t>
    <phoneticPr fontId="16"/>
  </si>
  <si>
    <t>Pepco Holdings, Inc.</t>
    <phoneticPr fontId="16"/>
  </si>
  <si>
    <t>A-/BBB+</t>
    <phoneticPr fontId="16"/>
  </si>
  <si>
    <t>Baa1/Baa2</t>
    <phoneticPr fontId="21" type="noConversion"/>
  </si>
  <si>
    <t>IDA</t>
    <phoneticPr fontId="16"/>
  </si>
  <si>
    <t>IDACORP</t>
    <phoneticPr fontId="16"/>
  </si>
  <si>
    <t>UIL Holdings Corp.</t>
  </si>
  <si>
    <t>BBB</t>
    <phoneticPr fontId="16"/>
  </si>
  <si>
    <t>Baa2</t>
  </si>
  <si>
    <t>NWE</t>
    <phoneticPr fontId="16"/>
  </si>
  <si>
    <t>Northwestern Corp.</t>
    <phoneticPr fontId="16"/>
  </si>
  <si>
    <t>CENTRAL</t>
  </si>
  <si>
    <t>PCG</t>
    <phoneticPr fontId="16"/>
  </si>
  <si>
    <t>e</t>
    <phoneticPr fontId="16"/>
  </si>
  <si>
    <t>ALLETE</t>
  </si>
  <si>
    <t>A2</t>
    <phoneticPr fontId="16"/>
  </si>
  <si>
    <t>PNW</t>
    <phoneticPr fontId="16"/>
  </si>
  <si>
    <t>Pinnacle West Capital</t>
    <phoneticPr fontId="16"/>
  </si>
  <si>
    <t>PNW</t>
    <phoneticPr fontId="16"/>
  </si>
  <si>
    <t>Portland General</t>
    <phoneticPr fontId="16"/>
  </si>
  <si>
    <t>POR</t>
    <phoneticPr fontId="16"/>
  </si>
  <si>
    <t>Xcel Energy</t>
    <phoneticPr fontId="16"/>
  </si>
  <si>
    <t>XEL</t>
    <phoneticPr fontId="16"/>
  </si>
  <si>
    <t>Median</t>
  </si>
  <si>
    <t>P/E</t>
  </si>
  <si>
    <t>SO</t>
    <phoneticPr fontId="16"/>
  </si>
  <si>
    <t>ALLETE</t>
    <phoneticPr fontId="16"/>
  </si>
  <si>
    <t>ALE</t>
    <phoneticPr fontId="16"/>
  </si>
  <si>
    <t>Book Value?</t>
  </si>
  <si>
    <t>S&amp;P</t>
  </si>
  <si>
    <t>Moody's</t>
  </si>
  <si>
    <t>Selected</t>
  </si>
  <si>
    <t>Eq</t>
  </si>
  <si>
    <t>bond rating</t>
  </si>
  <si>
    <t>SCREEN</t>
  </si>
  <si>
    <t>≥70%</t>
    <phoneticPr fontId="16"/>
  </si>
  <si>
    <t>no</t>
  </si>
  <si>
    <t>yes</t>
    <phoneticPr fontId="16"/>
  </si>
  <si>
    <t>yes</t>
  </si>
  <si>
    <t>A to BBB</t>
    <phoneticPr fontId="16"/>
  </si>
  <si>
    <t>M</t>
  </si>
  <si>
    <t>EAST</t>
  </si>
  <si>
    <t>e+g</t>
  </si>
  <si>
    <t>CH Energy</t>
    <phoneticPr fontId="16"/>
  </si>
  <si>
    <t>A</t>
  </si>
  <si>
    <t>A3</t>
    <phoneticPr fontId="16"/>
  </si>
  <si>
    <t>Consolidated Edison</t>
    <phoneticPr fontId="16"/>
  </si>
  <si>
    <t>A-</t>
  </si>
  <si>
    <t>A3/Baa1</t>
    <phoneticPr fontId="16"/>
  </si>
  <si>
    <t>Dominion Resources</t>
  </si>
  <si>
    <t>Baa1</t>
    <phoneticPr fontId="16"/>
  </si>
  <si>
    <t>Duke Energy</t>
  </si>
  <si>
    <t>A-</t>
    <phoneticPr fontId="16"/>
  </si>
  <si>
    <t>A3</t>
    <phoneticPr fontId="21" type="noConversion"/>
  </si>
  <si>
    <t>Exelon Corp.</t>
    <phoneticPr fontId="16"/>
  </si>
  <si>
    <t>yes</t>
    <phoneticPr fontId="21" type="noConversion"/>
  </si>
  <si>
    <t>Portland General</t>
  </si>
  <si>
    <t>Sempra Energy</t>
  </si>
  <si>
    <t>A/A-</t>
    <phoneticPr fontId="21" type="noConversion"/>
  </si>
  <si>
    <t>UNS Energy</t>
    <phoneticPr fontId="21" type="noConversion"/>
  </si>
  <si>
    <t>Xcel Energy, Inc.</t>
  </si>
  <si>
    <t>e= electric company; e+g=combination electric and gas company</t>
  </si>
  <si>
    <t>EIX</t>
  </si>
  <si>
    <t>IDA</t>
  </si>
  <si>
    <t>*Current "normalized" T-Bond yield estimate based on trend shown in Chart I in narrative portion of testimony.</t>
    <phoneticPr fontId="16"/>
  </si>
  <si>
    <t>VALUE LINE</t>
    <phoneticPr fontId="16"/>
  </si>
  <si>
    <t>)/</t>
  </si>
  <si>
    <t>2004-2006</t>
  </si>
  <si>
    <t xml:space="preserve">Market </t>
  </si>
  <si>
    <t>Price</t>
  </si>
  <si>
    <t>overall average beta</t>
    <phoneticPr fontId="16"/>
  </si>
  <si>
    <t>Wisconsin Energy</t>
    <phoneticPr fontId="16"/>
  </si>
  <si>
    <t>Edison International</t>
    <phoneticPr fontId="16"/>
  </si>
  <si>
    <t>IDACORP</t>
    <phoneticPr fontId="16"/>
  </si>
  <si>
    <t>Northwestern Corp.</t>
    <phoneticPr fontId="16"/>
  </si>
  <si>
    <t>PG&amp;E Corp.</t>
    <phoneticPr fontId="16"/>
  </si>
  <si>
    <t>Pinnacle West Capital</t>
    <phoneticPr fontId="16"/>
  </si>
  <si>
    <t>Portland General</t>
    <phoneticPr fontId="16"/>
  </si>
  <si>
    <t>Xcel Energy</t>
    <phoneticPr fontId="16"/>
  </si>
  <si>
    <t>AUS</t>
    <phoneticPr fontId="16"/>
  </si>
  <si>
    <t>Value Line</t>
    <phoneticPr fontId="16"/>
  </si>
  <si>
    <t>S&amp;P</t>
    <phoneticPr fontId="16"/>
  </si>
  <si>
    <t>Numreical</t>
    <phoneticPr fontId="16"/>
  </si>
  <si>
    <t>Util. Reports</t>
    <phoneticPr fontId="16"/>
  </si>
  <si>
    <t>senior BR</t>
  </si>
  <si>
    <t>Equivalent</t>
    <phoneticPr fontId="16"/>
  </si>
  <si>
    <t>EQ. RATIO</t>
  </si>
  <si>
    <t>EQ. Ratio</t>
    <phoneticPr fontId="16"/>
  </si>
  <si>
    <t>SCALE</t>
    <phoneticPr fontId="16"/>
  </si>
  <si>
    <t>BBB-=0</t>
  </si>
  <si>
    <t>BBB=1</t>
  </si>
  <si>
    <t>BBB+=2</t>
  </si>
  <si>
    <t>A-=3</t>
  </si>
  <si>
    <t>A=4</t>
    <phoneticPr fontId="16"/>
  </si>
  <si>
    <t>A+=5</t>
    <phoneticPr fontId="16"/>
  </si>
  <si>
    <t>Baa1/Baa2</t>
    <phoneticPr fontId="16"/>
  </si>
  <si>
    <t>XEL</t>
    <phoneticPr fontId="16"/>
  </si>
  <si>
    <t>American Eelectric Power</t>
  </si>
  <si>
    <t>BBB</t>
  </si>
  <si>
    <t>Baa2</t>
    <phoneticPr fontId="16"/>
  </si>
  <si>
    <t>√</t>
  </si>
  <si>
    <t>CMS Energy Corp.</t>
  </si>
  <si>
    <t>BBB/BBB-</t>
    <phoneticPr fontId="16"/>
  </si>
  <si>
    <t>CenterPoint Energy</t>
  </si>
  <si>
    <t>BBB+</t>
    <phoneticPr fontId="16"/>
  </si>
  <si>
    <t>Cleco Corporation</t>
  </si>
  <si>
    <t>DTE Energy</t>
  </si>
  <si>
    <t>A</t>
    <phoneticPr fontId="16"/>
  </si>
  <si>
    <t>A2</t>
  </si>
  <si>
    <t>Empire District Electric</t>
  </si>
  <si>
    <t>A</t>
    <phoneticPr fontId="21" type="noConversion"/>
  </si>
  <si>
    <t>A3</t>
    <phoneticPr fontId="16"/>
  </si>
  <si>
    <t>Entergy Corp.</t>
  </si>
  <si>
    <t>Baa2</t>
    <phoneticPr fontId="16"/>
  </si>
  <si>
    <t>Great Plains Energy</t>
  </si>
  <si>
    <t>yes</t>
    <phoneticPr fontId="21" type="noConversion"/>
  </si>
  <si>
    <t>e+g</t>
    <phoneticPr fontId="21" type="noConversion"/>
  </si>
  <si>
    <t>Integrys Energy</t>
    <phoneticPr fontId="21" type="noConversion"/>
  </si>
  <si>
    <t>A2/A3</t>
    <phoneticPr fontId="21" type="noConversion"/>
  </si>
  <si>
    <t>ITC Holdings</t>
  </si>
  <si>
    <t>MGE Energy</t>
  </si>
  <si>
    <t>AA-</t>
  </si>
  <si>
    <t>e+g</t>
    <phoneticPr fontId="16"/>
  </si>
  <si>
    <t>OGE Energy Corp.</t>
  </si>
  <si>
    <t xml:space="preserve">BBB </t>
    <phoneticPr fontId="21" type="noConversion"/>
  </si>
  <si>
    <t>Baa1</t>
  </si>
  <si>
    <t>Edison International</t>
    <phoneticPr fontId="16"/>
  </si>
  <si>
    <t>EIX</t>
    <phoneticPr fontId="16"/>
  </si>
  <si>
    <t>IDACORP</t>
    <phoneticPr fontId="16"/>
  </si>
  <si>
    <t>Public Service Ent. Gp.</t>
  </si>
  <si>
    <t>A1</t>
    <phoneticPr fontId="16"/>
  </si>
  <si>
    <t>SCANA Corp.</t>
  </si>
  <si>
    <t>BBB+</t>
    <phoneticPr fontId="21" type="noConversion"/>
  </si>
  <si>
    <t>Baa1/Baa2</t>
    <phoneticPr fontId="16"/>
  </si>
  <si>
    <t>Southern Company</t>
  </si>
  <si>
    <t>A2/A3</t>
    <phoneticPr fontId="16"/>
  </si>
  <si>
    <t>√</t>
    <phoneticPr fontId="16"/>
  </si>
  <si>
    <t>TECO Energy</t>
  </si>
  <si>
    <t>no</t>
    <phoneticPr fontId="16"/>
  </si>
  <si>
    <t>yes</t>
    <phoneticPr fontId="16"/>
  </si>
  <si>
    <t>BBB+</t>
    <phoneticPr fontId="16"/>
  </si>
  <si>
    <t>A3/Baa1</t>
    <phoneticPr fontId="21" type="noConversion"/>
  </si>
  <si>
    <t>RATIO</t>
  </si>
  <si>
    <t>RETURN</t>
  </si>
  <si>
    <t>MARKET-TO-BOOK RATIO ANALYSIS</t>
  </si>
  <si>
    <t>Date</t>
  </si>
  <si>
    <t>Open</t>
  </si>
  <si>
    <t>=</t>
  </si>
  <si>
    <t>g</t>
  </si>
  <si>
    <t>Average Market-to-Book Ratio</t>
  </si>
  <si>
    <t>average</t>
  </si>
  <si>
    <t>STOCK PRICE, DIVIDENDS, YIELDS</t>
  </si>
  <si>
    <t>YIELD</t>
  </si>
  <si>
    <t>(PER SHARE)</t>
  </si>
  <si>
    <t>STANDARD DEVIATION</t>
  </si>
  <si>
    <t>R.O.E.</t>
  </si>
  <si>
    <t>Pinnacle West Capital</t>
    <phoneticPr fontId="16"/>
  </si>
  <si>
    <t>Alliant Energy</t>
  </si>
  <si>
    <t>Edison International</t>
    <phoneticPr fontId="16"/>
  </si>
  <si>
    <t>EIX</t>
    <phoneticPr fontId="16"/>
  </si>
  <si>
    <t>IDACORP</t>
    <phoneticPr fontId="16"/>
  </si>
  <si>
    <t>IDA</t>
    <phoneticPr fontId="16"/>
  </si>
  <si>
    <t>Puget</t>
  </si>
  <si>
    <t>PUGET SOUND ENERGY</t>
  </si>
  <si>
    <t>Data from Value Line Ratings and Reports, May 3, May 24, and June 21, 2013.</t>
  </si>
  <si>
    <t>MECHANICAL DCF COST OF EQUITY CAPITAL</t>
  </si>
  <si>
    <t>IBES</t>
    <phoneticPr fontId="0" type="noConversion"/>
  </si>
  <si>
    <t>Zacks</t>
  </si>
  <si>
    <t>Div. Yield</t>
  </si>
  <si>
    <t>Company</t>
  </si>
  <si>
    <t>(Sch. 2)</t>
  </si>
  <si>
    <t>Result</t>
  </si>
  <si>
    <t>[3]</t>
  </si>
  <si>
    <t>[6]</t>
  </si>
  <si>
    <t>[7]</t>
  </si>
  <si>
    <t>[8]</t>
  </si>
  <si>
    <t>Columns [1], [2], and [3], from Value Line Ratings and Reports, May 3, May 24, and June 21, 2013.</t>
  </si>
  <si>
    <t>Columns [4] and [5], Data from Yahoo.com., and Zacks.com.</t>
    <phoneticPr fontId="0" type="noConversion"/>
  </si>
  <si>
    <t>Column [6] = ([1]+[2]+[3]+[4]+[5])/5</t>
  </si>
  <si>
    <t>Column [7], Value Line year-ahead dividend yield.</t>
  </si>
  <si>
    <t>Column [8] = [6]+[7]</t>
  </si>
  <si>
    <t>Column [9] = [7]+([1]+[4]+[5])/3</t>
    <phoneticPr fontId="0" type="noConversion"/>
  </si>
  <si>
    <t>Alliant Energy</t>
    <phoneticPr fontId="16"/>
  </si>
  <si>
    <t>LNT</t>
    <phoneticPr fontId="16"/>
  </si>
  <si>
    <t>American Electric Power</t>
    <phoneticPr fontId="16"/>
  </si>
  <si>
    <t>AEP</t>
    <phoneticPr fontId="16"/>
  </si>
  <si>
    <t>Cleco Corporation</t>
    <phoneticPr fontId="16"/>
  </si>
  <si>
    <t>CNL</t>
    <phoneticPr fontId="16"/>
  </si>
  <si>
    <t>Entergy Corp.</t>
    <phoneticPr fontId="16"/>
  </si>
  <si>
    <t>ETR</t>
    <phoneticPr fontId="16"/>
  </si>
  <si>
    <t>Schedule 2</t>
  </si>
  <si>
    <t>Page 5 of 5</t>
    <phoneticPr fontId="16" type="noConversion"/>
  </si>
  <si>
    <t>Page 4 of 5</t>
    <phoneticPr fontId="16" type="noConversion"/>
  </si>
  <si>
    <t>Page 3 of 5</t>
    <phoneticPr fontId="16" type="noConversion"/>
  </si>
  <si>
    <t>Page 1 of 5</t>
    <phoneticPr fontId="16" type="noConversion"/>
  </si>
  <si>
    <t>Page 2 of 5</t>
    <phoneticPr fontId="16" type="noConversion"/>
  </si>
  <si>
    <t>ELECTRIC UTILITY SAMPLE GROUP SELECTION</t>
  </si>
  <si>
    <t>Revenues</t>
  </si>
  <si>
    <t>Recent</t>
    <phoneticPr fontId="16"/>
  </si>
  <si>
    <t>Recent</t>
  </si>
  <si>
    <t>Generation</t>
  </si>
  <si>
    <t>Stable</t>
  </si>
  <si>
    <t>Senior Bond Rating</t>
    <phoneticPr fontId="16"/>
  </si>
  <si>
    <t>Company Name</t>
  </si>
  <si>
    <t>% Elec.</t>
    <phoneticPr fontId="16"/>
  </si>
  <si>
    <t>Merger?</t>
  </si>
  <si>
    <t>Div. Cut?</t>
  </si>
  <si>
    <t>Assets?</t>
  </si>
  <si>
    <t>(MILLIONS)</t>
  </si>
  <si>
    <t>BOOK VALUE</t>
  </si>
  <si>
    <t>SHARES OUTST.</t>
  </si>
  <si>
    <t>GROWTH RATE COMPARISON</t>
  </si>
  <si>
    <t>sv=g*(1-(1/(M/B)))</t>
  </si>
  <si>
    <t>(</t>
  </si>
  <si>
    <t>BBB+/BBB</t>
    <phoneticPr fontId="21" type="noConversion"/>
  </si>
  <si>
    <t>LNT</t>
    <phoneticPr fontId="16"/>
  </si>
  <si>
    <t>American Electric Power</t>
    <phoneticPr fontId="16"/>
  </si>
  <si>
    <t>AEP</t>
    <phoneticPr fontId="16"/>
  </si>
  <si>
    <t>Cleco Corporation</t>
    <phoneticPr fontId="16"/>
  </si>
  <si>
    <t>CNL</t>
    <phoneticPr fontId="16"/>
  </si>
  <si>
    <t>Entergy Corp.</t>
    <phoneticPr fontId="16"/>
  </si>
  <si>
    <t>ETR</t>
    <phoneticPr fontId="16"/>
  </si>
  <si>
    <t>SO</t>
  </si>
  <si>
    <t>ALE</t>
  </si>
  <si>
    <t>LNT</t>
  </si>
  <si>
    <t>AEP</t>
  </si>
  <si>
    <t>ETR</t>
  </si>
  <si>
    <t>WR</t>
  </si>
  <si>
    <t>WEC</t>
  </si>
  <si>
    <t>(1/</t>
  </si>
  <si>
    <t>)))</t>
  </si>
  <si>
    <t>k (overall average)</t>
    <phoneticPr fontId="16"/>
  </si>
  <si>
    <t>Note: Equity returns and retention ratios based on Value Line three- to five-year projections.</t>
  </si>
  <si>
    <t xml:space="preserve"> OVERALL AVERAGE</t>
    <phoneticPr fontId="16" type="noConversion"/>
  </si>
  <si>
    <t>Geo</t>
  </si>
  <si>
    <t>Arith</t>
  </si>
  <si>
    <t>T-Bonds</t>
  </si>
  <si>
    <t>Earnings-Price</t>
  </si>
  <si>
    <t>Ratio</t>
  </si>
  <si>
    <t>k=</t>
  </si>
  <si>
    <t>(1-</t>
  </si>
  <si>
    <t>Black Hills</t>
  </si>
  <si>
    <t>Consol. Edison</t>
  </si>
  <si>
    <t>Integrys Energy</t>
  </si>
  <si>
    <t>NorthWestern Corp.</t>
  </si>
  <si>
    <t>OGE Energy</t>
  </si>
  <si>
    <t>Pepco Holdings</t>
  </si>
  <si>
    <t>UIL Holdings</t>
  </si>
  <si>
    <t>UNS Energy</t>
  </si>
  <si>
    <t>Xcel Energy Inc.</t>
  </si>
  <si>
    <t>AVERAGE</t>
    <phoneticPr fontId="0" type="noConversion"/>
  </si>
  <si>
    <t>Expected</t>
  </si>
  <si>
    <t>Cost of</t>
  </si>
  <si>
    <t>Equity</t>
  </si>
  <si>
    <t>All data from Exhibit Nos. (RAM-4) and (RAM-5)</t>
  </si>
  <si>
    <t>(RAM-4)</t>
  </si>
  <si>
    <t>(RAM-5)</t>
  </si>
  <si>
    <t>LA</t>
    <phoneticPr fontId="16"/>
  </si>
  <si>
    <t>KS</t>
    <phoneticPr fontId="16"/>
  </si>
  <si>
    <t>MT, SD</t>
    <phoneticPr fontId="21" type="noConversion"/>
  </si>
  <si>
    <t>Jurisdictions</t>
    <phoneticPr fontId="16"/>
  </si>
  <si>
    <t>GA, AL, MS, FL</t>
    <phoneticPr fontId="16"/>
  </si>
  <si>
    <t>POR-6.53%, and  XEL-4.88%. Zack's average earnings growth = 4.94%.</t>
    <phoneticPr fontId="21" type="noConversion"/>
  </si>
  <si>
    <t xml:space="preserve">Zack's growth rates: </t>
  </si>
  <si>
    <t>MEDIAN</t>
  </si>
  <si>
    <t>NAME/</t>
  </si>
  <si>
    <t>MODIFIED EARNINGS-PRICE RATIO ANALYSIS</t>
  </si>
  <si>
    <t>MAXIMUM</t>
  </si>
  <si>
    <t>MINIMUM</t>
  </si>
  <si>
    <t>EXTERNAL</t>
  </si>
  <si>
    <t>RETENTION</t>
  </si>
  <si>
    <t>CAPM COST OF EQUITY CAPITAL</t>
  </si>
  <si>
    <t>[1]</t>
  </si>
  <si>
    <t>[2]</t>
  </si>
  <si>
    <t>[3]=[1]/[2]</t>
  </si>
  <si>
    <t>Page 2 of 2</t>
  </si>
  <si>
    <t>BVPS</t>
  </si>
  <si>
    <t>SHARES OUTST</t>
  </si>
  <si>
    <t>EARN GROWTH</t>
  </si>
  <si>
    <t>UTILITES</t>
  </si>
  <si>
    <t>Volume</t>
  </si>
  <si>
    <t>DIVIDEND YIELD</t>
  </si>
  <si>
    <t>GROWTH RATE</t>
  </si>
  <si>
    <t>DCF COST OF</t>
  </si>
  <si>
    <t>DIV GROWTH</t>
  </si>
  <si>
    <t>MARKET-TO-BOOK</t>
  </si>
  <si>
    <t>Westar Energy</t>
    <phoneticPr fontId="16"/>
  </si>
  <si>
    <t>WR</t>
    <phoneticPr fontId="16"/>
  </si>
  <si>
    <t>Wisconsin Energy</t>
    <phoneticPr fontId="16"/>
  </si>
  <si>
    <t>WEC</t>
    <phoneticPr fontId="16"/>
  </si>
  <si>
    <t>g*= expected growth in number of shares outstanding</t>
  </si>
  <si>
    <t>Value Line Projected</t>
  </si>
  <si>
    <t>k = rf + B (rm - rf)</t>
  </si>
  <si>
    <t>"g"</t>
  </si>
  <si>
    <t>Average</t>
  </si>
  <si>
    <t>value line</t>
  </si>
  <si>
    <t>30-year</t>
  </si>
  <si>
    <t>DCF</t>
  </si>
  <si>
    <t>Growth</t>
  </si>
  <si>
    <t>5-year Growth</t>
  </si>
  <si>
    <t>Zack's</t>
  </si>
  <si>
    <t>Current</t>
  </si>
  <si>
    <t>Projected</t>
  </si>
  <si>
    <t>MARKET</t>
  </si>
  <si>
    <t>3.40% + 4.02%</t>
    <phoneticPr fontId="16"/>
  </si>
  <si>
    <t>IDA</t>
    <phoneticPr fontId="16"/>
  </si>
  <si>
    <t>CURRENT</t>
  </si>
  <si>
    <t>5YR HIST</t>
  </si>
  <si>
    <t>BETA (VL)</t>
  </si>
  <si>
    <t>k = R.O.E.(1-b)/(M/B) + g</t>
  </si>
  <si>
    <t>PRICE</t>
  </si>
  <si>
    <t>PROJECTED</t>
    <phoneticPr fontId="16"/>
  </si>
  <si>
    <t>2016-2018</t>
    <phoneticPr fontId="16"/>
  </si>
  <si>
    <t>CURRENT M.E.P.R.</t>
  </si>
  <si>
    <t>sel &amp; opin</t>
  </si>
  <si>
    <t>T-Bill</t>
  </si>
  <si>
    <t xml:space="preserve"> T-Bonds</t>
  </si>
  <si>
    <t>AVERAGE</t>
  </si>
  <si>
    <t>n/a</t>
    <phoneticPr fontId="16"/>
  </si>
  <si>
    <t>Westar Energy</t>
    <phoneticPr fontId="16"/>
  </si>
  <si>
    <t>WR</t>
    <phoneticPr fontId="16"/>
  </si>
  <si>
    <t>Wisconsin Energy</t>
    <phoneticPr fontId="16"/>
  </si>
  <si>
    <t>WEC</t>
    <phoneticPr fontId="16"/>
  </si>
  <si>
    <t>Mkt. Val.</t>
    <phoneticPr fontId="16"/>
  </si>
  <si>
    <t>Mkt. Wt.</t>
    <phoneticPr fontId="16"/>
  </si>
  <si>
    <t>Decoup Ind.</t>
    <phoneticPr fontId="16"/>
  </si>
  <si>
    <t>Note: Equity returns and retention ratios based on Value Line current year projections.</t>
  </si>
  <si>
    <t>5YR PROJ</t>
  </si>
  <si>
    <t>TICKER</t>
  </si>
  <si>
    <t xml:space="preserve">EQUITY </t>
  </si>
  <si>
    <t>Page 1 of 2</t>
  </si>
  <si>
    <t>DCF GROWTH RATES</t>
  </si>
  <si>
    <t>br</t>
  </si>
  <si>
    <t>+</t>
  </si>
  <si>
    <t>DIVIDEND</t>
  </si>
  <si>
    <t>EPS</t>
  </si>
  <si>
    <t>DPS</t>
  </si>
  <si>
    <t>(Per Share)</t>
  </si>
  <si>
    <t>(Per share)</t>
  </si>
  <si>
    <t>ELECTRIC UTILITIES</t>
  </si>
  <si>
    <t>IBES</t>
  </si>
  <si>
    <t>5-yr Compound Hist.</t>
  </si>
  <si>
    <t>AVERAGES</t>
  </si>
  <si>
    <t>&amp; VL</t>
  </si>
  <si>
    <t>AVGS.</t>
  </si>
  <si>
    <t>IBES/Thompson</t>
    <phoneticPr fontId="16" type="noConversion"/>
  </si>
  <si>
    <t>DCF GROWTH RATE PARAMETERS</t>
  </si>
  <si>
    <t>OVERALL AVERAGE</t>
    <phoneticPr fontId="16" type="noConversion"/>
  </si>
  <si>
    <t>Page 6 of 6</t>
  </si>
  <si>
    <t>Southern Company</t>
    <phoneticPr fontId="16"/>
  </si>
  <si>
    <t>ROE(decimal)</t>
  </si>
  <si>
    <t>8 BASIS POINTS</t>
    <phoneticPr fontId="21" type="noConversion"/>
  </si>
  <si>
    <t>II: AN 8 BASIS POINT REDUCTION IN ATWACC</t>
    <phoneticPr fontId="21" type="noConversion"/>
  </si>
  <si>
    <t>Cost of Equity Reduction = 9.00% - 8.87% =  0.13%</t>
    <phoneticPr fontId="21" type="noConversion"/>
  </si>
  <si>
    <t>Data from Value Line Ratings and Reports, May 3, May 24, and June 21, 2013.; AUS Utility Reports, May 2013.</t>
  </si>
  <si>
    <t>OVERALL AVERAGE</t>
    <phoneticPr fontId="16" type="noConversion"/>
  </si>
  <si>
    <t>AVERAGE GROWTH</t>
  </si>
  <si>
    <t>-</t>
  </si>
  <si>
    <t>EQUITY CAPITAL</t>
  </si>
  <si>
    <t>COMPANY</t>
  </si>
  <si>
    <t xml:space="preserve">INTERNAL </t>
  </si>
  <si>
    <t>PROJ 5-YR EPS</t>
  </si>
  <si>
    <t>High</t>
  </si>
  <si>
    <t>Low</t>
  </si>
  <si>
    <t>Close</t>
  </si>
  <si>
    <t>†Arithmetric market risk premium from 2011 Ibbotson SBBI Valuation Yearbook, at 23.</t>
    <phoneticPr fontId="16"/>
  </si>
  <si>
    <r>
      <t xml:space="preserve">Beta coefficients from Value Line, </t>
    </r>
    <r>
      <rPr>
        <i/>
        <sz val="10"/>
        <rFont val="Times"/>
      </rPr>
      <t>Summary &amp; Index</t>
    </r>
    <r>
      <rPr>
        <sz val="10"/>
        <rFont val="Times"/>
      </rPr>
      <t>, May 3, 2013.</t>
    </r>
    <phoneticPr fontId="16"/>
  </si>
  <si>
    <t>THOMPSON/IBES</t>
    <phoneticPr fontId="16"/>
  </si>
  <si>
    <t>2014 EPS</t>
    <phoneticPr fontId="16"/>
  </si>
  <si>
    <t>Southern Company</t>
    <phoneticPr fontId="16"/>
  </si>
  <si>
    <t>SO</t>
    <phoneticPr fontId="16"/>
  </si>
  <si>
    <t>ALLETE</t>
    <phoneticPr fontId="16"/>
  </si>
  <si>
    <t>ALE</t>
    <phoneticPr fontId="16"/>
  </si>
  <si>
    <t>Alliant Energy</t>
    <phoneticPr fontId="16"/>
  </si>
  <si>
    <t>($/SHARE)</t>
  </si>
  <si>
    <t>Share Price x</t>
    <phoneticPr fontId="16"/>
  </si>
  <si>
    <t>No. Sh. Outst.</t>
    <phoneticPr fontId="16"/>
  </si>
  <si>
    <t>Ehibit No. (SGH-4)</t>
  </si>
  <si>
    <t>Page 1 of 1</t>
  </si>
  <si>
    <t>Dockets UE-121697, UG-121705, UE-130137, UG-130138</t>
  </si>
  <si>
    <t>Exhibit No. (SGH-5)</t>
  </si>
  <si>
    <t>Exhibit No. (SGH-6)</t>
  </si>
  <si>
    <t>Exhibit No. (SGH-8)</t>
  </si>
  <si>
    <r>
      <t>5/</t>
    </r>
    <r>
      <rPr>
        <sz val="10"/>
        <rFont val="Times"/>
      </rPr>
      <t>10</t>
    </r>
    <r>
      <rPr>
        <sz val="10"/>
        <rFont val="Times"/>
      </rPr>
      <t>/13-6/</t>
    </r>
    <r>
      <rPr>
        <sz val="10"/>
        <rFont val="Times"/>
      </rPr>
      <t>21</t>
    </r>
    <r>
      <rPr>
        <sz val="10"/>
        <rFont val="Times"/>
      </rPr>
      <t>/13</t>
    </r>
  </si>
  <si>
    <t>Exhibit No. (SGH-9)</t>
  </si>
  <si>
    <t>Exhibit No. SGH-11</t>
  </si>
  <si>
    <t>Exhibit No. (SGH-10)</t>
  </si>
  <si>
    <t>Exhibit No. (SGH-13)</t>
  </si>
  <si>
    <t>Exhibit No. (SGH-14)</t>
  </si>
  <si>
    <t>AVERAGE W/O ETR, CNL</t>
  </si>
  <si>
    <t>Standard Deviation</t>
  </si>
  <si>
    <t>Avg. + 2 S.D.</t>
  </si>
  <si>
    <t>Avg. -2 S.D.</t>
  </si>
  <si>
    <t>OVERALL AVERAGE</t>
  </si>
  <si>
    <t>DR. MORIN'S 2013 DCF ANALYSES</t>
  </si>
  <si>
    <t xml:space="preserve">Dividend </t>
  </si>
  <si>
    <t>Yield</t>
  </si>
  <si>
    <r>
      <t>Exhibit No. (SGH-1</t>
    </r>
    <r>
      <rPr>
        <sz val="10"/>
        <rFont val="Times"/>
      </rPr>
      <t>7</t>
    </r>
    <r>
      <rPr>
        <sz val="10"/>
        <rFont val="Times"/>
      </rPr>
      <t>)</t>
    </r>
  </si>
  <si>
    <t>Exhibit No. (SGH-15)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</si>
</sst>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164" formatCode="00.0%"/>
    <numFmt numFmtId="165" formatCode="0.0000"/>
    <numFmt numFmtId="166" formatCode="0.0"/>
    <numFmt numFmtId="167" formatCode="0.0%"/>
    <numFmt numFmtId="168" formatCode="mmmm\ d\,\ yyyy"/>
    <numFmt numFmtId="169" formatCode="&quot;$&quot;#,##0.00"/>
  </numFmts>
  <fonts count="60">
    <font>
      <sz val="9"/>
      <name val="Geneva"/>
    </font>
    <font>
      <i/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b/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sz val="10"/>
      <name val="Times"/>
    </font>
    <font>
      <b/>
      <sz val="10"/>
      <name val="Times"/>
    </font>
    <font>
      <u/>
      <sz val="10"/>
      <name val="Times"/>
    </font>
    <font>
      <sz val="10"/>
      <color indexed="12"/>
      <name val="Times"/>
    </font>
    <font>
      <sz val="9"/>
      <name val="Courier"/>
    </font>
    <font>
      <sz val="8"/>
      <name val="Geneva"/>
    </font>
    <font>
      <sz val="10"/>
      <color indexed="10"/>
      <name val="Times"/>
    </font>
    <font>
      <sz val="9"/>
      <name val="Helvetica"/>
    </font>
    <font>
      <sz val="10"/>
      <name val="Times CE"/>
    </font>
    <font>
      <sz val="9"/>
      <name val="Times"/>
    </font>
    <font>
      <sz val="8"/>
      <name val="Times"/>
    </font>
    <font>
      <sz val="9"/>
      <name val="Geneva"/>
    </font>
    <font>
      <sz val="10"/>
      <name val="Helvetica"/>
    </font>
    <font>
      <sz val="10"/>
      <color indexed="8"/>
      <name val="Helvetica"/>
    </font>
    <font>
      <sz val="10"/>
      <color indexed="12"/>
      <name val="Helvetica"/>
    </font>
    <font>
      <b/>
      <sz val="14"/>
      <name val="Times"/>
    </font>
    <font>
      <sz val="14"/>
      <name val="Times"/>
    </font>
    <font>
      <sz val="12"/>
      <name val="Times"/>
    </font>
    <font>
      <b/>
      <sz val="12"/>
      <name val="Times"/>
    </font>
    <font>
      <b/>
      <u/>
      <sz val="10"/>
      <name val="Times"/>
    </font>
    <font>
      <u/>
      <sz val="9"/>
      <color indexed="12"/>
      <name val="Geneva"/>
    </font>
    <font>
      <u/>
      <sz val="9"/>
      <color indexed="20"/>
      <name val="Geneva"/>
    </font>
    <font>
      <sz val="12"/>
      <color indexed="8"/>
      <name val="Calibri"/>
      <family val="2"/>
    </font>
    <font>
      <sz val="12"/>
      <name val="Arial"/>
      <family val="2"/>
    </font>
    <font>
      <sz val="18"/>
      <name val="Arial"/>
    </font>
    <font>
      <sz val="8"/>
      <name val="Arial"/>
      <family val="2"/>
    </font>
    <font>
      <i/>
      <sz val="12"/>
      <name val="Arial"/>
    </font>
    <font>
      <sz val="12"/>
      <name val="Times New Roman"/>
      <family val="1"/>
    </font>
    <font>
      <sz val="18"/>
      <name val="Times New Roman"/>
    </font>
    <font>
      <sz val="8"/>
      <name val="Times New Roman"/>
    </font>
    <font>
      <i/>
      <sz val="12"/>
      <name val="Times New Roman"/>
    </font>
    <font>
      <b/>
      <sz val="18"/>
      <name val="Arial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</font>
    <font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</font>
    <font>
      <sz val="10"/>
      <color indexed="8"/>
      <name val="Times New Roman"/>
      <family val="1"/>
    </font>
    <font>
      <sz val="10"/>
      <color indexed="14"/>
      <name val="Helvetica"/>
    </font>
    <font>
      <sz val="9"/>
      <color indexed="11"/>
      <name val="Geneva"/>
    </font>
    <font>
      <sz val="9"/>
      <color indexed="14"/>
      <name val="Geneva"/>
    </font>
    <font>
      <sz val="9"/>
      <color indexed="48"/>
      <name val="Geneva"/>
    </font>
    <font>
      <sz val="10"/>
      <color indexed="48"/>
      <name val="Times"/>
    </font>
    <font>
      <u/>
      <sz val="9"/>
      <color theme="10"/>
      <name val="Geneva"/>
    </font>
    <font>
      <u/>
      <sz val="9"/>
      <color theme="11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/>
    <xf numFmtId="9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/>
    <xf numFmtId="0" fontId="34" fillId="0" borderId="0" applyProtection="0"/>
    <xf numFmtId="0" fontId="35" fillId="0" borderId="0" applyProtection="0"/>
    <xf numFmtId="0" fontId="36" fillId="0" borderId="0" applyProtection="0"/>
    <xf numFmtId="0" fontId="37" fillId="0" borderId="0" applyProtection="0"/>
    <xf numFmtId="0" fontId="38" fillId="0" borderId="0" applyProtection="0"/>
    <xf numFmtId="0" fontId="39" fillId="0" borderId="0" applyProtection="0"/>
    <xf numFmtId="0" fontId="40" fillId="0" borderId="0" applyProtection="0"/>
    <xf numFmtId="0" fontId="41" fillId="0" borderId="0" applyProtection="0"/>
    <xf numFmtId="2" fontId="34" fillId="0" borderId="0" applyProtection="0"/>
    <xf numFmtId="0" fontId="42" fillId="0" borderId="0" applyProtection="0"/>
    <xf numFmtId="0" fontId="43" fillId="0" borderId="0" applyProtection="0"/>
    <xf numFmtId="40" fontId="44" fillId="5" borderId="0">
      <alignment horizontal="right"/>
    </xf>
    <xf numFmtId="0" fontId="45" fillId="5" borderId="0">
      <alignment horizontal="right"/>
    </xf>
    <xf numFmtId="0" fontId="46" fillId="5" borderId="15"/>
    <xf numFmtId="0" fontId="46" fillId="0" borderId="0" applyBorder="0">
      <alignment horizontal="centerContinuous"/>
    </xf>
    <xf numFmtId="0" fontId="47" fillId="0" borderId="0" applyBorder="0">
      <alignment horizontal="centerContinuous"/>
    </xf>
    <xf numFmtId="166" fontId="34" fillId="0" borderId="0"/>
    <xf numFmtId="0" fontId="48" fillId="0" borderId="0"/>
    <xf numFmtId="166" fontId="34" fillId="0" borderId="0"/>
    <xf numFmtId="166" fontId="34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/>
    <xf numFmtId="0" fontId="53" fillId="0" borderId="0" xfId="0" applyFont="1"/>
    <xf numFmtId="0" fontId="17" fillId="0" borderId="0" xfId="0" applyFont="1" applyFill="1"/>
    <xf numFmtId="169" fontId="0" fillId="0" borderId="0" xfId="0" applyNumberFormat="1"/>
    <xf numFmtId="169" fontId="11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left"/>
    </xf>
    <xf numFmtId="10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11" fillId="0" borderId="1" xfId="0" applyFont="1" applyBorder="1"/>
    <xf numFmtId="164" fontId="11" fillId="0" borderId="2" xfId="0" applyNumberFormat="1" applyFont="1" applyBorder="1"/>
    <xf numFmtId="164" fontId="11" fillId="0" borderId="3" xfId="0" applyNumberFormat="1" applyFont="1" applyBorder="1"/>
    <xf numFmtId="164" fontId="11" fillId="0" borderId="1" xfId="0" applyNumberFormat="1" applyFont="1" applyBorder="1"/>
    <xf numFmtId="2" fontId="11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center"/>
    </xf>
    <xf numFmtId="2" fontId="0" fillId="0" borderId="0" xfId="0" applyNumberFormat="1"/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10" fontId="13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left"/>
    </xf>
    <xf numFmtId="10" fontId="11" fillId="0" borderId="0" xfId="0" applyNumberFormat="1" applyFont="1" applyAlignment="1">
      <alignment horizontal="right"/>
    </xf>
    <xf numFmtId="10" fontId="12" fillId="0" borderId="0" xfId="0" applyNumberFormat="1" applyFont="1" applyAlignment="1">
      <alignment horizontal="center"/>
    </xf>
    <xf numFmtId="10" fontId="11" fillId="0" borderId="4" xfId="0" applyNumberFormat="1" applyFont="1" applyBorder="1"/>
    <xf numFmtId="10" fontId="11" fillId="0" borderId="5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0" fontId="13" fillId="0" borderId="6" xfId="0" applyNumberFormat="1" applyFont="1" applyBorder="1" applyAlignment="1">
      <alignment horizontal="center"/>
    </xf>
    <xf numFmtId="10" fontId="11" fillId="0" borderId="6" xfId="0" applyNumberFormat="1" applyFont="1" applyBorder="1"/>
    <xf numFmtId="10" fontId="11" fillId="0" borderId="9" xfId="0" applyNumberFormat="1" applyFont="1" applyBorder="1" applyAlignment="1">
      <alignment horizontal="center"/>
    </xf>
    <xf numFmtId="10" fontId="11" fillId="0" borderId="7" xfId="0" applyNumberFormat="1" applyFont="1" applyBorder="1" applyAlignment="1">
      <alignment horizontal="center"/>
    </xf>
    <xf numFmtId="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center"/>
    </xf>
    <xf numFmtId="10" fontId="0" fillId="0" borderId="0" xfId="0" applyNumberFormat="1"/>
    <xf numFmtId="10" fontId="11" fillId="0" borderId="8" xfId="0" applyNumberFormat="1" applyFont="1" applyBorder="1" applyAlignment="1">
      <alignment horizontal="center"/>
    </xf>
    <xf numFmtId="0" fontId="15" fillId="0" borderId="0" xfId="0" applyFont="1"/>
    <xf numFmtId="0" fontId="0" fillId="2" borderId="0" xfId="0" applyFill="1"/>
    <xf numFmtId="0" fontId="15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0" fontId="11" fillId="0" borderId="0" xfId="0" applyFont="1" applyFill="1"/>
    <xf numFmtId="14" fontId="0" fillId="0" borderId="0" xfId="0" applyNumberFormat="1"/>
    <xf numFmtId="0" fontId="12" fillId="0" borderId="0" xfId="0" applyFont="1"/>
    <xf numFmtId="0" fontId="11" fillId="0" borderId="0" xfId="0" applyFont="1" applyBorder="1"/>
    <xf numFmtId="0" fontId="0" fillId="0" borderId="0" xfId="0" applyAlignment="1">
      <alignment horizontal="right"/>
    </xf>
    <xf numFmtId="0" fontId="17" fillId="0" borderId="0" xfId="0" applyFont="1" applyFill="1" applyAlignment="1" applyProtection="1">
      <alignment horizontal="center"/>
      <protection locked="0"/>
    </xf>
    <xf numFmtId="1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9" fontId="11" fillId="0" borderId="0" xfId="0" applyNumberFormat="1" applyFont="1"/>
    <xf numFmtId="9" fontId="0" fillId="0" borderId="0" xfId="0" applyNumberFormat="1"/>
    <xf numFmtId="10" fontId="18" fillId="0" borderId="0" xfId="0" applyNumberFormat="1" applyFont="1"/>
    <xf numFmtId="0" fontId="18" fillId="0" borderId="0" xfId="0" applyFont="1"/>
    <xf numFmtId="0" fontId="11" fillId="0" borderId="0" xfId="0" applyFont="1" applyAlignment="1">
      <alignment horizontal="center"/>
    </xf>
    <xf numFmtId="164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 applyProtection="1">
      <alignment horizontal="left"/>
      <protection locked="0"/>
    </xf>
    <xf numFmtId="2" fontId="11" fillId="0" borderId="0" xfId="0" applyNumberFormat="1" applyFont="1" applyFill="1"/>
    <xf numFmtId="0" fontId="19" fillId="0" borderId="0" xfId="0" applyFont="1"/>
    <xf numFmtId="0" fontId="11" fillId="0" borderId="0" xfId="0" applyFont="1" applyAlignment="1">
      <alignment horizontal="center"/>
    </xf>
    <xf numFmtId="0" fontId="20" fillId="3" borderId="0" xfId="0" applyFont="1" applyFill="1"/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2" fontId="8" fillId="0" borderId="0" xfId="0" applyNumberFormat="1" applyFont="1" applyFill="1"/>
    <xf numFmtId="2" fontId="8" fillId="0" borderId="0" xfId="0" applyNumberFormat="1" applyFont="1" applyAlignment="1">
      <alignment horizontal="center"/>
    </xf>
    <xf numFmtId="0" fontId="20" fillId="0" borderId="0" xfId="0" applyFont="1"/>
    <xf numFmtId="0" fontId="8" fillId="0" borderId="0" xfId="0" applyFont="1" applyFill="1"/>
    <xf numFmtId="2" fontId="8" fillId="0" borderId="0" xfId="0" applyNumberFormat="1" applyFont="1"/>
    <xf numFmtId="0" fontId="20" fillId="0" borderId="0" xfId="0" applyFont="1" applyFill="1"/>
    <xf numFmtId="0" fontId="10" fillId="0" borderId="0" xfId="0" applyFont="1" applyFill="1"/>
    <xf numFmtId="0" fontId="20" fillId="0" borderId="0" xfId="0" applyFont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/>
    <xf numFmtId="0" fontId="7" fillId="0" borderId="0" xfId="0" quotePrefix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6" fontId="7" fillId="0" borderId="0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6" fontId="2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10" fontId="7" fillId="0" borderId="6" xfId="0" applyNumberFormat="1" applyFont="1" applyBorder="1" applyAlignment="1">
      <alignment horizontal="center"/>
    </xf>
    <xf numFmtId="0" fontId="22" fillId="0" borderId="0" xfId="0" applyFont="1"/>
    <xf numFmtId="10" fontId="7" fillId="0" borderId="0" xfId="0" applyNumberFormat="1" applyFont="1"/>
    <xf numFmtId="10" fontId="22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18" fillId="0" borderId="0" xfId="0" applyFont="1" applyFill="1"/>
    <xf numFmtId="2" fontId="18" fillId="0" borderId="0" xfId="0" applyNumberFormat="1" applyFont="1" applyFill="1"/>
    <xf numFmtId="2" fontId="18" fillId="2" borderId="0" xfId="0" applyNumberFormat="1" applyFont="1" applyFill="1"/>
    <xf numFmtId="168" fontId="18" fillId="0" borderId="0" xfId="0" applyNumberFormat="1" applyFont="1"/>
    <xf numFmtId="0" fontId="23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5" fillId="0" borderId="0" xfId="0" applyFont="1" applyFill="1" applyAlignment="1" applyProtection="1">
      <alignment horizontal="center"/>
      <protection locked="0"/>
    </xf>
    <xf numFmtId="16" fontId="7" fillId="0" borderId="0" xfId="0" applyNumberFormat="1" applyFont="1"/>
    <xf numFmtId="0" fontId="26" fillId="0" borderId="0" xfId="0" applyFont="1"/>
    <xf numFmtId="0" fontId="27" fillId="0" borderId="0" xfId="0" applyFont="1"/>
    <xf numFmtId="0" fontId="27" fillId="0" borderId="0" xfId="0" applyFont="1" applyFill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9" fontId="29" fillId="0" borderId="0" xfId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0" xfId="0" applyFont="1"/>
    <xf numFmtId="0" fontId="29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3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/>
    <xf numFmtId="167" fontId="6" fillId="0" borderId="0" xfId="0" applyNumberFormat="1" applyFont="1"/>
    <xf numFmtId="167" fontId="6" fillId="0" borderId="0" xfId="0" applyNumberFormat="1" applyFont="1" applyFill="1"/>
    <xf numFmtId="0" fontId="28" fillId="0" borderId="0" xfId="0" applyFont="1"/>
    <xf numFmtId="0" fontId="6" fillId="4" borderId="0" xfId="0" applyFont="1" applyFill="1" applyBorder="1" applyAlignment="1">
      <alignment horizontal="center"/>
    </xf>
    <xf numFmtId="167" fontId="6" fillId="4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Alignment="1">
      <alignment horizontal="left"/>
    </xf>
    <xf numFmtId="0" fontId="29" fillId="0" borderId="0" xfId="0" applyFont="1"/>
    <xf numFmtId="0" fontId="2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6" fontId="0" fillId="0" borderId="0" xfId="0" applyNumberFormat="1" applyFill="1"/>
    <xf numFmtId="14" fontId="33" fillId="0" borderId="0" xfId="0" applyNumberFormat="1" applyFont="1"/>
    <xf numFmtId="0" fontId="33" fillId="0" borderId="0" xfId="0" applyFont="1"/>
    <xf numFmtId="0" fontId="4" fillId="0" borderId="0" xfId="4" applyFont="1"/>
    <xf numFmtId="0" fontId="4" fillId="0" borderId="0" xfId="4" applyFont="1" applyAlignment="1">
      <alignment horizontal="center"/>
    </xf>
    <xf numFmtId="10" fontId="5" fillId="0" borderId="0" xfId="4" applyNumberFormat="1" applyFont="1" applyAlignment="1">
      <alignment horizontal="center"/>
    </xf>
    <xf numFmtId="10" fontId="4" fillId="0" borderId="0" xfId="4" applyNumberFormat="1" applyFon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10" fontId="4" fillId="0" borderId="2" xfId="4" applyNumberFormat="1" applyFont="1" applyBorder="1" applyAlignment="1">
      <alignment horizontal="center"/>
    </xf>
    <xf numFmtId="10" fontId="4" fillId="0" borderId="11" xfId="4" applyNumberFormat="1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13" fillId="0" borderId="0" xfId="4" applyFont="1" applyAlignment="1">
      <alignment horizontal="center"/>
    </xf>
    <xf numFmtId="10" fontId="4" fillId="0" borderId="7" xfId="4" applyNumberFormat="1" applyFont="1" applyBorder="1" applyAlignment="1">
      <alignment horizontal="center"/>
    </xf>
    <xf numFmtId="10" fontId="4" fillId="0" borderId="4" xfId="4" applyNumberFormat="1" applyFont="1" applyBorder="1" applyAlignment="1">
      <alignment horizontal="center"/>
    </xf>
    <xf numFmtId="0" fontId="4" fillId="0" borderId="8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0" fontId="4" fillId="0" borderId="14" xfId="4" applyNumberFormat="1" applyFont="1" applyBorder="1" applyAlignment="1">
      <alignment horizontal="center"/>
    </xf>
    <xf numFmtId="10" fontId="4" fillId="0" borderId="0" xfId="4" applyNumberFormat="1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10" fontId="4" fillId="0" borderId="13" xfId="4" applyNumberFormat="1" applyFont="1" applyBorder="1" applyAlignment="1">
      <alignment horizontal="center"/>
    </xf>
    <xf numFmtId="10" fontId="4" fillId="0" borderId="12" xfId="4" applyNumberFormat="1" applyFont="1" applyBorder="1" applyAlignment="1">
      <alignment horizontal="center"/>
    </xf>
    <xf numFmtId="10" fontId="4" fillId="0" borderId="5" xfId="4" applyNumberFormat="1" applyFont="1" applyBorder="1" applyAlignment="1">
      <alignment horizontal="center"/>
    </xf>
    <xf numFmtId="10" fontId="4" fillId="0" borderId="15" xfId="4" applyNumberFormat="1" applyFont="1" applyBorder="1" applyAlignment="1">
      <alignment horizontal="center"/>
    </xf>
    <xf numFmtId="10" fontId="4" fillId="0" borderId="6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4" fillId="0" borderId="9" xfId="4" applyNumberFormat="1" applyFont="1" applyBorder="1" applyAlignment="1">
      <alignment horizontal="center"/>
    </xf>
    <xf numFmtId="10" fontId="4" fillId="0" borderId="0" xfId="4" applyNumberFormat="1" applyFont="1"/>
    <xf numFmtId="10" fontId="5" fillId="0" borderId="0" xfId="4" applyNumberFormat="1" applyFont="1" applyAlignment="1">
      <alignment horizontal="right"/>
    </xf>
    <xf numFmtId="0" fontId="5" fillId="0" borderId="0" xfId="4" applyFont="1" applyAlignment="1">
      <alignment horizontal="right"/>
    </xf>
    <xf numFmtId="0" fontId="5" fillId="0" borderId="0" xfId="4" applyFont="1"/>
    <xf numFmtId="0" fontId="48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4" fillId="0" borderId="0" xfId="4" applyFont="1" applyAlignment="1">
      <alignment horizontal="right"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10" fontId="4" fillId="0" borderId="6" xfId="4" applyNumberFormat="1" applyFont="1" applyFill="1" applyBorder="1" applyAlignment="1">
      <alignment horizontal="center"/>
    </xf>
    <xf numFmtId="10" fontId="4" fillId="6" borderId="6" xfId="4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166" fontId="38" fillId="0" borderId="0" xfId="21" applyFont="1" applyAlignment="1"/>
    <xf numFmtId="0" fontId="38" fillId="0" borderId="0" xfId="21" applyNumberFormat="1" applyFont="1" applyBorder="1" applyAlignment="1">
      <alignment horizontal="center"/>
    </xf>
    <xf numFmtId="0" fontId="38" fillId="0" borderId="0" xfId="21" applyNumberFormat="1" applyFont="1" applyBorder="1" applyAlignment="1"/>
    <xf numFmtId="0" fontId="38" fillId="0" borderId="0" xfId="21" applyNumberFormat="1" applyFont="1" applyBorder="1"/>
    <xf numFmtId="0" fontId="38" fillId="0" borderId="0" xfId="21" applyNumberFormat="1" applyFont="1" applyAlignment="1" applyProtection="1">
      <protection locked="0"/>
    </xf>
    <xf numFmtId="38" fontId="48" fillId="0" borderId="0" xfId="21" quotePrefix="1" applyNumberFormat="1" applyFont="1" applyAlignment="1">
      <alignment horizontal="center"/>
    </xf>
    <xf numFmtId="0" fontId="48" fillId="0" borderId="0" xfId="21" applyNumberFormat="1" applyFont="1" applyBorder="1" applyAlignment="1"/>
    <xf numFmtId="0" fontId="48" fillId="0" borderId="0" xfId="21" applyNumberFormat="1" applyFont="1" applyBorder="1" applyAlignment="1">
      <alignment horizontal="center"/>
    </xf>
    <xf numFmtId="0" fontId="48" fillId="0" borderId="4" xfId="21" applyNumberFormat="1" applyFont="1" applyBorder="1" applyAlignment="1">
      <alignment horizontal="center"/>
    </xf>
    <xf numFmtId="0" fontId="48" fillId="0" borderId="0" xfId="21" applyNumberFormat="1" applyFont="1" applyBorder="1"/>
    <xf numFmtId="0" fontId="48" fillId="0" borderId="0" xfId="0" applyFont="1"/>
    <xf numFmtId="0" fontId="48" fillId="0" borderId="0" xfId="23" applyNumberFormat="1" applyFont="1" applyFill="1" applyAlignment="1" applyProtection="1">
      <protection locked="0"/>
    </xf>
    <xf numFmtId="0" fontId="48" fillId="0" borderId="0" xfId="23" applyNumberFormat="1" applyFont="1" applyAlignment="1" applyProtection="1">
      <protection locked="0"/>
    </xf>
    <xf numFmtId="0" fontId="48" fillId="0" borderId="0" xfId="0" applyNumberFormat="1" applyFont="1" applyAlignment="1" applyProtection="1"/>
    <xf numFmtId="0" fontId="51" fillId="0" borderId="0" xfId="0" applyFont="1"/>
    <xf numFmtId="0" fontId="51" fillId="0" borderId="0" xfId="23" applyNumberFormat="1" applyFont="1" applyFill="1" applyAlignment="1" applyProtection="1">
      <protection locked="0"/>
    </xf>
    <xf numFmtId="2" fontId="5" fillId="0" borderId="0" xfId="0" applyNumberFormat="1" applyFont="1" applyAlignment="1">
      <alignment horizontal="center"/>
    </xf>
    <xf numFmtId="0" fontId="48" fillId="0" borderId="4" xfId="21" applyNumberFormat="1" applyFont="1" applyBorder="1" applyAlignment="1">
      <alignment horizontal="left"/>
    </xf>
    <xf numFmtId="38" fontId="48" fillId="0" borderId="11" xfId="21" applyNumberFormat="1" applyFont="1" applyBorder="1" applyAlignment="1">
      <alignment horizontal="center"/>
    </xf>
    <xf numFmtId="0" fontId="48" fillId="0" borderId="13" xfId="21" applyNumberFormat="1" applyFont="1" applyBorder="1" applyAlignment="1"/>
    <xf numFmtId="38" fontId="48" fillId="0" borderId="13" xfId="22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8" fillId="0" borderId="14" xfId="21" applyNumberFormat="1" applyFont="1" applyBorder="1" applyAlignment="1">
      <alignment horizontal="center"/>
    </xf>
    <xf numFmtId="0" fontId="4" fillId="0" borderId="0" xfId="0" applyFont="1" applyBorder="1"/>
    <xf numFmtId="0" fontId="48" fillId="0" borderId="15" xfId="21" applyNumberFormat="1" applyFont="1" applyBorder="1" applyAlignment="1">
      <alignment horizontal="center"/>
    </xf>
    <xf numFmtId="0" fontId="48" fillId="0" borderId="7" xfId="21" applyNumberFormat="1" applyFont="1" applyBorder="1" applyAlignment="1">
      <alignment horizontal="center"/>
    </xf>
    <xf numFmtId="0" fontId="48" fillId="0" borderId="8" xfId="21" applyNumberFormat="1" applyFont="1" applyBorder="1" applyAlignment="1">
      <alignment horizontal="center"/>
    </xf>
    <xf numFmtId="0" fontId="48" fillId="0" borderId="14" xfId="21" applyNumberFormat="1" applyFont="1" applyBorder="1"/>
    <xf numFmtId="0" fontId="48" fillId="0" borderId="15" xfId="21" applyNumberFormat="1" applyFont="1" applyBorder="1"/>
    <xf numFmtId="166" fontId="49" fillId="7" borderId="14" xfId="0" applyNumberFormat="1" applyFont="1" applyFill="1" applyBorder="1" applyAlignment="1">
      <alignment horizontal="center"/>
    </xf>
    <xf numFmtId="2" fontId="49" fillId="7" borderId="0" xfId="0" applyNumberFormat="1" applyFont="1" applyFill="1" applyBorder="1" applyAlignment="1" applyProtection="1"/>
    <xf numFmtId="166" fontId="49" fillId="7" borderId="0" xfId="0" applyNumberFormat="1" applyFont="1" applyFill="1" applyBorder="1" applyAlignment="1">
      <alignment horizontal="center"/>
    </xf>
    <xf numFmtId="2" fontId="48" fillId="0" borderId="15" xfId="24" applyNumberFormat="1" applyFont="1" applyBorder="1" applyAlignment="1">
      <alignment horizontal="center"/>
    </xf>
    <xf numFmtId="0" fontId="49" fillId="7" borderId="0" xfId="0" applyFont="1" applyFill="1" applyBorder="1" applyAlignment="1"/>
    <xf numFmtId="2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 applyProtection="1">
      <protection locked="0"/>
    </xf>
    <xf numFmtId="2" fontId="50" fillId="0" borderId="0" xfId="0" applyNumberFormat="1" applyFont="1" applyFill="1" applyBorder="1" applyAlignment="1">
      <alignment horizontal="center"/>
    </xf>
    <xf numFmtId="0" fontId="4" fillId="0" borderId="15" xfId="0" applyFont="1" applyBorder="1"/>
    <xf numFmtId="2" fontId="52" fillId="0" borderId="7" xfId="0" applyNumberFormat="1" applyFont="1" applyFill="1" applyBorder="1" applyAlignment="1">
      <alignment horizontal="center"/>
    </xf>
    <xf numFmtId="2" fontId="52" fillId="0" borderId="4" xfId="0" applyNumberFormat="1" applyFont="1" applyFill="1" applyBorder="1" applyAlignment="1">
      <alignment horizontal="center"/>
    </xf>
    <xf numFmtId="0" fontId="4" fillId="0" borderId="4" xfId="0" applyFont="1" applyBorder="1"/>
    <xf numFmtId="2" fontId="5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/>
    <xf numFmtId="0" fontId="54" fillId="0" borderId="0" xfId="0" applyFont="1"/>
    <xf numFmtId="0" fontId="54" fillId="0" borderId="0" xfId="0" applyFont="1" applyFill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7" xfId="0" applyBorder="1"/>
    <xf numFmtId="0" fontId="0" fillId="0" borderId="8" xfId="0" applyBorder="1"/>
    <xf numFmtId="0" fontId="55" fillId="0" borderId="0" xfId="0" applyFont="1"/>
    <xf numFmtId="0" fontId="56" fillId="0" borderId="0" xfId="0" applyFont="1"/>
    <xf numFmtId="0" fontId="57" fillId="0" borderId="0" xfId="0" applyFont="1" applyFill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7">
    <cellStyle name="Date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ixed" xfId="13"/>
    <cellStyle name="Followed Hyperlink" xfId="3" builtinId="9" hidden="1"/>
    <cellStyle name="Followed Hyperlink" xfId="26" builtinId="9" hidden="1"/>
    <cellStyle name="HEADING1" xfId="14"/>
    <cellStyle name="HEADING2" xfId="15"/>
    <cellStyle name="Hyperlink" xfId="2" builtinId="8" hidden="1"/>
    <cellStyle name="Hyperlink" xfId="25" builtinId="8" hidden="1"/>
    <cellStyle name="Normal" xfId="0" builtinId="0"/>
    <cellStyle name="Normal 2" xfId="4"/>
    <cellStyle name="Normal_2001 Netting RevReq2" xfId="22"/>
    <cellStyle name="Normal_Exhibit A-12 Schedule D6-5 Page 1 of 2" xfId="23"/>
    <cellStyle name="Normal_Exhibit A-12 Schedule D6-5 Page 2 of 25" xfId="21"/>
    <cellStyle name="Normal_Exhibit A-12 Schedule D6-6 Page 2 of 2" xfId="24"/>
    <cellStyle name="Output Amounts" xfId="16"/>
    <cellStyle name="Output Column Headings" xfId="17"/>
    <cellStyle name="Output Line Items" xfId="18"/>
    <cellStyle name="Output Report Heading" xfId="19"/>
    <cellStyle name="Output Report Title" xfId="2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imony/Alabama?/CostOfCapital/ROE-Schedu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imony/Alabama?/CostOfCapital/NativeFiles/ROE-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$perShare"/>
      <sheetName val="DATA"/>
      <sheetName val="Sch1"/>
      <sheetName val="Sch2"/>
      <sheetName val="Sch3"/>
      <sheetName val="Sch4,p1"/>
      <sheetName val="Sch4,p2"/>
      <sheetName val="Sch5"/>
      <sheetName val="Sch6"/>
      <sheetName val="Sch7"/>
      <sheetName val="Sch8"/>
      <sheetName val="Sch9, p1"/>
      <sheetName val="Sch9, p2"/>
      <sheetName val="Sch10"/>
      <sheetName val="Sch 11"/>
      <sheetName val="S&amp;P utility ranking 2013"/>
      <sheetName val="embedded cost estimate"/>
    </sheetNames>
    <sheetDataSet>
      <sheetData sheetId="0">
        <row r="6">
          <cell r="F6">
            <v>4.8399999999999999E-2</v>
          </cell>
        </row>
        <row r="7">
          <cell r="F7">
            <v>0.06</v>
          </cell>
        </row>
        <row r="8">
          <cell r="F8">
            <v>5.8700000000000002E-2</v>
          </cell>
        </row>
        <row r="9">
          <cell r="F9">
            <v>3.6400000000000002E-2</v>
          </cell>
        </row>
        <row r="10">
          <cell r="F10">
            <v>0.08</v>
          </cell>
        </row>
        <row r="11">
          <cell r="F11">
            <v>0</v>
          </cell>
        </row>
        <row r="12">
          <cell r="F12">
            <v>4.8000000000000001E-2</v>
          </cell>
        </row>
        <row r="13">
          <cell r="F13">
            <v>5.5500000000000001E-2</v>
          </cell>
        </row>
        <row r="14">
          <cell r="F14">
            <v>-1.89E-2</v>
          </cell>
        </row>
        <row r="15">
          <cell r="F15">
            <v>0.04</v>
          </cell>
        </row>
        <row r="16">
          <cell r="F16">
            <v>0.05</v>
          </cell>
        </row>
        <row r="17">
          <cell r="F17">
            <v>3.1199999999999999E-2</v>
          </cell>
        </row>
        <row r="18">
          <cell r="F18">
            <v>7.2499999999999995E-2</v>
          </cell>
        </row>
        <row r="19">
          <cell r="F19">
            <v>4.7699999999999999E-2</v>
          </cell>
        </row>
        <row r="20">
          <cell r="F20">
            <v>5.11E-2</v>
          </cell>
        </row>
      </sheetData>
      <sheetData sheetId="1">
        <row r="32">
          <cell r="F32">
            <v>47.428333333333349</v>
          </cell>
        </row>
      </sheetData>
      <sheetData sheetId="2">
        <row r="5">
          <cell r="A5" t="str">
            <v>SO</v>
          </cell>
        </row>
        <row r="6">
          <cell r="A6" t="str">
            <v>ALE</v>
          </cell>
        </row>
        <row r="7">
          <cell r="A7" t="str">
            <v>LNT</v>
          </cell>
        </row>
        <row r="8">
          <cell r="A8" t="str">
            <v>AEP</v>
          </cell>
        </row>
        <row r="9">
          <cell r="A9" t="str">
            <v>CNL</v>
          </cell>
        </row>
        <row r="10">
          <cell r="A10" t="str">
            <v>ETR</v>
          </cell>
        </row>
        <row r="11">
          <cell r="A11" t="str">
            <v>WR</v>
          </cell>
        </row>
        <row r="12">
          <cell r="A12" t="str">
            <v>WEC</v>
          </cell>
        </row>
        <row r="13">
          <cell r="A13" t="str">
            <v>EIX</v>
          </cell>
        </row>
        <row r="14">
          <cell r="A14" t="str">
            <v>IDA</v>
          </cell>
        </row>
        <row r="15">
          <cell r="A15" t="str">
            <v>NWE</v>
          </cell>
        </row>
        <row r="16">
          <cell r="A16" t="str">
            <v>PCG</v>
          </cell>
        </row>
        <row r="17">
          <cell r="A17" t="str">
            <v>PNW</v>
          </cell>
        </row>
        <row r="18">
          <cell r="A18" t="str">
            <v>POR</v>
          </cell>
        </row>
        <row r="19">
          <cell r="A19" t="str">
            <v>XEL</v>
          </cell>
        </row>
      </sheetData>
      <sheetData sheetId="3">
        <row r="19">
          <cell r="J19" t="str">
            <v>A-</v>
          </cell>
        </row>
        <row r="23">
          <cell r="J23" t="str">
            <v>BBB+</v>
          </cell>
        </row>
        <row r="24">
          <cell r="J24" t="str">
            <v>A</v>
          </cell>
        </row>
        <row r="26">
          <cell r="J26" t="str">
            <v>BBB</v>
          </cell>
        </row>
        <row r="29">
          <cell r="J29" t="str">
            <v>A-</v>
          </cell>
        </row>
        <row r="32">
          <cell r="J32" t="str">
            <v>BBB/BBB-</v>
          </cell>
        </row>
        <row r="33">
          <cell r="J33" t="str">
            <v>BBB+</v>
          </cell>
        </row>
        <row r="40">
          <cell r="J40" t="str">
            <v>A-</v>
          </cell>
        </row>
        <row r="41">
          <cell r="J41" t="str">
            <v>AA-</v>
          </cell>
        </row>
        <row r="45">
          <cell r="J45" t="str">
            <v>BBB+</v>
          </cell>
        </row>
        <row r="48">
          <cell r="J48" t="str">
            <v>A-</v>
          </cell>
        </row>
        <row r="51">
          <cell r="J51" t="str">
            <v>BBB</v>
          </cell>
        </row>
        <row r="53">
          <cell r="J53" t="str">
            <v>A-</v>
          </cell>
        </row>
        <row r="54">
          <cell r="J54" t="str">
            <v>A-</v>
          </cell>
        </row>
        <row r="57">
          <cell r="J57" t="str">
            <v>BBB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$perShare"/>
      <sheetName val="DATA"/>
      <sheetName val="Sch1"/>
      <sheetName val="Sch2"/>
      <sheetName val="Sch3"/>
      <sheetName val="Sch4,p1"/>
      <sheetName val="Sch4,p2"/>
      <sheetName val="Sch5"/>
      <sheetName val="Sch6"/>
      <sheetName val="Sch7"/>
      <sheetName val="Sch8"/>
      <sheetName val="Sch9, p1"/>
      <sheetName val="Sch9, p2"/>
      <sheetName val="Sch10"/>
      <sheetName val="Sch 11"/>
      <sheetName val="S&amp;P utility ranking 2013"/>
      <sheetName val="embedded cost estimate"/>
    </sheetNames>
    <sheetDataSet>
      <sheetData sheetId="0">
        <row r="32">
          <cell r="F32">
            <v>4.7600000000000003E-2</v>
          </cell>
        </row>
        <row r="35">
          <cell r="F35">
            <v>3.3799999999999997E-2</v>
          </cell>
        </row>
        <row r="36">
          <cell r="F36">
            <v>0.08</v>
          </cell>
        </row>
        <row r="37">
          <cell r="F37" t="str">
            <v>n/a</v>
          </cell>
        </row>
        <row r="38">
          <cell r="F38">
            <v>5.0999999999999997E-2</v>
          </cell>
        </row>
        <row r="39">
          <cell r="F39">
            <v>5.1999999999999998E-2</v>
          </cell>
        </row>
        <row r="41">
          <cell r="F41">
            <v>0.04</v>
          </cell>
        </row>
        <row r="42">
          <cell r="F42">
            <v>0.05</v>
          </cell>
        </row>
        <row r="46">
          <cell r="F46">
            <v>4.8800000000000003E-2</v>
          </cell>
        </row>
      </sheetData>
      <sheetData sheetId="1"/>
      <sheetData sheetId="2">
        <row r="1">
          <cell r="A1" t="str">
            <v>COST OF CAPITAL - 2013</v>
          </cell>
        </row>
        <row r="5">
          <cell r="A5" t="str">
            <v>SO</v>
          </cell>
          <cell r="BA5">
            <v>4.8399999999999999E-2</v>
          </cell>
        </row>
        <row r="6">
          <cell r="A6" t="str">
            <v>ALE</v>
          </cell>
          <cell r="BA6">
            <v>0.06</v>
          </cell>
        </row>
        <row r="7">
          <cell r="A7" t="str">
            <v>LNT</v>
          </cell>
          <cell r="BA7">
            <v>5.8700000000000002E-2</v>
          </cell>
        </row>
        <row r="8">
          <cell r="A8" t="str">
            <v>AEP</v>
          </cell>
          <cell r="BA8">
            <v>3.6400000000000002E-2</v>
          </cell>
        </row>
        <row r="9">
          <cell r="A9" t="str">
            <v>CNL</v>
          </cell>
          <cell r="BA9">
            <v>0.08</v>
          </cell>
        </row>
        <row r="10">
          <cell r="A10" t="str">
            <v>ETR</v>
          </cell>
          <cell r="BA10">
            <v>0</v>
          </cell>
        </row>
        <row r="11">
          <cell r="A11" t="str">
            <v>WR</v>
          </cell>
          <cell r="BA11">
            <v>4.8000000000000001E-2</v>
          </cell>
        </row>
        <row r="12">
          <cell r="A12" t="str">
            <v>WEC</v>
          </cell>
          <cell r="BA12">
            <v>5.5500000000000001E-2</v>
          </cell>
        </row>
        <row r="13">
          <cell r="A13" t="str">
            <v>EIX</v>
          </cell>
          <cell r="BA13">
            <v>-1.89E-2</v>
          </cell>
        </row>
        <row r="14">
          <cell r="A14" t="str">
            <v>IDA</v>
          </cell>
          <cell r="BA14">
            <v>0.04</v>
          </cell>
        </row>
        <row r="15">
          <cell r="A15" t="str">
            <v>NWE</v>
          </cell>
          <cell r="BA15">
            <v>0.05</v>
          </cell>
        </row>
        <row r="16">
          <cell r="A16" t="str">
            <v>PCG</v>
          </cell>
          <cell r="BA16">
            <v>3.1199999999999999E-2</v>
          </cell>
        </row>
        <row r="17">
          <cell r="A17" t="str">
            <v>PNW</v>
          </cell>
          <cell r="BA17">
            <v>7.2499999999999995E-2</v>
          </cell>
        </row>
        <row r="18">
          <cell r="A18" t="str">
            <v>POR</v>
          </cell>
          <cell r="BA18">
            <v>4.7699999999999999E-2</v>
          </cell>
        </row>
        <row r="19">
          <cell r="A19" t="str">
            <v>XEL</v>
          </cell>
          <cell r="BA19">
            <v>5.11E-2</v>
          </cell>
        </row>
      </sheetData>
      <sheetData sheetId="3"/>
      <sheetData sheetId="4">
        <row r="14">
          <cell r="F14">
            <v>4.2590575253891823E-2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"/>
  <sheetViews>
    <sheetView topLeftCell="A20" workbookViewId="0">
      <selection activeCell="F32" sqref="F32:F46"/>
    </sheetView>
  </sheetViews>
  <sheetFormatPr defaultColWidth="11.42578125" defaultRowHeight="12"/>
  <cols>
    <col min="5" max="5" width="14.28515625" customWidth="1"/>
  </cols>
  <sheetData>
    <row r="2" spans="2:7">
      <c r="B2" s="71" t="s">
        <v>526</v>
      </c>
      <c r="C2" s="71"/>
      <c r="D2" s="71"/>
      <c r="E2" s="71"/>
      <c r="F2" s="71"/>
      <c r="G2" s="71"/>
    </row>
    <row r="3" spans="2:7">
      <c r="B3" s="117">
        <v>39980</v>
      </c>
      <c r="C3" s="71"/>
      <c r="D3" s="71"/>
      <c r="E3" s="71"/>
      <c r="F3" s="71"/>
      <c r="G3" s="71"/>
    </row>
    <row r="4" spans="2:7">
      <c r="B4" s="71"/>
      <c r="C4" s="71"/>
      <c r="D4" s="71"/>
      <c r="E4" s="71"/>
      <c r="F4" s="71"/>
      <c r="G4" s="71"/>
    </row>
    <row r="5" spans="2:7">
      <c r="B5" s="71"/>
      <c r="C5" s="71"/>
      <c r="D5" s="71"/>
      <c r="E5" s="71" t="s">
        <v>527</v>
      </c>
      <c r="F5" s="71" t="s">
        <v>458</v>
      </c>
      <c r="G5" s="71"/>
    </row>
    <row r="6" spans="2:7" ht="12.75">
      <c r="B6" s="118" t="s">
        <v>528</v>
      </c>
      <c r="C6" s="71"/>
      <c r="D6" s="119" t="s">
        <v>529</v>
      </c>
      <c r="E6" s="71">
        <v>2.87</v>
      </c>
      <c r="F6" s="71">
        <v>4.8000000000000001E-2</v>
      </c>
    </row>
    <row r="7" spans="2:7" ht="12.75">
      <c r="B7" s="118" t="s">
        <v>530</v>
      </c>
      <c r="C7" s="71"/>
      <c r="D7" s="119" t="s">
        <v>531</v>
      </c>
      <c r="E7" s="71">
        <v>3.06</v>
      </c>
      <c r="F7" s="71">
        <v>0.06</v>
      </c>
    </row>
    <row r="8" spans="2:7" ht="12.75">
      <c r="B8" s="118" t="s">
        <v>532</v>
      </c>
      <c r="C8" s="71"/>
      <c r="D8" s="119" t="s">
        <v>374</v>
      </c>
      <c r="E8" s="71">
        <v>3.3</v>
      </c>
      <c r="F8" s="71">
        <v>5.9299999999999999E-2</v>
      </c>
    </row>
    <row r="9" spans="2:7" ht="12.75">
      <c r="B9" s="118" t="s">
        <v>375</v>
      </c>
      <c r="C9" s="71"/>
      <c r="D9" s="119" t="s">
        <v>376</v>
      </c>
      <c r="E9" s="71">
        <v>3.32</v>
      </c>
      <c r="F9" s="71">
        <v>3.6400000000000002E-2</v>
      </c>
    </row>
    <row r="10" spans="2:7" ht="12.75">
      <c r="B10" s="118" t="s">
        <v>377</v>
      </c>
      <c r="C10" s="71"/>
      <c r="D10" s="119" t="s">
        <v>378</v>
      </c>
      <c r="E10" s="71">
        <v>2.8</v>
      </c>
      <c r="F10" s="71">
        <v>0.08</v>
      </c>
    </row>
    <row r="11" spans="2:7" ht="12.75">
      <c r="B11" s="118" t="s">
        <v>379</v>
      </c>
      <c r="C11" s="71"/>
      <c r="D11" s="119" t="s">
        <v>380</v>
      </c>
      <c r="E11" s="71">
        <v>5.04</v>
      </c>
      <c r="F11" s="71">
        <v>0</v>
      </c>
    </row>
    <row r="12" spans="2:7" ht="12.75">
      <c r="B12" s="118" t="s">
        <v>445</v>
      </c>
      <c r="C12" s="71"/>
      <c r="D12" s="119" t="s">
        <v>446</v>
      </c>
      <c r="E12" s="71">
        <v>2.2200000000000002</v>
      </c>
      <c r="F12" s="71">
        <v>4.8300000000000003E-2</v>
      </c>
    </row>
    <row r="13" spans="2:7" ht="12.75">
      <c r="B13" s="118" t="s">
        <v>447</v>
      </c>
      <c r="C13" s="71"/>
      <c r="D13" s="119" t="s">
        <v>448</v>
      </c>
      <c r="E13" s="71">
        <v>2.5499999999999998</v>
      </c>
      <c r="F13" s="71">
        <v>4.9000000000000002E-2</v>
      </c>
    </row>
    <row r="14" spans="2:7" ht="12.75">
      <c r="B14" s="118" t="s">
        <v>285</v>
      </c>
      <c r="C14" s="71"/>
      <c r="D14" s="119" t="s">
        <v>286</v>
      </c>
      <c r="E14" s="71">
        <v>3.52</v>
      </c>
      <c r="F14" s="71">
        <v>2.5999999999999999E-3</v>
      </c>
    </row>
    <row r="15" spans="2:7" ht="12.75">
      <c r="B15" s="118" t="s">
        <v>287</v>
      </c>
      <c r="C15" s="71"/>
      <c r="D15" s="119" t="s">
        <v>464</v>
      </c>
      <c r="E15" s="71">
        <v>3.4</v>
      </c>
      <c r="F15" s="71">
        <v>0.04</v>
      </c>
    </row>
    <row r="16" spans="2:7" ht="12.75">
      <c r="B16" s="118" t="s">
        <v>126</v>
      </c>
      <c r="C16" s="71"/>
      <c r="D16" s="119" t="s">
        <v>127</v>
      </c>
      <c r="E16" s="71">
        <v>2.7</v>
      </c>
      <c r="F16" s="71">
        <v>0.05</v>
      </c>
    </row>
    <row r="17" spans="2:7" ht="12.75">
      <c r="B17" s="118" t="s">
        <v>128</v>
      </c>
      <c r="C17" s="71"/>
      <c r="D17" s="118" t="s">
        <v>129</v>
      </c>
      <c r="E17" s="71">
        <v>3.07</v>
      </c>
      <c r="F17" s="71">
        <v>3.1199999999999999E-2</v>
      </c>
    </row>
    <row r="18" spans="2:7" ht="12.75">
      <c r="B18" s="118" t="s">
        <v>176</v>
      </c>
      <c r="C18" s="71"/>
      <c r="D18" s="118" t="s">
        <v>177</v>
      </c>
      <c r="E18" s="71">
        <v>3.71</v>
      </c>
      <c r="F18" s="71">
        <v>0.06</v>
      </c>
    </row>
    <row r="19" spans="2:7" ht="12.75">
      <c r="B19" s="118" t="s">
        <v>178</v>
      </c>
      <c r="C19" s="71"/>
      <c r="D19" s="118" t="s">
        <v>179</v>
      </c>
      <c r="E19" s="71">
        <v>2.09</v>
      </c>
      <c r="F19" s="71">
        <v>5.6899999999999999E-2</v>
      </c>
    </row>
    <row r="20" spans="2:7" ht="12.75">
      <c r="B20" s="118" t="s">
        <v>180</v>
      </c>
      <c r="C20" s="71"/>
      <c r="D20" s="118" t="s">
        <v>181</v>
      </c>
      <c r="E20" s="71">
        <v>1.99</v>
      </c>
      <c r="F20" s="71">
        <v>5.11E-2</v>
      </c>
    </row>
    <row r="21" spans="2:7" ht="12.75">
      <c r="B21" s="120"/>
      <c r="C21" s="71"/>
      <c r="D21" s="121"/>
      <c r="E21" s="71"/>
      <c r="F21" s="71"/>
    </row>
    <row r="22" spans="2:7" ht="12.75">
      <c r="B22" s="120"/>
      <c r="C22" s="71"/>
      <c r="D22" s="121" t="s">
        <v>453</v>
      </c>
      <c r="E22" s="122">
        <f>AVERAGE(E6:E20)</f>
        <v>3.0426666666666673</v>
      </c>
      <c r="F22" s="122">
        <f>AVERAGE(F6:F20)</f>
        <v>4.4853333333333328E-2</v>
      </c>
    </row>
    <row r="23" spans="2:7">
      <c r="B23" s="71"/>
      <c r="C23" s="71"/>
      <c r="D23" s="71" t="s">
        <v>182</v>
      </c>
      <c r="E23" s="71">
        <f>MEDIAN(E6:E20)</f>
        <v>3.06</v>
      </c>
      <c r="F23" s="71">
        <f>MEDIAN(F6:F20)</f>
        <v>4.9000000000000002E-2</v>
      </c>
    </row>
    <row r="24" spans="2:7">
      <c r="B24" s="71"/>
      <c r="C24" s="71"/>
      <c r="D24" s="71"/>
      <c r="E24" s="71"/>
      <c r="F24" s="71"/>
      <c r="G24" s="71"/>
    </row>
    <row r="25" spans="2:7">
      <c r="B25" s="71"/>
      <c r="C25" s="71"/>
      <c r="D25" s="71"/>
      <c r="E25" s="71"/>
      <c r="F25" s="71"/>
      <c r="G25" s="71"/>
    </row>
    <row r="26" spans="2:7">
      <c r="B26" s="71"/>
      <c r="C26" s="71"/>
      <c r="D26" s="71"/>
      <c r="E26" s="71"/>
      <c r="F26" s="71"/>
      <c r="G26" s="71"/>
    </row>
    <row r="27" spans="2:7">
      <c r="B27" s="71"/>
      <c r="C27" s="71"/>
      <c r="D27" s="71"/>
      <c r="E27" s="71"/>
      <c r="F27" s="71"/>
      <c r="G27" s="71"/>
    </row>
    <row r="28" spans="2:7">
      <c r="B28" s="71" t="s">
        <v>459</v>
      </c>
      <c r="C28" s="71"/>
      <c r="D28" s="71"/>
      <c r="E28" s="71"/>
      <c r="F28" s="71"/>
      <c r="G28" s="71"/>
    </row>
    <row r="29" spans="2:7">
      <c r="B29" s="117">
        <v>39980</v>
      </c>
      <c r="C29" s="71"/>
      <c r="D29" s="71"/>
      <c r="E29" s="71"/>
      <c r="F29" s="71"/>
      <c r="G29" s="71"/>
    </row>
    <row r="30" spans="2:7">
      <c r="B30" s="71"/>
      <c r="C30" s="71"/>
      <c r="D30" s="71"/>
      <c r="E30" s="71"/>
      <c r="F30" s="71"/>
      <c r="G30" s="71"/>
    </row>
    <row r="31" spans="2:7">
      <c r="B31" s="71"/>
      <c r="C31" s="71"/>
      <c r="D31" s="71"/>
      <c r="E31" s="71" t="s">
        <v>78</v>
      </c>
      <c r="F31" s="71" t="s">
        <v>458</v>
      </c>
      <c r="G31" s="71" t="s">
        <v>183</v>
      </c>
    </row>
    <row r="32" spans="2:7" ht="12.75">
      <c r="B32" s="118" t="s">
        <v>508</v>
      </c>
      <c r="C32" s="71"/>
      <c r="D32" s="119" t="s">
        <v>184</v>
      </c>
      <c r="E32">
        <v>2.88</v>
      </c>
      <c r="F32">
        <v>4.7600000000000003E-2</v>
      </c>
      <c r="G32">
        <v>17.190000000000001</v>
      </c>
    </row>
    <row r="33" spans="2:7" ht="12.75">
      <c r="B33" s="118" t="s">
        <v>185</v>
      </c>
      <c r="C33" s="71"/>
      <c r="D33" s="119" t="s">
        <v>186</v>
      </c>
      <c r="E33" s="71">
        <v>3.07</v>
      </c>
      <c r="F33" s="71">
        <v>6.5000000000000002E-2</v>
      </c>
      <c r="G33" s="71">
        <v>18.649999999999999</v>
      </c>
    </row>
    <row r="34" spans="2:7" ht="12.75">
      <c r="B34" s="118" t="s">
        <v>341</v>
      </c>
      <c r="C34" s="71"/>
      <c r="D34" s="119" t="s">
        <v>342</v>
      </c>
      <c r="E34" s="71">
        <v>3.3</v>
      </c>
      <c r="F34" s="71">
        <v>5.6800000000000003E-2</v>
      </c>
      <c r="G34" s="71">
        <v>16.97</v>
      </c>
    </row>
    <row r="35" spans="2:7" ht="12.75">
      <c r="B35" s="118" t="s">
        <v>343</v>
      </c>
      <c r="C35" s="71"/>
      <c r="D35" s="119" t="s">
        <v>344</v>
      </c>
      <c r="E35" s="71">
        <v>3.32</v>
      </c>
      <c r="F35" s="71">
        <v>3.3799999999999997E-2</v>
      </c>
      <c r="G35" s="71">
        <v>16.18</v>
      </c>
    </row>
    <row r="36" spans="2:7" ht="12.75">
      <c r="B36" s="118" t="s">
        <v>345</v>
      </c>
      <c r="C36" s="71"/>
      <c r="D36" s="119" t="s">
        <v>346</v>
      </c>
      <c r="E36" s="71">
        <v>2.81</v>
      </c>
      <c r="F36" s="71">
        <v>0.08</v>
      </c>
      <c r="G36" s="71">
        <v>19.2</v>
      </c>
    </row>
    <row r="37" spans="2:7" ht="12.75">
      <c r="B37" s="118" t="s">
        <v>347</v>
      </c>
      <c r="C37" s="71"/>
      <c r="D37" s="119" t="s">
        <v>348</v>
      </c>
      <c r="E37" s="71">
        <v>5.04</v>
      </c>
      <c r="F37" s="71" t="s">
        <v>477</v>
      </c>
      <c r="G37" s="71">
        <v>14.45</v>
      </c>
    </row>
    <row r="38" spans="2:7" ht="12.75">
      <c r="B38" s="118" t="s">
        <v>478</v>
      </c>
      <c r="C38" s="71"/>
      <c r="D38" s="119" t="s">
        <v>479</v>
      </c>
      <c r="E38" s="71">
        <v>2.23</v>
      </c>
      <c r="F38" s="71">
        <v>5.0999999999999997E-2</v>
      </c>
      <c r="G38" s="71">
        <v>16.23</v>
      </c>
    </row>
    <row r="39" spans="2:7" ht="12.75">
      <c r="B39" s="118" t="s">
        <v>480</v>
      </c>
      <c r="C39" s="71"/>
      <c r="D39" s="119" t="s">
        <v>481</v>
      </c>
      <c r="E39" s="71">
        <v>2.56</v>
      </c>
      <c r="F39" s="71">
        <v>5.1999999999999998E-2</v>
      </c>
      <c r="G39" s="71">
        <v>18.36</v>
      </c>
    </row>
    <row r="40" spans="2:7" ht="12.75">
      <c r="B40" s="118" t="s">
        <v>317</v>
      </c>
      <c r="C40" s="71"/>
      <c r="D40" s="119" t="s">
        <v>318</v>
      </c>
      <c r="E40" s="71">
        <v>3.56</v>
      </c>
      <c r="F40" s="71">
        <v>4.58E-2</v>
      </c>
      <c r="G40" s="71">
        <v>14.8</v>
      </c>
    </row>
    <row r="41" spans="2:7" ht="12.75">
      <c r="B41" s="118" t="s">
        <v>319</v>
      </c>
      <c r="C41" s="71"/>
      <c r="D41" s="119" t="s">
        <v>320</v>
      </c>
      <c r="E41" s="71">
        <v>3.4</v>
      </c>
      <c r="F41" s="71">
        <v>0.04</v>
      </c>
      <c r="G41" s="71">
        <v>14.77</v>
      </c>
    </row>
    <row r="42" spans="2:7" ht="12.75">
      <c r="B42" s="118" t="s">
        <v>130</v>
      </c>
      <c r="C42" s="71"/>
      <c r="D42" s="119" t="s">
        <v>131</v>
      </c>
      <c r="E42" s="71">
        <v>2.69</v>
      </c>
      <c r="F42" s="71">
        <v>0.05</v>
      </c>
      <c r="G42" s="71">
        <v>17.149999999999999</v>
      </c>
    </row>
    <row r="43" spans="2:7" ht="12.75">
      <c r="B43" s="118" t="s">
        <v>132</v>
      </c>
      <c r="C43" s="71"/>
      <c r="D43" s="118" t="s">
        <v>133</v>
      </c>
      <c r="E43" s="71">
        <v>3.06</v>
      </c>
      <c r="F43" s="71">
        <v>1.35E-2</v>
      </c>
      <c r="G43" s="71">
        <v>17.75</v>
      </c>
    </row>
    <row r="44" spans="2:7" ht="12.75">
      <c r="B44" s="118" t="s">
        <v>134</v>
      </c>
      <c r="C44" s="71"/>
      <c r="D44" s="118" t="s">
        <v>135</v>
      </c>
      <c r="E44" s="71">
        <v>3.75</v>
      </c>
      <c r="F44" s="71">
        <v>4.1300000000000003E-2</v>
      </c>
      <c r="G44" s="71">
        <v>17.23</v>
      </c>
    </row>
    <row r="45" spans="2:7" ht="12.75">
      <c r="B45" s="118" t="s">
        <v>136</v>
      </c>
      <c r="C45" s="71"/>
      <c r="D45" s="118" t="s">
        <v>137</v>
      </c>
      <c r="E45" s="71">
        <v>2.0699999999999998</v>
      </c>
      <c r="F45" s="71">
        <v>6.5299999999999997E-2</v>
      </c>
      <c r="G45" s="71">
        <v>17.03</v>
      </c>
    </row>
    <row r="46" spans="2:7" ht="12.75">
      <c r="B46" s="118" t="s">
        <v>138</v>
      </c>
      <c r="C46" s="71"/>
      <c r="D46" s="118" t="s">
        <v>139</v>
      </c>
      <c r="E46" s="71">
        <v>1.99</v>
      </c>
      <c r="F46" s="71">
        <v>4.8800000000000003E-2</v>
      </c>
      <c r="G46" s="71">
        <v>16.399999999999999</v>
      </c>
    </row>
    <row r="47" spans="2:7">
      <c r="B47" s="71"/>
      <c r="C47" s="71"/>
      <c r="D47" s="71"/>
      <c r="E47" s="71"/>
      <c r="F47" s="71"/>
      <c r="G47" s="71"/>
    </row>
    <row r="48" spans="2:7" ht="12.75">
      <c r="B48" s="71"/>
      <c r="C48" s="71"/>
      <c r="D48" s="123" t="s">
        <v>453</v>
      </c>
      <c r="E48" s="71">
        <f>AVERAGE(E32:E46)</f>
        <v>3.0486666666666671</v>
      </c>
      <c r="F48" s="71">
        <f>AVERAGE(F32:F46)</f>
        <v>4.9349999999999998E-2</v>
      </c>
      <c r="G48" s="71">
        <f>AVERAGE(G32:G46)</f>
        <v>16.824000000000002</v>
      </c>
    </row>
    <row r="49" spans="2:7">
      <c r="B49" s="71"/>
      <c r="C49" s="71"/>
      <c r="D49" s="71" t="s">
        <v>182</v>
      </c>
      <c r="E49" s="71">
        <f>MEDIAN(E32:E46)</f>
        <v>3.06</v>
      </c>
      <c r="F49" s="71">
        <f>MEDIAN(F32:F46)</f>
        <v>4.9399999999999999E-2</v>
      </c>
      <c r="G49" s="71">
        <f>MEDIAN(G32:G46)</f>
        <v>17.03</v>
      </c>
    </row>
  </sheetData>
  <phoneticPr fontId="1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:L44"/>
  <sheetViews>
    <sheetView topLeftCell="B10" workbookViewId="0">
      <selection activeCell="J30" sqref="J30"/>
    </sheetView>
  </sheetViews>
  <sheetFormatPr defaultColWidth="10.85546875" defaultRowHeight="12.75"/>
  <cols>
    <col min="1" max="1" width="10.85546875" style="185"/>
    <col min="2" max="2" width="1.7109375" style="185" customWidth="1"/>
    <col min="3" max="10" width="8.85546875" style="185" customWidth="1"/>
    <col min="11" max="11" width="9.42578125" style="185" customWidth="1"/>
    <col min="12" max="16384" width="10.85546875" style="185"/>
  </cols>
  <sheetData>
    <row r="1" spans="3:12">
      <c r="L1" s="218" t="s">
        <v>538</v>
      </c>
    </row>
    <row r="2" spans="3:12">
      <c r="L2" s="220" t="s">
        <v>545</v>
      </c>
    </row>
    <row r="3" spans="3:12">
      <c r="L3" s="220" t="s">
        <v>537</v>
      </c>
    </row>
    <row r="5" spans="3:12">
      <c r="G5" s="187" t="s">
        <v>322</v>
      </c>
    </row>
    <row r="6" spans="3:12">
      <c r="G6" s="187"/>
    </row>
    <row r="7" spans="3:12">
      <c r="G7" s="187" t="s">
        <v>324</v>
      </c>
    </row>
    <row r="8" spans="3:12">
      <c r="G8" s="188" t="s">
        <v>498</v>
      </c>
    </row>
    <row r="10" spans="3:12">
      <c r="D10" s="189"/>
      <c r="E10" s="190" t="s">
        <v>450</v>
      </c>
      <c r="F10" s="190"/>
      <c r="G10" s="191" t="s">
        <v>325</v>
      </c>
      <c r="H10" s="192" t="s">
        <v>326</v>
      </c>
      <c r="I10" s="193" t="s">
        <v>453</v>
      </c>
      <c r="J10" s="194" t="s">
        <v>327</v>
      </c>
      <c r="K10" s="192" t="s">
        <v>456</v>
      </c>
      <c r="L10"/>
    </row>
    <row r="11" spans="3:12">
      <c r="C11" s="195" t="s">
        <v>328</v>
      </c>
      <c r="D11" s="196" t="s">
        <v>494</v>
      </c>
      <c r="E11" s="197" t="s">
        <v>495</v>
      </c>
      <c r="F11" s="197" t="s">
        <v>435</v>
      </c>
      <c r="G11" s="196" t="s">
        <v>494</v>
      </c>
      <c r="H11" s="198" t="s">
        <v>494</v>
      </c>
      <c r="I11" s="199" t="s">
        <v>457</v>
      </c>
      <c r="J11" s="200" t="s">
        <v>329</v>
      </c>
      <c r="K11" s="198" t="s">
        <v>330</v>
      </c>
      <c r="L11"/>
    </row>
    <row r="12" spans="3:12">
      <c r="D12" s="201" t="s">
        <v>431</v>
      </c>
      <c r="E12" s="202" t="s">
        <v>432</v>
      </c>
      <c r="F12" s="202" t="s">
        <v>331</v>
      </c>
      <c r="G12" s="201" t="s">
        <v>152</v>
      </c>
      <c r="H12" s="203" t="s">
        <v>153</v>
      </c>
      <c r="I12" s="204" t="s">
        <v>332</v>
      </c>
      <c r="J12" s="205" t="s">
        <v>333</v>
      </c>
      <c r="K12" s="206" t="s">
        <v>334</v>
      </c>
      <c r="L12"/>
    </row>
    <row r="13" spans="3:12" ht="15" customHeight="1">
      <c r="C13" s="186" t="str">
        <f>[2]DATA!A5</f>
        <v>SO</v>
      </c>
      <c r="D13" s="191">
        <v>4.4999999999999998E-2</v>
      </c>
      <c r="E13" s="207">
        <v>0.04</v>
      </c>
      <c r="F13" s="208">
        <v>4.4999999999999998E-2</v>
      </c>
      <c r="G13" s="191">
        <f>[2]DATA!BA5</f>
        <v>4.8399999999999999E-2</v>
      </c>
      <c r="H13" s="208">
        <f>[2]Earnings!F32</f>
        <v>4.7600000000000003E-2</v>
      </c>
      <c r="I13" s="191">
        <f t="shared" ref="I13:I27" si="0">AVERAGE(D13:H13)</f>
        <v>4.5200000000000004E-2</v>
      </c>
      <c r="J13" s="208">
        <v>4.5199999999999997E-2</v>
      </c>
      <c r="K13" s="209">
        <f t="shared" ref="K13:K27" si="1">I13+J13</f>
        <v>9.0400000000000008E-2</v>
      </c>
      <c r="L13"/>
    </row>
    <row r="14" spans="3:12" ht="15" customHeight="1">
      <c r="C14" s="186" t="str">
        <f>[2]DATA!A6</f>
        <v>ALE</v>
      </c>
      <c r="D14" s="201">
        <v>7.0000000000000007E-2</v>
      </c>
      <c r="E14" s="202">
        <v>3.5000000000000003E-2</v>
      </c>
      <c r="F14" s="210">
        <v>0.04</v>
      </c>
      <c r="G14" s="201">
        <f>[2]DATA!BA6</f>
        <v>0.06</v>
      </c>
      <c r="H14" s="210">
        <v>6.5000000000000002E-2</v>
      </c>
      <c r="I14" s="201">
        <f t="shared" si="0"/>
        <v>5.4000000000000006E-2</v>
      </c>
      <c r="J14" s="210">
        <v>3.9E-2</v>
      </c>
      <c r="K14" s="211">
        <f t="shared" si="1"/>
        <v>9.2999999999999999E-2</v>
      </c>
      <c r="L14"/>
    </row>
    <row r="15" spans="3:12" ht="15" customHeight="1">
      <c r="C15" s="186" t="str">
        <f>[2]DATA!A7</f>
        <v>LNT</v>
      </c>
      <c r="D15" s="201">
        <v>0.05</v>
      </c>
      <c r="E15" s="202">
        <v>4.4999999999999998E-2</v>
      </c>
      <c r="F15" s="210">
        <v>0.04</v>
      </c>
      <c r="G15" s="201">
        <f>[2]DATA!BA7</f>
        <v>5.8700000000000002E-2</v>
      </c>
      <c r="H15" s="210">
        <v>5.6800000000000003E-2</v>
      </c>
      <c r="I15" s="201">
        <f t="shared" si="0"/>
        <v>5.0099999999999999E-2</v>
      </c>
      <c r="J15" s="210">
        <v>3.78E-2</v>
      </c>
      <c r="K15" s="211">
        <f t="shared" si="1"/>
        <v>8.7900000000000006E-2</v>
      </c>
      <c r="L15"/>
    </row>
    <row r="16" spans="3:12" ht="15" customHeight="1">
      <c r="C16" s="186" t="str">
        <f>[2]DATA!A8</f>
        <v>AEP</v>
      </c>
      <c r="D16" s="201">
        <v>4.4999999999999998E-2</v>
      </c>
      <c r="E16" s="202">
        <v>0.04</v>
      </c>
      <c r="F16" s="210">
        <v>0.04</v>
      </c>
      <c r="G16" s="201">
        <f>[2]DATA!BA8</f>
        <v>3.6400000000000002E-2</v>
      </c>
      <c r="H16" s="210">
        <f>[2]Earnings!F35</f>
        <v>3.3799999999999997E-2</v>
      </c>
      <c r="I16" s="201">
        <f t="shared" si="0"/>
        <v>3.9039999999999998E-2</v>
      </c>
      <c r="J16" s="210">
        <v>4.19E-2</v>
      </c>
      <c r="K16" s="211">
        <f t="shared" si="1"/>
        <v>8.0939999999999998E-2</v>
      </c>
      <c r="L16"/>
    </row>
    <row r="17" spans="3:12" ht="15" customHeight="1">
      <c r="C17" s="186" t="str">
        <f>[2]DATA!A9</f>
        <v>CNL</v>
      </c>
      <c r="D17" s="201">
        <v>5.5E-2</v>
      </c>
      <c r="E17" s="202">
        <v>0.1</v>
      </c>
      <c r="F17" s="210">
        <v>0.05</v>
      </c>
      <c r="G17" s="201">
        <f>[2]DATA!BA9</f>
        <v>0.08</v>
      </c>
      <c r="H17" s="210">
        <f>[2]Earnings!F36</f>
        <v>0.08</v>
      </c>
      <c r="I17" s="201">
        <f t="shared" si="0"/>
        <v>7.3000000000000009E-2</v>
      </c>
      <c r="J17" s="210">
        <v>3.2300000000000002E-2</v>
      </c>
      <c r="K17" s="226">
        <f t="shared" si="1"/>
        <v>0.1053</v>
      </c>
      <c r="L17"/>
    </row>
    <row r="18" spans="3:12" ht="15" customHeight="1">
      <c r="C18" s="186" t="str">
        <f>[2]DATA!A10</f>
        <v>ETR</v>
      </c>
      <c r="D18" s="201">
        <v>-3.5000000000000003E-2</v>
      </c>
      <c r="E18" s="202">
        <v>5.0000000000000001E-3</v>
      </c>
      <c r="F18" s="210">
        <v>0.03</v>
      </c>
      <c r="G18" s="201">
        <f>[2]DATA!BA10</f>
        <v>0</v>
      </c>
      <c r="H18" s="210" t="str">
        <f>[2]Earnings!F37</f>
        <v>n/a</v>
      </c>
      <c r="I18" s="201">
        <f>AVERAGE(E18:F18)</f>
        <v>1.7499999999999998E-2</v>
      </c>
      <c r="J18" s="210">
        <v>4.82E-2</v>
      </c>
      <c r="K18" s="226">
        <f t="shared" si="1"/>
        <v>6.5699999999999995E-2</v>
      </c>
      <c r="L18"/>
    </row>
    <row r="19" spans="3:12" ht="15" customHeight="1">
      <c r="C19" s="186" t="str">
        <f>[2]DATA!A11</f>
        <v>WR</v>
      </c>
      <c r="D19" s="201">
        <v>0.06</v>
      </c>
      <c r="E19" s="202">
        <v>0.03</v>
      </c>
      <c r="F19" s="210">
        <v>0.05</v>
      </c>
      <c r="G19" s="201">
        <f>[2]DATA!BA11</f>
        <v>4.8000000000000001E-2</v>
      </c>
      <c r="H19" s="210">
        <f>[2]Earnings!F38</f>
        <v>5.0999999999999997E-2</v>
      </c>
      <c r="I19" s="201">
        <f t="shared" si="0"/>
        <v>4.7799999999999995E-2</v>
      </c>
      <c r="J19" s="210">
        <v>4.2000000000000003E-2</v>
      </c>
      <c r="K19" s="225">
        <f t="shared" si="1"/>
        <v>8.9799999999999991E-2</v>
      </c>
      <c r="L19"/>
    </row>
    <row r="20" spans="3:12" ht="15" customHeight="1">
      <c r="C20" s="186" t="str">
        <f>[2]DATA!A12</f>
        <v>WEC</v>
      </c>
      <c r="D20" s="201">
        <v>5.5E-2</v>
      </c>
      <c r="E20" s="202">
        <v>0.12</v>
      </c>
      <c r="F20" s="210">
        <v>3.5000000000000003E-2</v>
      </c>
      <c r="G20" s="201">
        <f>[2]DATA!BA12</f>
        <v>5.5500000000000001E-2</v>
      </c>
      <c r="H20" s="210">
        <f>[2]Earnings!F39</f>
        <v>5.1999999999999998E-2</v>
      </c>
      <c r="I20" s="201">
        <f t="shared" si="0"/>
        <v>6.3500000000000001E-2</v>
      </c>
      <c r="J20" s="210">
        <v>3.4099999999999998E-2</v>
      </c>
      <c r="K20" s="225">
        <f t="shared" si="1"/>
        <v>9.7599999999999992E-2</v>
      </c>
      <c r="L20"/>
    </row>
    <row r="21" spans="3:12" ht="15" customHeight="1">
      <c r="C21" s="186" t="str">
        <f>[2]DATA!A13</f>
        <v>EIX</v>
      </c>
      <c r="D21" s="201">
        <v>2.5000000000000001E-2</v>
      </c>
      <c r="E21" s="202">
        <v>5.5E-2</v>
      </c>
      <c r="F21" s="210">
        <v>4.4999999999999998E-2</v>
      </c>
      <c r="G21" s="201">
        <f>[2]DATA!BA13</f>
        <v>-1.89E-2</v>
      </c>
      <c r="H21" s="210">
        <v>4.58E-2</v>
      </c>
      <c r="I21" s="201">
        <f>AVERAGE(D21:F21,H21)</f>
        <v>4.2700000000000002E-2</v>
      </c>
      <c r="J21" s="210">
        <v>2.86E-2</v>
      </c>
      <c r="K21" s="225">
        <f t="shared" si="1"/>
        <v>7.1300000000000002E-2</v>
      </c>
      <c r="L21"/>
    </row>
    <row r="22" spans="3:12" ht="15" customHeight="1">
      <c r="C22" s="186" t="str">
        <f>[2]DATA!A14</f>
        <v>IDA</v>
      </c>
      <c r="D22" s="201">
        <v>0.02</v>
      </c>
      <c r="E22" s="202">
        <v>7.0000000000000007E-2</v>
      </c>
      <c r="F22" s="210">
        <v>4.4999999999999998E-2</v>
      </c>
      <c r="G22" s="201">
        <f>[2]DATA!BA14</f>
        <v>0.04</v>
      </c>
      <c r="H22" s="210">
        <f>[2]Earnings!F41</f>
        <v>0.04</v>
      </c>
      <c r="I22" s="201">
        <f t="shared" si="0"/>
        <v>4.3000000000000003E-2</v>
      </c>
      <c r="J22" s="210">
        <v>3.15E-2</v>
      </c>
      <c r="K22" s="211">
        <f t="shared" si="1"/>
        <v>7.4500000000000011E-2</v>
      </c>
      <c r="L22"/>
    </row>
    <row r="23" spans="3:12" ht="15" customHeight="1">
      <c r="C23" s="186" t="str">
        <f>[2]DATA!A15</f>
        <v>NWE</v>
      </c>
      <c r="D23" s="201">
        <v>0.03</v>
      </c>
      <c r="E23" s="202">
        <v>0.04</v>
      </c>
      <c r="F23" s="210">
        <v>4.4999999999999998E-2</v>
      </c>
      <c r="G23" s="201">
        <f>[2]DATA!BA15</f>
        <v>0.05</v>
      </c>
      <c r="H23" s="210">
        <f>[2]Earnings!F42</f>
        <v>0.05</v>
      </c>
      <c r="I23" s="201">
        <f t="shared" si="0"/>
        <v>4.3000000000000003E-2</v>
      </c>
      <c r="J23" s="210">
        <v>3.6900000000000002E-2</v>
      </c>
      <c r="K23" s="211">
        <f t="shared" si="1"/>
        <v>7.9899999999999999E-2</v>
      </c>
      <c r="L23"/>
    </row>
    <row r="24" spans="3:12" ht="15" customHeight="1">
      <c r="C24" s="186" t="str">
        <f>[2]DATA!A16</f>
        <v>PCG</v>
      </c>
      <c r="D24" s="201">
        <v>0.04</v>
      </c>
      <c r="E24" s="202">
        <v>2.5000000000000001E-2</v>
      </c>
      <c r="F24" s="210">
        <v>0.03</v>
      </c>
      <c r="G24" s="201">
        <f>[2]DATA!BA16</f>
        <v>3.1199999999999999E-2</v>
      </c>
      <c r="H24" s="210">
        <v>1.35E-2</v>
      </c>
      <c r="I24" s="201">
        <f t="shared" si="0"/>
        <v>2.7940000000000003E-2</v>
      </c>
      <c r="J24" s="210">
        <v>3.9600000000000003E-2</v>
      </c>
      <c r="K24" s="211">
        <f t="shared" si="1"/>
        <v>6.7540000000000003E-2</v>
      </c>
      <c r="L24"/>
    </row>
    <row r="25" spans="3:12" ht="15" customHeight="1">
      <c r="C25" s="186" t="str">
        <f>[2]DATA!A17</f>
        <v>PNW</v>
      </c>
      <c r="D25" s="201">
        <v>0.05</v>
      </c>
      <c r="E25" s="202">
        <v>0.02</v>
      </c>
      <c r="F25" s="210">
        <v>3.5000000000000003E-2</v>
      </c>
      <c r="G25" s="201">
        <f>[2]DATA!BA17</f>
        <v>7.2499999999999995E-2</v>
      </c>
      <c r="H25" s="210">
        <v>4.1300000000000003E-2</v>
      </c>
      <c r="I25" s="201">
        <f t="shared" si="0"/>
        <v>4.376E-2</v>
      </c>
      <c r="J25" s="210">
        <v>3.8100000000000002E-2</v>
      </c>
      <c r="K25" s="211">
        <f t="shared" si="1"/>
        <v>8.1860000000000002E-2</v>
      </c>
      <c r="L25"/>
    </row>
    <row r="26" spans="3:12" ht="15" customHeight="1">
      <c r="C26" s="186" t="str">
        <f>[2]DATA!A18</f>
        <v>POR</v>
      </c>
      <c r="D26" s="201">
        <v>3.5000000000000003E-2</v>
      </c>
      <c r="E26" s="202">
        <v>3.5000000000000003E-2</v>
      </c>
      <c r="F26" s="210">
        <v>3.5000000000000003E-2</v>
      </c>
      <c r="G26" s="201">
        <f>[2]DATA!BA18</f>
        <v>4.7699999999999999E-2</v>
      </c>
      <c r="H26" s="210">
        <v>6.5299999999999997E-2</v>
      </c>
      <c r="I26" s="201">
        <f t="shared" si="0"/>
        <v>4.36E-2</v>
      </c>
      <c r="J26" s="210">
        <v>3.5700000000000003E-2</v>
      </c>
      <c r="K26" s="211">
        <f t="shared" si="1"/>
        <v>7.9300000000000009E-2</v>
      </c>
      <c r="L26"/>
    </row>
    <row r="27" spans="3:12" ht="15" customHeight="1">
      <c r="C27" s="186" t="str">
        <f>[2]DATA!A19</f>
        <v>XEL</v>
      </c>
      <c r="D27" s="196">
        <v>4.4999999999999998E-2</v>
      </c>
      <c r="E27" s="197">
        <v>4.4999999999999998E-2</v>
      </c>
      <c r="F27" s="212">
        <v>4.4999999999999998E-2</v>
      </c>
      <c r="G27" s="196">
        <f>[2]DATA!BA19</f>
        <v>5.11E-2</v>
      </c>
      <c r="H27" s="212">
        <f>[2]Earnings!F46</f>
        <v>4.8800000000000003E-2</v>
      </c>
      <c r="I27" s="196">
        <f t="shared" si="0"/>
        <v>4.6980000000000008E-2</v>
      </c>
      <c r="J27" s="212">
        <v>3.7699999999999997E-2</v>
      </c>
      <c r="K27" s="213">
        <f t="shared" si="1"/>
        <v>8.4680000000000005E-2</v>
      </c>
      <c r="L27"/>
    </row>
    <row r="28" spans="3:12">
      <c r="K28" s="214"/>
      <c r="L28"/>
    </row>
    <row r="29" spans="3:12">
      <c r="J29" s="215" t="s">
        <v>552</v>
      </c>
      <c r="K29" s="187">
        <f>AVERAGE(K13:K27)</f>
        <v>8.3314666666666676E-2</v>
      </c>
      <c r="L29"/>
    </row>
    <row r="30" spans="3:12">
      <c r="J30" s="216"/>
      <c r="K30" s="187"/>
      <c r="L30"/>
    </row>
    <row r="31" spans="3:12">
      <c r="J31" s="216" t="s">
        <v>548</v>
      </c>
      <c r="K31" s="187">
        <f>AVERAGE(K19:K27,K13:K16)</f>
        <v>8.2978461538461529E-2</v>
      </c>
      <c r="L31"/>
    </row>
    <row r="32" spans="3:12">
      <c r="J32" s="217"/>
      <c r="K32" s="187"/>
      <c r="L32" s="187"/>
    </row>
    <row r="33" spans="3:12">
      <c r="H33" s="220" t="s">
        <v>453</v>
      </c>
      <c r="I33" s="188">
        <f>AVERAGE(I13:I27)</f>
        <v>4.5408000000000004E-2</v>
      </c>
      <c r="J33" s="216"/>
      <c r="K33" s="187"/>
      <c r="L33" s="187"/>
    </row>
    <row r="34" spans="3:12">
      <c r="H34" s="220" t="s">
        <v>549</v>
      </c>
      <c r="I34" s="188">
        <f>STDEV(I13:I27)</f>
        <v>1.2934356905986029E-2</v>
      </c>
      <c r="J34" s="216"/>
      <c r="K34" s="187"/>
    </row>
    <row r="35" spans="3:12">
      <c r="H35" s="220" t="s">
        <v>550</v>
      </c>
      <c r="I35" s="188">
        <f>I33+2*I34</f>
        <v>7.1276713811972064E-2</v>
      </c>
      <c r="J35" s="216"/>
      <c r="K35" s="187"/>
    </row>
    <row r="36" spans="3:12">
      <c r="H36" s="220" t="s">
        <v>551</v>
      </c>
      <c r="I36" s="188">
        <f>I33-2*I34</f>
        <v>1.9539286188027947E-2</v>
      </c>
      <c r="J36" s="216"/>
      <c r="K36" s="187"/>
    </row>
    <row r="37" spans="3:12">
      <c r="J37" s="216"/>
      <c r="K37" s="187"/>
    </row>
    <row r="39" spans="3:12">
      <c r="C39" s="185" t="s">
        <v>335</v>
      </c>
    </row>
    <row r="40" spans="3:12">
      <c r="C40" s="185" t="s">
        <v>336</v>
      </c>
    </row>
    <row r="41" spans="3:12">
      <c r="C41" s="185" t="s">
        <v>337</v>
      </c>
    </row>
    <row r="42" spans="3:12">
      <c r="C42" s="185" t="s">
        <v>338</v>
      </c>
    </row>
    <row r="43" spans="3:12">
      <c r="C43" s="185" t="s">
        <v>339</v>
      </c>
    </row>
    <row r="44" spans="3:12">
      <c r="C44" s="185" t="s">
        <v>340</v>
      </c>
    </row>
  </sheetData>
  <phoneticPr fontId="16" type="noConversion"/>
  <pageMargins left="0.75" right="0.75" top="1" bottom="1" header="0.5" footer="0.5"/>
  <pageSetup scale="8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K40" sqref="K40"/>
    </sheetView>
  </sheetViews>
  <sheetFormatPr defaultColWidth="11.42578125" defaultRowHeight="12"/>
  <cols>
    <col min="1" max="1" width="24.42578125" customWidth="1"/>
    <col min="3" max="3" width="1.85546875" customWidth="1"/>
    <col min="4" max="4" width="24.140625" customWidth="1"/>
    <col min="5" max="5" width="16.140625" customWidth="1"/>
  </cols>
  <sheetData>
    <row r="1" spans="1:9" ht="12.75">
      <c r="A1" s="5"/>
      <c r="B1" s="12"/>
      <c r="C1" s="5"/>
      <c r="D1" s="5"/>
      <c r="E1" s="218" t="s">
        <v>538</v>
      </c>
    </row>
    <row r="2" spans="1:9" ht="12.75">
      <c r="A2" s="5"/>
      <c r="B2" s="12"/>
      <c r="C2" s="5"/>
      <c r="D2" s="5"/>
      <c r="E2" s="221" t="s">
        <v>544</v>
      </c>
    </row>
    <row r="3" spans="1:9" ht="12.75">
      <c r="A3" s="5"/>
      <c r="B3" s="12"/>
      <c r="C3" s="5"/>
      <c r="D3" s="5"/>
      <c r="E3" s="221" t="s">
        <v>537</v>
      </c>
    </row>
    <row r="4" spans="1:9" ht="12.75">
      <c r="A4" s="5"/>
      <c r="B4" s="5"/>
      <c r="C4" s="5"/>
      <c r="D4" s="5"/>
      <c r="E4" s="5"/>
    </row>
    <row r="5" spans="1:9" ht="12.75">
      <c r="A5" s="5"/>
      <c r="B5" s="5"/>
      <c r="D5" s="5"/>
      <c r="E5" s="5"/>
    </row>
    <row r="6" spans="1:9" ht="12.75">
      <c r="A6" s="5"/>
      <c r="B6" s="5"/>
      <c r="D6" s="5"/>
      <c r="E6" s="5"/>
    </row>
    <row r="7" spans="1:9" ht="12.75">
      <c r="A7" s="5"/>
      <c r="B7" s="5"/>
      <c r="C7" s="13" t="str">
        <f>DATA!A1</f>
        <v>PUGET SOUND ENERGY</v>
      </c>
      <c r="D7" s="5"/>
      <c r="E7" s="5"/>
    </row>
    <row r="8" spans="1:9" ht="12.75">
      <c r="A8" s="5"/>
      <c r="B8" s="5"/>
      <c r="C8" s="13"/>
      <c r="D8" s="5"/>
      <c r="E8" s="5"/>
    </row>
    <row r="9" spans="1:9" ht="12.75">
      <c r="A9" s="5"/>
      <c r="C9" s="13" t="s">
        <v>430</v>
      </c>
      <c r="E9" s="5"/>
    </row>
    <row r="10" spans="1:9" ht="12.75">
      <c r="A10" s="5"/>
      <c r="C10" s="7" t="s">
        <v>498</v>
      </c>
      <c r="E10" s="5"/>
    </row>
    <row r="11" spans="1:9" ht="12.75">
      <c r="A11" s="5"/>
      <c r="C11" s="7"/>
      <c r="E11" s="5"/>
    </row>
    <row r="12" spans="1:9" ht="12.75">
      <c r="A12" s="5"/>
      <c r="E12" s="5"/>
    </row>
    <row r="13" spans="1:9" ht="12.75">
      <c r="A13" s="5"/>
      <c r="E13" s="5"/>
    </row>
    <row r="14" spans="1:9" ht="12.75">
      <c r="A14" s="5"/>
      <c r="E14" s="5"/>
      <c r="H14" t="s">
        <v>393</v>
      </c>
      <c r="I14" t="s">
        <v>394</v>
      </c>
    </row>
    <row r="15" spans="1:9" ht="12.75">
      <c r="A15" s="5"/>
      <c r="B15" s="5"/>
      <c r="C15" s="13" t="s">
        <v>451</v>
      </c>
      <c r="D15" s="5"/>
      <c r="E15" s="5"/>
      <c r="G15" t="s">
        <v>395</v>
      </c>
      <c r="H15">
        <v>4</v>
      </c>
      <c r="I15">
        <v>6</v>
      </c>
    </row>
    <row r="16" spans="1:9" ht="12.75">
      <c r="A16" s="5"/>
      <c r="B16" s="5"/>
      <c r="C16" s="5"/>
      <c r="D16" s="5"/>
      <c r="E16" s="5"/>
    </row>
    <row r="17" spans="1:15" ht="12.75">
      <c r="B17" s="5"/>
      <c r="C17" s="5"/>
      <c r="D17" s="5"/>
      <c r="E17" s="5"/>
      <c r="H17" s="52"/>
      <c r="M17" s="52"/>
    </row>
    <row r="18" spans="1:15" ht="12.75">
      <c r="B18" s="62"/>
      <c r="C18" s="5"/>
      <c r="D18" s="5"/>
    </row>
    <row r="19" spans="1:15" ht="12.75">
      <c r="B19" s="5"/>
      <c r="C19" s="5"/>
      <c r="D19" s="5"/>
      <c r="E19" s="5"/>
    </row>
    <row r="20" spans="1:15" ht="12.75">
      <c r="B20" s="48" t="s">
        <v>155</v>
      </c>
      <c r="C20" s="5" t="s">
        <v>306</v>
      </c>
      <c r="D20" s="11">
        <v>3.4000000000000002E-2</v>
      </c>
      <c r="E20" s="5"/>
    </row>
    <row r="21" spans="1:15" ht="12.75">
      <c r="B21" s="48" t="s">
        <v>156</v>
      </c>
      <c r="C21" s="5" t="s">
        <v>306</v>
      </c>
      <c r="D21" s="11">
        <v>0.06</v>
      </c>
      <c r="E21" s="5"/>
    </row>
    <row r="22" spans="1:15" ht="12.75">
      <c r="E22" s="22"/>
    </row>
    <row r="23" spans="1:15" ht="12.75">
      <c r="B23" s="48" t="s">
        <v>229</v>
      </c>
      <c r="C23" s="5" t="s">
        <v>306</v>
      </c>
      <c r="D23" s="37">
        <f>DATA!C21</f>
        <v>0.66999999999999993</v>
      </c>
      <c r="E23" s="5"/>
      <c r="K23">
        <v>2013</v>
      </c>
    </row>
    <row r="24" spans="1:15" ht="12.75">
      <c r="E24" s="5"/>
      <c r="K24" s="97" t="s">
        <v>454</v>
      </c>
      <c r="L24" s="97"/>
      <c r="M24" s="97" t="s">
        <v>455</v>
      </c>
      <c r="N24" s="97" t="s">
        <v>146</v>
      </c>
      <c r="O24" s="97" t="s">
        <v>142</v>
      </c>
    </row>
    <row r="25" spans="1:15" ht="12.75">
      <c r="E25" s="5"/>
      <c r="K25" s="97" t="s">
        <v>473</v>
      </c>
      <c r="L25" s="97" t="s">
        <v>474</v>
      </c>
      <c r="M25" s="97" t="s">
        <v>475</v>
      </c>
      <c r="N25" s="97" t="s">
        <v>438</v>
      </c>
      <c r="O25" s="97" t="s">
        <v>143</v>
      </c>
    </row>
    <row r="26" spans="1:15" ht="12.75">
      <c r="E26" s="5"/>
      <c r="K26" s="124">
        <v>39949</v>
      </c>
      <c r="L26" s="110">
        <v>4.0000000000000002E-4</v>
      </c>
      <c r="M26" s="110">
        <v>2.9600000000000001E-2</v>
      </c>
      <c r="N26" s="110">
        <v>4.2900000000000001E-2</v>
      </c>
      <c r="O26" s="97">
        <v>4.5400000000000003E-2</v>
      </c>
    </row>
    <row r="27" spans="1:15" ht="12.75">
      <c r="B27" s="48"/>
      <c r="C27" s="5"/>
      <c r="D27" s="23"/>
      <c r="E27" s="5"/>
      <c r="G27" s="71"/>
      <c r="H27" s="70">
        <f>G27+D20</f>
        <v>3.4000000000000002E-2</v>
      </c>
      <c r="K27" s="124">
        <v>39956</v>
      </c>
      <c r="L27" s="110">
        <v>2.9999999999999997E-4</v>
      </c>
      <c r="M27" s="110">
        <v>3.1199999999999999E-2</v>
      </c>
      <c r="N27" s="110">
        <v>4.4200000000000003E-2</v>
      </c>
      <c r="O27" s="97">
        <v>4.48E-2</v>
      </c>
    </row>
    <row r="28" spans="1:15" ht="12.75">
      <c r="B28" s="48" t="s">
        <v>390</v>
      </c>
      <c r="C28" s="5" t="s">
        <v>306</v>
      </c>
      <c r="D28" s="23" t="s">
        <v>144</v>
      </c>
      <c r="E28" s="5"/>
      <c r="G28" s="71">
        <f>D23*D22</f>
        <v>0</v>
      </c>
      <c r="H28" s="70">
        <f>G28+D20</f>
        <v>3.4000000000000002E-2</v>
      </c>
      <c r="K28" s="124">
        <v>39963</v>
      </c>
      <c r="L28" s="110">
        <v>2.9999999999999997E-4</v>
      </c>
      <c r="M28" s="110">
        <v>3.1899999999999998E-2</v>
      </c>
      <c r="N28" s="110">
        <v>4.5199999999999997E-2</v>
      </c>
      <c r="O28" s="97">
        <v>4.4999999999999998E-2</v>
      </c>
    </row>
    <row r="29" spans="1:15" ht="12.75">
      <c r="B29" s="48" t="s">
        <v>390</v>
      </c>
      <c r="C29" s="5" t="s">
        <v>306</v>
      </c>
      <c r="D29" s="23" t="s">
        <v>463</v>
      </c>
      <c r="E29" s="5"/>
      <c r="G29" s="71">
        <f>D23*0.06</f>
        <v>4.0199999999999993E-2</v>
      </c>
      <c r="H29" s="70">
        <f>G29+D20</f>
        <v>7.4199999999999988E-2</v>
      </c>
      <c r="K29" s="124">
        <v>39970</v>
      </c>
      <c r="L29" s="110">
        <v>2.9999999999999997E-4</v>
      </c>
      <c r="M29" s="110">
        <v>3.2800000000000003E-2</v>
      </c>
      <c r="N29" s="110">
        <v>4.5100000000000001E-2</v>
      </c>
      <c r="O29" s="97">
        <v>4.3900000000000002E-2</v>
      </c>
    </row>
    <row r="30" spans="1:15" ht="12.75">
      <c r="B30" s="48" t="s">
        <v>390</v>
      </c>
      <c r="C30" s="62" t="s">
        <v>306</v>
      </c>
      <c r="D30" s="35">
        <v>7.4200000000000002E-2</v>
      </c>
      <c r="E30" s="5"/>
      <c r="K30" s="124">
        <v>39977</v>
      </c>
      <c r="L30" s="110">
        <v>5.0000000000000001E-4</v>
      </c>
      <c r="M30" s="110">
        <v>3.2399999999999998E-2</v>
      </c>
      <c r="N30" s="110">
        <v>4.5999999999999999E-2</v>
      </c>
      <c r="O30" s="97">
        <v>4.3799999999999999E-2</v>
      </c>
    </row>
    <row r="31" spans="1:15" ht="12.75">
      <c r="E31" s="5"/>
      <c r="K31" s="124">
        <v>39984</v>
      </c>
      <c r="L31" s="110">
        <v>5.0000000000000001E-4</v>
      </c>
      <c r="M31" s="110">
        <v>3.3399999999999999E-2</v>
      </c>
      <c r="N31" s="110">
        <v>4.7500000000000001E-2</v>
      </c>
      <c r="O31" s="97">
        <v>4.3299999999999998E-2</v>
      </c>
    </row>
    <row r="32" spans="1:15" ht="12.75">
      <c r="A32" s="63"/>
      <c r="K32" s="97"/>
      <c r="L32" s="110"/>
      <c r="M32" s="110"/>
      <c r="N32" s="110"/>
      <c r="O32" s="97"/>
    </row>
    <row r="33" spans="1:15" ht="12.75">
      <c r="A33" s="5"/>
      <c r="K33" s="97" t="s">
        <v>309</v>
      </c>
      <c r="L33" s="110">
        <f>AVERAGE(L26:L31)</f>
        <v>3.8333333333333334E-4</v>
      </c>
      <c r="M33" s="110">
        <f>AVERAGE(M26:M31)</f>
        <v>3.1883333333333326E-2</v>
      </c>
      <c r="N33" s="110">
        <f>AVERAGE(N26:N31)</f>
        <v>4.5149999999999996E-2</v>
      </c>
      <c r="O33" s="110">
        <f>AVERAGE(O26:O31)</f>
        <v>4.4366666666666665E-2</v>
      </c>
    </row>
    <row r="34" spans="1:15" ht="12.75">
      <c r="A34" s="5"/>
    </row>
    <row r="35" spans="1:15" ht="12.75">
      <c r="A35" s="5"/>
    </row>
    <row r="36" spans="1:15" ht="12.75">
      <c r="A36" s="97" t="s">
        <v>223</v>
      </c>
    </row>
    <row r="37" spans="1:15" ht="12.75">
      <c r="A37" s="113" t="s">
        <v>524</v>
      </c>
      <c r="K37">
        <v>2014</v>
      </c>
    </row>
    <row r="38" spans="1:15" ht="12.75">
      <c r="A38" s="97" t="s">
        <v>525</v>
      </c>
      <c r="K38" s="97" t="s">
        <v>454</v>
      </c>
      <c r="L38" s="97"/>
      <c r="M38" s="97" t="s">
        <v>455</v>
      </c>
      <c r="N38" s="97" t="s">
        <v>146</v>
      </c>
      <c r="O38" s="97" t="s">
        <v>142</v>
      </c>
    </row>
    <row r="39" spans="1:15" ht="12.75">
      <c r="A39" s="22"/>
      <c r="K39" s="97" t="s">
        <v>473</v>
      </c>
      <c r="L39" s="97" t="s">
        <v>474</v>
      </c>
      <c r="M39" s="97" t="s">
        <v>475</v>
      </c>
      <c r="N39" s="97" t="s">
        <v>438</v>
      </c>
      <c r="O39" s="97" t="s">
        <v>143</v>
      </c>
    </row>
    <row r="40" spans="1:15" ht="12.75">
      <c r="K40" s="124">
        <v>40467</v>
      </c>
      <c r="L40" s="110">
        <v>1E-4</v>
      </c>
      <c r="M40" s="110">
        <v>3.0599999999999999E-2</v>
      </c>
      <c r="N40" s="110">
        <v>4.4299999999999999E-2</v>
      </c>
      <c r="O40" s="97">
        <v>5.3100000000000001E-2</v>
      </c>
    </row>
    <row r="41" spans="1:15" ht="12.75">
      <c r="K41" s="124">
        <v>40474</v>
      </c>
      <c r="L41" s="110">
        <v>1E-4</v>
      </c>
      <c r="M41" s="110">
        <v>2.92E-2</v>
      </c>
      <c r="N41" s="110">
        <v>4.3099999999999999E-2</v>
      </c>
      <c r="O41" s="97">
        <v>5.2499999999999998E-2</v>
      </c>
    </row>
    <row r="42" spans="1:15" ht="12.75">
      <c r="K42" s="124">
        <v>40481</v>
      </c>
      <c r="L42" s="110">
        <v>2.0000000000000001E-4</v>
      </c>
      <c r="M42" s="110">
        <v>2.9899999999999999E-2</v>
      </c>
      <c r="N42" s="110">
        <v>4.3799999999999999E-2</v>
      </c>
      <c r="O42" s="97">
        <v>5.0500000000000003E-2</v>
      </c>
    </row>
    <row r="43" spans="1:15" ht="12.75">
      <c r="K43" s="124">
        <v>40488</v>
      </c>
      <c r="L43" s="110">
        <v>1E-4</v>
      </c>
      <c r="M43" s="110">
        <v>3.0499999999999999E-2</v>
      </c>
      <c r="N43" s="110">
        <v>4.4499999999999998E-2</v>
      </c>
      <c r="O43" s="97">
        <v>5.0900000000000001E-2</v>
      </c>
    </row>
    <row r="44" spans="1:15" ht="12.75">
      <c r="K44" s="124">
        <v>40495</v>
      </c>
      <c r="L44" s="110">
        <v>2.0000000000000001E-4</v>
      </c>
      <c r="M44" s="110">
        <v>3.0599999999999999E-2</v>
      </c>
      <c r="N44" s="110">
        <v>4.4400000000000002E-2</v>
      </c>
      <c r="O44" s="97">
        <v>5.1700000000000003E-2</v>
      </c>
    </row>
    <row r="45" spans="1:15" ht="12.75">
      <c r="K45" s="124">
        <v>40502</v>
      </c>
      <c r="L45" s="110">
        <v>1E-4</v>
      </c>
      <c r="M45" s="110">
        <v>3.1099999999999999E-2</v>
      </c>
      <c r="N45" s="110">
        <v>4.4900000000000002E-2</v>
      </c>
      <c r="O45" s="97">
        <v>5.2299999999999999E-2</v>
      </c>
    </row>
    <row r="46" spans="1:15" ht="12.75">
      <c r="K46" s="97"/>
      <c r="L46" s="110"/>
      <c r="M46" s="110"/>
      <c r="N46" s="110"/>
      <c r="O46" s="97"/>
    </row>
    <row r="47" spans="1:15" ht="12.75">
      <c r="K47" s="97" t="s">
        <v>309</v>
      </c>
      <c r="L47" s="110">
        <f>AVERAGE(L40:L45)</f>
        <v>1.3333333333333334E-4</v>
      </c>
      <c r="M47" s="110">
        <f>AVERAGE(M40:M45)</f>
        <v>3.0316666666666662E-2</v>
      </c>
      <c r="N47" s="110">
        <f>AVERAGE(N40:N45)</f>
        <v>4.4166666666666667E-2</v>
      </c>
      <c r="O47" s="110">
        <f>AVERAGE(O40:O45)</f>
        <v>5.1833333333333342E-2</v>
      </c>
    </row>
  </sheetData>
  <phoneticPr fontId="16"/>
  <pageMargins left="1.05" right="0.75" top="1" bottom="1" header="0.42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2"/>
  <sheetViews>
    <sheetView tabSelected="1" workbookViewId="0">
      <selection activeCell="G2" sqref="G2:G3"/>
    </sheetView>
  </sheetViews>
  <sheetFormatPr defaultColWidth="11.42578125" defaultRowHeight="12"/>
  <cols>
    <col min="2" max="2" width="14.7109375" customWidth="1"/>
    <col min="3" max="3" width="11.7109375" customWidth="1"/>
    <col min="5" max="5" width="8" customWidth="1"/>
    <col min="6" max="6" width="10.42578125" customWidth="1"/>
    <col min="7" max="7" width="11.140625" customWidth="1"/>
  </cols>
  <sheetData>
    <row r="1" spans="1:7" ht="12.75">
      <c r="A1" s="7"/>
      <c r="B1" s="7"/>
      <c r="C1" s="7"/>
      <c r="D1" s="7"/>
      <c r="E1" s="7"/>
      <c r="F1" s="7"/>
      <c r="G1" s="218" t="s">
        <v>538</v>
      </c>
    </row>
    <row r="2" spans="1:7" ht="12.75">
      <c r="A2" s="7"/>
      <c r="B2" s="7"/>
      <c r="C2" s="7"/>
      <c r="D2" s="7"/>
      <c r="E2" s="7"/>
      <c r="F2" s="7"/>
      <c r="G2" s="221" t="s">
        <v>546</v>
      </c>
    </row>
    <row r="3" spans="1:7" ht="12.75">
      <c r="A3" s="7"/>
      <c r="B3" s="7"/>
      <c r="C3" s="7"/>
      <c r="D3" s="7"/>
      <c r="E3" s="7"/>
      <c r="F3" s="7"/>
      <c r="G3" s="221" t="s">
        <v>537</v>
      </c>
    </row>
    <row r="4" spans="1:7" ht="12.75">
      <c r="A4" s="7"/>
      <c r="B4" s="7"/>
      <c r="C4" s="7"/>
      <c r="D4" s="7"/>
      <c r="E4" s="7"/>
      <c r="F4" s="7"/>
      <c r="G4" s="5"/>
    </row>
    <row r="5" spans="1:7" ht="12.75">
      <c r="A5" s="7"/>
      <c r="B5" s="7"/>
      <c r="C5" s="7"/>
      <c r="D5" s="13" t="str">
        <f>DATA!A1</f>
        <v>PUGET SOUND ENERGY</v>
      </c>
      <c r="E5" s="7"/>
      <c r="F5" s="7"/>
      <c r="G5" s="7"/>
    </row>
    <row r="6" spans="1:7" ht="12.75">
      <c r="A6" s="7"/>
      <c r="B6" s="7"/>
      <c r="C6" s="7"/>
      <c r="D6" s="13"/>
      <c r="E6" s="7"/>
      <c r="F6" s="7"/>
      <c r="G6" s="7"/>
    </row>
    <row r="7" spans="1:7" ht="12.75">
      <c r="A7" s="7"/>
      <c r="B7" s="7"/>
      <c r="C7" s="7"/>
      <c r="D7" s="13" t="s">
        <v>425</v>
      </c>
      <c r="E7" s="7"/>
      <c r="F7" s="7"/>
      <c r="G7" s="7"/>
    </row>
    <row r="8" spans="1:7" ht="12.75">
      <c r="A8" s="7"/>
      <c r="B8" s="7"/>
      <c r="C8" s="7"/>
      <c r="D8" s="7" t="s">
        <v>498</v>
      </c>
      <c r="E8" s="7"/>
      <c r="F8" s="7"/>
      <c r="G8" s="7"/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/>
      <c r="C10" s="7"/>
      <c r="D10" s="7"/>
      <c r="E10" s="7"/>
      <c r="F10" s="7"/>
      <c r="G10" s="7"/>
    </row>
    <row r="11" spans="1:7" ht="12.75">
      <c r="A11" s="7"/>
      <c r="B11" s="72" t="s">
        <v>504</v>
      </c>
      <c r="C11" s="7" t="s">
        <v>227</v>
      </c>
      <c r="D11" s="7" t="s">
        <v>396</v>
      </c>
      <c r="E11" s="7"/>
      <c r="F11" s="7" t="s">
        <v>460</v>
      </c>
      <c r="G11" s="7" t="s">
        <v>461</v>
      </c>
    </row>
    <row r="12" spans="1:7" ht="12.75">
      <c r="A12" s="21" t="s">
        <v>518</v>
      </c>
      <c r="B12" s="21" t="s">
        <v>80</v>
      </c>
      <c r="C12" s="21" t="s">
        <v>228</v>
      </c>
      <c r="D12" s="21" t="s">
        <v>397</v>
      </c>
      <c r="E12" s="21"/>
      <c r="F12" s="21" t="s">
        <v>314</v>
      </c>
      <c r="G12" s="21" t="s">
        <v>314</v>
      </c>
    </row>
    <row r="13" spans="1:7" ht="12.75">
      <c r="A13" s="7"/>
      <c r="B13" s="7" t="s">
        <v>496</v>
      </c>
      <c r="C13" s="7" t="s">
        <v>497</v>
      </c>
      <c r="D13" s="7"/>
      <c r="E13" s="7"/>
      <c r="F13" s="7">
        <v>2013</v>
      </c>
      <c r="G13" s="7" t="str">
        <f>DATA!M3</f>
        <v>2016-2018</v>
      </c>
    </row>
    <row r="14" spans="1:7" ht="12.75">
      <c r="A14" s="7"/>
      <c r="B14" s="7" t="s">
        <v>431</v>
      </c>
      <c r="C14" s="7" t="s">
        <v>432</v>
      </c>
      <c r="D14" s="7" t="s">
        <v>433</v>
      </c>
      <c r="E14" s="7"/>
      <c r="F14" s="7" t="s">
        <v>152</v>
      </c>
      <c r="G14" s="7" t="s">
        <v>153</v>
      </c>
    </row>
    <row r="15" spans="1:7" ht="21.75" customHeight="1">
      <c r="A15" s="7" t="str">
        <f>DATA!A5</f>
        <v>SO</v>
      </c>
      <c r="B15" s="47">
        <f>DATA!AZ5</f>
        <v>2.87</v>
      </c>
      <c r="C15" s="47">
        <f>DATA!B5</f>
        <v>44.833333333333336</v>
      </c>
      <c r="D15" s="10">
        <f t="shared" ref="D15:D25" si="0">B15/C15</f>
        <v>6.4014869888475837E-2</v>
      </c>
      <c r="E15" s="7"/>
      <c r="F15" s="10">
        <f>DATA!AA5</f>
        <v>0.13</v>
      </c>
      <c r="G15" s="10">
        <f>DATA!AC5</f>
        <v>0.125</v>
      </c>
    </row>
    <row r="16" spans="1:7" ht="21.75" customHeight="1">
      <c r="A16" s="7" t="str">
        <f>DATA!A6</f>
        <v>ALE</v>
      </c>
      <c r="B16" s="47">
        <f>DATA!AZ6</f>
        <v>3.06</v>
      </c>
      <c r="C16" s="47">
        <f>DATA!B6</f>
        <v>49.047999999999995</v>
      </c>
      <c r="D16" s="10">
        <f t="shared" si="0"/>
        <v>6.2387864948621766E-2</v>
      </c>
      <c r="E16" s="7"/>
      <c r="F16" s="10">
        <f>DATA!AA6</f>
        <v>0.08</v>
      </c>
      <c r="G16" s="10">
        <f>DATA!AC6</f>
        <v>9.5000000000000001E-2</v>
      </c>
    </row>
    <row r="17" spans="1:7" ht="21.75" customHeight="1">
      <c r="A17" s="7" t="str">
        <f>DATA!A7</f>
        <v>LNT</v>
      </c>
      <c r="B17" s="47">
        <f>DATA!AZ7</f>
        <v>3.3</v>
      </c>
      <c r="C17" s="47">
        <f>DATA!B7</f>
        <v>50.192666666666661</v>
      </c>
      <c r="D17" s="10">
        <f t="shared" si="0"/>
        <v>6.5746656218039823E-2</v>
      </c>
      <c r="E17" s="7"/>
      <c r="F17" s="10">
        <f>DATA!AA7</f>
        <v>0.115</v>
      </c>
      <c r="G17" s="10">
        <f>DATA!AC7</f>
        <v>0.11</v>
      </c>
    </row>
    <row r="18" spans="1:7" ht="21.75" customHeight="1">
      <c r="A18" s="7" t="str">
        <f>DATA!A8</f>
        <v>AEP</v>
      </c>
      <c r="B18" s="47">
        <f>DATA!AZ8</f>
        <v>3.32</v>
      </c>
      <c r="C18" s="47">
        <f>DATA!B8</f>
        <v>46.775999999999996</v>
      </c>
      <c r="D18" s="10">
        <f t="shared" si="0"/>
        <v>7.0976569180776466E-2</v>
      </c>
      <c r="E18" s="7"/>
      <c r="F18" s="10">
        <f>DATA!AA8</f>
        <v>9.5000000000000001E-2</v>
      </c>
      <c r="G18" s="10">
        <f>DATA!AC8</f>
        <v>0.1</v>
      </c>
    </row>
    <row r="19" spans="1:7" ht="21.75" customHeight="1">
      <c r="A19" s="7" t="str">
        <f>DATA!A9</f>
        <v>CNL</v>
      </c>
      <c r="B19" s="47">
        <f>DATA!AZ9</f>
        <v>2.8</v>
      </c>
      <c r="C19" s="47">
        <f>DATA!B9</f>
        <v>46.029333333333327</v>
      </c>
      <c r="D19" s="10">
        <f t="shared" si="0"/>
        <v>6.0830774578529638E-2</v>
      </c>
      <c r="E19" s="7"/>
      <c r="F19" s="10">
        <f>DATA!AA9</f>
        <v>9.5000000000000001E-2</v>
      </c>
      <c r="G19" s="10">
        <f>DATA!AC9</f>
        <v>0.11</v>
      </c>
    </row>
    <row r="20" spans="1:7" ht="21.75" customHeight="1">
      <c r="A20" s="7" t="str">
        <f>DATA!A10</f>
        <v>ETR</v>
      </c>
      <c r="B20" s="47">
        <f>DATA!AZ10</f>
        <v>5.04</v>
      </c>
      <c r="C20" s="47">
        <f>DATA!B10</f>
        <v>68.751666666666651</v>
      </c>
      <c r="D20" s="10">
        <f t="shared" si="0"/>
        <v>7.330731376209064E-2</v>
      </c>
      <c r="E20" s="7"/>
      <c r="F20" s="10">
        <f>DATA!AA10</f>
        <v>0.09</v>
      </c>
      <c r="G20" s="10">
        <f>DATA!AC10</f>
        <v>9.5000000000000001E-2</v>
      </c>
    </row>
    <row r="21" spans="1:7" ht="21.75" customHeight="1">
      <c r="A21" s="7" t="str">
        <f>DATA!A11</f>
        <v>WR</v>
      </c>
      <c r="B21" s="47">
        <f>DATA!AZ11</f>
        <v>2.2200000000000002</v>
      </c>
      <c r="C21" s="47">
        <f>DATA!B11</f>
        <v>32.131999999999998</v>
      </c>
      <c r="D21" s="10">
        <f t="shared" si="0"/>
        <v>6.9090003734594813E-2</v>
      </c>
      <c r="E21" s="7"/>
      <c r="F21" s="10">
        <f>DATA!AA11</f>
        <v>0.09</v>
      </c>
      <c r="G21" s="10">
        <f>DATA!AC11</f>
        <v>9.5000000000000001E-2</v>
      </c>
    </row>
    <row r="22" spans="1:7" ht="21.75" customHeight="1">
      <c r="A22" s="7" t="str">
        <f>DATA!A12</f>
        <v>WEC</v>
      </c>
      <c r="B22" s="47">
        <f>DATA!AZ12</f>
        <v>2.5499999999999998</v>
      </c>
      <c r="C22" s="47">
        <f>DATA!B12</f>
        <v>41.657333333333327</v>
      </c>
      <c r="D22" s="10">
        <f t="shared" si="0"/>
        <v>6.1213711871459214E-2</v>
      </c>
      <c r="E22" s="7"/>
      <c r="F22" s="10">
        <f>DATA!AA12</f>
        <v>0.13</v>
      </c>
      <c r="G22" s="10">
        <f>DATA!AC12</f>
        <v>0.14000000000000001</v>
      </c>
    </row>
    <row r="23" spans="1:7" ht="21.75" customHeight="1">
      <c r="A23" s="7" t="str">
        <f>DATA!A13</f>
        <v>EIX</v>
      </c>
      <c r="B23" s="47">
        <f>DATA!AZ13</f>
        <v>3.52</v>
      </c>
      <c r="C23" s="47">
        <f>DATA!B13</f>
        <v>47.418000000000006</v>
      </c>
      <c r="D23" s="10">
        <f t="shared" si="0"/>
        <v>7.4233413471677417E-2</v>
      </c>
      <c r="E23" s="7"/>
      <c r="F23" s="10">
        <f>DATA!AA13</f>
        <v>0.115</v>
      </c>
      <c r="G23" s="10">
        <f>DATA!AC13</f>
        <v>0.11</v>
      </c>
    </row>
    <row r="24" spans="1:7" ht="21.75" customHeight="1">
      <c r="A24" s="7" t="str">
        <f>DATA!A14</f>
        <v>IDA</v>
      </c>
      <c r="B24" s="47">
        <f>DATA!AZ14</f>
        <v>3.4</v>
      </c>
      <c r="C24" s="47">
        <f>DATA!B14</f>
        <v>48.254666666666665</v>
      </c>
      <c r="D24" s="10">
        <f t="shared" si="0"/>
        <v>7.0459506507142666E-2</v>
      </c>
      <c r="E24" s="7"/>
      <c r="F24" s="10">
        <f>DATA!AA14</f>
        <v>0.09</v>
      </c>
      <c r="G24" s="10">
        <f>DATA!AC14</f>
        <v>8.5000000000000006E-2</v>
      </c>
    </row>
    <row r="25" spans="1:7" ht="21.75" customHeight="1">
      <c r="A25" s="7" t="str">
        <f>DATA!A15</f>
        <v>NWE</v>
      </c>
      <c r="B25" s="47">
        <f>DATA!AZ15</f>
        <v>2.7</v>
      </c>
      <c r="C25" s="47">
        <f>DATA!B15</f>
        <v>41.071999999999996</v>
      </c>
      <c r="D25" s="106">
        <f t="shared" si="0"/>
        <v>6.5738215816127793E-2</v>
      </c>
      <c r="E25" s="95"/>
      <c r="F25" s="10">
        <f>DATA!AA15</f>
        <v>9.5000000000000001E-2</v>
      </c>
      <c r="G25" s="106">
        <f>DATA!AC15</f>
        <v>9.5000000000000001E-2</v>
      </c>
    </row>
    <row r="26" spans="1:7" ht="21.75" customHeight="1">
      <c r="A26" s="94" t="str">
        <f>DATA!A16</f>
        <v>PCG</v>
      </c>
      <c r="B26" s="47">
        <f>DATA!AZ16</f>
        <v>3.07</v>
      </c>
      <c r="C26" s="47">
        <f>DATA!B16</f>
        <v>45.587666666666671</v>
      </c>
      <c r="D26" s="106">
        <f t="shared" ref="D26:D29" si="1">B26/C26</f>
        <v>6.7342775458274523E-2</v>
      </c>
      <c r="E26" s="95"/>
      <c r="F26" s="10">
        <f>DATA!AA16</f>
        <v>0.06</v>
      </c>
      <c r="G26" s="106">
        <f>DATA!AC16</f>
        <v>0.09</v>
      </c>
    </row>
    <row r="27" spans="1:7" ht="21.75" customHeight="1">
      <c r="A27" s="94" t="str">
        <f>DATA!A17</f>
        <v>PNW</v>
      </c>
      <c r="B27" s="47">
        <f>DATA!AZ17</f>
        <v>3.71</v>
      </c>
      <c r="C27" s="47">
        <f>DATA!B17</f>
        <v>58.34</v>
      </c>
      <c r="D27" s="106">
        <f t="shared" si="1"/>
        <v>6.3592732259170379E-2</v>
      </c>
      <c r="E27" s="95"/>
      <c r="F27" s="10">
        <f>DATA!AA17</f>
        <v>9.5000000000000001E-2</v>
      </c>
      <c r="G27" s="106">
        <f>DATA!AC17</f>
        <v>0.1</v>
      </c>
    </row>
    <row r="28" spans="1:7" ht="21.75" customHeight="1">
      <c r="A28" s="94" t="str">
        <f>DATA!A18</f>
        <v>POR</v>
      </c>
      <c r="B28" s="47">
        <f>DATA!AZ18</f>
        <v>2.09</v>
      </c>
      <c r="C28" s="47">
        <f>DATA!B18</f>
        <v>31.055999999999997</v>
      </c>
      <c r="D28" s="106">
        <f t="shared" si="1"/>
        <v>6.7297784647089132E-2</v>
      </c>
      <c r="E28" s="95"/>
      <c r="F28" s="10">
        <f>DATA!AA18</f>
        <v>0.08</v>
      </c>
      <c r="G28" s="106">
        <f>DATA!AC18</f>
        <v>0.08</v>
      </c>
    </row>
    <row r="29" spans="1:7" ht="21.75" customHeight="1">
      <c r="A29" s="94" t="str">
        <f>DATA!A19</f>
        <v>XEL</v>
      </c>
      <c r="B29" s="47">
        <f>DATA!AZ19</f>
        <v>1.99</v>
      </c>
      <c r="C29" s="47">
        <f>DATA!B19</f>
        <v>29.321333333333332</v>
      </c>
      <c r="D29" s="20">
        <f t="shared" si="1"/>
        <v>6.7868673548269753E-2</v>
      </c>
      <c r="E29" s="21"/>
      <c r="F29" s="20">
        <f>DATA!AA19</f>
        <v>0.1</v>
      </c>
      <c r="G29" s="20">
        <f>DATA!AC19</f>
        <v>0.1</v>
      </c>
    </row>
    <row r="30" spans="1:7" ht="21.75" customHeight="1">
      <c r="A30" s="79"/>
      <c r="B30" s="47"/>
      <c r="C30" s="47"/>
      <c r="D30" s="81"/>
      <c r="E30" s="82"/>
      <c r="F30" s="81"/>
      <c r="G30" s="81"/>
    </row>
    <row r="31" spans="1:7" ht="12.75">
      <c r="A31" s="5"/>
      <c r="B31" s="5"/>
      <c r="C31" s="48" t="s">
        <v>392</v>
      </c>
      <c r="D31" s="10">
        <f>AVERAGE(D15:D29)</f>
        <v>6.6940057726022656E-2</v>
      </c>
      <c r="E31" s="7"/>
      <c r="F31" s="10">
        <f>AVERAGE(F15:F29)</f>
        <v>9.7333333333333341E-2</v>
      </c>
      <c r="G31" s="10"/>
    </row>
    <row r="32" spans="1:7" ht="12.75">
      <c r="A32" s="5"/>
      <c r="B32" s="7"/>
      <c r="C32" s="7"/>
      <c r="D32" s="7"/>
      <c r="E32" s="7"/>
      <c r="F32" s="7"/>
      <c r="G32" s="7"/>
    </row>
    <row r="33" spans="1:7" ht="12.75">
      <c r="A33" s="5"/>
      <c r="B33" s="7"/>
      <c r="C33" s="48" t="s">
        <v>472</v>
      </c>
      <c r="D33" s="7"/>
      <c r="E33" s="39">
        <f>(D31+F31)/2</f>
        <v>8.2136695529678005E-2</v>
      </c>
      <c r="F33" s="7"/>
      <c r="G33" s="7"/>
    </row>
    <row r="34" spans="1:7" ht="12.75">
      <c r="A34" s="5"/>
      <c r="B34" s="7"/>
      <c r="C34" s="7"/>
      <c r="D34" s="7"/>
      <c r="E34" s="7"/>
      <c r="F34" s="7"/>
      <c r="G34" s="7"/>
    </row>
    <row r="35" spans="1:7" ht="12.75" customHeight="1">
      <c r="A35" s="5"/>
      <c r="B35" s="7"/>
      <c r="C35" s="7"/>
      <c r="D35" s="7"/>
      <c r="E35" s="7"/>
      <c r="F35" s="7"/>
      <c r="G35" s="7"/>
    </row>
    <row r="36" spans="1:7" ht="12.75">
      <c r="A36" s="5"/>
      <c r="B36" s="7"/>
      <c r="C36" s="48" t="s">
        <v>392</v>
      </c>
      <c r="D36" s="10">
        <f>D31</f>
        <v>6.6940057726022656E-2</v>
      </c>
      <c r="E36" s="10"/>
      <c r="F36" s="10"/>
      <c r="G36" s="10">
        <f>AVERAGE(G15:G29)</f>
        <v>0.10200000000000002</v>
      </c>
    </row>
    <row r="37" spans="1:7" ht="12.75">
      <c r="A37" s="5"/>
      <c r="B37" s="7"/>
      <c r="C37" s="7"/>
      <c r="D37" s="10"/>
      <c r="E37" s="10"/>
      <c r="F37" s="10"/>
      <c r="G37" s="10"/>
    </row>
    <row r="38" spans="1:7" ht="12.75">
      <c r="A38" s="5"/>
      <c r="B38" s="7"/>
      <c r="C38" s="48" t="s">
        <v>157</v>
      </c>
      <c r="D38" s="10"/>
      <c r="E38" s="10"/>
      <c r="F38" s="39">
        <f>(D36+G36)/2</f>
        <v>8.4470028863011332E-2</v>
      </c>
      <c r="G38" s="10"/>
    </row>
    <row r="41" spans="1:7" ht="12.75">
      <c r="A41" s="5"/>
      <c r="G41" s="78"/>
    </row>
    <row r="42" spans="1:7" ht="12.75">
      <c r="A42" s="5"/>
      <c r="G42" s="78"/>
    </row>
  </sheetData>
  <phoneticPr fontId="16" type="noConversion"/>
  <pageMargins left="1.01" right="0.75" top="1" bottom="1" header="0.5" footer="0.5"/>
  <pageSetup scale="9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M14" sqref="M14"/>
    </sheetView>
  </sheetViews>
  <sheetFormatPr defaultColWidth="11.42578125" defaultRowHeight="12"/>
  <cols>
    <col min="1" max="1" width="13.7109375" customWidth="1"/>
    <col min="2" max="2" width="8.85546875" customWidth="1"/>
    <col min="3" max="3" width="5.7109375" customWidth="1"/>
    <col min="4" max="4" width="3.140625" customWidth="1"/>
    <col min="5" max="5" width="6.28515625" customWidth="1"/>
    <col min="6" max="6" width="2.140625" customWidth="1"/>
    <col min="7" max="7" width="5.85546875" customWidth="1"/>
    <col min="8" max="8" width="3.140625" customWidth="1"/>
    <col min="9" max="9" width="7.28515625" customWidth="1"/>
    <col min="10" max="10" width="9.28515625" customWidth="1"/>
    <col min="11" max="11" width="16" customWidth="1"/>
  </cols>
  <sheetData>
    <row r="1" spans="1:11" ht="12.75">
      <c r="A1" s="7"/>
      <c r="B1" s="7"/>
      <c r="C1" s="49"/>
      <c r="D1" s="7"/>
      <c r="E1" s="5"/>
      <c r="F1" s="7"/>
      <c r="G1" s="29"/>
      <c r="H1" s="7"/>
      <c r="I1" s="7"/>
      <c r="J1" s="7"/>
      <c r="K1" s="218" t="s">
        <v>538</v>
      </c>
    </row>
    <row r="2" spans="1:11" ht="12.75">
      <c r="A2" s="7"/>
      <c r="B2" s="7"/>
      <c r="C2" s="49"/>
      <c r="D2" s="7"/>
      <c r="E2" s="9"/>
      <c r="F2" s="7"/>
      <c r="G2" s="29"/>
      <c r="H2" s="7"/>
      <c r="I2" s="7"/>
      <c r="J2" s="7"/>
      <c r="K2" s="294" t="s">
        <v>547</v>
      </c>
    </row>
    <row r="3" spans="1:11" ht="12.75">
      <c r="A3" s="7"/>
      <c r="B3" s="7"/>
      <c r="C3" s="49"/>
      <c r="D3" s="7"/>
      <c r="E3" s="9"/>
      <c r="F3" s="7"/>
      <c r="G3" s="29"/>
      <c r="H3" s="7"/>
      <c r="I3" s="7"/>
      <c r="J3" s="7"/>
      <c r="K3" s="48" t="s">
        <v>489</v>
      </c>
    </row>
    <row r="4" spans="1:11" ht="12.75">
      <c r="A4" s="7"/>
      <c r="B4" s="7"/>
      <c r="C4" s="5"/>
      <c r="D4" s="7"/>
      <c r="E4" s="9"/>
      <c r="F4" s="50" t="str">
        <f>DATA!A1</f>
        <v>PUGET SOUND ENERGY</v>
      </c>
      <c r="G4" s="29"/>
      <c r="H4" s="7"/>
      <c r="I4" s="7"/>
      <c r="J4" s="7"/>
      <c r="K4" s="7"/>
    </row>
    <row r="5" spans="1:11" ht="12.75">
      <c r="A5" s="7"/>
      <c r="B5" s="7"/>
      <c r="C5" s="5"/>
      <c r="D5" s="7"/>
      <c r="E5" s="9"/>
      <c r="F5" s="50"/>
      <c r="G5" s="29"/>
      <c r="H5" s="7"/>
      <c r="I5" s="7"/>
      <c r="J5" s="7"/>
      <c r="K5" s="7"/>
    </row>
    <row r="6" spans="1:11" ht="12.75">
      <c r="A6" s="7"/>
      <c r="B6" s="7"/>
      <c r="C6" s="5"/>
      <c r="D6" s="7"/>
      <c r="E6" s="9"/>
      <c r="F6" s="50" t="s">
        <v>303</v>
      </c>
      <c r="G6" s="29"/>
      <c r="H6" s="7"/>
      <c r="I6" s="7"/>
      <c r="J6" s="7"/>
      <c r="K6" s="7"/>
    </row>
    <row r="7" spans="1:11" ht="12.75">
      <c r="A7" s="7"/>
      <c r="B7" s="7"/>
      <c r="C7" s="49"/>
      <c r="D7" s="7"/>
      <c r="E7" s="9"/>
      <c r="F7" s="7" t="s">
        <v>498</v>
      </c>
      <c r="G7" s="29"/>
      <c r="H7" s="7"/>
      <c r="I7" s="7"/>
      <c r="J7" s="7"/>
      <c r="K7" s="7"/>
    </row>
    <row r="8" spans="1:11" ht="12.75">
      <c r="A8" s="7"/>
      <c r="B8" s="7"/>
      <c r="C8" s="49"/>
      <c r="D8" s="7"/>
      <c r="E8" s="9"/>
      <c r="F8" s="7"/>
      <c r="G8" s="29"/>
      <c r="H8" s="7"/>
      <c r="I8" s="7"/>
      <c r="J8" s="7"/>
      <c r="K8" s="7"/>
    </row>
    <row r="9" spans="1:11" ht="12.75">
      <c r="A9" s="7"/>
      <c r="B9" s="7"/>
      <c r="C9" s="5"/>
      <c r="D9" s="7"/>
      <c r="E9" s="9"/>
      <c r="F9" s="8" t="s">
        <v>468</v>
      </c>
      <c r="G9" s="29"/>
      <c r="H9" s="7"/>
      <c r="I9" s="7"/>
      <c r="J9" s="7"/>
      <c r="K9" s="7"/>
    </row>
    <row r="10" spans="1:11" ht="12.75">
      <c r="A10" s="7"/>
      <c r="B10" s="7"/>
      <c r="C10" s="49"/>
      <c r="D10" s="7"/>
      <c r="E10" s="9"/>
      <c r="F10" s="94" t="s">
        <v>140</v>
      </c>
      <c r="G10" s="29"/>
      <c r="H10" s="7"/>
      <c r="I10" s="7"/>
      <c r="J10" s="7"/>
      <c r="K10" s="7" t="s">
        <v>444</v>
      </c>
    </row>
    <row r="11" spans="1:11" ht="12.75">
      <c r="A11" s="21" t="s">
        <v>518</v>
      </c>
      <c r="B11" s="7"/>
      <c r="C11" s="49"/>
      <c r="D11" s="7"/>
      <c r="E11" s="9"/>
      <c r="F11" s="7"/>
      <c r="G11" s="29"/>
      <c r="H11" s="7"/>
      <c r="I11" s="7"/>
      <c r="J11" s="7"/>
      <c r="K11" s="21" t="s">
        <v>154</v>
      </c>
    </row>
    <row r="12" spans="1:11" ht="12.75">
      <c r="A12" s="7"/>
      <c r="B12" s="7"/>
      <c r="C12" s="49"/>
      <c r="D12" s="7"/>
      <c r="E12" s="9"/>
      <c r="F12" s="7"/>
      <c r="G12" s="29"/>
      <c r="H12" s="7"/>
      <c r="I12" s="7"/>
      <c r="J12" s="7"/>
      <c r="K12" s="7"/>
    </row>
    <row r="13" spans="1:11" ht="21.75" customHeight="1">
      <c r="A13" s="7" t="str">
        <f>DATA!A5</f>
        <v>SO</v>
      </c>
      <c r="B13" s="48" t="s">
        <v>398</v>
      </c>
      <c r="C13" s="67">
        <f>DATA!AA5</f>
        <v>0.13</v>
      </c>
      <c r="D13" s="23" t="s">
        <v>399</v>
      </c>
      <c r="E13" s="9">
        <f>'SGH-5'!C21</f>
        <v>0.2654545454545455</v>
      </c>
      <c r="F13" s="23" t="s">
        <v>225</v>
      </c>
      <c r="G13" s="29">
        <f>'SGH-6,p1'!I11</f>
        <v>2.0613026819923372</v>
      </c>
      <c r="H13" s="7" t="s">
        <v>492</v>
      </c>
      <c r="I13" s="10">
        <f>'SGH-6,p1'!L11</f>
        <v>5.0223048327137552E-2</v>
      </c>
      <c r="J13" s="7" t="s">
        <v>306</v>
      </c>
      <c r="K13" s="10">
        <f t="shared" ref="K13:K22" si="0">(C13*(1-E13)/G13)+I13</f>
        <v>9.6548563703954038E-2</v>
      </c>
    </row>
    <row r="14" spans="1:11" ht="21.75" customHeight="1">
      <c r="A14" s="7" t="str">
        <f>DATA!A6</f>
        <v>ALE</v>
      </c>
      <c r="B14" s="48" t="s">
        <v>398</v>
      </c>
      <c r="C14" s="67">
        <f>DATA!AA6</f>
        <v>0.08</v>
      </c>
      <c r="D14" s="23" t="s">
        <v>399</v>
      </c>
      <c r="E14" s="9">
        <f>'SGH-5'!C38</f>
        <v>0.30909090909090908</v>
      </c>
      <c r="F14" s="23" t="s">
        <v>225</v>
      </c>
      <c r="G14" s="29">
        <f>'SGH-6,p1'!I12</f>
        <v>1.5521518987341769</v>
      </c>
      <c r="H14" s="7" t="s">
        <v>492</v>
      </c>
      <c r="I14" s="10">
        <f>'SGH-6,p1'!L12</f>
        <v>5.5671994780623055E-2</v>
      </c>
      <c r="J14" s="7" t="s">
        <v>306</v>
      </c>
      <c r="K14" s="10">
        <f t="shared" si="0"/>
        <v>9.1282380154505419E-2</v>
      </c>
    </row>
    <row r="15" spans="1:11" ht="21.75" customHeight="1">
      <c r="A15" s="7" t="str">
        <f>DATA!A7</f>
        <v>LNT</v>
      </c>
      <c r="B15" s="48" t="s">
        <v>398</v>
      </c>
      <c r="C15" s="67">
        <f>DATA!AA7</f>
        <v>0.115</v>
      </c>
      <c r="D15" s="23" t="s">
        <v>399</v>
      </c>
      <c r="E15" s="9">
        <f>'SGH-5'!C54</f>
        <v>0.4303030303030303</v>
      </c>
      <c r="F15" s="23" t="s">
        <v>225</v>
      </c>
      <c r="G15" s="29">
        <f>'SGH-6,p1'!I13</f>
        <v>1.730781609195402</v>
      </c>
      <c r="H15" s="7" t="s">
        <v>492</v>
      </c>
      <c r="I15" s="10">
        <f>'SGH-6,p1'!L13</f>
        <v>4.7111131772237642E-2</v>
      </c>
      <c r="J15" s="7" t="s">
        <v>306</v>
      </c>
      <c r="K15" s="10">
        <f t="shared" si="0"/>
        <v>8.4964059702069245E-2</v>
      </c>
    </row>
    <row r="16" spans="1:11" ht="21.75" customHeight="1">
      <c r="A16" s="7" t="str">
        <f>DATA!A8</f>
        <v>AEP</v>
      </c>
      <c r="B16" s="48" t="s">
        <v>398</v>
      </c>
      <c r="C16" s="67">
        <f>DATA!AA8</f>
        <v>9.5000000000000001E-2</v>
      </c>
      <c r="D16" s="23" t="s">
        <v>399</v>
      </c>
      <c r="E16" s="9">
        <f>'SGH-5'!C77</f>
        <v>0.37419354838709684</v>
      </c>
      <c r="F16" s="23" t="s">
        <v>225</v>
      </c>
      <c r="G16" s="29">
        <f>'SGH-6,p1'!I14</f>
        <v>1.4370506912442396</v>
      </c>
      <c r="H16" s="7" t="s">
        <v>492</v>
      </c>
      <c r="I16" s="10">
        <f>'SGH-6,p1'!L14</f>
        <v>4.4561954848640326E-2</v>
      </c>
      <c r="J16" s="7" t="s">
        <v>306</v>
      </c>
      <c r="K16" s="10">
        <f t="shared" si="0"/>
        <v>8.5932529502308869E-2</v>
      </c>
    </row>
    <row r="17" spans="1:11" ht="21.75" customHeight="1">
      <c r="A17" s="7" t="str">
        <f>DATA!A9</f>
        <v>CNL</v>
      </c>
      <c r="B17" s="48" t="s">
        <v>398</v>
      </c>
      <c r="C17" s="67">
        <f>DATA!AA9</f>
        <v>9.5000000000000001E-2</v>
      </c>
      <c r="D17" s="23" t="s">
        <v>399</v>
      </c>
      <c r="E17" s="9">
        <f>'SGH-5'!C93</f>
        <v>0.42800000000000005</v>
      </c>
      <c r="F17" s="23" t="s">
        <v>225</v>
      </c>
      <c r="G17" s="29">
        <f>'SGH-6,p1'!I15</f>
        <v>1.7806318504190841</v>
      </c>
      <c r="H17" s="7" t="s">
        <v>492</v>
      </c>
      <c r="I17" s="10">
        <f>'SGH-6,p1'!L15</f>
        <v>6.1096003997450896E-2</v>
      </c>
      <c r="J17" s="7" t="s">
        <v>306</v>
      </c>
      <c r="K17" s="10">
        <f t="shared" si="0"/>
        <v>9.1613261108858118E-2</v>
      </c>
    </row>
    <row r="18" spans="1:11" ht="21.75" customHeight="1">
      <c r="A18" s="7" t="str">
        <f>DATA!A10</f>
        <v>ETR</v>
      </c>
      <c r="B18" s="48" t="s">
        <v>398</v>
      </c>
      <c r="C18" s="67">
        <f>DATA!AA10</f>
        <v>0.09</v>
      </c>
      <c r="D18" s="23" t="s">
        <v>399</v>
      </c>
      <c r="E18" s="9">
        <f>'SGH-5'!C109</f>
        <v>0.30105263157894735</v>
      </c>
      <c r="F18" s="23" t="s">
        <v>225</v>
      </c>
      <c r="G18" s="29">
        <f>'SGH-6,p1'!I16</f>
        <v>1.2947583176396733</v>
      </c>
      <c r="H18" s="7" t="s">
        <v>492</v>
      </c>
      <c r="I18" s="10">
        <f>'SGH-6,p1'!L16</f>
        <v>0.04</v>
      </c>
      <c r="J18" s="7" t="s">
        <v>306</v>
      </c>
      <c r="K18" s="10">
        <f t="shared" si="0"/>
        <v>8.8584559991528131E-2</v>
      </c>
    </row>
    <row r="19" spans="1:11" ht="21.75" customHeight="1">
      <c r="A19" s="7" t="str">
        <f>DATA!A11</f>
        <v>WR</v>
      </c>
      <c r="B19" s="48" t="s">
        <v>398</v>
      </c>
      <c r="C19" s="67">
        <f>DATA!AA11</f>
        <v>0.09</v>
      </c>
      <c r="D19" s="23" t="s">
        <v>399</v>
      </c>
      <c r="E19" s="9">
        <f>'SGH-5'!C132</f>
        <v>0.39555555555555555</v>
      </c>
      <c r="F19" s="23" t="s">
        <v>225</v>
      </c>
      <c r="G19" s="29">
        <f>'SGH-6,p1'!I17</f>
        <v>1.28528</v>
      </c>
      <c r="H19" s="7" t="s">
        <v>492</v>
      </c>
      <c r="I19" s="10">
        <f>'SGH-6,p1'!L17</f>
        <v>4.9439188348064232E-2</v>
      </c>
      <c r="J19" s="7" t="s">
        <v>306</v>
      </c>
      <c r="K19" s="10">
        <f t="shared" si="0"/>
        <v>9.1764596041329513E-2</v>
      </c>
    </row>
    <row r="20" spans="1:11" ht="21.75" customHeight="1">
      <c r="A20" s="7" t="str">
        <f>DATA!A12</f>
        <v>WEC</v>
      </c>
      <c r="B20" s="48" t="s">
        <v>398</v>
      </c>
      <c r="C20" s="67">
        <f>DATA!AA12</f>
        <v>0.13</v>
      </c>
      <c r="D20" s="23" t="s">
        <v>399</v>
      </c>
      <c r="E20" s="9">
        <f>'SGH-5'!C148</f>
        <v>0.43333333333333324</v>
      </c>
      <c r="F20" s="23" t="s">
        <v>225</v>
      </c>
      <c r="G20" s="29">
        <f>'SGH-6,p1'!I18</f>
        <v>2.2276648841354723</v>
      </c>
      <c r="H20" s="7" t="s">
        <v>492</v>
      </c>
      <c r="I20" s="10">
        <f>'SGH-6,p1'!L18</f>
        <v>5.2499999999999998E-2</v>
      </c>
      <c r="J20" s="7" t="s">
        <v>306</v>
      </c>
      <c r="K20" s="10">
        <f t="shared" si="0"/>
        <v>8.5569007457670529E-2</v>
      </c>
    </row>
    <row r="21" spans="1:11" ht="21.75" customHeight="1">
      <c r="A21" s="7" t="str">
        <f>DATA!A13</f>
        <v>EIX</v>
      </c>
      <c r="B21" s="48" t="s">
        <v>398</v>
      </c>
      <c r="C21" s="67">
        <f>DATA!AA13</f>
        <v>0.115</v>
      </c>
      <c r="D21" s="23" t="s">
        <v>399</v>
      </c>
      <c r="E21" s="9">
        <f>'SGH-5'!C164</f>
        <v>0.61142857142857143</v>
      </c>
      <c r="F21" s="23" t="s">
        <v>225</v>
      </c>
      <c r="G21" s="29">
        <f>'SGH-6,p1'!I19</f>
        <v>1.5271497584541065</v>
      </c>
      <c r="H21" s="7" t="s">
        <v>492</v>
      </c>
      <c r="I21" s="10">
        <f>'SGH-6,p1'!L19</f>
        <v>0.06</v>
      </c>
      <c r="J21" s="7" t="s">
        <v>306</v>
      </c>
      <c r="K21" s="10">
        <f t="shared" si="0"/>
        <v>8.9260859348167965E-2</v>
      </c>
    </row>
    <row r="22" spans="1:11" ht="21.75" customHeight="1">
      <c r="A22" s="7" t="str">
        <f>DATA!A14</f>
        <v>IDA</v>
      </c>
      <c r="B22" s="48" t="s">
        <v>398</v>
      </c>
      <c r="C22" s="67">
        <f>DATA!AA14</f>
        <v>0.09</v>
      </c>
      <c r="D22" s="23" t="s">
        <v>399</v>
      </c>
      <c r="E22" s="9">
        <f>'SGH-5'!C187</f>
        <v>0.52727272727272723</v>
      </c>
      <c r="F22" s="23" t="s">
        <v>225</v>
      </c>
      <c r="G22" s="29">
        <f>'SGH-6,p1'!I20</f>
        <v>1.3202371181030552</v>
      </c>
      <c r="H22" s="7" t="s">
        <v>492</v>
      </c>
      <c r="I22" s="10">
        <f>'SGH-6,p1'!L20</f>
        <v>4.581920228786162E-2</v>
      </c>
      <c r="J22" s="7" t="s">
        <v>306</v>
      </c>
      <c r="K22" s="10">
        <f t="shared" si="0"/>
        <v>7.8044818400355681E-2</v>
      </c>
    </row>
    <row r="23" spans="1:11" ht="21.75" customHeight="1">
      <c r="A23" s="74" t="str">
        <f>DATA!A15</f>
        <v>NWE</v>
      </c>
      <c r="B23" s="48" t="s">
        <v>398</v>
      </c>
      <c r="C23" s="67">
        <f>DATA!AA15</f>
        <v>9.5000000000000001E-2</v>
      </c>
      <c r="D23" s="23" t="s">
        <v>399</v>
      </c>
      <c r="E23" s="9">
        <f>'SGH-5'!C203</f>
        <v>0.37959183673469388</v>
      </c>
      <c r="F23" s="23" t="s">
        <v>225</v>
      </c>
      <c r="G23" s="29">
        <f>'SGH-6,p1'!I21</f>
        <v>1.5557575757575757</v>
      </c>
      <c r="H23" s="74" t="s">
        <v>492</v>
      </c>
      <c r="I23" s="10">
        <f>'SGH-6,p1'!L21</f>
        <v>4.3572263342423062E-2</v>
      </c>
      <c r="J23" s="74" t="s">
        <v>306</v>
      </c>
      <c r="K23" s="106">
        <f t="shared" ref="K23" si="1">(C23*(1-E23)/G23)+I23</f>
        <v>8.1456556132386726E-2</v>
      </c>
    </row>
    <row r="24" spans="1:11" ht="21.75" customHeight="1">
      <c r="A24" s="94" t="str">
        <f>DATA!A16</f>
        <v>PCG</v>
      </c>
      <c r="B24" s="48" t="s">
        <v>398</v>
      </c>
      <c r="C24" s="67">
        <f>DATA!AA16</f>
        <v>0.06</v>
      </c>
      <c r="D24" s="23" t="s">
        <v>399</v>
      </c>
      <c r="E24" s="9">
        <f>'SGH-5'!C219</f>
        <v>6.6666666666666652E-2</v>
      </c>
      <c r="F24" s="23" t="s">
        <v>225</v>
      </c>
      <c r="G24" s="29">
        <f>'SGH-6,p1'!I22</f>
        <v>1.4564749733759319</v>
      </c>
      <c r="H24" s="94" t="s">
        <v>492</v>
      </c>
      <c r="I24" s="10">
        <f>'SGH-6,p1'!L22</f>
        <v>4.2835269773257391E-2</v>
      </c>
      <c r="J24" s="94" t="s">
        <v>306</v>
      </c>
      <c r="K24" s="106">
        <f t="shared" ref="K24:K27" si="2">(C24*(1-E24)/G24)+I24</f>
        <v>8.1284265481160842E-2</v>
      </c>
    </row>
    <row r="25" spans="1:11" ht="21.75" customHeight="1">
      <c r="A25" s="94" t="str">
        <f>DATA!A17</f>
        <v>PNW</v>
      </c>
      <c r="B25" s="48" t="s">
        <v>398</v>
      </c>
      <c r="C25" s="67">
        <f>DATA!AA17</f>
        <v>9.5000000000000001E-2</v>
      </c>
      <c r="D25" s="23" t="s">
        <v>399</v>
      </c>
      <c r="E25" s="9">
        <f>'SGH-5'!C242</f>
        <v>0.37714285714285711</v>
      </c>
      <c r="F25" s="23" t="s">
        <v>225</v>
      </c>
      <c r="G25" s="29">
        <f>'SGH-6,p1'!I23</f>
        <v>1.5661744966442954</v>
      </c>
      <c r="H25" s="94" t="s">
        <v>492</v>
      </c>
      <c r="I25" s="10">
        <f>'SGH-6,p1'!L23</f>
        <v>4.5422523140212549E-2</v>
      </c>
      <c r="J25" s="94" t="s">
        <v>306</v>
      </c>
      <c r="K25" s="106">
        <f t="shared" si="2"/>
        <v>8.3203389000440775E-2</v>
      </c>
    </row>
    <row r="26" spans="1:11" ht="21.75" customHeight="1">
      <c r="A26" s="94" t="str">
        <f>DATA!A18</f>
        <v>POR</v>
      </c>
      <c r="B26" s="48" t="s">
        <v>398</v>
      </c>
      <c r="C26" s="67">
        <f>DATA!AA18</f>
        <v>0.08</v>
      </c>
      <c r="D26" s="23" t="s">
        <v>399</v>
      </c>
      <c r="E26" s="9">
        <f>'SGH-5'!C258</f>
        <v>0.41578947368421049</v>
      </c>
      <c r="F26" s="23" t="s">
        <v>225</v>
      </c>
      <c r="G26" s="29">
        <f>'SGH-6,p1'!I24</f>
        <v>1.3159322033898304</v>
      </c>
      <c r="H26" s="94" t="s">
        <v>492</v>
      </c>
      <c r="I26" s="10">
        <f>'SGH-6,p1'!L24</f>
        <v>3.990082431736218E-2</v>
      </c>
      <c r="J26" s="94" t="s">
        <v>306</v>
      </c>
      <c r="K26" s="106">
        <f t="shared" si="2"/>
        <v>7.5416971718322082E-2</v>
      </c>
    </row>
    <row r="27" spans="1:11" ht="21.75" customHeight="1">
      <c r="A27" s="94" t="str">
        <f>DATA!A19</f>
        <v>XEL</v>
      </c>
      <c r="B27" s="48" t="s">
        <v>398</v>
      </c>
      <c r="C27" s="67">
        <f>DATA!AA19</f>
        <v>0.1</v>
      </c>
      <c r="D27" s="23" t="s">
        <v>399</v>
      </c>
      <c r="E27" s="9">
        <f>'SGH-5'!C274</f>
        <v>0.41578947368421049</v>
      </c>
      <c r="F27" s="23" t="s">
        <v>225</v>
      </c>
      <c r="G27" s="29">
        <f>'SGH-6,p1'!I25</f>
        <v>1.5271527777777778</v>
      </c>
      <c r="H27" s="94" t="s">
        <v>492</v>
      </c>
      <c r="I27" s="10">
        <f>'SGH-6,p1'!L25</f>
        <v>5.1814833340912192E-2</v>
      </c>
      <c r="J27" s="94" t="s">
        <v>306</v>
      </c>
      <c r="K27" s="20">
        <f t="shared" si="2"/>
        <v>9.0069717516017334E-2</v>
      </c>
    </row>
    <row r="28" spans="1:11" ht="21.75" customHeight="1">
      <c r="A28" s="79"/>
      <c r="B28" s="48"/>
      <c r="C28" s="67"/>
      <c r="D28" s="23"/>
      <c r="E28" s="9"/>
      <c r="F28" s="23"/>
      <c r="G28" s="29"/>
      <c r="H28" s="79"/>
      <c r="I28" s="10"/>
      <c r="J28" s="79"/>
      <c r="K28" s="81"/>
    </row>
    <row r="29" spans="1:11" ht="12.75">
      <c r="A29" s="7"/>
      <c r="B29" s="7"/>
      <c r="C29" s="49"/>
      <c r="D29" s="7"/>
      <c r="E29" s="9"/>
      <c r="F29" s="7"/>
      <c r="G29" s="29"/>
      <c r="H29" s="7"/>
      <c r="I29" s="7"/>
      <c r="J29" s="48" t="s">
        <v>506</v>
      </c>
      <c r="K29" s="39">
        <f>AVERAGE(K13:K27)</f>
        <v>8.6333035683938325E-2</v>
      </c>
    </row>
    <row r="30" spans="1:11" ht="12.75">
      <c r="A30" s="7"/>
      <c r="B30" s="7"/>
      <c r="C30" s="49"/>
      <c r="D30" s="7"/>
      <c r="E30" s="9"/>
      <c r="F30" s="7"/>
      <c r="G30" s="29"/>
      <c r="H30" s="7"/>
      <c r="I30" s="7"/>
      <c r="J30" s="48"/>
      <c r="K30" s="39"/>
    </row>
    <row r="31" spans="1:11" ht="12.75">
      <c r="A31" s="7"/>
      <c r="B31" s="7"/>
      <c r="C31" s="49"/>
      <c r="D31" s="7"/>
      <c r="E31" s="9"/>
      <c r="F31" s="7"/>
      <c r="G31" s="29"/>
      <c r="H31" s="7"/>
      <c r="I31" s="7"/>
      <c r="J31" s="48" t="s">
        <v>313</v>
      </c>
      <c r="K31" s="39">
        <f>STDEV(K13:K23)</f>
        <v>5.2299904775872383E-3</v>
      </c>
    </row>
    <row r="32" spans="1:11" ht="12.75">
      <c r="A32" s="5"/>
      <c r="B32" s="7"/>
      <c r="C32" s="49"/>
      <c r="D32" s="7"/>
      <c r="E32" s="9"/>
      <c r="F32" s="7"/>
      <c r="G32" s="29"/>
      <c r="H32" s="7"/>
      <c r="I32" s="7"/>
      <c r="J32" s="7"/>
      <c r="K32" s="10"/>
    </row>
    <row r="33" spans="1:9" ht="12.75">
      <c r="A33" s="7"/>
      <c r="B33" s="7"/>
      <c r="C33" s="49"/>
      <c r="D33" s="7"/>
      <c r="E33" s="9"/>
      <c r="F33" s="7"/>
      <c r="G33" s="29"/>
      <c r="H33" s="7"/>
      <c r="I33" s="7"/>
    </row>
    <row r="34" spans="1:9" ht="12.75">
      <c r="A34" s="5"/>
      <c r="C34" s="49"/>
      <c r="D34" s="7"/>
      <c r="E34" s="9"/>
      <c r="F34" s="7"/>
      <c r="G34" s="29"/>
      <c r="H34" s="7"/>
      <c r="I34" s="7"/>
    </row>
    <row r="35" spans="1:9" ht="12.75">
      <c r="A35" s="5" t="s">
        <v>485</v>
      </c>
    </row>
  </sheetData>
  <phoneticPr fontId="16" type="noConversion"/>
  <pageMargins left="0.77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K1" sqref="K1:K3"/>
    </sheetView>
  </sheetViews>
  <sheetFormatPr defaultColWidth="11.42578125" defaultRowHeight="12"/>
  <cols>
    <col min="1" max="1" width="15.28515625" customWidth="1"/>
    <col min="2" max="2" width="8.85546875" customWidth="1"/>
    <col min="3" max="3" width="6" customWidth="1"/>
    <col min="4" max="4" width="2.7109375" customWidth="1"/>
    <col min="5" max="5" width="6" customWidth="1"/>
    <col min="6" max="6" width="2" customWidth="1"/>
    <col min="7" max="7" width="4.42578125" customWidth="1"/>
    <col min="8" max="8" width="2.7109375" customWidth="1"/>
    <col min="9" max="9" width="6.7109375" customWidth="1"/>
    <col min="10" max="10" width="11.28515625" customWidth="1"/>
    <col min="11" max="11" width="16.28515625" customWidth="1"/>
  </cols>
  <sheetData>
    <row r="1" spans="1:11" ht="12.75">
      <c r="A1" s="7"/>
      <c r="B1" s="7"/>
      <c r="C1" s="49"/>
      <c r="D1" s="7"/>
      <c r="E1" s="5"/>
      <c r="F1" s="7"/>
      <c r="G1" s="29"/>
      <c r="H1" s="7"/>
      <c r="I1" s="7"/>
      <c r="J1" s="7"/>
      <c r="K1" s="218" t="s">
        <v>538</v>
      </c>
    </row>
    <row r="2" spans="1:11" ht="12.75">
      <c r="A2" s="7"/>
      <c r="B2" s="7"/>
      <c r="C2" s="49"/>
      <c r="D2" s="7"/>
      <c r="E2" s="9"/>
      <c r="F2" s="7"/>
      <c r="G2" s="29"/>
      <c r="H2" s="7"/>
      <c r="I2" s="7"/>
      <c r="J2" s="7"/>
      <c r="K2" s="221" t="s">
        <v>547</v>
      </c>
    </row>
    <row r="3" spans="1:11" ht="12.75">
      <c r="A3" s="7"/>
      <c r="B3" s="7"/>
      <c r="C3" s="49"/>
      <c r="D3" s="7"/>
      <c r="E3" s="9"/>
      <c r="F3" s="7"/>
      <c r="G3" s="29"/>
      <c r="H3" s="7"/>
      <c r="I3" s="7"/>
      <c r="J3" s="7"/>
      <c r="K3" s="48" t="s">
        <v>434</v>
      </c>
    </row>
    <row r="4" spans="1:11" ht="12.75">
      <c r="A4" s="7"/>
      <c r="B4" s="7"/>
      <c r="C4" s="5"/>
      <c r="D4" s="7"/>
      <c r="E4" s="9"/>
      <c r="F4" s="50" t="str">
        <f>DATA!A1</f>
        <v>PUGET SOUND ENERGY</v>
      </c>
      <c r="G4" s="29"/>
      <c r="H4" s="7"/>
      <c r="I4" s="7"/>
      <c r="J4" s="7"/>
      <c r="K4" s="7"/>
    </row>
    <row r="5" spans="1:11" ht="12.75">
      <c r="A5" s="7"/>
      <c r="B5" s="7"/>
      <c r="C5" s="5"/>
      <c r="D5" s="7"/>
      <c r="E5" s="9"/>
      <c r="F5" s="50"/>
      <c r="G5" s="29"/>
      <c r="H5" s="7"/>
      <c r="I5" s="7"/>
      <c r="J5" s="7"/>
      <c r="K5" s="7"/>
    </row>
    <row r="6" spans="1:11" ht="12.75">
      <c r="A6" s="7"/>
      <c r="B6" s="7"/>
      <c r="C6" s="5"/>
      <c r="D6" s="7"/>
      <c r="E6" s="9"/>
      <c r="F6" s="50" t="s">
        <v>303</v>
      </c>
      <c r="G6" s="29"/>
      <c r="H6" s="7"/>
      <c r="I6" s="7"/>
      <c r="J6" s="7"/>
      <c r="K6" s="7"/>
    </row>
    <row r="7" spans="1:11" ht="12.75">
      <c r="A7" s="7"/>
      <c r="B7" s="7"/>
      <c r="C7" s="49"/>
      <c r="D7" s="7"/>
      <c r="E7" s="9"/>
      <c r="F7" s="7" t="s">
        <v>498</v>
      </c>
      <c r="G7" s="29"/>
      <c r="H7" s="7"/>
      <c r="I7" s="7"/>
      <c r="J7" s="7"/>
      <c r="K7" s="7"/>
    </row>
    <row r="8" spans="1:11" ht="12.75">
      <c r="A8" s="7"/>
      <c r="B8" s="7"/>
      <c r="C8" s="49"/>
      <c r="D8" s="7"/>
      <c r="E8" s="9"/>
      <c r="F8" s="7"/>
      <c r="G8" s="29"/>
      <c r="H8" s="7"/>
      <c r="I8" s="7"/>
      <c r="J8" s="7"/>
      <c r="K8" s="7"/>
    </row>
    <row r="9" spans="1:11" ht="12.75">
      <c r="A9" s="7"/>
      <c r="B9" s="7"/>
      <c r="C9" s="5"/>
      <c r="D9" s="7"/>
      <c r="E9" s="9"/>
      <c r="F9" s="8" t="s">
        <v>468</v>
      </c>
      <c r="G9" s="29"/>
      <c r="H9" s="7"/>
      <c r="I9" s="7"/>
      <c r="J9" s="7"/>
      <c r="K9" s="7"/>
    </row>
    <row r="10" spans="1:11" ht="12.75">
      <c r="A10" s="7"/>
      <c r="B10" s="7"/>
      <c r="C10" s="49"/>
      <c r="D10" s="7"/>
      <c r="E10" s="9"/>
      <c r="F10" s="94" t="s">
        <v>141</v>
      </c>
      <c r="G10" s="29"/>
      <c r="H10" s="7"/>
      <c r="I10" s="7"/>
      <c r="J10" s="7"/>
      <c r="K10" s="7" t="s">
        <v>444</v>
      </c>
    </row>
    <row r="11" spans="1:11" ht="12.75">
      <c r="A11" s="21" t="s">
        <v>518</v>
      </c>
      <c r="B11" s="7"/>
      <c r="C11" s="49"/>
      <c r="D11" s="7"/>
      <c r="E11" s="9"/>
      <c r="F11" s="7"/>
      <c r="G11" s="29"/>
      <c r="H11" s="7"/>
      <c r="I11" s="7"/>
      <c r="J11" s="7"/>
      <c r="K11" s="21" t="s">
        <v>154</v>
      </c>
    </row>
    <row r="12" spans="1:11" ht="12.75">
      <c r="A12" s="7"/>
      <c r="B12" s="7"/>
      <c r="C12" s="49"/>
      <c r="D12" s="7"/>
      <c r="E12" s="9"/>
      <c r="F12" s="7"/>
      <c r="G12" s="29"/>
      <c r="H12" s="7"/>
      <c r="I12" s="7"/>
      <c r="J12" s="7"/>
      <c r="K12" s="7"/>
    </row>
    <row r="13" spans="1:11" ht="21.75" customHeight="1">
      <c r="A13" s="7" t="str">
        <f>DATA!A5</f>
        <v>SO</v>
      </c>
      <c r="B13" s="48" t="s">
        <v>398</v>
      </c>
      <c r="C13" s="67">
        <f>DATA!AC5</f>
        <v>0.125</v>
      </c>
      <c r="D13" s="23" t="s">
        <v>399</v>
      </c>
      <c r="E13" s="9">
        <f>'SGH-5'!C23</f>
        <v>0.27692307692307694</v>
      </c>
      <c r="F13" s="23" t="s">
        <v>225</v>
      </c>
      <c r="G13" s="29">
        <f>'SGH-6,p1'!I11</f>
        <v>2.0613026819923372</v>
      </c>
      <c r="H13" s="7" t="s">
        <v>492</v>
      </c>
      <c r="I13" s="10">
        <f>'SGH-6,p1'!L11</f>
        <v>5.0223048327137552E-2</v>
      </c>
      <c r="J13" s="7" t="s">
        <v>306</v>
      </c>
      <c r="K13" s="10">
        <f t="shared" ref="K13:K23" si="0">(C13*(1-E13)/G13)+I13</f>
        <v>9.4071346868744632E-2</v>
      </c>
    </row>
    <row r="14" spans="1:11" ht="21.75" customHeight="1">
      <c r="A14" s="7" t="str">
        <f>DATA!A6</f>
        <v>ALE</v>
      </c>
      <c r="B14" s="48" t="s">
        <v>398</v>
      </c>
      <c r="C14" s="67">
        <f>DATA!AC6</f>
        <v>9.5000000000000001E-2</v>
      </c>
      <c r="D14" s="23" t="s">
        <v>399</v>
      </c>
      <c r="E14" s="9">
        <f>'SGH-5'!C40</f>
        <v>0.41333333333333333</v>
      </c>
      <c r="F14" s="23" t="s">
        <v>225</v>
      </c>
      <c r="G14" s="29">
        <f>'SGH-6,p1'!I12</f>
        <v>1.5521518987341769</v>
      </c>
      <c r="H14" s="7" t="s">
        <v>492</v>
      </c>
      <c r="I14" s="10">
        <f>'SGH-6,p1'!L12</f>
        <v>5.5671994780623055E-2</v>
      </c>
      <c r="J14" s="7" t="s">
        <v>306</v>
      </c>
      <c r="K14" s="10">
        <f t="shared" si="0"/>
        <v>9.157913336595444E-2</v>
      </c>
    </row>
    <row r="15" spans="1:11" ht="21.75" customHeight="1">
      <c r="A15" s="7" t="str">
        <f>DATA!A7</f>
        <v>LNT</v>
      </c>
      <c r="B15" s="48" t="s">
        <v>398</v>
      </c>
      <c r="C15" s="67">
        <f>DATA!AC7</f>
        <v>0.11</v>
      </c>
      <c r="D15" s="23" t="s">
        <v>399</v>
      </c>
      <c r="E15" s="9">
        <f>'SGH-5'!C56</f>
        <v>0.42105263157894735</v>
      </c>
      <c r="F15" s="23" t="s">
        <v>225</v>
      </c>
      <c r="G15" s="29">
        <f>'SGH-6,p1'!I13</f>
        <v>1.730781609195402</v>
      </c>
      <c r="H15" s="7" t="s">
        <v>492</v>
      </c>
      <c r="I15" s="10">
        <f>'SGH-6,p1'!L13</f>
        <v>4.7111131772237642E-2</v>
      </c>
      <c r="J15" s="7" t="s">
        <v>306</v>
      </c>
      <c r="K15" s="10">
        <f t="shared" si="0"/>
        <v>8.3906190252158175E-2</v>
      </c>
    </row>
    <row r="16" spans="1:11" ht="21.75" customHeight="1">
      <c r="A16" s="7" t="str">
        <f>DATA!A8</f>
        <v>AEP</v>
      </c>
      <c r="B16" s="48" t="s">
        <v>398</v>
      </c>
      <c r="C16" s="67">
        <f>DATA!AC8</f>
        <v>0.1</v>
      </c>
      <c r="D16" s="23" t="s">
        <v>399</v>
      </c>
      <c r="E16" s="9">
        <f>'SGH-5'!C79</f>
        <v>0.38666666666666671</v>
      </c>
      <c r="F16" s="23" t="s">
        <v>225</v>
      </c>
      <c r="G16" s="29">
        <f>'SGH-6,p1'!I14</f>
        <v>1.4370506912442396</v>
      </c>
      <c r="H16" s="7" t="s">
        <v>492</v>
      </c>
      <c r="I16" s="10">
        <f>'SGH-6,p1'!L14</f>
        <v>4.4561954848640326E-2</v>
      </c>
      <c r="J16" s="7" t="s">
        <v>306</v>
      </c>
      <c r="K16" s="10">
        <f t="shared" si="0"/>
        <v>8.7241961689755426E-2</v>
      </c>
    </row>
    <row r="17" spans="1:13" ht="21.75" customHeight="1">
      <c r="A17" s="7" t="str">
        <f>DATA!A9</f>
        <v>CNL</v>
      </c>
      <c r="B17" s="48" t="s">
        <v>398</v>
      </c>
      <c r="C17" s="67">
        <f>DATA!AC9</f>
        <v>0.11</v>
      </c>
      <c r="D17" s="23" t="s">
        <v>399</v>
      </c>
      <c r="E17" s="9">
        <f>'SGH-5'!C95</f>
        <v>0.4285714285714286</v>
      </c>
      <c r="F17" s="23" t="s">
        <v>225</v>
      </c>
      <c r="G17" s="29">
        <f>'SGH-6,p1'!I15</f>
        <v>1.7806318504190841</v>
      </c>
      <c r="H17" s="7" t="s">
        <v>492</v>
      </c>
      <c r="I17" s="10">
        <f>'SGH-6,p1'!L15</f>
        <v>6.1096003997450896E-2</v>
      </c>
      <c r="J17" s="7" t="s">
        <v>306</v>
      </c>
      <c r="K17" s="10">
        <f t="shared" si="0"/>
        <v>9.6396474918685388E-2</v>
      </c>
    </row>
    <row r="18" spans="1:13" ht="21.75" customHeight="1">
      <c r="A18" s="7" t="str">
        <f>DATA!A10</f>
        <v>ETR</v>
      </c>
      <c r="B18" s="48" t="s">
        <v>398</v>
      </c>
      <c r="C18" s="67">
        <f>DATA!AC10</f>
        <v>9.5000000000000001E-2</v>
      </c>
      <c r="D18" s="23" t="s">
        <v>399</v>
      </c>
      <c r="E18" s="9">
        <f>'SGH-5'!C111</f>
        <v>0.38181818181818183</v>
      </c>
      <c r="F18" s="23" t="s">
        <v>225</v>
      </c>
      <c r="G18" s="29">
        <f>'SGH-6,p1'!I16</f>
        <v>1.2947583176396733</v>
      </c>
      <c r="H18" s="7" t="s">
        <v>492</v>
      </c>
      <c r="I18" s="10">
        <f>'SGH-6,p1'!L16</f>
        <v>0.04</v>
      </c>
      <c r="J18" s="7" t="s">
        <v>306</v>
      </c>
      <c r="K18" s="10">
        <f t="shared" si="0"/>
        <v>8.5357710336498735E-2</v>
      </c>
    </row>
    <row r="19" spans="1:13" ht="21.75" customHeight="1">
      <c r="A19" s="7" t="str">
        <f>DATA!A11</f>
        <v>WR</v>
      </c>
      <c r="B19" s="48" t="s">
        <v>398</v>
      </c>
      <c r="C19" s="67">
        <f>DATA!AC11</f>
        <v>9.5000000000000001E-2</v>
      </c>
      <c r="D19" s="23" t="s">
        <v>399</v>
      </c>
      <c r="E19" s="9">
        <f>'SGH-5'!C134</f>
        <v>0.44727272727272727</v>
      </c>
      <c r="F19" s="23" t="s">
        <v>225</v>
      </c>
      <c r="G19" s="29">
        <f>'SGH-6,p1'!I17</f>
        <v>1.28528</v>
      </c>
      <c r="H19" s="7" t="s">
        <v>492</v>
      </c>
      <c r="I19" s="10">
        <f>'SGH-6,p1'!L17</f>
        <v>4.9439188348064232E-2</v>
      </c>
      <c r="J19" s="7" t="s">
        <v>306</v>
      </c>
      <c r="K19" s="10">
        <f t="shared" si="0"/>
        <v>9.029339203060105E-2</v>
      </c>
    </row>
    <row r="20" spans="1:13" ht="21.75" customHeight="1">
      <c r="A20" s="7" t="str">
        <f>DATA!A12</f>
        <v>WEC</v>
      </c>
      <c r="B20" s="48" t="s">
        <v>398</v>
      </c>
      <c r="C20" s="67">
        <f>DATA!AC12</f>
        <v>0.14000000000000001</v>
      </c>
      <c r="D20" s="23" t="s">
        <v>399</v>
      </c>
      <c r="E20" s="9">
        <f>'SGH-5'!C150</f>
        <v>0.33333333333333337</v>
      </c>
      <c r="F20" s="23" t="s">
        <v>225</v>
      </c>
      <c r="G20" s="29">
        <f>'SGH-6,p1'!I18</f>
        <v>2.2276648841354723</v>
      </c>
      <c r="H20" s="7" t="s">
        <v>492</v>
      </c>
      <c r="I20" s="10">
        <f>'SGH-6,p1'!L18</f>
        <v>5.2499999999999998E-2</v>
      </c>
      <c r="J20" s="7" t="s">
        <v>306</v>
      </c>
      <c r="K20" s="10">
        <f t="shared" si="0"/>
        <v>9.439738501424319E-2</v>
      </c>
    </row>
    <row r="21" spans="1:13" ht="21.75" customHeight="1">
      <c r="A21" s="7" t="str">
        <f>DATA!A13</f>
        <v>EIX</v>
      </c>
      <c r="B21" s="48" t="s">
        <v>398</v>
      </c>
      <c r="C21" s="67">
        <f>DATA!AC13</f>
        <v>0.11</v>
      </c>
      <c r="D21" s="23" t="s">
        <v>399</v>
      </c>
      <c r="E21" s="9">
        <f>'SGH-5'!C166</f>
        <v>0.57647058823529407</v>
      </c>
      <c r="F21" s="23" t="s">
        <v>225</v>
      </c>
      <c r="G21" s="29">
        <f>'SGH-6,p1'!I19</f>
        <v>1.5271497584541065</v>
      </c>
      <c r="H21" s="7" t="s">
        <v>492</v>
      </c>
      <c r="I21" s="10">
        <f>'SGH-6,p1'!L19</f>
        <v>0.06</v>
      </c>
      <c r="J21" s="7" t="s">
        <v>306</v>
      </c>
      <c r="K21" s="10">
        <f t="shared" si="0"/>
        <v>9.0506657933323909E-2</v>
      </c>
    </row>
    <row r="22" spans="1:13" ht="21.75" customHeight="1">
      <c r="A22" s="7" t="str">
        <f>DATA!A14</f>
        <v>IDA</v>
      </c>
      <c r="B22" s="48" t="s">
        <v>398</v>
      </c>
      <c r="C22" s="67">
        <f>DATA!AC14</f>
        <v>8.5000000000000006E-2</v>
      </c>
      <c r="D22" s="23" t="s">
        <v>399</v>
      </c>
      <c r="E22" s="9">
        <f>'SGH-5'!C189</f>
        <v>0.47945205479452058</v>
      </c>
      <c r="F22" s="23" t="s">
        <v>225</v>
      </c>
      <c r="G22" s="29">
        <f>'SGH-6,p1'!I20</f>
        <v>1.3202371181030552</v>
      </c>
      <c r="H22" s="7" t="s">
        <v>492</v>
      </c>
      <c r="I22" s="10">
        <f>'SGH-6,p1'!L20</f>
        <v>4.581920228786162E-2</v>
      </c>
      <c r="J22" s="7" t="s">
        <v>306</v>
      </c>
      <c r="K22" s="10">
        <f t="shared" si="0"/>
        <v>7.9333314817919998E-2</v>
      </c>
    </row>
    <row r="23" spans="1:13" ht="21.75" customHeight="1">
      <c r="A23" s="7" t="str">
        <f>DATA!A15</f>
        <v>NWE</v>
      </c>
      <c r="B23" s="48" t="s">
        <v>398</v>
      </c>
      <c r="C23" s="67">
        <f>DATA!AC15</f>
        <v>9.5000000000000001E-2</v>
      </c>
      <c r="D23" s="23" t="s">
        <v>399</v>
      </c>
      <c r="E23" s="9">
        <f>'SGH-5'!C205</f>
        <v>0.34545454545454546</v>
      </c>
      <c r="F23" s="23" t="s">
        <v>225</v>
      </c>
      <c r="G23" s="29">
        <f>'SGH-6,p1'!I21</f>
        <v>1.5557575757575757</v>
      </c>
      <c r="H23" s="7" t="s">
        <v>492</v>
      </c>
      <c r="I23" s="10">
        <f>'SGH-6,p1'!L21</f>
        <v>4.3572263342423062E-2</v>
      </c>
      <c r="J23" s="7" t="s">
        <v>306</v>
      </c>
      <c r="K23" s="106">
        <f t="shared" si="0"/>
        <v>8.3541098558628762E-2</v>
      </c>
    </row>
    <row r="24" spans="1:13" ht="21.75" customHeight="1">
      <c r="A24" s="94" t="str">
        <f>DATA!A16</f>
        <v>PCG</v>
      </c>
      <c r="B24" s="48" t="s">
        <v>398</v>
      </c>
      <c r="C24" s="67">
        <f>DATA!AC16</f>
        <v>0.09</v>
      </c>
      <c r="D24" s="23" t="s">
        <v>399</v>
      </c>
      <c r="E24" s="9">
        <f>'SGH-5'!C221</f>
        <v>0.35384615384615381</v>
      </c>
      <c r="F24" s="23" t="s">
        <v>225</v>
      </c>
      <c r="G24" s="29">
        <f>'SGH-6,p1'!I22</f>
        <v>1.4564749733759319</v>
      </c>
      <c r="H24" s="94" t="s">
        <v>492</v>
      </c>
      <c r="I24" s="10">
        <f>'SGH-6,p1'!L22</f>
        <v>4.2835269773257391E-2</v>
      </c>
      <c r="J24" s="94" t="s">
        <v>306</v>
      </c>
      <c r="K24" s="106">
        <f t="shared" ref="K24:K27" si="1">(C24*(1-E24)/G24)+I24</f>
        <v>8.2763073008387894E-2</v>
      </c>
    </row>
    <row r="25" spans="1:13" ht="21.75" customHeight="1">
      <c r="A25" s="94" t="str">
        <f>DATA!A17</f>
        <v>PNW</v>
      </c>
      <c r="B25" s="48" t="s">
        <v>398</v>
      </c>
      <c r="C25" s="67">
        <f>DATA!AC17</f>
        <v>0.1</v>
      </c>
      <c r="D25" s="23" t="s">
        <v>399</v>
      </c>
      <c r="E25" s="9">
        <f>'SGH-5'!C244</f>
        <v>0.38823529411764701</v>
      </c>
      <c r="F25" s="23" t="s">
        <v>225</v>
      </c>
      <c r="G25" s="29">
        <f>'SGH-6,p1'!I23</f>
        <v>1.5661744966442954</v>
      </c>
      <c r="H25" s="94" t="s">
        <v>492</v>
      </c>
      <c r="I25" s="10">
        <f>'SGH-6,p1'!L23</f>
        <v>4.5422523140212549E-2</v>
      </c>
      <c r="J25" s="94" t="s">
        <v>306</v>
      </c>
      <c r="K25" s="106">
        <f t="shared" si="1"/>
        <v>8.4483605235031969E-2</v>
      </c>
    </row>
    <row r="26" spans="1:13" ht="21.75" customHeight="1">
      <c r="A26" s="94" t="str">
        <f>DATA!A18</f>
        <v>POR</v>
      </c>
      <c r="B26" s="48" t="s">
        <v>398</v>
      </c>
      <c r="C26" s="67">
        <f>DATA!AC18</f>
        <v>0.08</v>
      </c>
      <c r="D26" s="23" t="s">
        <v>399</v>
      </c>
      <c r="E26" s="9">
        <f>'SGH-5'!C260</f>
        <v>0.42222222222222217</v>
      </c>
      <c r="F26" s="23" t="s">
        <v>225</v>
      </c>
      <c r="G26" s="29">
        <f>'SGH-6,p1'!I24</f>
        <v>1.3159322033898304</v>
      </c>
      <c r="H26" s="94" t="s">
        <v>492</v>
      </c>
      <c r="I26" s="10">
        <f>'SGH-6,p1'!L24</f>
        <v>3.990082431736218E-2</v>
      </c>
      <c r="J26" s="94" t="s">
        <v>306</v>
      </c>
      <c r="K26" s="106">
        <f t="shared" si="1"/>
        <v>7.502590302822143E-2</v>
      </c>
    </row>
    <row r="27" spans="1:13" ht="21.75" customHeight="1">
      <c r="A27" s="94" t="str">
        <f>DATA!A19</f>
        <v>XEL</v>
      </c>
      <c r="B27" s="48" t="s">
        <v>398</v>
      </c>
      <c r="C27" s="67">
        <f>DATA!AC19</f>
        <v>0.1</v>
      </c>
      <c r="D27" s="23" t="s">
        <v>399</v>
      </c>
      <c r="E27" s="9">
        <f>'SGH-5'!C276</f>
        <v>0.39999999999999991</v>
      </c>
      <c r="F27" s="23" t="s">
        <v>225</v>
      </c>
      <c r="G27" s="29">
        <f>'SGH-6,p1'!I25</f>
        <v>1.5271527777777778</v>
      </c>
      <c r="H27" s="94" t="s">
        <v>492</v>
      </c>
      <c r="I27" s="10">
        <f>'SGH-6,p1'!L25</f>
        <v>5.1814833340912192E-2</v>
      </c>
      <c r="J27" s="94" t="s">
        <v>306</v>
      </c>
      <c r="K27" s="20">
        <f t="shared" si="1"/>
        <v>9.1103633304533679E-2</v>
      </c>
    </row>
    <row r="28" spans="1:13" ht="21.75" customHeight="1">
      <c r="A28" s="79"/>
      <c r="B28" s="48"/>
      <c r="C28" s="67"/>
      <c r="D28" s="23"/>
      <c r="E28" s="9"/>
      <c r="F28" s="23"/>
      <c r="G28" s="29"/>
      <c r="H28" s="79"/>
      <c r="I28" s="10"/>
      <c r="J28" s="79"/>
      <c r="K28" s="81"/>
    </row>
    <row r="29" spans="1:13" ht="12.75">
      <c r="A29" s="7"/>
      <c r="B29" s="7"/>
      <c r="C29" s="49"/>
      <c r="D29" s="7"/>
      <c r="E29" s="9"/>
      <c r="F29" s="7"/>
      <c r="G29" s="29"/>
      <c r="H29" s="7"/>
      <c r="I29" s="7"/>
      <c r="J29" s="48" t="s">
        <v>514</v>
      </c>
      <c r="K29" s="39">
        <f>AVERAGE(K13:K27)</f>
        <v>8.7333392024179238E-2</v>
      </c>
      <c r="M29" s="52"/>
    </row>
    <row r="30" spans="1:13" ht="12.75">
      <c r="A30" s="7"/>
      <c r="B30" s="7"/>
      <c r="C30" s="49"/>
      <c r="D30" s="7"/>
      <c r="E30" s="9"/>
      <c r="F30" s="7"/>
      <c r="G30" s="29"/>
      <c r="H30" s="7"/>
      <c r="I30" s="7"/>
      <c r="J30" s="48"/>
      <c r="K30" s="39"/>
    </row>
    <row r="31" spans="1:13" ht="12.75">
      <c r="A31" s="7"/>
      <c r="B31" s="7"/>
      <c r="C31" s="49"/>
      <c r="D31" s="7"/>
      <c r="E31" s="9"/>
      <c r="F31" s="7"/>
      <c r="G31" s="29"/>
      <c r="H31" s="7"/>
      <c r="I31" s="7"/>
      <c r="J31" s="48" t="s">
        <v>313</v>
      </c>
      <c r="K31" s="39">
        <f>STDEV(K13:K23)</f>
        <v>5.3403026566475175E-3</v>
      </c>
    </row>
    <row r="32" spans="1:13" ht="12.75">
      <c r="A32" s="5"/>
      <c r="B32" s="7"/>
      <c r="C32" s="49"/>
      <c r="D32" s="7"/>
      <c r="E32" s="9"/>
      <c r="F32" s="7"/>
      <c r="G32" s="29"/>
      <c r="H32" s="7"/>
      <c r="I32" s="7"/>
      <c r="J32" s="75"/>
      <c r="K32" s="10"/>
    </row>
    <row r="33" spans="1:9" ht="12.75">
      <c r="A33" s="7"/>
      <c r="B33" s="7"/>
      <c r="C33" s="49"/>
      <c r="D33" s="7"/>
      <c r="E33" s="9"/>
      <c r="F33" s="7"/>
      <c r="G33" s="29"/>
      <c r="H33" s="7"/>
      <c r="I33" s="7"/>
    </row>
    <row r="34" spans="1:9" ht="12.75">
      <c r="C34" s="49"/>
      <c r="D34" s="7"/>
      <c r="E34" s="9"/>
      <c r="F34" s="7"/>
      <c r="G34" s="29"/>
      <c r="H34" s="7"/>
      <c r="I34" s="7"/>
    </row>
    <row r="35" spans="1:9" ht="12.75">
      <c r="A35" s="5" t="s">
        <v>391</v>
      </c>
    </row>
  </sheetData>
  <phoneticPr fontId="16" type="noConversion"/>
  <pageMargins left="0.73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B1" workbookViewId="0">
      <selection activeCell="R16" sqref="R16"/>
    </sheetView>
  </sheetViews>
  <sheetFormatPr defaultColWidth="10.85546875" defaultRowHeight="12.75"/>
  <cols>
    <col min="1" max="1" width="10.85546875" style="175"/>
    <col min="2" max="2" width="11.42578125"/>
    <col min="3" max="3" width="13.7109375" style="175" customWidth="1"/>
    <col min="4" max="4" width="10.85546875" style="175"/>
    <col min="5" max="5" width="4.7109375" style="175" customWidth="1"/>
    <col min="6" max="6" width="8.85546875" style="175" customWidth="1"/>
    <col min="7" max="7" width="1.7109375" style="175" customWidth="1"/>
    <col min="8" max="8" width="8" style="175" customWidth="1"/>
    <col min="9" max="9" width="1.28515625" style="175" customWidth="1"/>
    <col min="10" max="10" width="8.42578125" style="175" customWidth="1"/>
    <col min="11" max="11" width="4.42578125" style="175" customWidth="1"/>
    <col min="12" max="12" width="8.140625" style="175" customWidth="1"/>
    <col min="13" max="13" width="2.42578125" style="175" customWidth="1"/>
    <col min="14" max="14" width="9" style="175" customWidth="1"/>
    <col min="15" max="15" width="2.28515625" style="175" customWidth="1"/>
    <col min="16" max="16" width="9.7109375" style="175" customWidth="1"/>
    <col min="17" max="16384" width="10.85546875" style="175"/>
  </cols>
  <sheetData>
    <row r="1" spans="3:16">
      <c r="P1" s="227" t="s">
        <v>538</v>
      </c>
    </row>
    <row r="2" spans="3:16">
      <c r="P2" s="294" t="s">
        <v>557</v>
      </c>
    </row>
    <row r="3" spans="3:16">
      <c r="P3" s="221" t="s">
        <v>537</v>
      </c>
    </row>
    <row r="6" spans="3:16">
      <c r="K6" s="168" t="s">
        <v>322</v>
      </c>
    </row>
    <row r="8" spans="3:16">
      <c r="K8" s="168" t="s">
        <v>553</v>
      </c>
    </row>
    <row r="10" spans="3:16">
      <c r="F10" s="299" t="s">
        <v>414</v>
      </c>
      <c r="G10" s="300"/>
      <c r="H10" s="300"/>
      <c r="I10" s="300"/>
      <c r="J10" s="301"/>
      <c r="L10" s="299" t="s">
        <v>415</v>
      </c>
      <c r="M10" s="300"/>
      <c r="N10" s="300"/>
      <c r="O10" s="300"/>
      <c r="P10" s="301"/>
    </row>
    <row r="11" spans="3:16" ht="15.75">
      <c r="C11" s="229"/>
      <c r="D11" s="234"/>
      <c r="E11" s="234"/>
      <c r="F11" s="247" t="s">
        <v>410</v>
      </c>
      <c r="G11" s="248"/>
      <c r="H11" s="249" t="s">
        <v>461</v>
      </c>
      <c r="I11" s="250"/>
      <c r="J11" s="251"/>
      <c r="L11" s="247" t="s">
        <v>410</v>
      </c>
      <c r="M11" s="248"/>
      <c r="N11" s="249" t="s">
        <v>461</v>
      </c>
      <c r="O11" s="250"/>
      <c r="P11" s="251"/>
    </row>
    <row r="12" spans="3:16" ht="15.75">
      <c r="C12" s="231"/>
      <c r="D12" s="235"/>
      <c r="E12" s="235"/>
      <c r="F12" s="252" t="s">
        <v>554</v>
      </c>
      <c r="G12" s="235"/>
      <c r="H12" s="236" t="s">
        <v>494</v>
      </c>
      <c r="I12" s="253"/>
      <c r="J12" s="254" t="s">
        <v>411</v>
      </c>
      <c r="L12" s="252" t="s">
        <v>554</v>
      </c>
      <c r="M12" s="235"/>
      <c r="N12" s="236" t="s">
        <v>494</v>
      </c>
      <c r="O12" s="253"/>
      <c r="P12" s="254" t="s">
        <v>411</v>
      </c>
    </row>
    <row r="13" spans="3:16" ht="15.75">
      <c r="C13" s="230"/>
      <c r="D13" s="246" t="s">
        <v>362</v>
      </c>
      <c r="E13" s="236"/>
      <c r="F13" s="255" t="s">
        <v>555</v>
      </c>
      <c r="G13" s="235"/>
      <c r="H13" s="237" t="s">
        <v>457</v>
      </c>
      <c r="I13" s="253"/>
      <c r="J13" s="256" t="s">
        <v>412</v>
      </c>
      <c r="L13" s="255" t="s">
        <v>555</v>
      </c>
      <c r="M13" s="235"/>
      <c r="N13" s="237" t="s">
        <v>457</v>
      </c>
      <c r="O13" s="253"/>
      <c r="P13" s="256" t="s">
        <v>412</v>
      </c>
    </row>
    <row r="14" spans="3:16" ht="15.75">
      <c r="C14" s="232"/>
      <c r="D14" s="238"/>
      <c r="E14" s="238"/>
      <c r="F14" s="257"/>
      <c r="G14" s="238"/>
      <c r="H14" s="238"/>
      <c r="I14" s="253"/>
      <c r="J14" s="258"/>
      <c r="L14" s="257"/>
      <c r="M14" s="238"/>
      <c r="N14" s="238"/>
      <c r="O14" s="253"/>
      <c r="P14" s="258"/>
    </row>
    <row r="15" spans="3:16" ht="15.75">
      <c r="C15" s="233"/>
      <c r="D15" s="239" t="s">
        <v>316</v>
      </c>
      <c r="E15" s="240"/>
      <c r="F15" s="259">
        <v>4.16</v>
      </c>
      <c r="G15" s="260"/>
      <c r="H15" s="261">
        <v>6.5</v>
      </c>
      <c r="I15" s="253"/>
      <c r="J15" s="262">
        <f>F15+H15</f>
        <v>10.66</v>
      </c>
      <c r="L15" s="259">
        <v>4.16</v>
      </c>
      <c r="M15" s="260"/>
      <c r="N15" s="261">
        <v>6.12</v>
      </c>
      <c r="O15" s="253"/>
      <c r="P15" s="262">
        <f>L15+N15</f>
        <v>10.280000000000001</v>
      </c>
    </row>
    <row r="16" spans="3:16" ht="15.75">
      <c r="C16" s="233"/>
      <c r="D16" s="239" t="s">
        <v>19</v>
      </c>
      <c r="E16" s="240"/>
      <c r="F16" s="259">
        <v>5.03</v>
      </c>
      <c r="G16" s="260"/>
      <c r="H16" s="261">
        <v>3.5</v>
      </c>
      <c r="I16" s="253"/>
      <c r="J16" s="262">
        <f t="shared" ref="J16:J38" si="0">F16+H16</f>
        <v>8.5300000000000011</v>
      </c>
      <c r="L16" s="259">
        <v>5.03</v>
      </c>
      <c r="M16" s="260"/>
      <c r="N16" s="261">
        <v>4.33</v>
      </c>
      <c r="O16" s="253"/>
      <c r="P16" s="262">
        <f t="shared" ref="P16:P38" si="1">L16+N16</f>
        <v>9.36</v>
      </c>
    </row>
    <row r="17" spans="3:16" ht="15.75">
      <c r="C17" s="233"/>
      <c r="D17" s="239" t="s">
        <v>400</v>
      </c>
      <c r="E17" s="240"/>
      <c r="F17" s="259">
        <v>4.2300000000000004</v>
      </c>
      <c r="G17" s="260"/>
      <c r="H17" s="261">
        <v>7</v>
      </c>
      <c r="I17" s="253"/>
      <c r="J17" s="262">
        <f t="shared" si="0"/>
        <v>11.23</v>
      </c>
      <c r="L17" s="259">
        <v>4.2300000000000004</v>
      </c>
      <c r="M17" s="260"/>
      <c r="N17" s="261">
        <v>6</v>
      </c>
      <c r="O17" s="253"/>
      <c r="P17" s="262">
        <f t="shared" si="1"/>
        <v>10.23</v>
      </c>
    </row>
    <row r="18" spans="3:16" ht="15.75">
      <c r="C18" s="233"/>
      <c r="D18" s="239" t="s">
        <v>262</v>
      </c>
      <c r="E18" s="240"/>
      <c r="F18" s="259">
        <v>4.2</v>
      </c>
      <c r="G18" s="260"/>
      <c r="H18" s="261">
        <v>5</v>
      </c>
      <c r="I18" s="253"/>
      <c r="J18" s="262">
        <f t="shared" si="0"/>
        <v>9.1999999999999993</v>
      </c>
      <c r="L18" s="259">
        <v>4.2</v>
      </c>
      <c r="M18" s="260"/>
      <c r="N18" s="261">
        <v>5.72</v>
      </c>
      <c r="O18" s="253"/>
      <c r="P18" s="262">
        <f t="shared" si="1"/>
        <v>9.92</v>
      </c>
    </row>
    <row r="19" spans="3:16" ht="15.75">
      <c r="C19" s="233"/>
      <c r="D19" s="239" t="s">
        <v>260</v>
      </c>
      <c r="E19" s="240"/>
      <c r="F19" s="259">
        <v>4.16</v>
      </c>
      <c r="G19" s="260"/>
      <c r="H19" s="261">
        <v>7</v>
      </c>
      <c r="I19" s="253"/>
      <c r="J19" s="262">
        <f t="shared" si="0"/>
        <v>11.16</v>
      </c>
      <c r="L19" s="259">
        <v>4.16</v>
      </c>
      <c r="M19" s="260"/>
      <c r="N19" s="261">
        <v>5.97</v>
      </c>
      <c r="O19" s="253"/>
      <c r="P19" s="262">
        <f t="shared" si="1"/>
        <v>10.129999999999999</v>
      </c>
    </row>
    <row r="20" spans="3:16" ht="15.75">
      <c r="C20" s="233"/>
      <c r="D20" s="239" t="s">
        <v>401</v>
      </c>
      <c r="E20" s="240"/>
      <c r="F20" s="259">
        <v>4.4000000000000004</v>
      </c>
      <c r="G20" s="260"/>
      <c r="H20" s="261">
        <v>4</v>
      </c>
      <c r="I20" s="253"/>
      <c r="J20" s="262">
        <f t="shared" si="0"/>
        <v>8.4</v>
      </c>
      <c r="L20" s="259">
        <v>4.4000000000000004</v>
      </c>
      <c r="M20" s="260"/>
      <c r="N20" s="261">
        <v>3.29</v>
      </c>
      <c r="O20" s="253"/>
      <c r="P20" s="262">
        <f t="shared" si="1"/>
        <v>7.69</v>
      </c>
    </row>
    <row r="21" spans="3:16" ht="15.75">
      <c r="C21" s="233"/>
      <c r="D21" s="239" t="s">
        <v>208</v>
      </c>
      <c r="E21" s="240"/>
      <c r="F21" s="259">
        <v>4.42</v>
      </c>
      <c r="G21" s="260"/>
      <c r="H21" s="261">
        <v>5</v>
      </c>
      <c r="I21" s="253"/>
      <c r="J21" s="262">
        <f t="shared" si="0"/>
        <v>9.42</v>
      </c>
      <c r="L21" s="259">
        <v>4.42</v>
      </c>
      <c r="M21" s="260"/>
      <c r="N21" s="261">
        <v>4.97</v>
      </c>
      <c r="O21" s="253"/>
      <c r="P21" s="262">
        <f t="shared" si="1"/>
        <v>9.39</v>
      </c>
    </row>
    <row r="22" spans="3:16" ht="15.75">
      <c r="C22" s="233"/>
      <c r="D22" s="239" t="s">
        <v>265</v>
      </c>
      <c r="E22" s="240"/>
      <c r="F22" s="259">
        <v>4.1399999999999997</v>
      </c>
      <c r="G22" s="260"/>
      <c r="H22" s="261">
        <v>5</v>
      </c>
      <c r="I22" s="253"/>
      <c r="J22" s="262">
        <f t="shared" si="0"/>
        <v>9.14</v>
      </c>
      <c r="L22" s="259">
        <v>4.1399999999999997</v>
      </c>
      <c r="M22" s="260"/>
      <c r="N22" s="261">
        <v>4.97</v>
      </c>
      <c r="O22" s="253"/>
      <c r="P22" s="262">
        <f t="shared" si="1"/>
        <v>9.11</v>
      </c>
    </row>
    <row r="23" spans="3:16" ht="15.75">
      <c r="C23" s="233"/>
      <c r="D23" s="239" t="s">
        <v>210</v>
      </c>
      <c r="E23" s="240"/>
      <c r="F23" s="259">
        <v>4.95</v>
      </c>
      <c r="G23" s="260"/>
      <c r="H23" s="261">
        <v>4.5</v>
      </c>
      <c r="I23" s="253"/>
      <c r="J23" s="262">
        <f t="shared" si="0"/>
        <v>9.4499999999999993</v>
      </c>
      <c r="L23" s="259">
        <v>4.95</v>
      </c>
      <c r="M23" s="260"/>
      <c r="N23" s="261">
        <v>4.0599999999999996</v>
      </c>
      <c r="O23" s="253"/>
      <c r="P23" s="262">
        <f t="shared" si="1"/>
        <v>9.01</v>
      </c>
    </row>
    <row r="24" spans="3:16" ht="15.75">
      <c r="C24" s="233"/>
      <c r="D24" s="239" t="s">
        <v>402</v>
      </c>
      <c r="E24" s="241"/>
      <c r="F24" s="259">
        <v>5.15</v>
      </c>
      <c r="G24" s="260"/>
      <c r="H24" s="261">
        <v>6</v>
      </c>
      <c r="I24" s="253"/>
      <c r="J24" s="262">
        <f t="shared" si="0"/>
        <v>11.15</v>
      </c>
      <c r="L24" s="259">
        <v>5.15</v>
      </c>
      <c r="M24" s="260"/>
      <c r="N24" s="261">
        <v>5.33</v>
      </c>
      <c r="O24" s="253"/>
      <c r="P24" s="262">
        <f t="shared" si="1"/>
        <v>10.48</v>
      </c>
    </row>
    <row r="25" spans="3:16" ht="15.75">
      <c r="C25" s="233"/>
      <c r="D25" s="239" t="s">
        <v>279</v>
      </c>
      <c r="E25" s="240"/>
      <c r="F25" s="259">
        <v>3.14</v>
      </c>
      <c r="G25" s="260"/>
      <c r="H25" s="261">
        <v>5</v>
      </c>
      <c r="I25" s="253"/>
      <c r="J25" s="262">
        <f t="shared" si="0"/>
        <v>8.14</v>
      </c>
      <c r="L25" s="259">
        <v>3.14</v>
      </c>
      <c r="M25" s="260"/>
      <c r="N25" s="261">
        <v>4</v>
      </c>
      <c r="O25" s="253"/>
      <c r="P25" s="262">
        <f t="shared" si="1"/>
        <v>7.1400000000000006</v>
      </c>
    </row>
    <row r="26" spans="3:16" ht="15.75">
      <c r="C26" s="233"/>
      <c r="D26" s="239" t="s">
        <v>42</v>
      </c>
      <c r="E26" s="240"/>
      <c r="F26" s="259">
        <v>3.72</v>
      </c>
      <c r="G26" s="260"/>
      <c r="H26" s="261">
        <v>8</v>
      </c>
      <c r="I26" s="253"/>
      <c r="J26" s="262">
        <f t="shared" si="0"/>
        <v>11.72</v>
      </c>
      <c r="L26" s="259">
        <v>3.72</v>
      </c>
      <c r="M26" s="260"/>
      <c r="N26" s="261">
        <v>7.24</v>
      </c>
      <c r="O26" s="253"/>
      <c r="P26" s="262">
        <f t="shared" si="1"/>
        <v>10.96</v>
      </c>
    </row>
    <row r="27" spans="3:16" ht="15.75">
      <c r="C27" s="233"/>
      <c r="D27" s="239" t="s">
        <v>403</v>
      </c>
      <c r="E27" s="240"/>
      <c r="F27" s="259">
        <v>4.3899999999999997</v>
      </c>
      <c r="G27" s="260"/>
      <c r="H27" s="261">
        <v>3.5</v>
      </c>
      <c r="I27" s="253"/>
      <c r="J27" s="262">
        <f t="shared" si="0"/>
        <v>7.89</v>
      </c>
      <c r="L27" s="259">
        <v>4.3899999999999997</v>
      </c>
      <c r="M27" s="260"/>
      <c r="N27" s="261">
        <v>5.33</v>
      </c>
      <c r="O27" s="253"/>
      <c r="P27" s="262">
        <f t="shared" si="1"/>
        <v>9.7199999999999989</v>
      </c>
    </row>
    <row r="28" spans="3:16" ht="15.75">
      <c r="C28" s="233"/>
      <c r="D28" s="239" t="s">
        <v>404</v>
      </c>
      <c r="E28" s="240"/>
      <c r="F28" s="259">
        <v>2.88</v>
      </c>
      <c r="G28" s="260"/>
      <c r="H28" s="261">
        <v>4.5</v>
      </c>
      <c r="I28" s="253"/>
      <c r="J28" s="262">
        <f t="shared" si="0"/>
        <v>7.38</v>
      </c>
      <c r="L28" s="259">
        <v>2.88</v>
      </c>
      <c r="M28" s="260"/>
      <c r="N28" s="261">
        <v>5.36</v>
      </c>
      <c r="O28" s="253"/>
      <c r="P28" s="262">
        <f t="shared" si="1"/>
        <v>8.24</v>
      </c>
    </row>
    <row r="29" spans="3:16" ht="15.75">
      <c r="C29" s="233"/>
      <c r="D29" s="239" t="s">
        <v>405</v>
      </c>
      <c r="E29" s="240"/>
      <c r="F29" s="259">
        <v>5.5</v>
      </c>
      <c r="G29" s="260"/>
      <c r="H29" s="261">
        <v>7</v>
      </c>
      <c r="I29" s="253"/>
      <c r="J29" s="262">
        <f t="shared" si="0"/>
        <v>12.5</v>
      </c>
      <c r="L29" s="259">
        <v>5.5</v>
      </c>
      <c r="M29" s="260"/>
      <c r="N29" s="261">
        <v>5.43</v>
      </c>
      <c r="O29" s="253"/>
      <c r="P29" s="262">
        <f t="shared" si="1"/>
        <v>10.93</v>
      </c>
    </row>
    <row r="30" spans="3:16" ht="15.75">
      <c r="C30" s="233"/>
      <c r="D30" s="239" t="s">
        <v>30</v>
      </c>
      <c r="E30" s="240"/>
      <c r="F30" s="259">
        <v>4.49</v>
      </c>
      <c r="G30" s="260"/>
      <c r="H30" s="261">
        <v>3.5</v>
      </c>
      <c r="I30" s="253"/>
      <c r="J30" s="262">
        <f t="shared" si="0"/>
        <v>7.99</v>
      </c>
      <c r="L30" s="259">
        <v>4.49</v>
      </c>
      <c r="M30" s="260"/>
      <c r="N30" s="261">
        <v>2.4500000000000002</v>
      </c>
      <c r="O30" s="253"/>
      <c r="P30" s="262">
        <f t="shared" si="1"/>
        <v>6.94</v>
      </c>
    </row>
    <row r="31" spans="3:16" ht="15.75">
      <c r="C31" s="233"/>
      <c r="D31" s="239" t="s">
        <v>290</v>
      </c>
      <c r="E31" s="240"/>
      <c r="F31" s="259">
        <v>4.41</v>
      </c>
      <c r="G31" s="263"/>
      <c r="H31" s="261">
        <v>4</v>
      </c>
      <c r="I31" s="253"/>
      <c r="J31" s="262">
        <f t="shared" si="0"/>
        <v>8.41</v>
      </c>
      <c r="L31" s="259">
        <v>4.41</v>
      </c>
      <c r="M31" s="263"/>
      <c r="N31" s="261">
        <v>4.7699999999999996</v>
      </c>
      <c r="O31" s="253"/>
      <c r="P31" s="262">
        <f t="shared" si="1"/>
        <v>9.18</v>
      </c>
    </row>
    <row r="32" spans="3:16" ht="15.75">
      <c r="C32" s="233"/>
      <c r="D32" s="239" t="s">
        <v>216</v>
      </c>
      <c r="E32" s="240"/>
      <c r="F32" s="259">
        <v>3.65</v>
      </c>
      <c r="G32" s="263"/>
      <c r="H32" s="261">
        <v>4.5</v>
      </c>
      <c r="I32" s="253"/>
      <c r="J32" s="262">
        <f t="shared" si="0"/>
        <v>8.15</v>
      </c>
      <c r="L32" s="259">
        <v>3.65</v>
      </c>
      <c r="M32" s="263"/>
      <c r="N32" s="261">
        <v>4.3</v>
      </c>
      <c r="O32" s="253"/>
      <c r="P32" s="262">
        <f t="shared" si="1"/>
        <v>7.9499999999999993</v>
      </c>
    </row>
    <row r="33" spans="3:16" ht="15.75">
      <c r="C33" s="233"/>
      <c r="D33" s="239" t="s">
        <v>296</v>
      </c>
      <c r="E33" s="240"/>
      <c r="F33" s="259">
        <v>5.27</v>
      </c>
      <c r="G33" s="263"/>
      <c r="H33" s="261">
        <v>5.5</v>
      </c>
      <c r="I33" s="253"/>
      <c r="J33" s="262">
        <f t="shared" si="0"/>
        <v>10.77</v>
      </c>
      <c r="L33" s="259">
        <v>5.27</v>
      </c>
      <c r="M33" s="263"/>
      <c r="N33" s="261">
        <v>1.8</v>
      </c>
      <c r="O33" s="253"/>
      <c r="P33" s="262">
        <f t="shared" si="1"/>
        <v>7.0699999999999994</v>
      </c>
    </row>
    <row r="34" spans="3:16" ht="15.75">
      <c r="C34" s="233"/>
      <c r="D34" s="239" t="s">
        <v>406</v>
      </c>
      <c r="E34" s="240"/>
      <c r="F34" s="259">
        <v>4.84</v>
      </c>
      <c r="G34" s="263"/>
      <c r="H34" s="261">
        <v>4</v>
      </c>
      <c r="I34" s="253"/>
      <c r="J34" s="262">
        <f t="shared" si="0"/>
        <v>8.84</v>
      </c>
      <c r="L34" s="259">
        <v>4.84</v>
      </c>
      <c r="M34" s="263"/>
      <c r="N34" s="261">
        <v>4.49</v>
      </c>
      <c r="O34" s="253"/>
      <c r="P34" s="262">
        <f t="shared" si="1"/>
        <v>9.33</v>
      </c>
    </row>
    <row r="35" spans="3:16" ht="15.75">
      <c r="C35" s="233"/>
      <c r="D35" s="239" t="s">
        <v>407</v>
      </c>
      <c r="E35" s="240"/>
      <c r="F35" s="259">
        <v>4.07</v>
      </c>
      <c r="G35" s="263"/>
      <c r="H35" s="261">
        <v>5.5</v>
      </c>
      <c r="I35" s="253"/>
      <c r="J35" s="262">
        <f t="shared" si="0"/>
        <v>9.57</v>
      </c>
      <c r="L35" s="259">
        <v>4.07</v>
      </c>
      <c r="M35" s="263"/>
      <c r="N35" s="261">
        <v>6.3</v>
      </c>
      <c r="O35" s="253"/>
      <c r="P35" s="262">
        <f t="shared" si="1"/>
        <v>10.370000000000001</v>
      </c>
    </row>
    <row r="36" spans="3:16" ht="15.75">
      <c r="C36" s="233"/>
      <c r="D36" s="239" t="s">
        <v>10</v>
      </c>
      <c r="E36" s="240"/>
      <c r="F36" s="259">
        <v>4.9000000000000004</v>
      </c>
      <c r="G36" s="263"/>
      <c r="H36" s="261">
        <v>5.5</v>
      </c>
      <c r="I36" s="253"/>
      <c r="J36" s="262">
        <f t="shared" si="0"/>
        <v>10.4</v>
      </c>
      <c r="L36" s="259">
        <v>4.9000000000000004</v>
      </c>
      <c r="M36" s="263"/>
      <c r="N36" s="261">
        <v>5</v>
      </c>
      <c r="O36" s="253"/>
      <c r="P36" s="262">
        <f t="shared" si="1"/>
        <v>9.9</v>
      </c>
    </row>
    <row r="37" spans="3:16" ht="15.75">
      <c r="C37" s="233"/>
      <c r="D37" s="239" t="s">
        <v>14</v>
      </c>
      <c r="E37" s="240"/>
      <c r="F37" s="259">
        <v>3.55</v>
      </c>
      <c r="G37" s="263"/>
      <c r="H37" s="261">
        <v>6.5</v>
      </c>
      <c r="I37" s="253"/>
      <c r="J37" s="262">
        <f t="shared" si="0"/>
        <v>10.050000000000001</v>
      </c>
      <c r="L37" s="259">
        <v>3.55</v>
      </c>
      <c r="M37" s="263"/>
      <c r="N37" s="261">
        <v>5.42</v>
      </c>
      <c r="O37" s="253"/>
      <c r="P37" s="262">
        <f t="shared" si="1"/>
        <v>8.9699999999999989</v>
      </c>
    </row>
    <row r="38" spans="3:16" ht="15.75">
      <c r="C38" s="233"/>
      <c r="D38" s="239" t="s">
        <v>408</v>
      </c>
      <c r="E38" s="240"/>
      <c r="F38" s="259">
        <v>4.1100000000000003</v>
      </c>
      <c r="G38" s="263"/>
      <c r="H38" s="261">
        <v>6</v>
      </c>
      <c r="I38" s="253"/>
      <c r="J38" s="262">
        <f t="shared" si="0"/>
        <v>10.11</v>
      </c>
      <c r="L38" s="259">
        <v>4.1100000000000003</v>
      </c>
      <c r="M38" s="263"/>
      <c r="N38" s="261">
        <v>4.91</v>
      </c>
      <c r="O38" s="253"/>
      <c r="P38" s="262">
        <f t="shared" si="1"/>
        <v>9.02</v>
      </c>
    </row>
    <row r="39" spans="3:16" ht="15.75">
      <c r="C39" s="233"/>
      <c r="D39" s="242"/>
      <c r="E39" s="240"/>
      <c r="F39" s="264"/>
      <c r="G39" s="265"/>
      <c r="H39" s="266"/>
      <c r="I39" s="253"/>
      <c r="J39" s="267"/>
      <c r="L39" s="264"/>
      <c r="M39" s="265"/>
      <c r="N39" s="266"/>
      <c r="O39" s="253"/>
      <c r="P39" s="267"/>
    </row>
    <row r="40" spans="3:16" ht="15.75">
      <c r="C40" s="233"/>
      <c r="D40" s="243" t="s">
        <v>409</v>
      </c>
      <c r="E40" s="244"/>
      <c r="F40" s="268">
        <f>AVERAGE(F14:F38)</f>
        <v>4.3233333333333333</v>
      </c>
      <c r="G40" s="269"/>
      <c r="H40" s="269">
        <f>AVERAGE(H14:H38)</f>
        <v>5.270833333333333</v>
      </c>
      <c r="I40" s="270"/>
      <c r="J40" s="271">
        <f>AVERAGE(J15:J38)</f>
        <v>9.5941666666666681</v>
      </c>
      <c r="L40" s="268">
        <f>AVERAGE(L14:L38)</f>
        <v>4.3233333333333333</v>
      </c>
      <c r="M40" s="269"/>
      <c r="N40" s="269">
        <f>AVERAGE(N14:N38)</f>
        <v>4.8983333333333325</v>
      </c>
      <c r="O40" s="270"/>
      <c r="P40" s="271">
        <f>AVERAGE(P15:P38)</f>
        <v>9.2216666666666693</v>
      </c>
    </row>
    <row r="42" spans="3:16">
      <c r="D42" s="228" t="s">
        <v>423</v>
      </c>
      <c r="J42" s="245">
        <f>MEDIAN(J15:J38)</f>
        <v>9.4349999999999987</v>
      </c>
      <c r="P42" s="245">
        <f>MEDIAN(P15:P38)</f>
        <v>9.3449999999999989</v>
      </c>
    </row>
    <row r="45" spans="3:16">
      <c r="D45" s="175" t="s">
        <v>413</v>
      </c>
    </row>
  </sheetData>
  <mergeCells count="2">
    <mergeCell ref="F10:J10"/>
    <mergeCell ref="L10:P10"/>
  </mergeCells>
  <phoneticPr fontId="1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workbookViewId="0">
      <selection activeCell="I8" sqref="I8"/>
    </sheetView>
  </sheetViews>
  <sheetFormatPr defaultColWidth="10.85546875" defaultRowHeight="12.75"/>
  <cols>
    <col min="1" max="16384" width="10.85546875" style="274"/>
  </cols>
  <sheetData>
    <row r="1" spans="2:23">
      <c r="G1" s="227" t="s">
        <v>538</v>
      </c>
    </row>
    <row r="2" spans="2:23">
      <c r="G2" s="294" t="s">
        <v>556</v>
      </c>
    </row>
    <row r="6" spans="2:23" s="136" customFormat="1">
      <c r="B6" s="274"/>
      <c r="C6" s="274"/>
      <c r="D6" s="168" t="s">
        <v>95</v>
      </c>
    </row>
    <row r="7" spans="2:23">
      <c r="B7" s="136"/>
      <c r="C7" s="136"/>
      <c r="D7" s="13" t="s">
        <v>96</v>
      </c>
    </row>
    <row r="10" spans="2:23" s="136" customFormat="1">
      <c r="B10" s="274"/>
      <c r="C10" s="274"/>
      <c r="D10" s="168" t="s">
        <v>97</v>
      </c>
      <c r="N10" s="136" t="s">
        <v>105</v>
      </c>
      <c r="U10" s="136" t="s">
        <v>510</v>
      </c>
    </row>
    <row r="12" spans="2:23" s="136" customFormat="1">
      <c r="B12" s="174"/>
      <c r="C12" s="174"/>
      <c r="D12" s="174"/>
      <c r="E12" s="174"/>
      <c r="F12" s="174"/>
    </row>
    <row r="13" spans="2:23" s="136" customFormat="1">
      <c r="B13" s="174" t="s">
        <v>112</v>
      </c>
      <c r="C13" s="174" t="s">
        <v>113</v>
      </c>
      <c r="D13" s="174" t="s">
        <v>114</v>
      </c>
      <c r="E13" s="174" t="s">
        <v>115</v>
      </c>
      <c r="F13" s="174" t="s">
        <v>116</v>
      </c>
      <c r="H13"/>
      <c r="I13"/>
      <c r="J13"/>
      <c r="K13"/>
      <c r="L13" s="174" t="s">
        <v>112</v>
      </c>
      <c r="M13" s="174" t="s">
        <v>113</v>
      </c>
      <c r="N13" s="174" t="s">
        <v>114</v>
      </c>
      <c r="O13" s="174" t="s">
        <v>115</v>
      </c>
      <c r="P13" s="174" t="s">
        <v>116</v>
      </c>
      <c r="S13" s="273" t="s">
        <v>112</v>
      </c>
      <c r="T13" s="273" t="s">
        <v>86</v>
      </c>
      <c r="U13" s="273" t="s">
        <v>87</v>
      </c>
      <c r="V13" s="273" t="s">
        <v>88</v>
      </c>
      <c r="W13" s="273" t="s">
        <v>89</v>
      </c>
    </row>
    <row r="14" spans="2:23" s="136" customFormat="1">
      <c r="B14" s="174"/>
      <c r="C14" s="174"/>
      <c r="D14" s="174"/>
      <c r="E14" s="174"/>
      <c r="F14" s="174"/>
      <c r="H14"/>
      <c r="I14"/>
      <c r="J14"/>
      <c r="K14"/>
      <c r="L14" s="174"/>
      <c r="M14" s="174"/>
      <c r="N14" s="174"/>
      <c r="O14" s="174"/>
      <c r="P14" s="174"/>
      <c r="S14" s="273"/>
      <c r="T14" s="273"/>
      <c r="U14" s="273"/>
      <c r="V14" s="273"/>
      <c r="W14" s="273"/>
    </row>
    <row r="15" spans="2:23">
      <c r="B15" s="174" t="s">
        <v>117</v>
      </c>
      <c r="C15" s="276">
        <v>0.6</v>
      </c>
      <c r="D15" s="39">
        <v>0.09</v>
      </c>
      <c r="E15" s="277">
        <f>C15*D15</f>
        <v>5.3999999999999999E-2</v>
      </c>
      <c r="F15" s="277">
        <f>E15</f>
        <v>5.3999999999999999E-2</v>
      </c>
      <c r="H15"/>
      <c r="I15"/>
      <c r="J15"/>
      <c r="K15"/>
      <c r="L15" s="174" t="s">
        <v>117</v>
      </c>
      <c r="M15" s="276">
        <v>0.6</v>
      </c>
      <c r="N15" s="39">
        <v>0.09</v>
      </c>
      <c r="O15" s="277">
        <f>M15*N15</f>
        <v>5.3999999999999999E-2</v>
      </c>
      <c r="P15" s="277">
        <f>O15</f>
        <v>5.3999999999999999E-2</v>
      </c>
      <c r="S15" s="273" t="s">
        <v>90</v>
      </c>
      <c r="T15" s="276">
        <v>0.6</v>
      </c>
      <c r="U15" s="39">
        <v>0.09</v>
      </c>
      <c r="V15" s="277">
        <f>T15*U15</f>
        <v>5.3999999999999999E-2</v>
      </c>
      <c r="W15" s="277">
        <f>V15</f>
        <v>5.3999999999999999E-2</v>
      </c>
    </row>
    <row r="16" spans="2:23">
      <c r="B16" s="275"/>
      <c r="C16" s="277"/>
      <c r="D16" s="277"/>
      <c r="E16" s="277"/>
      <c r="F16" s="277"/>
      <c r="H16"/>
      <c r="I16"/>
      <c r="J16"/>
      <c r="K16"/>
      <c r="L16" s="275"/>
      <c r="M16" s="277"/>
      <c r="N16" s="277"/>
      <c r="O16" s="277"/>
      <c r="P16" s="277"/>
      <c r="S16" s="275"/>
      <c r="T16" s="277"/>
      <c r="U16" s="277"/>
      <c r="V16" s="277"/>
      <c r="W16" s="277"/>
    </row>
    <row r="17" spans="2:23">
      <c r="B17" s="275" t="s">
        <v>118</v>
      </c>
      <c r="C17" s="277">
        <v>0.4</v>
      </c>
      <c r="D17" s="277">
        <v>0.05</v>
      </c>
      <c r="E17" s="20">
        <v>0.02</v>
      </c>
      <c r="F17" s="20">
        <f>E17*0.65</f>
        <v>1.3000000000000001E-2</v>
      </c>
      <c r="H17"/>
      <c r="I17"/>
      <c r="J17"/>
      <c r="K17"/>
      <c r="L17" s="275" t="s">
        <v>118</v>
      </c>
      <c r="M17" s="277">
        <v>0.4</v>
      </c>
      <c r="N17" s="277">
        <v>0.05</v>
      </c>
      <c r="O17" s="20">
        <v>0.02</v>
      </c>
      <c r="P17" s="20">
        <f>O17*0.65</f>
        <v>1.3000000000000001E-2</v>
      </c>
      <c r="S17" s="275" t="s">
        <v>91</v>
      </c>
      <c r="T17" s="277">
        <v>0.4</v>
      </c>
      <c r="U17" s="277">
        <v>0.05</v>
      </c>
      <c r="V17" s="20">
        <v>0.02</v>
      </c>
      <c r="W17" s="20">
        <f>V17*0.65</f>
        <v>1.3000000000000001E-2</v>
      </c>
    </row>
    <row r="18" spans="2:23">
      <c r="B18" s="275"/>
      <c r="C18" s="277"/>
      <c r="D18" s="277"/>
      <c r="E18" s="277"/>
      <c r="F18" s="277"/>
      <c r="H18"/>
      <c r="I18"/>
      <c r="J18"/>
      <c r="K18"/>
      <c r="L18" s="275"/>
      <c r="M18" s="277"/>
      <c r="N18" s="277"/>
      <c r="O18" s="277"/>
      <c r="P18" s="277"/>
      <c r="S18" s="275"/>
      <c r="T18" s="277"/>
      <c r="U18" s="277"/>
      <c r="V18" s="277"/>
      <c r="W18" s="277"/>
    </row>
    <row r="19" spans="2:23" s="136" customFormat="1">
      <c r="B19" s="275"/>
      <c r="C19" s="277"/>
      <c r="D19" s="277"/>
      <c r="E19" s="277">
        <f>E15+E17</f>
        <v>7.3999999999999996E-2</v>
      </c>
      <c r="F19" s="278">
        <f>F15+F17</f>
        <v>6.7000000000000004E-2</v>
      </c>
      <c r="H19"/>
      <c r="I19"/>
      <c r="J19"/>
      <c r="K19"/>
      <c r="L19" s="275"/>
      <c r="M19" s="277"/>
      <c r="N19" s="277"/>
      <c r="O19" s="277">
        <f>O15+O17</f>
        <v>7.3999999999999996E-2</v>
      </c>
      <c r="P19" s="278">
        <f>P15+P17</f>
        <v>6.7000000000000004E-2</v>
      </c>
      <c r="S19" s="275"/>
      <c r="T19" s="277"/>
      <c r="U19" s="277"/>
      <c r="V19" s="277">
        <f>V15+V17</f>
        <v>7.3999999999999996E-2</v>
      </c>
      <c r="W19" s="278">
        <f>W15+W17</f>
        <v>6.7000000000000004E-2</v>
      </c>
    </row>
    <row r="20" spans="2:23">
      <c r="H20"/>
      <c r="I20"/>
      <c r="J20"/>
      <c r="K20"/>
    </row>
    <row r="21" spans="2:23">
      <c r="H21"/>
      <c r="I21"/>
      <c r="J21"/>
      <c r="K21"/>
    </row>
    <row r="22" spans="2:23">
      <c r="B22" s="136"/>
      <c r="C22" s="136"/>
      <c r="D22" s="13" t="s">
        <v>98</v>
      </c>
      <c r="H22"/>
      <c r="I22"/>
      <c r="J22"/>
      <c r="K22"/>
      <c r="L22" s="136"/>
      <c r="M22" s="136"/>
      <c r="N22" s="13" t="s">
        <v>106</v>
      </c>
      <c r="S22" s="136"/>
      <c r="T22" s="136"/>
      <c r="U22" s="13" t="s">
        <v>511</v>
      </c>
    </row>
    <row r="23" spans="2:23">
      <c r="D23" s="275"/>
      <c r="H23"/>
      <c r="I23"/>
      <c r="J23"/>
      <c r="K23"/>
      <c r="N23" s="275"/>
      <c r="U23" s="275"/>
    </row>
    <row r="24" spans="2:23">
      <c r="C24" s="275"/>
      <c r="D24" s="275"/>
      <c r="E24" s="275"/>
      <c r="F24" s="275"/>
      <c r="H24"/>
      <c r="I24"/>
      <c r="J24"/>
      <c r="K24"/>
      <c r="M24" s="275"/>
      <c r="N24" s="275"/>
      <c r="O24" s="275"/>
      <c r="P24" s="275"/>
      <c r="T24" s="275"/>
      <c r="U24" s="275"/>
      <c r="V24" s="275"/>
      <c r="W24" s="275"/>
    </row>
    <row r="25" spans="2:23">
      <c r="B25" s="275" t="s">
        <v>107</v>
      </c>
      <c r="C25" s="275" t="s">
        <v>108</v>
      </c>
      <c r="D25" s="275" t="s">
        <v>109</v>
      </c>
      <c r="E25" s="275" t="s">
        <v>110</v>
      </c>
      <c r="F25" s="275" t="s">
        <v>119</v>
      </c>
      <c r="H25"/>
      <c r="I25"/>
      <c r="J25"/>
      <c r="K25"/>
      <c r="L25" s="275" t="s">
        <v>107</v>
      </c>
      <c r="M25" s="275" t="s">
        <v>108</v>
      </c>
      <c r="N25" s="275" t="s">
        <v>109</v>
      </c>
      <c r="O25" s="275" t="s">
        <v>110</v>
      </c>
      <c r="P25" s="275" t="s">
        <v>119</v>
      </c>
      <c r="S25" s="275" t="s">
        <v>107</v>
      </c>
      <c r="T25" s="275" t="s">
        <v>108</v>
      </c>
      <c r="U25" s="275" t="s">
        <v>109</v>
      </c>
      <c r="V25" s="275" t="s">
        <v>110</v>
      </c>
      <c r="W25" s="275" t="s">
        <v>89</v>
      </c>
    </row>
    <row r="26" spans="2:23">
      <c r="B26" s="275"/>
      <c r="C26" s="275"/>
      <c r="D26" s="275"/>
      <c r="E26" s="275"/>
      <c r="F26" s="275"/>
      <c r="H26"/>
      <c r="I26"/>
      <c r="J26"/>
      <c r="K26"/>
      <c r="L26" s="275"/>
      <c r="M26" s="275"/>
      <c r="N26" s="275"/>
      <c r="O26" s="275"/>
      <c r="P26" s="275"/>
      <c r="S26" s="275"/>
      <c r="T26" s="275"/>
      <c r="U26" s="275"/>
      <c r="V26" s="275"/>
      <c r="W26" s="275"/>
    </row>
    <row r="27" spans="2:23" s="136" customFormat="1">
      <c r="B27" s="275" t="s">
        <v>412</v>
      </c>
      <c r="C27" s="277">
        <v>0.6</v>
      </c>
      <c r="D27" s="278">
        <f>E27/C27</f>
        <v>8.3166666666666667E-2</v>
      </c>
      <c r="E27" s="276">
        <f>F27</f>
        <v>4.99E-2</v>
      </c>
      <c r="F27" s="276">
        <f>F31-F29</f>
        <v>4.99E-2</v>
      </c>
      <c r="H27"/>
      <c r="I27"/>
      <c r="J27"/>
      <c r="K27"/>
      <c r="L27" s="275" t="s">
        <v>412</v>
      </c>
      <c r="M27" s="277">
        <v>0.6</v>
      </c>
      <c r="N27" s="278">
        <f>O27/M27</f>
        <v>8.5833333333333345E-2</v>
      </c>
      <c r="O27" s="276">
        <f>P27</f>
        <v>5.1500000000000004E-2</v>
      </c>
      <c r="P27" s="276">
        <f>P31-P29</f>
        <v>5.1500000000000004E-2</v>
      </c>
      <c r="S27" s="275" t="s">
        <v>412</v>
      </c>
      <c r="T27" s="277">
        <v>0.6</v>
      </c>
      <c r="U27" s="278">
        <f>V27/T27</f>
        <v>8.8666666666666685E-2</v>
      </c>
      <c r="V27" s="276">
        <f>W27</f>
        <v>5.3200000000000011E-2</v>
      </c>
      <c r="W27" s="276">
        <f>W31-W29</f>
        <v>5.3200000000000011E-2</v>
      </c>
    </row>
    <row r="28" spans="2:23" s="136" customFormat="1">
      <c r="B28" s="174"/>
      <c r="C28" s="276"/>
      <c r="D28" s="276"/>
      <c r="E28" s="276"/>
      <c r="F28" s="276"/>
      <c r="H28"/>
      <c r="I28"/>
      <c r="J28"/>
      <c r="K28"/>
      <c r="L28" s="174"/>
      <c r="M28" s="276"/>
      <c r="N28" s="276"/>
      <c r="O28" s="276"/>
      <c r="P28" s="276"/>
      <c r="S28" s="273"/>
      <c r="T28" s="276"/>
      <c r="U28" s="276"/>
      <c r="V28" s="276"/>
      <c r="W28" s="276"/>
    </row>
    <row r="29" spans="2:23">
      <c r="B29" s="174" t="s">
        <v>111</v>
      </c>
      <c r="C29" s="276">
        <v>0.4</v>
      </c>
      <c r="D29" s="276">
        <v>0.05</v>
      </c>
      <c r="E29" s="20">
        <v>0.02</v>
      </c>
      <c r="F29" s="20">
        <f>E29*0.65</f>
        <v>1.3000000000000001E-2</v>
      </c>
      <c r="H29"/>
      <c r="I29"/>
      <c r="J29"/>
      <c r="K29"/>
      <c r="L29" s="174" t="s">
        <v>111</v>
      </c>
      <c r="M29" s="276">
        <v>0.4</v>
      </c>
      <c r="N29" s="276">
        <v>0.05</v>
      </c>
      <c r="O29" s="20">
        <v>0.02</v>
      </c>
      <c r="P29" s="20">
        <f>O29*0.65</f>
        <v>1.3000000000000001E-2</v>
      </c>
      <c r="S29" s="273" t="s">
        <v>111</v>
      </c>
      <c r="T29" s="276">
        <v>0.4</v>
      </c>
      <c r="U29" s="276">
        <v>0.05</v>
      </c>
      <c r="V29" s="20">
        <v>0.02</v>
      </c>
      <c r="W29" s="20">
        <f>V29*0.65</f>
        <v>1.3000000000000001E-2</v>
      </c>
    </row>
    <row r="30" spans="2:23">
      <c r="B30" s="275"/>
      <c r="C30" s="277"/>
      <c r="D30" s="277"/>
      <c r="E30" s="277"/>
      <c r="F30" s="277"/>
      <c r="H30"/>
      <c r="I30"/>
      <c r="J30"/>
      <c r="K30"/>
      <c r="L30" s="275"/>
      <c r="M30" s="277"/>
      <c r="N30" s="277"/>
      <c r="O30" s="277"/>
      <c r="P30" s="277"/>
      <c r="S30" s="275"/>
      <c r="T30" s="277"/>
      <c r="U30" s="277"/>
      <c r="V30" s="277"/>
      <c r="W30" s="277"/>
    </row>
    <row r="31" spans="2:23" s="136" customFormat="1">
      <c r="B31" s="275"/>
      <c r="C31" s="277"/>
      <c r="D31" s="277"/>
      <c r="E31" s="277">
        <f>E27+E29</f>
        <v>6.9900000000000004E-2</v>
      </c>
      <c r="F31" s="278">
        <f>F19-0.0041</f>
        <v>6.2899999999999998E-2</v>
      </c>
      <c r="H31"/>
      <c r="I31"/>
      <c r="J31"/>
      <c r="K31"/>
      <c r="L31" s="275"/>
      <c r="M31" s="277"/>
      <c r="N31" s="277"/>
      <c r="O31" s="277">
        <f>O27+O29</f>
        <v>7.1500000000000008E-2</v>
      </c>
      <c r="P31" s="278">
        <f>P19-0.0025</f>
        <v>6.4500000000000002E-2</v>
      </c>
      <c r="S31" s="275"/>
      <c r="T31" s="277"/>
      <c r="U31" s="277"/>
      <c r="V31" s="277">
        <f>V27+V29</f>
        <v>7.3200000000000015E-2</v>
      </c>
      <c r="W31" s="278">
        <f>W19-0.0008</f>
        <v>6.6200000000000009E-2</v>
      </c>
    </row>
    <row r="32" spans="2:23">
      <c r="H32"/>
      <c r="I32"/>
      <c r="J32"/>
      <c r="K32"/>
    </row>
    <row r="33" spans="2:21">
      <c r="B33" s="136"/>
      <c r="C33" s="136"/>
      <c r="D33" s="13" t="s">
        <v>101</v>
      </c>
      <c r="H33"/>
      <c r="I33"/>
      <c r="J33"/>
      <c r="K33"/>
      <c r="L33" s="136"/>
      <c r="M33" s="136"/>
      <c r="N33" s="13" t="s">
        <v>104</v>
      </c>
      <c r="S33" s="136"/>
      <c r="T33" s="136"/>
      <c r="U33" s="13" t="s">
        <v>512</v>
      </c>
    </row>
    <row r="34" spans="2:21">
      <c r="H34"/>
      <c r="I34"/>
      <c r="J34"/>
      <c r="K34"/>
    </row>
    <row r="35" spans="2:21">
      <c r="H35"/>
      <c r="I35"/>
      <c r="J35"/>
      <c r="K35"/>
    </row>
    <row r="36" spans="2:21" s="136" customFormat="1">
      <c r="B36" s="274"/>
      <c r="C36" s="274"/>
      <c r="D36" s="168" t="s">
        <v>100</v>
      </c>
      <c r="H36"/>
      <c r="I36"/>
      <c r="J36"/>
      <c r="K36"/>
      <c r="L36"/>
      <c r="M36"/>
      <c r="N36"/>
      <c r="O36"/>
      <c r="P36"/>
    </row>
    <row r="37" spans="2:21" s="136" customFormat="1">
      <c r="D37" s="174"/>
      <c r="H37"/>
      <c r="I37"/>
      <c r="J37"/>
      <c r="K37"/>
      <c r="L37"/>
      <c r="M37"/>
      <c r="N37"/>
      <c r="O37"/>
      <c r="P37"/>
    </row>
    <row r="38" spans="2:21" s="136" customFormat="1">
      <c r="B38" s="174"/>
      <c r="C38" s="174"/>
      <c r="D38" s="174"/>
      <c r="E38" s="174"/>
      <c r="F38" s="174"/>
      <c r="G38" s="279"/>
      <c r="H38"/>
      <c r="I38"/>
      <c r="J38"/>
      <c r="K38"/>
      <c r="L38"/>
      <c r="M38"/>
      <c r="N38"/>
      <c r="O38"/>
      <c r="P38"/>
    </row>
    <row r="39" spans="2:21" s="136" customFormat="1">
      <c r="B39" s="174" t="s">
        <v>120</v>
      </c>
      <c r="C39" s="174" t="s">
        <v>86</v>
      </c>
      <c r="D39" s="174" t="s">
        <v>87</v>
      </c>
      <c r="E39" s="174" t="s">
        <v>88</v>
      </c>
      <c r="F39" s="174" t="s">
        <v>89</v>
      </c>
      <c r="H39"/>
      <c r="I39"/>
      <c r="J39"/>
      <c r="K39"/>
      <c r="L39"/>
      <c r="M39"/>
      <c r="N39"/>
      <c r="O39"/>
      <c r="P39"/>
    </row>
    <row r="40" spans="2:21" s="136" customFormat="1">
      <c r="B40" s="174"/>
      <c r="C40" s="174"/>
      <c r="D40" s="174"/>
      <c r="E40" s="174"/>
      <c r="F40" s="174"/>
      <c r="H40"/>
      <c r="I40"/>
      <c r="J40"/>
      <c r="K40"/>
      <c r="L40"/>
      <c r="M40"/>
      <c r="N40"/>
      <c r="O40"/>
      <c r="P40"/>
    </row>
    <row r="41" spans="2:21">
      <c r="B41" s="174" t="s">
        <v>90</v>
      </c>
      <c r="C41" s="276">
        <v>0.6</v>
      </c>
      <c r="D41" s="39">
        <f>E41/C41</f>
        <v>8.1833333333333341E-2</v>
      </c>
      <c r="E41" s="277">
        <f>F41</f>
        <v>4.9100000000000005E-2</v>
      </c>
      <c r="F41" s="277">
        <f>F45-F43</f>
        <v>4.9100000000000005E-2</v>
      </c>
      <c r="H41"/>
      <c r="I41"/>
      <c r="J41"/>
      <c r="K41"/>
      <c r="L41"/>
      <c r="M41"/>
      <c r="N41"/>
      <c r="O41"/>
      <c r="P41"/>
    </row>
    <row r="42" spans="2:21">
      <c r="B42" s="275"/>
      <c r="C42" s="277"/>
      <c r="D42" s="277"/>
      <c r="E42" s="277"/>
      <c r="F42" s="277"/>
      <c r="H42"/>
      <c r="I42"/>
      <c r="J42"/>
      <c r="K42"/>
      <c r="L42"/>
      <c r="M42"/>
      <c r="N42"/>
      <c r="O42"/>
      <c r="P42"/>
    </row>
    <row r="43" spans="2:21">
      <c r="B43" s="275" t="s">
        <v>91</v>
      </c>
      <c r="C43" s="277">
        <v>0.4</v>
      </c>
      <c r="D43" s="277">
        <v>0.05</v>
      </c>
      <c r="E43" s="20">
        <v>0.02</v>
      </c>
      <c r="F43" s="20">
        <f>E43*0.65</f>
        <v>1.3000000000000001E-2</v>
      </c>
      <c r="H43"/>
      <c r="I43"/>
      <c r="J43"/>
      <c r="K43"/>
      <c r="L43"/>
      <c r="M43"/>
      <c r="N43"/>
      <c r="O43"/>
      <c r="P43"/>
    </row>
    <row r="44" spans="2:21">
      <c r="B44" s="275"/>
      <c r="C44" s="277"/>
      <c r="D44" s="277"/>
      <c r="E44" s="277"/>
      <c r="F44" s="277"/>
      <c r="H44"/>
      <c r="I44"/>
      <c r="J44"/>
      <c r="K44"/>
      <c r="L44"/>
      <c r="M44"/>
      <c r="N44"/>
      <c r="O44"/>
      <c r="P44"/>
    </row>
    <row r="45" spans="2:21" s="136" customFormat="1">
      <c r="B45" s="275"/>
      <c r="C45" s="277"/>
      <c r="D45" s="277"/>
      <c r="E45" s="277">
        <f>E41+E43</f>
        <v>6.9100000000000009E-2</v>
      </c>
      <c r="F45" s="278">
        <f>F19-0.0049</f>
        <v>6.2100000000000002E-2</v>
      </c>
      <c r="H45"/>
      <c r="I45"/>
      <c r="J45"/>
      <c r="K45"/>
      <c r="L45"/>
      <c r="M45"/>
      <c r="N45"/>
      <c r="O45"/>
      <c r="P45"/>
    </row>
    <row r="46" spans="2:21">
      <c r="H46"/>
      <c r="I46"/>
      <c r="J46"/>
      <c r="K46"/>
      <c r="L46"/>
      <c r="M46"/>
      <c r="N46"/>
      <c r="O46"/>
      <c r="P46"/>
    </row>
    <row r="47" spans="2:21">
      <c r="B47" s="136"/>
      <c r="C47" s="136"/>
      <c r="D47" s="13" t="s">
        <v>102</v>
      </c>
      <c r="H47"/>
      <c r="I47"/>
      <c r="J47"/>
      <c r="K47"/>
      <c r="L47"/>
      <c r="M47"/>
      <c r="N47"/>
      <c r="O47"/>
      <c r="P47"/>
    </row>
    <row r="48" spans="2:21">
      <c r="H48"/>
      <c r="I48"/>
      <c r="J48"/>
      <c r="K48"/>
      <c r="L48"/>
      <c r="M48"/>
      <c r="N48"/>
      <c r="O48"/>
      <c r="P48"/>
    </row>
    <row r="50" spans="2:3">
      <c r="B50" s="274" t="s">
        <v>92</v>
      </c>
      <c r="C50" s="274" t="s">
        <v>99</v>
      </c>
    </row>
    <row r="51" spans="2:3">
      <c r="C51" s="274" t="s">
        <v>93</v>
      </c>
    </row>
    <row r="52" spans="2:3">
      <c r="C52" s="274" t="s">
        <v>103</v>
      </c>
    </row>
    <row r="53" spans="2:3">
      <c r="C53" s="274" t="s">
        <v>94</v>
      </c>
    </row>
  </sheetData>
  <phoneticPr fontId="2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topLeftCell="A445" workbookViewId="0">
      <selection activeCell="B492" sqref="B492:G521"/>
    </sheetView>
  </sheetViews>
  <sheetFormatPr defaultColWidth="11.42578125" defaultRowHeight="12.75"/>
  <cols>
    <col min="1" max="1" width="10.85546875" style="54" customWidth="1"/>
  </cols>
  <sheetData>
    <row r="1" spans="1:10" s="57" customFormat="1" ht="12">
      <c r="A1" s="114" t="str">
        <f>[1]DATA!A5</f>
        <v>SO</v>
      </c>
      <c r="B1" s="71" t="s">
        <v>304</v>
      </c>
      <c r="C1" s="71" t="s">
        <v>305</v>
      </c>
      <c r="D1" s="71" t="s">
        <v>521</v>
      </c>
      <c r="E1" s="71" t="s">
        <v>522</v>
      </c>
      <c r="F1" s="71" t="s">
        <v>523</v>
      </c>
      <c r="G1" s="71" t="s">
        <v>439</v>
      </c>
    </row>
    <row r="2" spans="1:10" s="57" customFormat="1" ht="12">
      <c r="A2" s="114"/>
      <c r="B2" s="61">
        <v>39984</v>
      </c>
      <c r="C2">
        <v>43.15</v>
      </c>
      <c r="D2">
        <v>43.59</v>
      </c>
      <c r="E2">
        <v>42.33</v>
      </c>
      <c r="F2">
        <v>43.1</v>
      </c>
      <c r="G2">
        <v>9914300</v>
      </c>
      <c r="H2"/>
    </row>
    <row r="3" spans="1:10" s="57" customFormat="1" ht="12">
      <c r="A3" s="114"/>
      <c r="B3" s="61">
        <v>39983</v>
      </c>
      <c r="C3">
        <v>43.42</v>
      </c>
      <c r="D3">
        <v>43.53</v>
      </c>
      <c r="E3">
        <v>42.32</v>
      </c>
      <c r="F3">
        <v>42.48</v>
      </c>
      <c r="G3">
        <v>6965400</v>
      </c>
      <c r="H3"/>
    </row>
    <row r="4" spans="1:10" s="57" customFormat="1" ht="12">
      <c r="A4" s="114"/>
      <c r="B4" s="61">
        <v>39982</v>
      </c>
      <c r="C4">
        <v>44.74</v>
      </c>
      <c r="D4">
        <v>44.75</v>
      </c>
      <c r="E4">
        <v>43.56</v>
      </c>
      <c r="F4">
        <v>43.57</v>
      </c>
      <c r="G4">
        <v>4637700</v>
      </c>
      <c r="H4"/>
    </row>
    <row r="5" spans="1:10" s="57" customFormat="1" ht="12">
      <c r="A5" s="114"/>
      <c r="B5" s="61">
        <v>39981</v>
      </c>
      <c r="C5">
        <v>44.63</v>
      </c>
      <c r="D5">
        <v>44.89</v>
      </c>
      <c r="E5">
        <v>44.45</v>
      </c>
      <c r="F5">
        <v>44.75</v>
      </c>
      <c r="G5">
        <v>3507100</v>
      </c>
      <c r="H5"/>
      <c r="J5" s="182">
        <v>40306</v>
      </c>
    </row>
    <row r="6" spans="1:10" s="57" customFormat="1" ht="12">
      <c r="A6" s="114"/>
      <c r="B6" s="61">
        <v>39980</v>
      </c>
      <c r="C6">
        <v>44.75</v>
      </c>
      <c r="D6">
        <v>45.06</v>
      </c>
      <c r="E6">
        <v>44.38</v>
      </c>
      <c r="F6">
        <v>44.52</v>
      </c>
      <c r="G6">
        <v>3550700</v>
      </c>
      <c r="H6"/>
      <c r="J6" s="182">
        <v>40349</v>
      </c>
    </row>
    <row r="7" spans="1:10" s="57" customFormat="1" ht="12">
      <c r="A7" s="114"/>
      <c r="B7" s="61">
        <v>39977</v>
      </c>
      <c r="C7">
        <v>44.59</v>
      </c>
      <c r="D7">
        <v>44.76</v>
      </c>
      <c r="E7">
        <v>44.38</v>
      </c>
      <c r="F7">
        <v>44.49</v>
      </c>
      <c r="G7">
        <v>4414300</v>
      </c>
      <c r="H7"/>
    </row>
    <row r="8" spans="1:10" s="57" customFormat="1" ht="12">
      <c r="A8" s="114"/>
      <c r="B8" s="61">
        <v>39976</v>
      </c>
      <c r="C8">
        <v>43.91</v>
      </c>
      <c r="D8">
        <v>44.66</v>
      </c>
      <c r="E8">
        <v>43.78</v>
      </c>
      <c r="F8">
        <v>44.65</v>
      </c>
      <c r="G8">
        <v>4084300</v>
      </c>
      <c r="H8"/>
    </row>
    <row r="9" spans="1:10" s="57" customFormat="1" ht="12">
      <c r="A9" s="114"/>
      <c r="B9" s="61">
        <v>39975</v>
      </c>
      <c r="C9">
        <v>44.46</v>
      </c>
      <c r="D9">
        <v>44.59</v>
      </c>
      <c r="E9">
        <v>43.8</v>
      </c>
      <c r="F9">
        <v>43.92</v>
      </c>
      <c r="G9">
        <v>3768700</v>
      </c>
      <c r="H9"/>
    </row>
    <row r="10" spans="1:10" s="57" customFormat="1" ht="12">
      <c r="A10" s="114"/>
      <c r="B10" s="61">
        <v>39974</v>
      </c>
      <c r="C10">
        <v>44.2</v>
      </c>
      <c r="D10">
        <v>44.61</v>
      </c>
      <c r="E10">
        <v>44.07</v>
      </c>
      <c r="F10">
        <v>44.26</v>
      </c>
      <c r="G10">
        <v>3773700</v>
      </c>
      <c r="H10"/>
    </row>
    <row r="11" spans="1:10" s="57" customFormat="1" ht="12">
      <c r="A11" s="114"/>
      <c r="B11" s="61">
        <v>39973</v>
      </c>
      <c r="C11">
        <v>44.47</v>
      </c>
      <c r="D11">
        <v>44.62</v>
      </c>
      <c r="E11">
        <v>44.18</v>
      </c>
      <c r="F11">
        <v>44.4</v>
      </c>
      <c r="G11">
        <v>3525300</v>
      </c>
      <c r="H11"/>
    </row>
    <row r="12" spans="1:10" s="57" customFormat="1" ht="12">
      <c r="A12" s="114"/>
      <c r="B12" s="61">
        <v>39970</v>
      </c>
      <c r="C12">
        <v>44.56</v>
      </c>
      <c r="D12">
        <v>44.86</v>
      </c>
      <c r="E12">
        <v>44.18</v>
      </c>
      <c r="F12">
        <v>44.44</v>
      </c>
      <c r="G12">
        <v>6141000</v>
      </c>
      <c r="H12"/>
    </row>
    <row r="13" spans="1:10" s="57" customFormat="1" ht="12">
      <c r="A13" s="114"/>
      <c r="B13" s="61">
        <v>39969</v>
      </c>
      <c r="C13">
        <v>43.85</v>
      </c>
      <c r="D13">
        <v>44.54</v>
      </c>
      <c r="E13">
        <v>43.7</v>
      </c>
      <c r="F13">
        <v>44.43</v>
      </c>
      <c r="G13">
        <v>6556700</v>
      </c>
      <c r="H13"/>
    </row>
    <row r="14" spans="1:10" s="57" customFormat="1" ht="12">
      <c r="A14" s="114"/>
      <c r="B14" s="61">
        <v>39968</v>
      </c>
      <c r="C14">
        <v>43.86</v>
      </c>
      <c r="D14">
        <v>43.93</v>
      </c>
      <c r="E14">
        <v>43.56</v>
      </c>
      <c r="F14">
        <v>43.69</v>
      </c>
      <c r="G14">
        <v>4568300</v>
      </c>
      <c r="H14"/>
    </row>
    <row r="15" spans="1:10" s="57" customFormat="1" ht="12">
      <c r="A15" s="114"/>
      <c r="B15" s="61">
        <v>39967</v>
      </c>
      <c r="C15">
        <v>44.01</v>
      </c>
      <c r="D15">
        <v>44.2</v>
      </c>
      <c r="E15">
        <v>43.68</v>
      </c>
      <c r="F15">
        <v>43.95</v>
      </c>
      <c r="G15">
        <v>4301200</v>
      </c>
      <c r="H15"/>
    </row>
    <row r="16" spans="1:10" s="57" customFormat="1" ht="12">
      <c r="A16" s="114"/>
      <c r="B16" s="61">
        <v>39966</v>
      </c>
      <c r="C16">
        <v>43.99</v>
      </c>
      <c r="D16">
        <v>44.43</v>
      </c>
      <c r="E16">
        <v>43.25</v>
      </c>
      <c r="F16">
        <v>44.09</v>
      </c>
      <c r="G16">
        <v>6858800</v>
      </c>
      <c r="H16"/>
    </row>
    <row r="17" spans="1:8" s="57" customFormat="1" ht="12">
      <c r="A17" s="114"/>
      <c r="B17" s="61">
        <v>39963</v>
      </c>
      <c r="C17">
        <v>44.01</v>
      </c>
      <c r="D17">
        <v>44.74</v>
      </c>
      <c r="E17">
        <v>43.9</v>
      </c>
      <c r="F17">
        <v>43.9</v>
      </c>
      <c r="G17">
        <v>5920500</v>
      </c>
      <c r="H17"/>
    </row>
    <row r="18" spans="1:8" s="57" customFormat="1" ht="12">
      <c r="A18" s="114"/>
      <c r="B18" s="61">
        <v>39962</v>
      </c>
      <c r="C18">
        <v>44.42</v>
      </c>
      <c r="D18">
        <v>44.95</v>
      </c>
      <c r="E18">
        <v>44.12</v>
      </c>
      <c r="F18">
        <v>44.13</v>
      </c>
      <c r="G18">
        <v>4551700</v>
      </c>
      <c r="H18"/>
    </row>
    <row r="19" spans="1:8" s="57" customFormat="1" ht="12">
      <c r="A19" s="114"/>
      <c r="B19" s="61">
        <v>39961</v>
      </c>
      <c r="C19">
        <v>44.67</v>
      </c>
      <c r="D19">
        <v>44.67</v>
      </c>
      <c r="E19">
        <v>43.71</v>
      </c>
      <c r="F19">
        <v>44.26</v>
      </c>
      <c r="G19">
        <v>6558700</v>
      </c>
      <c r="H19"/>
    </row>
    <row r="20" spans="1:8" s="57" customFormat="1" ht="12">
      <c r="A20" s="114"/>
      <c r="B20" s="61">
        <v>39960</v>
      </c>
      <c r="C20">
        <v>45.39</v>
      </c>
      <c r="D20">
        <v>45.54</v>
      </c>
      <c r="E20">
        <v>44.75</v>
      </c>
      <c r="F20">
        <v>44.89</v>
      </c>
      <c r="G20">
        <v>4164900</v>
      </c>
      <c r="H20"/>
    </row>
    <row r="21" spans="1:8" s="57" customFormat="1" ht="12">
      <c r="A21" s="114"/>
      <c r="B21" s="61">
        <v>39956</v>
      </c>
      <c r="C21">
        <v>45.4</v>
      </c>
      <c r="D21">
        <v>45.46</v>
      </c>
      <c r="E21">
        <v>45.02</v>
      </c>
      <c r="F21">
        <v>45.2</v>
      </c>
      <c r="G21">
        <v>3514600</v>
      </c>
      <c r="H21"/>
    </row>
    <row r="22" spans="1:8" s="57" customFormat="1" ht="12">
      <c r="A22" s="114"/>
      <c r="B22" s="61">
        <v>39955</v>
      </c>
      <c r="C22">
        <v>45.58</v>
      </c>
      <c r="D22">
        <v>45.74</v>
      </c>
      <c r="E22">
        <v>45</v>
      </c>
      <c r="F22">
        <v>45.52</v>
      </c>
      <c r="G22">
        <v>5067300</v>
      </c>
      <c r="H22"/>
    </row>
    <row r="23" spans="1:8" s="57" customFormat="1" ht="12">
      <c r="A23" s="114"/>
      <c r="B23" s="61">
        <v>39954</v>
      </c>
      <c r="C23">
        <v>46.42</v>
      </c>
      <c r="D23">
        <v>46.87</v>
      </c>
      <c r="E23">
        <v>45.56</v>
      </c>
      <c r="F23">
        <v>45.76</v>
      </c>
      <c r="G23">
        <v>4751200</v>
      </c>
      <c r="H23"/>
    </row>
    <row r="24" spans="1:8" s="57" customFormat="1" ht="12">
      <c r="A24" s="114"/>
      <c r="B24" s="61">
        <v>39953</v>
      </c>
      <c r="C24">
        <v>46.33</v>
      </c>
      <c r="D24">
        <v>46.58</v>
      </c>
      <c r="E24">
        <v>46.12</v>
      </c>
      <c r="F24">
        <v>46.44</v>
      </c>
      <c r="G24">
        <v>3135200</v>
      </c>
      <c r="H24"/>
    </row>
    <row r="25" spans="1:8" s="57" customFormat="1" ht="12">
      <c r="A25" s="114"/>
      <c r="B25" s="61">
        <v>39952</v>
      </c>
      <c r="C25">
        <v>46.52</v>
      </c>
      <c r="D25">
        <v>46.67</v>
      </c>
      <c r="E25">
        <v>46.25</v>
      </c>
      <c r="F25">
        <v>46.4</v>
      </c>
      <c r="G25">
        <v>3182000</v>
      </c>
      <c r="H25"/>
    </row>
    <row r="26" spans="1:8" s="57" customFormat="1" ht="12">
      <c r="A26" s="114"/>
      <c r="B26" s="61">
        <v>39949</v>
      </c>
      <c r="C26">
        <v>46.44</v>
      </c>
      <c r="D26">
        <v>46.6</v>
      </c>
      <c r="E26">
        <v>46.11</v>
      </c>
      <c r="F26">
        <v>46.6</v>
      </c>
      <c r="G26">
        <v>3381200</v>
      </c>
      <c r="H26"/>
    </row>
    <row r="27" spans="1:8" s="57" customFormat="1" ht="12">
      <c r="A27" s="114"/>
      <c r="B27" s="61">
        <v>39948</v>
      </c>
      <c r="C27">
        <v>46.59</v>
      </c>
      <c r="D27">
        <v>46.69</v>
      </c>
      <c r="E27">
        <v>46.26</v>
      </c>
      <c r="F27">
        <v>46.3</v>
      </c>
      <c r="G27">
        <v>2698200</v>
      </c>
      <c r="H27"/>
    </row>
    <row r="28" spans="1:8" s="57" customFormat="1" ht="12">
      <c r="A28" s="114"/>
      <c r="B28" s="61">
        <v>39947</v>
      </c>
      <c r="C28">
        <v>46.25</v>
      </c>
      <c r="D28">
        <v>47.05</v>
      </c>
      <c r="E28">
        <v>46.12</v>
      </c>
      <c r="F28">
        <v>46.66</v>
      </c>
      <c r="G28">
        <v>3211700</v>
      </c>
      <c r="H28"/>
    </row>
    <row r="29" spans="1:8" s="57" customFormat="1" ht="12">
      <c r="A29" s="114"/>
      <c r="B29" s="61">
        <v>39946</v>
      </c>
      <c r="C29">
        <v>45.75</v>
      </c>
      <c r="D29">
        <v>46.36</v>
      </c>
      <c r="E29">
        <v>45.75</v>
      </c>
      <c r="F29">
        <v>46.26</v>
      </c>
      <c r="G29">
        <v>3783800</v>
      </c>
      <c r="H29"/>
    </row>
    <row r="30" spans="1:8" s="57" customFormat="1" ht="12">
      <c r="A30" s="114"/>
      <c r="B30" s="61">
        <v>39945</v>
      </c>
      <c r="C30">
        <v>45.96</v>
      </c>
      <c r="D30">
        <v>46.06</v>
      </c>
      <c r="E30">
        <v>45.63</v>
      </c>
      <c r="F30">
        <v>45.84</v>
      </c>
      <c r="G30">
        <v>3161300</v>
      </c>
      <c r="H30"/>
    </row>
    <row r="31" spans="1:8" s="57" customFormat="1" ht="12">
      <c r="A31" s="114"/>
      <c r="B31" s="61">
        <v>39942</v>
      </c>
      <c r="C31">
        <v>46.24</v>
      </c>
      <c r="D31">
        <v>46.31</v>
      </c>
      <c r="E31">
        <v>45.81</v>
      </c>
      <c r="F31">
        <v>46.1</v>
      </c>
      <c r="G31">
        <v>3712400</v>
      </c>
      <c r="H31"/>
    </row>
    <row r="32" spans="1:8" s="57" customFormat="1" ht="12">
      <c r="A32" s="114"/>
      <c r="B32" s="114" t="s">
        <v>476</v>
      </c>
      <c r="C32" s="115">
        <f>AVERAGE(C2:C31)</f>
        <v>44.951999999999991</v>
      </c>
      <c r="D32" s="115">
        <f>AVERAGE(D2:D31)</f>
        <v>45.243666666666655</v>
      </c>
      <c r="E32" s="115">
        <f>AVERAGE(E2:E31)</f>
        <v>44.524333333333331</v>
      </c>
      <c r="F32" s="116">
        <f>AVERAGE(F2:F31)</f>
        <v>44.833333333333336</v>
      </c>
      <c r="G32" s="115">
        <f>AVERAGE(G2:G31)</f>
        <v>4578740</v>
      </c>
      <c r="H32"/>
    </row>
    <row r="33" spans="1:8" s="57" customFormat="1" ht="12">
      <c r="A33" s="114"/>
      <c r="B33" s="114" t="s">
        <v>423</v>
      </c>
      <c r="C33" s="114">
        <f>MEDIAN(C2:C31)</f>
        <v>44.650000000000006</v>
      </c>
      <c r="D33" s="114">
        <f>MEDIAN(D2:D31)</f>
        <v>44.875</v>
      </c>
      <c r="E33" s="114">
        <f>MEDIAN(E2:E31)</f>
        <v>44.28</v>
      </c>
      <c r="F33" s="114">
        <f>MEDIAN(F2:F31)</f>
        <v>44.505000000000003</v>
      </c>
      <c r="G33" s="114">
        <f>MEDIAN(G2:G31)</f>
        <v>4124600</v>
      </c>
      <c r="H33"/>
    </row>
    <row r="34" spans="1:8" s="57" customFormat="1" ht="12">
      <c r="A34" s="114"/>
      <c r="B34" s="114" t="s">
        <v>426</v>
      </c>
      <c r="C34" s="114">
        <f>MAX(C2:C31)</f>
        <v>46.59</v>
      </c>
      <c r="D34" s="114">
        <f>MAX(D2:D31)</f>
        <v>47.05</v>
      </c>
      <c r="E34" s="114">
        <f>MAX(E2:E31)</f>
        <v>46.26</v>
      </c>
      <c r="F34" s="114">
        <f>MAX(F2:F31)</f>
        <v>46.66</v>
      </c>
      <c r="G34" s="114">
        <f>MAX(G2:G31)</f>
        <v>9914300</v>
      </c>
      <c r="H34"/>
    </row>
    <row r="35" spans="1:8" s="57" customFormat="1" ht="12">
      <c r="A35" s="114"/>
      <c r="B35" s="114" t="s">
        <v>427</v>
      </c>
      <c r="C35" s="114">
        <f>MIN(C2:C31)</f>
        <v>43.15</v>
      </c>
      <c r="D35" s="114">
        <f>MIN(D2:D31)</f>
        <v>43.53</v>
      </c>
      <c r="E35" s="114">
        <f>MIN(E2:E31)</f>
        <v>42.32</v>
      </c>
      <c r="F35" s="114">
        <f>MIN(F2:F31)</f>
        <v>42.48</v>
      </c>
      <c r="G35" s="114">
        <f>MIN(G2:G31)</f>
        <v>2698200</v>
      </c>
      <c r="H35"/>
    </row>
    <row r="36" spans="1:8" s="57" customFormat="1" ht="12">
      <c r="A36" s="114" t="str">
        <f>[1]DATA!A6</f>
        <v>ALE</v>
      </c>
      <c r="B36" s="71" t="s">
        <v>304</v>
      </c>
      <c r="C36" s="71" t="s">
        <v>305</v>
      </c>
      <c r="D36" s="71" t="s">
        <v>521</v>
      </c>
      <c r="E36" s="71" t="s">
        <v>522</v>
      </c>
      <c r="F36" s="71" t="s">
        <v>523</v>
      </c>
      <c r="G36" s="71" t="s">
        <v>439</v>
      </c>
      <c r="H36"/>
    </row>
    <row r="37" spans="1:8" s="57" customFormat="1" ht="15.75">
      <c r="A37" s="114"/>
      <c r="B37" s="183">
        <v>39984</v>
      </c>
      <c r="C37" s="184">
        <v>47.57</v>
      </c>
      <c r="D37" s="184">
        <v>48.29</v>
      </c>
      <c r="E37" s="184">
        <v>47.24</v>
      </c>
      <c r="F37" s="184">
        <v>48.11</v>
      </c>
      <c r="G37" s="184">
        <v>306700</v>
      </c>
      <c r="H37"/>
    </row>
    <row r="38" spans="1:8" s="57" customFormat="1" ht="15.75">
      <c r="A38" s="114"/>
      <c r="B38" s="183">
        <v>39983</v>
      </c>
      <c r="C38" s="184">
        <v>48.31</v>
      </c>
      <c r="D38" s="184">
        <v>48.56</v>
      </c>
      <c r="E38" s="184">
        <v>47.23</v>
      </c>
      <c r="F38" s="184">
        <v>47.42</v>
      </c>
      <c r="G38" s="184">
        <v>204700</v>
      </c>
      <c r="H38"/>
    </row>
    <row r="39" spans="1:8" s="57" customFormat="1" ht="15.75">
      <c r="A39" s="114"/>
      <c r="B39" s="183">
        <v>39982</v>
      </c>
      <c r="C39" s="184">
        <v>49.78</v>
      </c>
      <c r="D39" s="184">
        <v>49.82</v>
      </c>
      <c r="E39" s="184">
        <v>48.61</v>
      </c>
      <c r="F39" s="184">
        <v>48.74</v>
      </c>
      <c r="G39" s="184">
        <v>165800</v>
      </c>
      <c r="H39"/>
    </row>
    <row r="40" spans="1:8" s="57" customFormat="1" ht="15.75">
      <c r="A40" s="114"/>
      <c r="B40" s="183">
        <v>39981</v>
      </c>
      <c r="C40" s="184">
        <v>49.34</v>
      </c>
      <c r="D40" s="184">
        <v>50</v>
      </c>
      <c r="E40" s="184">
        <v>49.1</v>
      </c>
      <c r="F40" s="184">
        <v>49.77</v>
      </c>
      <c r="G40" s="184">
        <v>130000</v>
      </c>
      <c r="H40"/>
    </row>
    <row r="41" spans="1:8" s="57" customFormat="1" ht="15.75">
      <c r="A41" s="114"/>
      <c r="B41" s="183">
        <v>39980</v>
      </c>
      <c r="C41" s="184">
        <v>48.83</v>
      </c>
      <c r="D41" s="184">
        <v>49.42</v>
      </c>
      <c r="E41" s="184">
        <v>48.78</v>
      </c>
      <c r="F41" s="184">
        <v>49.16</v>
      </c>
      <c r="G41" s="184">
        <v>149000</v>
      </c>
      <c r="H41"/>
    </row>
    <row r="42" spans="1:8" s="57" customFormat="1" ht="15.75">
      <c r="A42" s="114"/>
      <c r="B42" s="183">
        <v>39977</v>
      </c>
      <c r="C42" s="184">
        <v>48.53</v>
      </c>
      <c r="D42" s="184">
        <v>48.8</v>
      </c>
      <c r="E42" s="184">
        <v>48.41</v>
      </c>
      <c r="F42" s="184">
        <v>48.48</v>
      </c>
      <c r="G42" s="184">
        <v>108800</v>
      </c>
      <c r="H42"/>
    </row>
    <row r="43" spans="1:8" s="57" customFormat="1" ht="15.75">
      <c r="A43" s="114"/>
      <c r="B43" s="183">
        <v>39976</v>
      </c>
      <c r="C43" s="184">
        <v>47.66</v>
      </c>
      <c r="D43" s="184">
        <v>48.6</v>
      </c>
      <c r="E43" s="184">
        <v>47.54</v>
      </c>
      <c r="F43" s="184">
        <v>48.51</v>
      </c>
      <c r="G43" s="184">
        <v>80900</v>
      </c>
      <c r="H43"/>
    </row>
    <row r="44" spans="1:8" s="57" customFormat="1" ht="15.75">
      <c r="A44" s="114"/>
      <c r="B44" s="183">
        <v>39975</v>
      </c>
      <c r="C44" s="184">
        <v>48.63</v>
      </c>
      <c r="D44" s="184">
        <v>48.68</v>
      </c>
      <c r="E44" s="184">
        <v>47.6</v>
      </c>
      <c r="F44" s="184">
        <v>47.69</v>
      </c>
      <c r="G44" s="184">
        <v>103700</v>
      </c>
      <c r="H44"/>
    </row>
    <row r="45" spans="1:8" s="57" customFormat="1" ht="15.75">
      <c r="A45" s="114"/>
      <c r="B45" s="183">
        <v>39974</v>
      </c>
      <c r="C45" s="184">
        <v>48.35</v>
      </c>
      <c r="D45" s="184">
        <v>48.82</v>
      </c>
      <c r="E45" s="184">
        <v>48.08</v>
      </c>
      <c r="F45" s="184">
        <v>48.4</v>
      </c>
      <c r="G45" s="184">
        <v>105500</v>
      </c>
      <c r="H45"/>
    </row>
    <row r="46" spans="1:8" s="57" customFormat="1" ht="15.75">
      <c r="A46" s="114"/>
      <c r="B46" s="183">
        <v>39973</v>
      </c>
      <c r="C46" s="184">
        <v>48.25</v>
      </c>
      <c r="D46" s="184">
        <v>48.81</v>
      </c>
      <c r="E46" s="184">
        <v>47.94</v>
      </c>
      <c r="F46" s="184">
        <v>48.69</v>
      </c>
      <c r="G46" s="184">
        <v>115100</v>
      </c>
      <c r="H46"/>
    </row>
    <row r="47" spans="1:8" s="57" customFormat="1" ht="15.75">
      <c r="A47" s="114"/>
      <c r="B47" s="183">
        <v>39970</v>
      </c>
      <c r="C47" s="184">
        <v>48.24</v>
      </c>
      <c r="D47" s="184">
        <v>48.65</v>
      </c>
      <c r="E47" s="184">
        <v>47.76</v>
      </c>
      <c r="F47" s="184">
        <v>48.22</v>
      </c>
      <c r="G47" s="184">
        <v>127000</v>
      </c>
      <c r="H47"/>
    </row>
    <row r="48" spans="1:8" s="57" customFormat="1" ht="15.75">
      <c r="A48" s="114"/>
      <c r="B48" s="183">
        <v>39969</v>
      </c>
      <c r="C48" s="184">
        <v>47.62</v>
      </c>
      <c r="D48" s="184">
        <v>48.11</v>
      </c>
      <c r="E48" s="184">
        <v>47.56</v>
      </c>
      <c r="F48" s="184">
        <v>48.06</v>
      </c>
      <c r="G48" s="184">
        <v>148800</v>
      </c>
      <c r="H48"/>
    </row>
    <row r="49" spans="1:8" s="57" customFormat="1" ht="15.75">
      <c r="A49" s="114"/>
      <c r="B49" s="183">
        <v>39968</v>
      </c>
      <c r="C49" s="184">
        <v>47.82</v>
      </c>
      <c r="D49" s="184">
        <v>48.01</v>
      </c>
      <c r="E49" s="184">
        <v>47.49</v>
      </c>
      <c r="F49" s="184">
        <v>47.68</v>
      </c>
      <c r="G49" s="184">
        <v>134500</v>
      </c>
      <c r="H49"/>
    </row>
    <row r="50" spans="1:8" s="57" customFormat="1" ht="15.75">
      <c r="A50" s="114"/>
      <c r="B50" s="183">
        <v>39967</v>
      </c>
      <c r="C50" s="184">
        <v>48.62</v>
      </c>
      <c r="D50" s="184">
        <v>49.09</v>
      </c>
      <c r="E50" s="184">
        <v>47.75</v>
      </c>
      <c r="F50" s="184">
        <v>47.95</v>
      </c>
      <c r="G50" s="184">
        <v>294000</v>
      </c>
      <c r="H50"/>
    </row>
    <row r="51" spans="1:8" s="57" customFormat="1" ht="15.75">
      <c r="A51" s="114"/>
      <c r="B51" s="183">
        <v>39966</v>
      </c>
      <c r="C51" s="184">
        <v>47.55</v>
      </c>
      <c r="D51" s="184">
        <v>48.53</v>
      </c>
      <c r="E51" s="184">
        <v>46.85</v>
      </c>
      <c r="F51" s="184">
        <v>48.43</v>
      </c>
      <c r="G51" s="184">
        <v>288300</v>
      </c>
      <c r="H51"/>
    </row>
    <row r="52" spans="1:8" s="57" customFormat="1" ht="15.75">
      <c r="A52" s="114"/>
      <c r="B52" s="183">
        <v>39963</v>
      </c>
      <c r="C52" s="184">
        <v>47.52</v>
      </c>
      <c r="D52" s="184">
        <v>48.14</v>
      </c>
      <c r="E52" s="184">
        <v>47.3</v>
      </c>
      <c r="F52" s="184">
        <v>47.32</v>
      </c>
      <c r="G52" s="184">
        <v>253500</v>
      </c>
      <c r="H52"/>
    </row>
    <row r="53" spans="1:8" s="57" customFormat="1" ht="15.75">
      <c r="A53" s="114"/>
      <c r="B53" s="183">
        <v>39962</v>
      </c>
      <c r="C53" s="184">
        <v>47.94</v>
      </c>
      <c r="D53" s="184">
        <v>48.56</v>
      </c>
      <c r="E53" s="184">
        <v>47.74</v>
      </c>
      <c r="F53" s="184">
        <v>47.8</v>
      </c>
      <c r="G53" s="184">
        <v>146800</v>
      </c>
      <c r="H53"/>
    </row>
    <row r="54" spans="1:8" s="57" customFormat="1" ht="15.75">
      <c r="A54" s="114"/>
      <c r="B54" s="183">
        <v>39961</v>
      </c>
      <c r="C54" s="184">
        <v>48.59</v>
      </c>
      <c r="D54" s="184">
        <v>48.85</v>
      </c>
      <c r="E54" s="184">
        <v>47.42</v>
      </c>
      <c r="F54" s="184">
        <v>47.69</v>
      </c>
      <c r="G54" s="184">
        <v>125400</v>
      </c>
      <c r="H54"/>
    </row>
    <row r="55" spans="1:8" s="57" customFormat="1" ht="15.75">
      <c r="A55" s="114"/>
      <c r="B55" s="183">
        <v>39960</v>
      </c>
      <c r="C55" s="184">
        <v>49.12</v>
      </c>
      <c r="D55" s="184">
        <v>49.34</v>
      </c>
      <c r="E55" s="184">
        <v>48.52</v>
      </c>
      <c r="F55" s="184">
        <v>48.84</v>
      </c>
      <c r="G55" s="184">
        <v>229000</v>
      </c>
      <c r="H55"/>
    </row>
    <row r="56" spans="1:8" s="57" customFormat="1" ht="15.75">
      <c r="A56" s="114"/>
      <c r="B56" s="183">
        <v>39956</v>
      </c>
      <c r="C56" s="184">
        <v>49.1</v>
      </c>
      <c r="D56" s="184">
        <v>49.1</v>
      </c>
      <c r="E56" s="184">
        <v>48.49</v>
      </c>
      <c r="F56" s="184">
        <v>48.74</v>
      </c>
      <c r="G56" s="184">
        <v>74400</v>
      </c>
      <c r="H56"/>
    </row>
    <row r="57" spans="1:8" s="57" customFormat="1" ht="15.75">
      <c r="A57" s="114"/>
      <c r="B57" s="183">
        <v>39955</v>
      </c>
      <c r="C57" s="184">
        <v>49.02</v>
      </c>
      <c r="D57" s="184">
        <v>49.32</v>
      </c>
      <c r="E57" s="184">
        <v>48.19</v>
      </c>
      <c r="F57" s="184">
        <v>49.23</v>
      </c>
      <c r="G57" s="184">
        <v>129400</v>
      </c>
      <c r="H57"/>
    </row>
    <row r="58" spans="1:8" s="57" customFormat="1" ht="15.75">
      <c r="A58" s="114"/>
      <c r="B58" s="183">
        <v>39954</v>
      </c>
      <c r="C58" s="184">
        <v>50.61</v>
      </c>
      <c r="D58" s="184">
        <v>50.87</v>
      </c>
      <c r="E58" s="184">
        <v>49.29</v>
      </c>
      <c r="F58" s="184">
        <v>49.49</v>
      </c>
      <c r="G58" s="184">
        <v>124900</v>
      </c>
      <c r="H58"/>
    </row>
    <row r="59" spans="1:8" s="57" customFormat="1" ht="15.75">
      <c r="A59" s="114"/>
      <c r="B59" s="183">
        <v>39953</v>
      </c>
      <c r="C59" s="184">
        <v>51.06</v>
      </c>
      <c r="D59" s="184">
        <v>51.12</v>
      </c>
      <c r="E59" s="184">
        <v>50.13</v>
      </c>
      <c r="F59" s="184">
        <v>50.69</v>
      </c>
      <c r="G59" s="184">
        <v>202700</v>
      </c>
      <c r="H59"/>
    </row>
    <row r="60" spans="1:8" s="57" customFormat="1" ht="15.75">
      <c r="A60" s="114"/>
      <c r="B60" s="183">
        <v>39952</v>
      </c>
      <c r="C60" s="184">
        <v>51.03</v>
      </c>
      <c r="D60" s="184">
        <v>51.39</v>
      </c>
      <c r="E60" s="184">
        <v>50.74</v>
      </c>
      <c r="F60" s="184">
        <v>50.95</v>
      </c>
      <c r="G60" s="184">
        <v>81800</v>
      </c>
      <c r="H60"/>
    </row>
    <row r="61" spans="1:8" s="57" customFormat="1" ht="15.75">
      <c r="A61" s="114"/>
      <c r="B61" s="183">
        <v>39949</v>
      </c>
      <c r="C61" s="184">
        <v>50.82</v>
      </c>
      <c r="D61" s="184">
        <v>51.21</v>
      </c>
      <c r="E61" s="184">
        <v>50.48</v>
      </c>
      <c r="F61" s="184">
        <v>51.19</v>
      </c>
      <c r="G61" s="184">
        <v>113300</v>
      </c>
      <c r="H61"/>
    </row>
    <row r="62" spans="1:8" s="57" customFormat="1" ht="15.75">
      <c r="A62" s="114"/>
      <c r="B62" s="183">
        <v>39948</v>
      </c>
      <c r="C62" s="184">
        <v>51.15</v>
      </c>
      <c r="D62" s="184">
        <v>51.17</v>
      </c>
      <c r="E62" s="184">
        <v>50.48</v>
      </c>
      <c r="F62" s="184">
        <v>50.58</v>
      </c>
      <c r="G62" s="184">
        <v>75800</v>
      </c>
      <c r="H62"/>
    </row>
    <row r="63" spans="1:8" s="57" customFormat="1" ht="15.75">
      <c r="A63" s="114"/>
      <c r="B63" s="183">
        <v>39947</v>
      </c>
      <c r="C63" s="184">
        <v>50.37</v>
      </c>
      <c r="D63" s="184">
        <v>51.57</v>
      </c>
      <c r="E63" s="184">
        <v>50.37</v>
      </c>
      <c r="F63" s="184">
        <v>51.15</v>
      </c>
      <c r="G63" s="184">
        <v>117700</v>
      </c>
      <c r="H63"/>
    </row>
    <row r="64" spans="1:8" s="57" customFormat="1" ht="15.75">
      <c r="A64" s="114"/>
      <c r="B64" s="183">
        <v>39946</v>
      </c>
      <c r="C64" s="184">
        <v>50.5</v>
      </c>
      <c r="D64" s="184">
        <v>50.7</v>
      </c>
      <c r="E64" s="184">
        <v>50.27</v>
      </c>
      <c r="F64" s="184">
        <v>50.59</v>
      </c>
      <c r="G64" s="184">
        <v>143900</v>
      </c>
      <c r="H64"/>
    </row>
    <row r="65" spans="1:8" s="57" customFormat="1" ht="15.75">
      <c r="A65" s="114"/>
      <c r="B65" s="183">
        <v>39945</v>
      </c>
      <c r="C65" s="184">
        <v>50.9</v>
      </c>
      <c r="D65" s="184">
        <v>50.9</v>
      </c>
      <c r="E65" s="184">
        <v>50.17</v>
      </c>
      <c r="F65" s="184">
        <v>50.5</v>
      </c>
      <c r="G65" s="184">
        <v>122000</v>
      </c>
      <c r="H65"/>
    </row>
    <row r="66" spans="1:8" s="57" customFormat="1" ht="15.75">
      <c r="A66" s="114"/>
      <c r="B66" s="183">
        <v>39942</v>
      </c>
      <c r="C66" s="184">
        <v>50.93</v>
      </c>
      <c r="D66" s="184">
        <v>51.4</v>
      </c>
      <c r="E66" s="184">
        <v>50.76</v>
      </c>
      <c r="F66" s="184">
        <v>51.37</v>
      </c>
      <c r="G66" s="184">
        <v>195500</v>
      </c>
      <c r="H66"/>
    </row>
    <row r="67" spans="1:8" s="57" customFormat="1" ht="12">
      <c r="A67" s="114"/>
      <c r="B67" s="114" t="s">
        <v>476</v>
      </c>
      <c r="C67" s="115">
        <f>AVERAGE(C37:C66)</f>
        <v>49.12533333333333</v>
      </c>
      <c r="D67" s="115">
        <f>AVERAGE(D37:D66)</f>
        <v>49.527666666666683</v>
      </c>
      <c r="E67" s="115">
        <f>AVERAGE(E37:E66)</f>
        <v>48.609666666666676</v>
      </c>
      <c r="F67" s="116">
        <f>AVERAGE(F37:F66)</f>
        <v>49.047999999999995</v>
      </c>
      <c r="G67" s="115">
        <f>AVERAGE(G37:G66)</f>
        <v>153296.66666666666</v>
      </c>
    </row>
    <row r="68" spans="1:8" s="57" customFormat="1" ht="12">
      <c r="A68" s="114"/>
      <c r="B68" s="114" t="s">
        <v>423</v>
      </c>
      <c r="C68" s="114">
        <f>MEDIAN(C37:C66)</f>
        <v>48.730000000000004</v>
      </c>
      <c r="D68" s="114">
        <f>MEDIAN(D37:D66)</f>
        <v>49.094999999999999</v>
      </c>
      <c r="E68" s="114">
        <f>MEDIAN(E37:E66)</f>
        <v>48.3</v>
      </c>
      <c r="F68" s="114">
        <f>MEDIAN(F37:F66)</f>
        <v>48.715000000000003</v>
      </c>
      <c r="G68" s="114">
        <f>MEDIAN(G37:G66)</f>
        <v>129700</v>
      </c>
    </row>
    <row r="69" spans="1:8" s="57" customFormat="1" ht="12">
      <c r="A69" s="114"/>
      <c r="B69" s="114" t="s">
        <v>426</v>
      </c>
      <c r="C69" s="114">
        <f>MAX(C37:C66)</f>
        <v>51.15</v>
      </c>
      <c r="D69" s="114">
        <f>MAX(D37:D66)</f>
        <v>51.57</v>
      </c>
      <c r="E69" s="114">
        <f>MAX(E37:E66)</f>
        <v>50.76</v>
      </c>
      <c r="F69" s="114">
        <f>MAX(F37:F66)</f>
        <v>51.37</v>
      </c>
      <c r="G69" s="114">
        <f>MAX(G37:G66)</f>
        <v>306700</v>
      </c>
    </row>
    <row r="70" spans="1:8" s="57" customFormat="1" ht="12">
      <c r="A70" s="114"/>
      <c r="B70" s="114" t="s">
        <v>427</v>
      </c>
      <c r="C70" s="114">
        <f>MIN(C37:C66)</f>
        <v>47.52</v>
      </c>
      <c r="D70" s="114">
        <f>MIN(D37:D66)</f>
        <v>48.01</v>
      </c>
      <c r="E70" s="114">
        <f>MIN(E37:E66)</f>
        <v>46.85</v>
      </c>
      <c r="F70" s="114">
        <f>MIN(F37:F66)</f>
        <v>47.32</v>
      </c>
      <c r="G70" s="114">
        <f>MIN(G37:G66)</f>
        <v>74400</v>
      </c>
    </row>
    <row r="71" spans="1:8" s="57" customFormat="1" ht="12">
      <c r="A71" s="114" t="str">
        <f>[1]DATA!A7</f>
        <v>LNT</v>
      </c>
      <c r="B71" s="71" t="s">
        <v>304</v>
      </c>
      <c r="C71" s="71" t="s">
        <v>305</v>
      </c>
      <c r="D71" s="71" t="s">
        <v>521</v>
      </c>
      <c r="E71" s="71" t="s">
        <v>522</v>
      </c>
      <c r="F71" s="71" t="s">
        <v>523</v>
      </c>
      <c r="G71" s="71" t="s">
        <v>439</v>
      </c>
    </row>
    <row r="72" spans="1:8" s="57" customFormat="1" ht="12">
      <c r="A72" s="114"/>
      <c r="B72" s="61">
        <v>39984</v>
      </c>
      <c r="C72">
        <v>47.45</v>
      </c>
      <c r="D72">
        <v>48.19</v>
      </c>
      <c r="E72">
        <v>46.79</v>
      </c>
      <c r="F72">
        <v>47.86</v>
      </c>
      <c r="G72">
        <v>603900</v>
      </c>
    </row>
    <row r="73" spans="1:8" s="57" customFormat="1" ht="12">
      <c r="A73" s="114"/>
      <c r="B73" s="61">
        <v>39983</v>
      </c>
      <c r="C73">
        <v>48.52</v>
      </c>
      <c r="D73">
        <v>48.6</v>
      </c>
      <c r="E73">
        <v>47.16</v>
      </c>
      <c r="F73">
        <v>47.31</v>
      </c>
      <c r="G73">
        <v>564800</v>
      </c>
    </row>
    <row r="74" spans="1:8" s="57" customFormat="1" ht="12">
      <c r="A74" s="114"/>
      <c r="B74" s="61">
        <v>39982</v>
      </c>
      <c r="C74">
        <v>49.95</v>
      </c>
      <c r="D74">
        <v>50.04</v>
      </c>
      <c r="E74">
        <v>48.88</v>
      </c>
      <c r="F74">
        <v>48.91</v>
      </c>
      <c r="G74">
        <v>276600</v>
      </c>
    </row>
    <row r="75" spans="1:8" s="57" customFormat="1" ht="12">
      <c r="A75" s="114"/>
      <c r="B75" s="61">
        <v>39981</v>
      </c>
      <c r="C75">
        <v>49.8</v>
      </c>
      <c r="D75">
        <v>50.22</v>
      </c>
      <c r="E75">
        <v>49.49</v>
      </c>
      <c r="F75">
        <v>50.08</v>
      </c>
      <c r="G75">
        <v>245900</v>
      </c>
    </row>
    <row r="76" spans="1:8" s="57" customFormat="1" ht="12">
      <c r="A76" s="114"/>
      <c r="B76" s="61">
        <v>39980</v>
      </c>
      <c r="C76">
        <v>49.92</v>
      </c>
      <c r="D76">
        <v>50.22</v>
      </c>
      <c r="E76">
        <v>49.49</v>
      </c>
      <c r="F76">
        <v>49.68</v>
      </c>
      <c r="G76">
        <v>252400</v>
      </c>
    </row>
    <row r="77" spans="1:8" s="57" customFormat="1" ht="12">
      <c r="A77" s="114"/>
      <c r="B77" s="61">
        <v>39977</v>
      </c>
      <c r="C77">
        <v>49.06</v>
      </c>
      <c r="D77">
        <v>49.9</v>
      </c>
      <c r="E77">
        <v>49.06</v>
      </c>
      <c r="F77">
        <v>49.67</v>
      </c>
      <c r="G77">
        <v>311500</v>
      </c>
    </row>
    <row r="78" spans="1:8" s="57" customFormat="1" ht="12">
      <c r="A78" s="114"/>
      <c r="B78" s="61">
        <v>39976</v>
      </c>
      <c r="C78">
        <v>48.53</v>
      </c>
      <c r="D78">
        <v>49.47</v>
      </c>
      <c r="E78">
        <v>48.37</v>
      </c>
      <c r="F78">
        <v>49.35</v>
      </c>
      <c r="G78">
        <v>195800</v>
      </c>
    </row>
    <row r="79" spans="1:8" s="57" customFormat="1" ht="12">
      <c r="A79" s="114"/>
      <c r="B79" s="61">
        <v>39975</v>
      </c>
      <c r="C79">
        <v>49.34</v>
      </c>
      <c r="D79">
        <v>49.44</v>
      </c>
      <c r="E79">
        <v>48.42</v>
      </c>
      <c r="F79">
        <v>48.54</v>
      </c>
      <c r="G79">
        <v>194000</v>
      </c>
    </row>
    <row r="80" spans="1:8" s="57" customFormat="1" ht="12">
      <c r="A80" s="114"/>
      <c r="B80" s="61">
        <v>39974</v>
      </c>
      <c r="C80">
        <v>48.96</v>
      </c>
      <c r="D80">
        <v>49.58</v>
      </c>
      <c r="E80">
        <v>48.75</v>
      </c>
      <c r="F80">
        <v>49.06</v>
      </c>
      <c r="G80">
        <v>471300</v>
      </c>
    </row>
    <row r="81" spans="1:7" s="57" customFormat="1" ht="12">
      <c r="A81" s="114"/>
      <c r="B81" s="61">
        <v>39973</v>
      </c>
      <c r="C81">
        <v>49.6</v>
      </c>
      <c r="D81">
        <v>49.65</v>
      </c>
      <c r="E81">
        <v>49.1</v>
      </c>
      <c r="F81">
        <v>49.31</v>
      </c>
      <c r="G81">
        <v>296500</v>
      </c>
    </row>
    <row r="82" spans="1:7" s="57" customFormat="1" ht="12">
      <c r="A82" s="114"/>
      <c r="B82" s="61">
        <v>39970</v>
      </c>
      <c r="C82">
        <v>49.2</v>
      </c>
      <c r="D82">
        <v>49.71</v>
      </c>
      <c r="E82">
        <v>49.08</v>
      </c>
      <c r="F82">
        <v>49.45</v>
      </c>
      <c r="G82">
        <v>443000</v>
      </c>
    </row>
    <row r="83" spans="1:7" s="57" customFormat="1" ht="12">
      <c r="A83" s="114"/>
      <c r="B83" s="61">
        <v>39969</v>
      </c>
      <c r="C83">
        <v>48.6</v>
      </c>
      <c r="D83">
        <v>49.03</v>
      </c>
      <c r="E83">
        <v>48.49</v>
      </c>
      <c r="F83">
        <v>49.03</v>
      </c>
      <c r="G83">
        <v>571800</v>
      </c>
    </row>
    <row r="84" spans="1:7" s="57" customFormat="1" ht="12">
      <c r="A84" s="114"/>
      <c r="B84" s="61">
        <v>39968</v>
      </c>
      <c r="C84">
        <v>49.04</v>
      </c>
      <c r="D84">
        <v>49.04</v>
      </c>
      <c r="E84">
        <v>48.5</v>
      </c>
      <c r="F84">
        <v>48.54</v>
      </c>
      <c r="G84">
        <v>466300</v>
      </c>
    </row>
    <row r="85" spans="1:7" s="57" customFormat="1" ht="12">
      <c r="A85" s="114"/>
      <c r="B85" s="61">
        <v>39967</v>
      </c>
      <c r="C85">
        <v>49.5</v>
      </c>
      <c r="D85">
        <v>49.69</v>
      </c>
      <c r="E85">
        <v>48.85</v>
      </c>
      <c r="F85">
        <v>49.06</v>
      </c>
      <c r="G85">
        <v>651000</v>
      </c>
    </row>
    <row r="86" spans="1:7" s="57" customFormat="1" ht="12">
      <c r="A86" s="114"/>
      <c r="B86" s="61">
        <v>39966</v>
      </c>
      <c r="C86">
        <v>49.39</v>
      </c>
      <c r="D86">
        <v>49.6</v>
      </c>
      <c r="E86">
        <v>48.52</v>
      </c>
      <c r="F86">
        <v>49.4</v>
      </c>
      <c r="G86">
        <v>574400</v>
      </c>
    </row>
    <row r="87" spans="1:7" s="57" customFormat="1" ht="12">
      <c r="A87" s="114"/>
      <c r="B87" s="61">
        <v>39963</v>
      </c>
      <c r="C87">
        <v>49.71</v>
      </c>
      <c r="D87">
        <v>50.2</v>
      </c>
      <c r="E87">
        <v>49.26</v>
      </c>
      <c r="F87">
        <v>49.26</v>
      </c>
      <c r="G87">
        <v>419600</v>
      </c>
    </row>
    <row r="88" spans="1:7" s="57" customFormat="1" ht="12">
      <c r="A88" s="114"/>
      <c r="B88" s="61">
        <v>39962</v>
      </c>
      <c r="C88">
        <v>49.81</v>
      </c>
      <c r="D88">
        <v>50.87</v>
      </c>
      <c r="E88">
        <v>49.79</v>
      </c>
      <c r="F88">
        <v>49.83</v>
      </c>
      <c r="G88">
        <v>705300</v>
      </c>
    </row>
    <row r="89" spans="1:7" s="57" customFormat="1" ht="12">
      <c r="A89" s="114"/>
      <c r="B89" s="61">
        <v>39961</v>
      </c>
      <c r="C89">
        <v>50.07</v>
      </c>
      <c r="D89">
        <v>50.08</v>
      </c>
      <c r="E89">
        <v>48.86</v>
      </c>
      <c r="F89">
        <v>49.3</v>
      </c>
      <c r="G89">
        <v>565600</v>
      </c>
    </row>
    <row r="90" spans="1:7" s="57" customFormat="1" ht="12">
      <c r="A90" s="114"/>
      <c r="B90" s="61">
        <v>39960</v>
      </c>
      <c r="C90">
        <v>51.09</v>
      </c>
      <c r="D90">
        <v>51.22</v>
      </c>
      <c r="E90">
        <v>50.19</v>
      </c>
      <c r="F90">
        <v>50.44</v>
      </c>
      <c r="G90">
        <v>327700</v>
      </c>
    </row>
    <row r="91" spans="1:7" s="57" customFormat="1" ht="12">
      <c r="A91" s="114"/>
      <c r="B91" s="61">
        <v>39956</v>
      </c>
      <c r="C91">
        <v>50.8</v>
      </c>
      <c r="D91">
        <v>50.9</v>
      </c>
      <c r="E91">
        <v>50.52</v>
      </c>
      <c r="F91">
        <v>50.77</v>
      </c>
      <c r="G91">
        <v>440900</v>
      </c>
    </row>
    <row r="92" spans="1:7" s="57" customFormat="1" ht="12">
      <c r="A92" s="114"/>
      <c r="B92" s="61">
        <v>39955</v>
      </c>
      <c r="C92">
        <v>51.11</v>
      </c>
      <c r="D92">
        <v>51.13</v>
      </c>
      <c r="E92">
        <v>49.81</v>
      </c>
      <c r="F92">
        <v>51.02</v>
      </c>
      <c r="G92">
        <v>591000</v>
      </c>
    </row>
    <row r="93" spans="1:7" s="57" customFormat="1" ht="12">
      <c r="A93" s="114"/>
      <c r="B93" s="61">
        <v>39954</v>
      </c>
      <c r="C93">
        <v>52.37</v>
      </c>
      <c r="D93">
        <v>52.91</v>
      </c>
      <c r="E93">
        <v>51.12</v>
      </c>
      <c r="F93">
        <v>51.43</v>
      </c>
      <c r="G93">
        <v>475100</v>
      </c>
    </row>
    <row r="94" spans="1:7" s="57" customFormat="1" ht="12">
      <c r="A94" s="114"/>
      <c r="B94" s="61">
        <v>39953</v>
      </c>
      <c r="C94">
        <v>52.36</v>
      </c>
      <c r="D94">
        <v>52.63</v>
      </c>
      <c r="E94">
        <v>51.92</v>
      </c>
      <c r="F94">
        <v>52.44</v>
      </c>
      <c r="G94">
        <v>431100</v>
      </c>
    </row>
    <row r="95" spans="1:7" s="57" customFormat="1" ht="12">
      <c r="A95" s="114"/>
      <c r="B95" s="61">
        <v>39952</v>
      </c>
      <c r="C95">
        <v>52.82</v>
      </c>
      <c r="D95">
        <v>52.83</v>
      </c>
      <c r="E95">
        <v>52.29</v>
      </c>
      <c r="F95">
        <v>52.29</v>
      </c>
      <c r="G95">
        <v>325200</v>
      </c>
    </row>
    <row r="96" spans="1:7" s="57" customFormat="1" ht="12">
      <c r="A96" s="114"/>
      <c r="B96" s="61">
        <v>39949</v>
      </c>
      <c r="C96">
        <v>52.41</v>
      </c>
      <c r="D96">
        <v>52.95</v>
      </c>
      <c r="E96">
        <v>52.36</v>
      </c>
      <c r="F96">
        <v>52.81</v>
      </c>
      <c r="G96">
        <v>353100</v>
      </c>
    </row>
    <row r="97" spans="1:7" s="57" customFormat="1" ht="12">
      <c r="A97" s="114"/>
      <c r="B97" s="61">
        <v>39948</v>
      </c>
      <c r="C97">
        <v>52.78</v>
      </c>
      <c r="D97">
        <v>52.78</v>
      </c>
      <c r="E97">
        <v>52.24</v>
      </c>
      <c r="F97">
        <v>52.32</v>
      </c>
      <c r="G97">
        <v>198100</v>
      </c>
    </row>
    <row r="98" spans="1:7" s="57" customFormat="1" ht="12">
      <c r="A98" s="114"/>
      <c r="B98" s="61">
        <v>39947</v>
      </c>
      <c r="C98">
        <v>52.06</v>
      </c>
      <c r="D98">
        <v>53.08</v>
      </c>
      <c r="E98">
        <v>51.98</v>
      </c>
      <c r="F98">
        <v>52.79</v>
      </c>
      <c r="G98">
        <v>483300</v>
      </c>
    </row>
    <row r="99" spans="1:7" s="57" customFormat="1" ht="12">
      <c r="A99" s="114"/>
      <c r="B99" s="61">
        <v>39946</v>
      </c>
      <c r="C99">
        <v>51.6</v>
      </c>
      <c r="D99">
        <v>52.1</v>
      </c>
      <c r="E99">
        <v>51.6</v>
      </c>
      <c r="F99">
        <v>52.04</v>
      </c>
      <c r="G99">
        <v>456800</v>
      </c>
    </row>
    <row r="100" spans="1:7" s="57" customFormat="1" ht="12">
      <c r="A100" s="114"/>
      <c r="B100" s="61">
        <v>39945</v>
      </c>
      <c r="C100">
        <v>52.09</v>
      </c>
      <c r="D100">
        <v>52.1</v>
      </c>
      <c r="E100">
        <v>51.64</v>
      </c>
      <c r="F100">
        <v>51.69</v>
      </c>
      <c r="G100">
        <v>406600</v>
      </c>
    </row>
    <row r="101" spans="1:7" s="57" customFormat="1" ht="12">
      <c r="A101" s="114"/>
      <c r="B101" s="61">
        <v>39942</v>
      </c>
      <c r="C101">
        <v>51.77</v>
      </c>
      <c r="D101">
        <v>52.11</v>
      </c>
      <c r="E101">
        <v>51.65</v>
      </c>
      <c r="F101">
        <v>52.1</v>
      </c>
      <c r="G101">
        <v>261800</v>
      </c>
    </row>
    <row r="102" spans="1:7" s="57" customFormat="1" ht="12">
      <c r="A102" s="114"/>
      <c r="B102" s="114" t="s">
        <v>476</v>
      </c>
      <c r="C102" s="115">
        <f>AVERAGE(C72:C101)</f>
        <v>50.323666666666654</v>
      </c>
      <c r="D102" s="115">
        <f>AVERAGE(D72:D101)</f>
        <v>50.675666666666665</v>
      </c>
      <c r="E102" s="115">
        <f>AVERAGE(E72:E101)</f>
        <v>49.805999999999997</v>
      </c>
      <c r="F102" s="116">
        <f>AVERAGE(F72:F101)</f>
        <v>50.192666666666661</v>
      </c>
      <c r="G102" s="115">
        <f>AVERAGE(G72:G101)</f>
        <v>418680</v>
      </c>
    </row>
    <row r="103" spans="1:7" s="57" customFormat="1" ht="12">
      <c r="A103" s="114"/>
      <c r="B103" s="114" t="s">
        <v>423</v>
      </c>
      <c r="C103" s="114">
        <f>MEDIAN(C72:C101)</f>
        <v>49.865000000000002</v>
      </c>
      <c r="D103" s="114">
        <f>MEDIAN(D72:D101)</f>
        <v>50.21</v>
      </c>
      <c r="E103" s="114">
        <f>MEDIAN(E72:E101)</f>
        <v>49.375</v>
      </c>
      <c r="F103" s="114">
        <f>MEDIAN(F72:F101)</f>
        <v>49.674999999999997</v>
      </c>
      <c r="G103" s="114">
        <f>MEDIAN(G72:G101)</f>
        <v>436000</v>
      </c>
    </row>
    <row r="104" spans="1:7" s="57" customFormat="1" ht="12">
      <c r="A104" s="114"/>
      <c r="B104" s="114" t="s">
        <v>426</v>
      </c>
      <c r="C104" s="114">
        <f>MAX(C72:C101)</f>
        <v>52.82</v>
      </c>
      <c r="D104" s="114">
        <f>MAX(D72:D101)</f>
        <v>53.08</v>
      </c>
      <c r="E104" s="114">
        <f>MAX(E72:E101)</f>
        <v>52.36</v>
      </c>
      <c r="F104" s="114">
        <f>MAX(F72:F101)</f>
        <v>52.81</v>
      </c>
      <c r="G104" s="114">
        <f>MAX(G72:G101)</f>
        <v>705300</v>
      </c>
    </row>
    <row r="105" spans="1:7" s="57" customFormat="1" ht="12">
      <c r="A105" s="114"/>
      <c r="B105" s="114" t="s">
        <v>427</v>
      </c>
      <c r="C105" s="114">
        <f>MIN(C72:C101)</f>
        <v>47.45</v>
      </c>
      <c r="D105" s="114">
        <f>MIN(D72:D101)</f>
        <v>48.19</v>
      </c>
      <c r="E105" s="114">
        <f>MIN(E72:E101)</f>
        <v>46.79</v>
      </c>
      <c r="F105" s="114">
        <f>MIN(F72:F101)</f>
        <v>47.31</v>
      </c>
      <c r="G105" s="114">
        <f>MIN(G72:G101)</f>
        <v>194000</v>
      </c>
    </row>
    <row r="106" spans="1:7" s="57" customFormat="1" ht="12">
      <c r="A106" s="114" t="str">
        <f>[1]DATA!A8</f>
        <v>AEP</v>
      </c>
      <c r="B106" s="71" t="s">
        <v>304</v>
      </c>
      <c r="C106" s="71" t="s">
        <v>305</v>
      </c>
      <c r="D106" s="71" t="s">
        <v>521</v>
      </c>
      <c r="E106" s="71" t="s">
        <v>522</v>
      </c>
      <c r="F106" s="71" t="s">
        <v>523</v>
      </c>
      <c r="G106" s="71" t="s">
        <v>439</v>
      </c>
    </row>
    <row r="107" spans="1:7" s="57" customFormat="1" ht="12">
      <c r="A107" s="114"/>
      <c r="B107" s="61">
        <v>39984</v>
      </c>
      <c r="C107">
        <v>43.5</v>
      </c>
      <c r="D107">
        <v>44.04</v>
      </c>
      <c r="E107">
        <v>42.83</v>
      </c>
      <c r="F107">
        <v>43.78</v>
      </c>
      <c r="G107">
        <v>5149500</v>
      </c>
    </row>
    <row r="108" spans="1:7" s="57" customFormat="1" ht="12">
      <c r="A108" s="114"/>
      <c r="B108" s="61">
        <v>39983</v>
      </c>
      <c r="C108">
        <v>44.55</v>
      </c>
      <c r="D108">
        <v>44.55</v>
      </c>
      <c r="E108">
        <v>43.1</v>
      </c>
      <c r="F108">
        <v>43.19</v>
      </c>
      <c r="G108">
        <v>5732500</v>
      </c>
    </row>
    <row r="109" spans="1:7" s="57" customFormat="1" ht="12">
      <c r="A109" s="114"/>
      <c r="B109" s="61">
        <v>39982</v>
      </c>
      <c r="C109">
        <v>45.81</v>
      </c>
      <c r="D109">
        <v>45.93</v>
      </c>
      <c r="E109">
        <v>44.78</v>
      </c>
      <c r="F109">
        <v>44.79</v>
      </c>
      <c r="G109">
        <v>4245600</v>
      </c>
    </row>
    <row r="110" spans="1:7" s="57" customFormat="1" ht="12">
      <c r="A110" s="114"/>
      <c r="B110" s="61">
        <v>39981</v>
      </c>
      <c r="C110">
        <v>45.61</v>
      </c>
      <c r="D110">
        <v>46.11</v>
      </c>
      <c r="E110">
        <v>45.49</v>
      </c>
      <c r="F110">
        <v>45.9</v>
      </c>
      <c r="G110">
        <v>2853400</v>
      </c>
    </row>
    <row r="111" spans="1:7" s="57" customFormat="1" ht="12">
      <c r="A111" s="114"/>
      <c r="B111" s="61">
        <v>39980</v>
      </c>
      <c r="C111">
        <v>45.75</v>
      </c>
      <c r="D111">
        <v>46</v>
      </c>
      <c r="E111">
        <v>45.41</v>
      </c>
      <c r="F111">
        <v>45.57</v>
      </c>
      <c r="G111">
        <v>3553500</v>
      </c>
    </row>
    <row r="112" spans="1:7" s="57" customFormat="1" ht="12">
      <c r="A112" s="114"/>
      <c r="B112" s="61">
        <v>39977</v>
      </c>
      <c r="C112">
        <v>45.8</v>
      </c>
      <c r="D112">
        <v>46.18</v>
      </c>
      <c r="E112">
        <v>45.46</v>
      </c>
      <c r="F112">
        <v>45.51</v>
      </c>
      <c r="G112">
        <v>3946000</v>
      </c>
    </row>
    <row r="113" spans="1:7" s="57" customFormat="1" ht="12">
      <c r="A113" s="114"/>
      <c r="B113" s="61">
        <v>39976</v>
      </c>
      <c r="C113">
        <v>45.23</v>
      </c>
      <c r="D113">
        <v>45.95</v>
      </c>
      <c r="E113">
        <v>44.86</v>
      </c>
      <c r="F113">
        <v>45.92</v>
      </c>
      <c r="G113">
        <v>3010200</v>
      </c>
    </row>
    <row r="114" spans="1:7" s="57" customFormat="1" ht="12">
      <c r="A114" s="114"/>
      <c r="B114" s="61">
        <v>39975</v>
      </c>
      <c r="C114">
        <v>45.73</v>
      </c>
      <c r="D114">
        <v>46.07</v>
      </c>
      <c r="E114">
        <v>45.1</v>
      </c>
      <c r="F114">
        <v>45.2</v>
      </c>
      <c r="G114">
        <v>3535200</v>
      </c>
    </row>
    <row r="115" spans="1:7" s="57" customFormat="1" ht="12">
      <c r="A115" s="114"/>
      <c r="B115" s="61">
        <v>39974</v>
      </c>
      <c r="C115">
        <v>45.56</v>
      </c>
      <c r="D115">
        <v>45.84</v>
      </c>
      <c r="E115">
        <v>45.31</v>
      </c>
      <c r="F115">
        <v>45.36</v>
      </c>
      <c r="G115">
        <v>3272500</v>
      </c>
    </row>
    <row r="116" spans="1:7" s="57" customFormat="1" ht="12">
      <c r="A116" s="114"/>
      <c r="B116" s="61">
        <v>39973</v>
      </c>
      <c r="C116">
        <v>46.36</v>
      </c>
      <c r="D116">
        <v>46.49</v>
      </c>
      <c r="E116">
        <v>45.78</v>
      </c>
      <c r="F116">
        <v>45.91</v>
      </c>
      <c r="G116">
        <v>4701600</v>
      </c>
    </row>
    <row r="117" spans="1:7" s="57" customFormat="1" ht="12">
      <c r="A117" s="114"/>
      <c r="B117" s="61">
        <v>39970</v>
      </c>
      <c r="C117">
        <v>45.75</v>
      </c>
      <c r="D117">
        <v>46.35</v>
      </c>
      <c r="E117">
        <v>45.63</v>
      </c>
      <c r="F117">
        <v>46.15</v>
      </c>
      <c r="G117">
        <v>4548700</v>
      </c>
    </row>
    <row r="118" spans="1:7" s="57" customFormat="1" ht="12">
      <c r="A118" s="114"/>
      <c r="B118" s="61">
        <v>39969</v>
      </c>
      <c r="C118">
        <v>45.64</v>
      </c>
      <c r="D118">
        <v>45.84</v>
      </c>
      <c r="E118">
        <v>45.22</v>
      </c>
      <c r="F118">
        <v>45.67</v>
      </c>
      <c r="G118">
        <v>4674300</v>
      </c>
    </row>
    <row r="119" spans="1:7" s="57" customFormat="1" ht="12">
      <c r="A119" s="114"/>
      <c r="B119" s="61">
        <v>39968</v>
      </c>
      <c r="C119">
        <v>45.87</v>
      </c>
      <c r="D119">
        <v>45.93</v>
      </c>
      <c r="E119">
        <v>45.5</v>
      </c>
      <c r="F119">
        <v>45.61</v>
      </c>
      <c r="G119">
        <v>2828800</v>
      </c>
    </row>
    <row r="120" spans="1:7" s="57" customFormat="1" ht="12">
      <c r="A120" s="114"/>
      <c r="B120" s="61">
        <v>39967</v>
      </c>
      <c r="C120">
        <v>46.02</v>
      </c>
      <c r="D120">
        <v>46.27</v>
      </c>
      <c r="E120">
        <v>45.78</v>
      </c>
      <c r="F120">
        <v>46.05</v>
      </c>
      <c r="G120">
        <v>3282800</v>
      </c>
    </row>
    <row r="121" spans="1:7" s="57" customFormat="1" ht="12">
      <c r="A121" s="114"/>
      <c r="B121" s="61">
        <v>39966</v>
      </c>
      <c r="C121">
        <v>45.8</v>
      </c>
      <c r="D121">
        <v>46.31</v>
      </c>
      <c r="E121">
        <v>45.02</v>
      </c>
      <c r="F121">
        <v>46.14</v>
      </c>
      <c r="G121">
        <v>4676200</v>
      </c>
    </row>
    <row r="122" spans="1:7" s="57" customFormat="1" ht="12">
      <c r="A122" s="114"/>
      <c r="B122" s="61">
        <v>39963</v>
      </c>
      <c r="C122">
        <v>45.97</v>
      </c>
      <c r="D122">
        <v>46.71</v>
      </c>
      <c r="E122">
        <v>45.77</v>
      </c>
      <c r="F122">
        <v>45.82</v>
      </c>
      <c r="G122">
        <v>2809700</v>
      </c>
    </row>
    <row r="123" spans="1:7" s="57" customFormat="1" ht="12">
      <c r="A123" s="114"/>
      <c r="B123" s="61">
        <v>39962</v>
      </c>
      <c r="C123">
        <v>46.38</v>
      </c>
      <c r="D123">
        <v>47.53</v>
      </c>
      <c r="E123">
        <v>46.05</v>
      </c>
      <c r="F123">
        <v>46.09</v>
      </c>
      <c r="G123">
        <v>3593300</v>
      </c>
    </row>
    <row r="124" spans="1:7" s="57" customFormat="1" ht="12">
      <c r="A124" s="114"/>
      <c r="B124" s="61">
        <v>39961</v>
      </c>
      <c r="C124">
        <v>46.16</v>
      </c>
      <c r="D124">
        <v>46.3</v>
      </c>
      <c r="E124">
        <v>45.57</v>
      </c>
      <c r="F124">
        <v>46.19</v>
      </c>
      <c r="G124">
        <v>4280200</v>
      </c>
    </row>
    <row r="125" spans="1:7" s="57" customFormat="1" ht="12">
      <c r="A125" s="114"/>
      <c r="B125" s="61">
        <v>39960</v>
      </c>
      <c r="C125">
        <v>47.14</v>
      </c>
      <c r="D125">
        <v>47.23</v>
      </c>
      <c r="E125">
        <v>46.31</v>
      </c>
      <c r="F125">
        <v>46.56</v>
      </c>
      <c r="G125">
        <v>7232600</v>
      </c>
    </row>
    <row r="126" spans="1:7" s="57" customFormat="1" ht="12">
      <c r="A126" s="114"/>
      <c r="B126" s="61">
        <v>39956</v>
      </c>
      <c r="C126">
        <v>47.96</v>
      </c>
      <c r="D126">
        <v>48.23</v>
      </c>
      <c r="E126">
        <v>47.62</v>
      </c>
      <c r="F126">
        <v>47.71</v>
      </c>
      <c r="G126">
        <v>2110600</v>
      </c>
    </row>
    <row r="127" spans="1:7" s="57" customFormat="1" ht="12">
      <c r="A127" s="114"/>
      <c r="B127" s="61">
        <v>39955</v>
      </c>
      <c r="C127">
        <v>48.18</v>
      </c>
      <c r="D127">
        <v>48.54</v>
      </c>
      <c r="E127">
        <v>46.07</v>
      </c>
      <c r="F127">
        <v>48.28</v>
      </c>
      <c r="G127">
        <v>2947100</v>
      </c>
    </row>
    <row r="128" spans="1:7" s="57" customFormat="1" ht="12">
      <c r="A128" s="114"/>
      <c r="B128" s="61">
        <v>39954</v>
      </c>
      <c r="C128">
        <v>49.3</v>
      </c>
      <c r="D128">
        <v>49.88</v>
      </c>
      <c r="E128">
        <v>48.49</v>
      </c>
      <c r="F128">
        <v>48.59</v>
      </c>
      <c r="G128">
        <v>2938900</v>
      </c>
    </row>
    <row r="129" spans="1:7" s="57" customFormat="1" ht="12">
      <c r="A129" s="114"/>
      <c r="B129" s="61">
        <v>39953</v>
      </c>
      <c r="C129">
        <v>49.47</v>
      </c>
      <c r="D129">
        <v>49.67</v>
      </c>
      <c r="E129">
        <v>49.1</v>
      </c>
      <c r="F129">
        <v>49.36</v>
      </c>
      <c r="G129">
        <v>2032000</v>
      </c>
    </row>
    <row r="130" spans="1:7" s="57" customFormat="1" ht="12">
      <c r="A130" s="114"/>
      <c r="B130" s="61">
        <v>39952</v>
      </c>
      <c r="C130">
        <v>49.59</v>
      </c>
      <c r="D130">
        <v>49.79</v>
      </c>
      <c r="E130">
        <v>49.41</v>
      </c>
      <c r="F130">
        <v>49.47</v>
      </c>
      <c r="G130">
        <v>1751500</v>
      </c>
    </row>
    <row r="131" spans="1:7" s="57" customFormat="1" ht="12">
      <c r="A131" s="114"/>
      <c r="B131" s="61">
        <v>39949</v>
      </c>
      <c r="C131">
        <v>49.15</v>
      </c>
      <c r="D131">
        <v>49.65</v>
      </c>
      <c r="E131">
        <v>49.08</v>
      </c>
      <c r="F131">
        <v>49.64</v>
      </c>
      <c r="G131">
        <v>2243200</v>
      </c>
    </row>
    <row r="132" spans="1:7" s="57" customFormat="1" ht="12">
      <c r="A132" s="114"/>
      <c r="B132" s="61">
        <v>39948</v>
      </c>
      <c r="C132">
        <v>49.32</v>
      </c>
      <c r="D132">
        <v>49.45</v>
      </c>
      <c r="E132">
        <v>48.99</v>
      </c>
      <c r="F132">
        <v>49.05</v>
      </c>
      <c r="G132">
        <v>2228100</v>
      </c>
    </row>
    <row r="133" spans="1:7" s="57" customFormat="1" ht="12">
      <c r="A133" s="114"/>
      <c r="B133" s="61">
        <v>39947</v>
      </c>
      <c r="C133">
        <v>48.86</v>
      </c>
      <c r="D133">
        <v>49.75</v>
      </c>
      <c r="E133">
        <v>48.79</v>
      </c>
      <c r="F133">
        <v>49.41</v>
      </c>
      <c r="G133">
        <v>2862700</v>
      </c>
    </row>
    <row r="134" spans="1:7" s="57" customFormat="1" ht="12">
      <c r="A134" s="114"/>
      <c r="B134" s="61">
        <v>39946</v>
      </c>
      <c r="C134">
        <v>48.74</v>
      </c>
      <c r="D134">
        <v>48.96</v>
      </c>
      <c r="E134">
        <v>48.55</v>
      </c>
      <c r="F134">
        <v>48.87</v>
      </c>
      <c r="G134">
        <v>2484100</v>
      </c>
    </row>
    <row r="135" spans="1:7" s="57" customFormat="1" ht="12">
      <c r="A135" s="114"/>
      <c r="B135" s="61">
        <v>39945</v>
      </c>
      <c r="C135">
        <v>48.67</v>
      </c>
      <c r="D135">
        <v>48.77</v>
      </c>
      <c r="E135">
        <v>48.44</v>
      </c>
      <c r="F135">
        <v>48.67</v>
      </c>
      <c r="G135">
        <v>2768000</v>
      </c>
    </row>
    <row r="136" spans="1:7" s="57" customFormat="1" ht="12">
      <c r="A136" s="114"/>
      <c r="B136" s="61">
        <v>39942</v>
      </c>
      <c r="C136">
        <v>48.78</v>
      </c>
      <c r="D136">
        <v>48.93</v>
      </c>
      <c r="E136">
        <v>48.41</v>
      </c>
      <c r="F136">
        <v>48.82</v>
      </c>
      <c r="G136">
        <v>2691200</v>
      </c>
    </row>
    <row r="137" spans="1:7" s="57" customFormat="1" ht="12">
      <c r="A137" s="114"/>
      <c r="B137" s="114" t="s">
        <v>476</v>
      </c>
      <c r="C137" s="115">
        <f>AVERAGE(C107:C136)</f>
        <v>46.888333333333328</v>
      </c>
      <c r="D137" s="115">
        <f>AVERAGE(D107:D136)</f>
        <v>47.241666666666667</v>
      </c>
      <c r="E137" s="115">
        <f>AVERAGE(E107:E136)</f>
        <v>46.397333333333336</v>
      </c>
      <c r="F137" s="116">
        <f>AVERAGE(F107:F136)</f>
        <v>46.775999999999996</v>
      </c>
      <c r="G137" s="115">
        <f>AVERAGE(G107:G136)</f>
        <v>3499466.6666666665</v>
      </c>
    </row>
    <row r="138" spans="1:7" s="57" customFormat="1" ht="12">
      <c r="A138" s="114"/>
      <c r="B138" s="114" t="s">
        <v>423</v>
      </c>
      <c r="C138" s="114">
        <f>MEDIAN(C107:C136)</f>
        <v>46.09</v>
      </c>
      <c r="D138" s="114">
        <f>MEDIAN(D107:D136)</f>
        <v>46.42</v>
      </c>
      <c r="E138" s="114">
        <f>MEDIAN(E107:E136)</f>
        <v>45.775000000000006</v>
      </c>
      <c r="F138" s="114">
        <f>MEDIAN(F107:F136)</f>
        <v>46.115000000000002</v>
      </c>
      <c r="G138" s="114">
        <f>MEDIAN(G107:G136)</f>
        <v>3141350</v>
      </c>
    </row>
    <row r="139" spans="1:7" s="57" customFormat="1" ht="12">
      <c r="A139" s="114"/>
      <c r="B139" s="114" t="s">
        <v>426</v>
      </c>
      <c r="C139" s="114">
        <f>MAX(C107:C136)</f>
        <v>49.59</v>
      </c>
      <c r="D139" s="114">
        <f>MAX(D107:D136)</f>
        <v>49.88</v>
      </c>
      <c r="E139" s="114">
        <f>MAX(E107:E136)</f>
        <v>49.41</v>
      </c>
      <c r="F139" s="114">
        <f>MAX(F107:F136)</f>
        <v>49.64</v>
      </c>
      <c r="G139" s="114">
        <f>MAX(G107:G136)</f>
        <v>7232600</v>
      </c>
    </row>
    <row r="140" spans="1:7" s="57" customFormat="1" ht="12">
      <c r="A140" s="114"/>
      <c r="B140" s="114" t="s">
        <v>427</v>
      </c>
      <c r="C140" s="114">
        <f>MIN(C107:C136)</f>
        <v>43.5</v>
      </c>
      <c r="D140" s="114">
        <f>MIN(D107:D136)</f>
        <v>44.04</v>
      </c>
      <c r="E140" s="114">
        <f>MIN(E107:E136)</f>
        <v>42.83</v>
      </c>
      <c r="F140" s="114">
        <f>MIN(F107:F136)</f>
        <v>43.19</v>
      </c>
      <c r="G140" s="114">
        <f>MIN(G107:G136)</f>
        <v>1751500</v>
      </c>
    </row>
    <row r="141" spans="1:7" s="57" customFormat="1" ht="12">
      <c r="A141" s="114" t="str">
        <f>[1]DATA!A9</f>
        <v>CNL</v>
      </c>
      <c r="B141" s="71" t="s">
        <v>304</v>
      </c>
      <c r="C141" s="71" t="s">
        <v>305</v>
      </c>
      <c r="D141" s="71" t="s">
        <v>521</v>
      </c>
      <c r="E141" s="71" t="s">
        <v>522</v>
      </c>
      <c r="F141" s="71" t="s">
        <v>523</v>
      </c>
      <c r="G141" s="71" t="s">
        <v>439</v>
      </c>
    </row>
    <row r="142" spans="1:7" s="57" customFormat="1" ht="12">
      <c r="A142" s="114"/>
      <c r="B142" s="61">
        <v>39984</v>
      </c>
      <c r="C142">
        <v>44.15</v>
      </c>
      <c r="D142">
        <v>45.14</v>
      </c>
      <c r="E142">
        <v>43.87</v>
      </c>
      <c r="F142">
        <v>45.08</v>
      </c>
      <c r="G142">
        <v>697600</v>
      </c>
    </row>
    <row r="143" spans="1:7" s="57" customFormat="1" ht="12">
      <c r="A143" s="114"/>
      <c r="B143" s="61">
        <v>39983</v>
      </c>
      <c r="C143">
        <v>44.78</v>
      </c>
      <c r="D143">
        <v>44.98</v>
      </c>
      <c r="E143">
        <v>43.75</v>
      </c>
      <c r="F143">
        <v>43.97</v>
      </c>
      <c r="G143">
        <v>424200</v>
      </c>
    </row>
    <row r="144" spans="1:7" s="57" customFormat="1" ht="12">
      <c r="A144" s="114"/>
      <c r="B144" s="61">
        <v>39982</v>
      </c>
      <c r="C144">
        <v>46.22</v>
      </c>
      <c r="D144">
        <v>46.25</v>
      </c>
      <c r="E144">
        <v>45.31</v>
      </c>
      <c r="F144">
        <v>45.47</v>
      </c>
      <c r="G144">
        <v>425900</v>
      </c>
    </row>
    <row r="145" spans="1:7" s="57" customFormat="1" ht="12">
      <c r="A145" s="114"/>
      <c r="B145" s="61">
        <v>39981</v>
      </c>
      <c r="C145">
        <v>45.87</v>
      </c>
      <c r="D145">
        <v>46.49</v>
      </c>
      <c r="E145">
        <v>45.64</v>
      </c>
      <c r="F145">
        <v>46.37</v>
      </c>
      <c r="G145">
        <v>234400</v>
      </c>
    </row>
    <row r="146" spans="1:7" s="57" customFormat="1" ht="12">
      <c r="A146" s="114"/>
      <c r="B146" s="61">
        <v>39980</v>
      </c>
      <c r="C146">
        <v>45.72</v>
      </c>
      <c r="D146">
        <v>46.07</v>
      </c>
      <c r="E146">
        <v>45.54</v>
      </c>
      <c r="F146">
        <v>45.75</v>
      </c>
      <c r="G146">
        <v>297200</v>
      </c>
    </row>
    <row r="147" spans="1:7" s="57" customFormat="1" ht="12">
      <c r="A147" s="114"/>
      <c r="B147" s="61">
        <v>39977</v>
      </c>
      <c r="C147">
        <v>45.19</v>
      </c>
      <c r="D147">
        <v>45.44</v>
      </c>
      <c r="E147">
        <v>45.09</v>
      </c>
      <c r="F147">
        <v>45.41</v>
      </c>
      <c r="G147">
        <v>240700</v>
      </c>
    </row>
    <row r="148" spans="1:7" s="57" customFormat="1" ht="12">
      <c r="A148" s="114"/>
      <c r="B148" s="61">
        <v>39976</v>
      </c>
      <c r="C148">
        <v>44.39</v>
      </c>
      <c r="D148">
        <v>45.26</v>
      </c>
      <c r="E148">
        <v>44.19</v>
      </c>
      <c r="F148">
        <v>45.17</v>
      </c>
      <c r="G148">
        <v>192700</v>
      </c>
    </row>
    <row r="149" spans="1:7" s="57" customFormat="1" ht="12">
      <c r="A149" s="114"/>
      <c r="B149" s="61">
        <v>39975</v>
      </c>
      <c r="C149">
        <v>45.2</v>
      </c>
      <c r="D149">
        <v>45.29</v>
      </c>
      <c r="E149">
        <v>44.26</v>
      </c>
      <c r="F149">
        <v>44.4</v>
      </c>
      <c r="G149">
        <v>128100</v>
      </c>
    </row>
    <row r="150" spans="1:7" s="57" customFormat="1" ht="12">
      <c r="A150" s="114"/>
      <c r="B150" s="61">
        <v>39974</v>
      </c>
      <c r="C150">
        <v>45.24</v>
      </c>
      <c r="D150">
        <v>45.52</v>
      </c>
      <c r="E150">
        <v>44.84</v>
      </c>
      <c r="F150">
        <v>45.03</v>
      </c>
      <c r="G150">
        <v>144000</v>
      </c>
    </row>
    <row r="151" spans="1:7" s="57" customFormat="1" ht="12">
      <c r="A151" s="114"/>
      <c r="B151" s="61">
        <v>39973</v>
      </c>
      <c r="C151">
        <v>45.49</v>
      </c>
      <c r="D151">
        <v>45.62</v>
      </c>
      <c r="E151">
        <v>45.13</v>
      </c>
      <c r="F151">
        <v>45.53</v>
      </c>
      <c r="G151">
        <v>89500</v>
      </c>
    </row>
    <row r="152" spans="1:7" s="57" customFormat="1" ht="12">
      <c r="A152" s="114"/>
      <c r="B152" s="61">
        <v>39970</v>
      </c>
      <c r="C152">
        <v>45.4</v>
      </c>
      <c r="D152">
        <v>45.6</v>
      </c>
      <c r="E152">
        <v>44.73</v>
      </c>
      <c r="F152">
        <v>45.35</v>
      </c>
      <c r="G152">
        <v>145100</v>
      </c>
    </row>
    <row r="153" spans="1:7" s="57" customFormat="1" ht="12">
      <c r="A153" s="114"/>
      <c r="B153" s="61">
        <v>39969</v>
      </c>
      <c r="C153">
        <v>44.53</v>
      </c>
      <c r="D153">
        <v>45.22</v>
      </c>
      <c r="E153">
        <v>44.43</v>
      </c>
      <c r="F153">
        <v>45.21</v>
      </c>
      <c r="G153">
        <v>234500</v>
      </c>
    </row>
    <row r="154" spans="1:7" s="57" customFormat="1" ht="12">
      <c r="A154" s="114"/>
      <c r="B154" s="61">
        <v>39968</v>
      </c>
      <c r="C154">
        <v>44.81</v>
      </c>
      <c r="D154">
        <v>44.83</v>
      </c>
      <c r="E154">
        <v>44.26</v>
      </c>
      <c r="F154">
        <v>44.55</v>
      </c>
      <c r="G154">
        <v>211800</v>
      </c>
    </row>
    <row r="155" spans="1:7" s="57" customFormat="1" ht="12">
      <c r="A155" s="114"/>
      <c r="B155" s="61">
        <v>39967</v>
      </c>
      <c r="C155">
        <v>45.65</v>
      </c>
      <c r="D155">
        <v>45.85</v>
      </c>
      <c r="E155">
        <v>44.61</v>
      </c>
      <c r="F155">
        <v>44.94</v>
      </c>
      <c r="G155">
        <v>367500</v>
      </c>
    </row>
    <row r="156" spans="1:7" s="57" customFormat="1" ht="12">
      <c r="A156" s="114"/>
      <c r="B156" s="61">
        <v>39966</v>
      </c>
      <c r="C156">
        <v>45.52</v>
      </c>
      <c r="D156">
        <v>45.91</v>
      </c>
      <c r="E156">
        <v>44.98</v>
      </c>
      <c r="F156">
        <v>45.69</v>
      </c>
      <c r="G156">
        <v>394900</v>
      </c>
    </row>
    <row r="157" spans="1:7" s="57" customFormat="1" ht="12">
      <c r="A157" s="114"/>
      <c r="B157" s="61">
        <v>39963</v>
      </c>
      <c r="C157">
        <v>45.78</v>
      </c>
      <c r="D157">
        <v>46.37</v>
      </c>
      <c r="E157">
        <v>45.49</v>
      </c>
      <c r="F157">
        <v>45.51</v>
      </c>
      <c r="G157">
        <v>179000</v>
      </c>
    </row>
    <row r="158" spans="1:7" s="57" customFormat="1" ht="12">
      <c r="A158" s="114"/>
      <c r="B158" s="61">
        <v>39962</v>
      </c>
      <c r="C158">
        <v>45.64</v>
      </c>
      <c r="D158">
        <v>46.4</v>
      </c>
      <c r="E158">
        <v>45.47</v>
      </c>
      <c r="F158">
        <v>45.93</v>
      </c>
      <c r="G158">
        <v>245600</v>
      </c>
    </row>
    <row r="159" spans="1:7" s="57" customFormat="1" ht="12">
      <c r="A159" s="114"/>
      <c r="B159" s="61">
        <v>39961</v>
      </c>
      <c r="C159">
        <v>45.77</v>
      </c>
      <c r="D159">
        <v>45.82</v>
      </c>
      <c r="E159">
        <v>44.81</v>
      </c>
      <c r="F159">
        <v>45.3</v>
      </c>
      <c r="G159">
        <v>198300</v>
      </c>
    </row>
    <row r="160" spans="1:7" s="57" customFormat="1" ht="12">
      <c r="A160" s="114"/>
      <c r="B160" s="61">
        <v>39960</v>
      </c>
      <c r="C160">
        <v>46.62</v>
      </c>
      <c r="D160">
        <v>46.68</v>
      </c>
      <c r="E160">
        <v>45.71</v>
      </c>
      <c r="F160">
        <v>46.04</v>
      </c>
      <c r="G160">
        <v>212300</v>
      </c>
    </row>
    <row r="161" spans="1:7" s="57" customFormat="1" ht="12">
      <c r="A161" s="114"/>
      <c r="B161" s="61">
        <v>39956</v>
      </c>
      <c r="C161">
        <v>46.41</v>
      </c>
      <c r="D161">
        <v>46.5</v>
      </c>
      <c r="E161">
        <v>46.06</v>
      </c>
      <c r="F161">
        <v>46.3</v>
      </c>
      <c r="G161">
        <v>127300</v>
      </c>
    </row>
    <row r="162" spans="1:7" s="57" customFormat="1" ht="12">
      <c r="A162" s="114"/>
      <c r="B162" s="61">
        <v>39955</v>
      </c>
      <c r="C162">
        <v>46.57</v>
      </c>
      <c r="D162">
        <v>46.73</v>
      </c>
      <c r="E162">
        <v>45.74</v>
      </c>
      <c r="F162">
        <v>46.61</v>
      </c>
      <c r="G162">
        <v>275600</v>
      </c>
    </row>
    <row r="163" spans="1:7" s="57" customFormat="1" ht="12">
      <c r="A163" s="114"/>
      <c r="B163" s="61">
        <v>39954</v>
      </c>
      <c r="C163">
        <v>47.63</v>
      </c>
      <c r="D163">
        <v>48.32</v>
      </c>
      <c r="E163">
        <v>46.66</v>
      </c>
      <c r="F163">
        <v>46.93</v>
      </c>
      <c r="G163">
        <v>209500</v>
      </c>
    </row>
    <row r="164" spans="1:7" s="57" customFormat="1" ht="12">
      <c r="A164" s="114"/>
      <c r="B164" s="61">
        <v>39953</v>
      </c>
      <c r="C164">
        <v>47.71</v>
      </c>
      <c r="D164">
        <v>47.78</v>
      </c>
      <c r="E164">
        <v>47.27</v>
      </c>
      <c r="F164">
        <v>47.7</v>
      </c>
      <c r="G164">
        <v>130000</v>
      </c>
    </row>
    <row r="165" spans="1:7" s="57" customFormat="1" ht="12">
      <c r="A165" s="114"/>
      <c r="B165" s="61">
        <v>39952</v>
      </c>
      <c r="C165">
        <v>47.79</v>
      </c>
      <c r="D165">
        <v>47.93</v>
      </c>
      <c r="E165">
        <v>47.5</v>
      </c>
      <c r="F165">
        <v>47.66</v>
      </c>
      <c r="G165">
        <v>137000</v>
      </c>
    </row>
    <row r="166" spans="1:7" s="57" customFormat="1" ht="12">
      <c r="A166" s="114"/>
      <c r="B166" s="61">
        <v>39949</v>
      </c>
      <c r="C166">
        <v>47.54</v>
      </c>
      <c r="D166">
        <v>47.9</v>
      </c>
      <c r="E166">
        <v>47.38</v>
      </c>
      <c r="F166">
        <v>47.86</v>
      </c>
      <c r="G166">
        <v>164100</v>
      </c>
    </row>
    <row r="167" spans="1:7" s="57" customFormat="1" ht="12">
      <c r="A167" s="114"/>
      <c r="B167" s="61">
        <v>39948</v>
      </c>
      <c r="C167">
        <v>47.98</v>
      </c>
      <c r="D167">
        <v>47.98</v>
      </c>
      <c r="E167">
        <v>47.32</v>
      </c>
      <c r="F167">
        <v>47.47</v>
      </c>
      <c r="G167">
        <v>159500</v>
      </c>
    </row>
    <row r="168" spans="1:7" s="57" customFormat="1" ht="12">
      <c r="A168" s="114"/>
      <c r="B168" s="61">
        <v>39947</v>
      </c>
      <c r="C168">
        <v>47.51</v>
      </c>
      <c r="D168">
        <v>48.57</v>
      </c>
      <c r="E168">
        <v>47.42</v>
      </c>
      <c r="F168">
        <v>48.01</v>
      </c>
      <c r="G168">
        <v>235300</v>
      </c>
    </row>
    <row r="169" spans="1:7" s="57" customFormat="1" ht="12">
      <c r="A169" s="114"/>
      <c r="B169" s="61">
        <v>39946</v>
      </c>
      <c r="C169">
        <v>46.82</v>
      </c>
      <c r="D169">
        <v>47.53</v>
      </c>
      <c r="E169">
        <v>46.82</v>
      </c>
      <c r="F169">
        <v>47.5</v>
      </c>
      <c r="G169">
        <v>232700</v>
      </c>
    </row>
    <row r="170" spans="1:7" s="57" customFormat="1" ht="12">
      <c r="A170" s="114"/>
      <c r="B170" s="61">
        <v>39945</v>
      </c>
      <c r="C170">
        <v>47.08</v>
      </c>
      <c r="D170">
        <v>47.13</v>
      </c>
      <c r="E170">
        <v>46.77</v>
      </c>
      <c r="F170">
        <v>46.91</v>
      </c>
      <c r="G170">
        <v>123400</v>
      </c>
    </row>
    <row r="171" spans="1:7" s="57" customFormat="1" ht="12">
      <c r="A171" s="114"/>
      <c r="B171" s="61">
        <v>39942</v>
      </c>
      <c r="C171">
        <v>47.11</v>
      </c>
      <c r="D171">
        <v>47.25</v>
      </c>
      <c r="E171">
        <v>46.86</v>
      </c>
      <c r="F171">
        <v>47.23</v>
      </c>
      <c r="G171">
        <v>220200</v>
      </c>
    </row>
    <row r="172" spans="1:7" s="57" customFormat="1" ht="12">
      <c r="A172" s="114"/>
      <c r="B172" s="114" t="s">
        <v>476</v>
      </c>
      <c r="C172" s="115">
        <f>AVERAGE(C142:C171)</f>
        <v>46.070666666666654</v>
      </c>
      <c r="D172" s="115">
        <f>AVERAGE(D142:D171)</f>
        <v>46.412000000000013</v>
      </c>
      <c r="E172" s="115">
        <f>AVERAGE(E142:E171)</f>
        <v>45.597000000000001</v>
      </c>
      <c r="F172" s="116">
        <f>AVERAGE(F142:F171)</f>
        <v>46.029333333333327</v>
      </c>
      <c r="G172" s="115">
        <f>AVERAGE(G142:G171)</f>
        <v>235930</v>
      </c>
    </row>
    <row r="173" spans="1:7" s="57" customFormat="1" ht="12">
      <c r="A173" s="114"/>
      <c r="B173" s="114" t="s">
        <v>423</v>
      </c>
      <c r="C173" s="114">
        <f>MEDIAN(C142:C171)</f>
        <v>45.775000000000006</v>
      </c>
      <c r="D173" s="114">
        <f>MEDIAN(D142:D171)</f>
        <v>46.31</v>
      </c>
      <c r="E173" s="114">
        <f>MEDIAN(E142:E171)</f>
        <v>45.480000000000004</v>
      </c>
      <c r="F173" s="114">
        <f>MEDIAN(F142:F171)</f>
        <v>45.72</v>
      </c>
      <c r="G173" s="114">
        <f>MEDIAN(G142:G171)</f>
        <v>212050</v>
      </c>
    </row>
    <row r="174" spans="1:7" s="57" customFormat="1" ht="12">
      <c r="A174" s="114"/>
      <c r="B174" s="114" t="s">
        <v>426</v>
      </c>
      <c r="C174" s="114">
        <f>MAX(C142:C171)</f>
        <v>47.98</v>
      </c>
      <c r="D174" s="114">
        <f>MAX(D142:D171)</f>
        <v>48.57</v>
      </c>
      <c r="E174" s="114">
        <f>MAX(E142:E171)</f>
        <v>47.5</v>
      </c>
      <c r="F174" s="114">
        <f>MAX(F142:F171)</f>
        <v>48.01</v>
      </c>
      <c r="G174" s="114">
        <f>MAX(G142:G171)</f>
        <v>697600</v>
      </c>
    </row>
    <row r="175" spans="1:7" s="57" customFormat="1" ht="12">
      <c r="A175" s="114"/>
      <c r="B175" s="114" t="s">
        <v>427</v>
      </c>
      <c r="C175" s="114">
        <f>MIN(C142:C171)</f>
        <v>44.15</v>
      </c>
      <c r="D175" s="114">
        <f>MIN(D142:D171)</f>
        <v>44.83</v>
      </c>
      <c r="E175" s="114">
        <f>MIN(E142:E171)</f>
        <v>43.75</v>
      </c>
      <c r="F175" s="114">
        <f>MIN(F142:F171)</f>
        <v>43.97</v>
      </c>
      <c r="G175" s="114">
        <f>MIN(G142:G171)</f>
        <v>89500</v>
      </c>
    </row>
    <row r="176" spans="1:7" s="57" customFormat="1" ht="12">
      <c r="A176" s="114" t="str">
        <f>[1]DATA!A10</f>
        <v>ETR</v>
      </c>
      <c r="B176" s="71" t="s">
        <v>304</v>
      </c>
      <c r="C176" s="71" t="s">
        <v>305</v>
      </c>
      <c r="D176" s="71" t="s">
        <v>521</v>
      </c>
      <c r="E176" s="71" t="s">
        <v>522</v>
      </c>
      <c r="F176" s="71" t="s">
        <v>523</v>
      </c>
      <c r="G176" s="71" t="s">
        <v>439</v>
      </c>
    </row>
    <row r="177" spans="1:7" s="57" customFormat="1" ht="12">
      <c r="A177" s="114"/>
      <c r="B177" s="61">
        <v>39984</v>
      </c>
      <c r="C177">
        <v>66.64</v>
      </c>
      <c r="D177">
        <v>68.42</v>
      </c>
      <c r="E177">
        <v>66.31</v>
      </c>
      <c r="F177">
        <v>68.13</v>
      </c>
      <c r="G177">
        <v>1969200</v>
      </c>
    </row>
    <row r="178" spans="1:7" s="57" customFormat="1" ht="12">
      <c r="A178" s="114"/>
      <c r="B178" s="61">
        <v>39983</v>
      </c>
      <c r="C178">
        <v>67.84</v>
      </c>
      <c r="D178">
        <v>68.099999999999994</v>
      </c>
      <c r="E178">
        <v>66.25</v>
      </c>
      <c r="F178">
        <v>66.37</v>
      </c>
      <c r="G178">
        <v>1328200</v>
      </c>
    </row>
    <row r="179" spans="1:7" s="57" customFormat="1" ht="12">
      <c r="A179" s="114"/>
      <c r="B179" s="61">
        <v>39982</v>
      </c>
      <c r="C179">
        <v>69.22</v>
      </c>
      <c r="D179">
        <v>70.099999999999994</v>
      </c>
      <c r="E179">
        <v>68.25</v>
      </c>
      <c r="F179">
        <v>68.25</v>
      </c>
      <c r="G179">
        <v>1089200</v>
      </c>
    </row>
    <row r="180" spans="1:7" s="57" customFormat="1" ht="12">
      <c r="A180" s="114"/>
      <c r="B180" s="61">
        <v>39981</v>
      </c>
      <c r="C180">
        <v>68.569999999999993</v>
      </c>
      <c r="D180">
        <v>69.56</v>
      </c>
      <c r="E180">
        <v>68.17</v>
      </c>
      <c r="F180">
        <v>69.17</v>
      </c>
      <c r="G180">
        <v>853500</v>
      </c>
    </row>
    <row r="181" spans="1:7" s="57" customFormat="1" ht="12">
      <c r="A181" s="114"/>
      <c r="B181" s="61">
        <v>39980</v>
      </c>
      <c r="C181">
        <v>68.67</v>
      </c>
      <c r="D181">
        <v>69.75</v>
      </c>
      <c r="E181">
        <v>68.209999999999994</v>
      </c>
      <c r="F181">
        <v>68.62</v>
      </c>
      <c r="G181">
        <v>1104000</v>
      </c>
    </row>
    <row r="182" spans="1:7" s="57" customFormat="1" ht="12">
      <c r="A182" s="114"/>
      <c r="B182" s="61">
        <v>39977</v>
      </c>
      <c r="C182">
        <v>68.7</v>
      </c>
      <c r="D182">
        <v>69.37</v>
      </c>
      <c r="E182">
        <v>68.41</v>
      </c>
      <c r="F182">
        <v>68.47</v>
      </c>
      <c r="G182">
        <v>937600</v>
      </c>
    </row>
    <row r="183" spans="1:7" s="57" customFormat="1" ht="12">
      <c r="A183" s="114"/>
      <c r="B183" s="61">
        <v>39976</v>
      </c>
      <c r="C183">
        <v>67.680000000000007</v>
      </c>
      <c r="D183">
        <v>68.930000000000007</v>
      </c>
      <c r="E183">
        <v>67.180000000000007</v>
      </c>
      <c r="F183">
        <v>68.88</v>
      </c>
      <c r="G183">
        <v>950100</v>
      </c>
    </row>
    <row r="184" spans="1:7" s="57" customFormat="1" ht="12">
      <c r="A184" s="114"/>
      <c r="B184" s="61">
        <v>39975</v>
      </c>
      <c r="C184">
        <v>69.05</v>
      </c>
      <c r="D184">
        <v>69.23</v>
      </c>
      <c r="E184">
        <v>67.3</v>
      </c>
      <c r="F184">
        <v>67.709999999999994</v>
      </c>
      <c r="G184">
        <v>1107600</v>
      </c>
    </row>
    <row r="185" spans="1:7" s="57" customFormat="1" ht="12">
      <c r="A185" s="114"/>
      <c r="B185" s="61">
        <v>39974</v>
      </c>
      <c r="C185">
        <v>69.12</v>
      </c>
      <c r="D185">
        <v>69.540000000000006</v>
      </c>
      <c r="E185">
        <v>68.64</v>
      </c>
      <c r="F185">
        <v>68.66</v>
      </c>
      <c r="G185">
        <v>792200</v>
      </c>
    </row>
    <row r="186" spans="1:7" s="57" customFormat="1" ht="12">
      <c r="A186" s="114"/>
      <c r="B186" s="61">
        <v>39973</v>
      </c>
      <c r="C186">
        <v>69.290000000000006</v>
      </c>
      <c r="D186">
        <v>69.88</v>
      </c>
      <c r="E186">
        <v>68.75</v>
      </c>
      <c r="F186">
        <v>69.569999999999993</v>
      </c>
      <c r="G186">
        <v>1607700</v>
      </c>
    </row>
    <row r="187" spans="1:7" s="57" customFormat="1" ht="12">
      <c r="A187" s="114"/>
      <c r="B187" s="61">
        <v>39970</v>
      </c>
      <c r="C187">
        <v>68.27</v>
      </c>
      <c r="D187">
        <v>68.98</v>
      </c>
      <c r="E187">
        <v>67.489999999999995</v>
      </c>
      <c r="F187">
        <v>68.19</v>
      </c>
      <c r="G187">
        <v>1107000</v>
      </c>
    </row>
    <row r="188" spans="1:7" s="57" customFormat="1" ht="12">
      <c r="A188" s="114"/>
      <c r="B188" s="61">
        <v>39969</v>
      </c>
      <c r="C188">
        <v>67.48</v>
      </c>
      <c r="D188">
        <v>68.11</v>
      </c>
      <c r="E188">
        <v>67.09</v>
      </c>
      <c r="F188">
        <v>68.010000000000005</v>
      </c>
      <c r="G188">
        <v>890600</v>
      </c>
    </row>
    <row r="189" spans="1:7" s="57" customFormat="1" ht="12">
      <c r="A189" s="114"/>
      <c r="B189" s="61">
        <v>39968</v>
      </c>
      <c r="C189">
        <v>68.05</v>
      </c>
      <c r="D189">
        <v>68.209999999999994</v>
      </c>
      <c r="E189">
        <v>67.23</v>
      </c>
      <c r="F189">
        <v>67.39</v>
      </c>
      <c r="G189">
        <v>1025700</v>
      </c>
    </row>
    <row r="190" spans="1:7" s="57" customFormat="1" ht="12">
      <c r="A190" s="114"/>
      <c r="B190" s="61">
        <v>39967</v>
      </c>
      <c r="C190">
        <v>69.55</v>
      </c>
      <c r="D190">
        <v>69.680000000000007</v>
      </c>
      <c r="E190">
        <v>68.13</v>
      </c>
      <c r="F190">
        <v>68.239999999999995</v>
      </c>
      <c r="G190">
        <v>1528000</v>
      </c>
    </row>
    <row r="191" spans="1:7" s="57" customFormat="1" ht="12">
      <c r="A191" s="114"/>
      <c r="B191" s="61">
        <v>39966</v>
      </c>
      <c r="C191">
        <v>69.180000000000007</v>
      </c>
      <c r="D191">
        <v>70.48</v>
      </c>
      <c r="E191">
        <v>68.16</v>
      </c>
      <c r="F191">
        <v>69.709999999999994</v>
      </c>
      <c r="G191">
        <v>1451300</v>
      </c>
    </row>
    <row r="192" spans="1:7" s="57" customFormat="1" ht="12">
      <c r="A192" s="114"/>
      <c r="B192" s="61">
        <v>39963</v>
      </c>
      <c r="C192">
        <v>69.069999999999993</v>
      </c>
      <c r="D192">
        <v>70.48</v>
      </c>
      <c r="E192">
        <v>68.88</v>
      </c>
      <c r="F192">
        <v>68.88</v>
      </c>
      <c r="G192">
        <v>1254200</v>
      </c>
    </row>
    <row r="193" spans="1:8" s="57" customFormat="1" ht="12">
      <c r="A193" s="114"/>
      <c r="B193" s="61">
        <v>39962</v>
      </c>
      <c r="C193">
        <v>68.81</v>
      </c>
      <c r="D193">
        <v>70.209999999999994</v>
      </c>
      <c r="E193">
        <v>68.81</v>
      </c>
      <c r="F193">
        <v>69.099999999999994</v>
      </c>
      <c r="G193">
        <v>1122100</v>
      </c>
    </row>
    <row r="194" spans="1:8" s="57" customFormat="1" ht="12">
      <c r="A194" s="114"/>
      <c r="B194" s="61">
        <v>39961</v>
      </c>
      <c r="C194">
        <v>68.989999999999995</v>
      </c>
      <c r="D194">
        <v>69.25</v>
      </c>
      <c r="E194">
        <v>68.349999999999994</v>
      </c>
      <c r="F194">
        <v>68.59</v>
      </c>
      <c r="G194">
        <v>1707700</v>
      </c>
    </row>
    <row r="195" spans="1:8" s="57" customFormat="1" ht="12">
      <c r="A195" s="114"/>
      <c r="B195" s="61">
        <v>39960</v>
      </c>
      <c r="C195">
        <v>68.73</v>
      </c>
      <c r="D195">
        <v>70.66</v>
      </c>
      <c r="E195">
        <v>68.540000000000006</v>
      </c>
      <c r="F195">
        <v>69.5</v>
      </c>
      <c r="G195">
        <v>2140300</v>
      </c>
    </row>
    <row r="196" spans="1:8" s="57" customFormat="1" ht="12">
      <c r="A196" s="114"/>
      <c r="B196" s="61">
        <v>39956</v>
      </c>
      <c r="C196">
        <v>68.87</v>
      </c>
      <c r="D196">
        <v>69.17</v>
      </c>
      <c r="E196">
        <v>68.41</v>
      </c>
      <c r="F196">
        <v>68.94</v>
      </c>
      <c r="G196">
        <v>773500</v>
      </c>
    </row>
    <row r="197" spans="1:8" s="57" customFormat="1" ht="12">
      <c r="A197" s="114"/>
      <c r="B197" s="61">
        <v>39955</v>
      </c>
      <c r="C197">
        <v>68.11</v>
      </c>
      <c r="D197">
        <v>69.12</v>
      </c>
      <c r="E197">
        <v>67.59</v>
      </c>
      <c r="F197">
        <v>68.92</v>
      </c>
      <c r="G197">
        <v>1123400</v>
      </c>
      <c r="H197" s="57" t="s">
        <v>76</v>
      </c>
    </row>
    <row r="198" spans="1:8" s="57" customFormat="1" ht="12">
      <c r="A198" s="114"/>
      <c r="B198" s="61">
        <v>39954</v>
      </c>
      <c r="C198">
        <v>70.23</v>
      </c>
      <c r="D198">
        <v>70.819999999999993</v>
      </c>
      <c r="E198">
        <v>68.680000000000007</v>
      </c>
      <c r="F198">
        <v>69.069999999999993</v>
      </c>
      <c r="G198">
        <v>1198300</v>
      </c>
    </row>
    <row r="199" spans="1:8" s="57" customFormat="1" ht="12">
      <c r="A199" s="114"/>
      <c r="B199" s="61">
        <v>39953</v>
      </c>
      <c r="C199">
        <v>70.760000000000005</v>
      </c>
      <c r="D199">
        <v>70.760000000000005</v>
      </c>
      <c r="E199">
        <v>69.89</v>
      </c>
      <c r="F199">
        <v>70.3</v>
      </c>
      <c r="G199">
        <v>1175900</v>
      </c>
    </row>
    <row r="200" spans="1:8" s="57" customFormat="1" ht="12">
      <c r="A200" s="114"/>
      <c r="B200" s="61">
        <v>39952</v>
      </c>
      <c r="C200">
        <v>71</v>
      </c>
      <c r="D200">
        <v>71.13</v>
      </c>
      <c r="E200">
        <v>70.3</v>
      </c>
      <c r="F200">
        <v>70.599999999999994</v>
      </c>
      <c r="G200">
        <v>1229800</v>
      </c>
    </row>
    <row r="201" spans="1:8" s="57" customFormat="1" ht="12">
      <c r="A201" s="114"/>
      <c r="B201" s="61">
        <v>39949</v>
      </c>
      <c r="C201">
        <v>69.8</v>
      </c>
      <c r="D201">
        <v>71.3</v>
      </c>
      <c r="E201">
        <v>69.63</v>
      </c>
      <c r="F201">
        <v>71.14</v>
      </c>
      <c r="G201">
        <v>2281200</v>
      </c>
    </row>
    <row r="202" spans="1:8" s="57" customFormat="1" ht="12">
      <c r="A202" s="114"/>
      <c r="B202" s="61">
        <v>39948</v>
      </c>
      <c r="C202">
        <v>69.42</v>
      </c>
      <c r="D202">
        <v>70.180000000000007</v>
      </c>
      <c r="E202">
        <v>68.900000000000006</v>
      </c>
      <c r="F202">
        <v>69.67</v>
      </c>
      <c r="G202">
        <v>1773500</v>
      </c>
    </row>
    <row r="203" spans="1:8" s="57" customFormat="1" ht="12">
      <c r="A203" s="114"/>
      <c r="B203" s="61">
        <v>39947</v>
      </c>
      <c r="C203">
        <v>67.989999999999995</v>
      </c>
      <c r="D203">
        <v>70.45</v>
      </c>
      <c r="E203">
        <v>67.900000000000006</v>
      </c>
      <c r="F203">
        <v>69.61</v>
      </c>
      <c r="G203">
        <v>3154000</v>
      </c>
    </row>
    <row r="204" spans="1:8" s="57" customFormat="1" ht="12">
      <c r="A204" s="114"/>
      <c r="B204" s="61">
        <v>39946</v>
      </c>
      <c r="C204">
        <v>67.34</v>
      </c>
      <c r="D204">
        <v>68.2</v>
      </c>
      <c r="E204">
        <v>67.19</v>
      </c>
      <c r="F204">
        <v>68.08</v>
      </c>
      <c r="G204">
        <v>1380100</v>
      </c>
    </row>
    <row r="205" spans="1:8" s="57" customFormat="1" ht="12">
      <c r="A205" s="114"/>
      <c r="B205" s="61">
        <v>39945</v>
      </c>
      <c r="C205">
        <v>67.209999999999994</v>
      </c>
      <c r="D205">
        <v>67.61</v>
      </c>
      <c r="E205">
        <v>66.86</v>
      </c>
      <c r="F205">
        <v>67.290000000000006</v>
      </c>
      <c r="G205">
        <v>863900</v>
      </c>
    </row>
    <row r="206" spans="1:8" s="57" customFormat="1" ht="12">
      <c r="A206" s="114"/>
      <c r="B206" s="61">
        <v>39942</v>
      </c>
      <c r="C206">
        <v>67.010000000000005</v>
      </c>
      <c r="D206">
        <v>67.569999999999993</v>
      </c>
      <c r="E206">
        <v>66.72</v>
      </c>
      <c r="F206">
        <v>67.489999999999995</v>
      </c>
      <c r="G206">
        <v>921000</v>
      </c>
    </row>
    <row r="207" spans="1:8" s="57" customFormat="1" ht="12">
      <c r="A207" s="114"/>
      <c r="B207" s="114" t="s">
        <v>476</v>
      </c>
      <c r="C207" s="115">
        <f>AVERAGE(C177:C206)</f>
        <v>68.688333333333318</v>
      </c>
      <c r="D207" s="115">
        <f>AVERAGE(D177:D206)</f>
        <v>69.50833333333334</v>
      </c>
      <c r="E207" s="115">
        <f>AVERAGE(E177:E206)</f>
        <v>68.074000000000012</v>
      </c>
      <c r="F207" s="116">
        <f>AVERAGE(F177:F206)</f>
        <v>68.751666666666651</v>
      </c>
      <c r="G207" s="115">
        <f>AVERAGE(G177:G206)</f>
        <v>1328026.6666666667</v>
      </c>
    </row>
    <row r="208" spans="1:8" s="57" customFormat="1" ht="12">
      <c r="A208" s="114"/>
      <c r="B208" s="114" t="s">
        <v>423</v>
      </c>
      <c r="C208" s="114">
        <f>MEDIAN(C177:C206)</f>
        <v>68.77000000000001</v>
      </c>
      <c r="D208" s="114">
        <f>MEDIAN(D177:D206)</f>
        <v>69.550000000000011</v>
      </c>
      <c r="E208" s="114">
        <f>MEDIAN(E177:E206)</f>
        <v>68.19</v>
      </c>
      <c r="F208" s="114">
        <f>MEDIAN(F177:F206)</f>
        <v>68.77</v>
      </c>
      <c r="G208" s="114">
        <f>MEDIAN(G177:G206)</f>
        <v>1149650</v>
      </c>
    </row>
    <row r="209" spans="1:7" s="57" customFormat="1" ht="12">
      <c r="A209" s="114"/>
      <c r="B209" s="114" t="s">
        <v>426</v>
      </c>
      <c r="C209" s="114">
        <f>MAX(C177:C206)</f>
        <v>71</v>
      </c>
      <c r="D209" s="114">
        <f>MAX(D177:D206)</f>
        <v>71.3</v>
      </c>
      <c r="E209" s="114">
        <f>MAX(E177:E206)</f>
        <v>70.3</v>
      </c>
      <c r="F209" s="114">
        <f>MAX(F177:F206)</f>
        <v>71.14</v>
      </c>
      <c r="G209" s="114">
        <f>MAX(G177:G206)</f>
        <v>3154000</v>
      </c>
    </row>
    <row r="210" spans="1:7" s="57" customFormat="1" ht="12">
      <c r="A210" s="114"/>
      <c r="B210" s="114" t="s">
        <v>427</v>
      </c>
      <c r="C210" s="114">
        <f>MIN(C177:C206)</f>
        <v>66.64</v>
      </c>
      <c r="D210" s="114">
        <f>MIN(D177:D206)</f>
        <v>67.569999999999993</v>
      </c>
      <c r="E210" s="114">
        <f>MIN(E177:E206)</f>
        <v>66.25</v>
      </c>
      <c r="F210" s="114">
        <f>MIN(F177:F206)</f>
        <v>66.37</v>
      </c>
      <c r="G210" s="114">
        <f>MIN(G177:G206)</f>
        <v>773500</v>
      </c>
    </row>
    <row r="211" spans="1:7" s="57" customFormat="1" ht="12">
      <c r="A211" s="114" t="str">
        <f>[1]DATA!A11</f>
        <v>WR</v>
      </c>
      <c r="B211" s="71" t="s">
        <v>304</v>
      </c>
      <c r="C211" s="71" t="s">
        <v>305</v>
      </c>
      <c r="D211" s="71" t="s">
        <v>521</v>
      </c>
      <c r="E211" s="71" t="s">
        <v>522</v>
      </c>
      <c r="F211" s="71" t="s">
        <v>523</v>
      </c>
      <c r="G211" s="71" t="s">
        <v>439</v>
      </c>
    </row>
    <row r="212" spans="1:7" s="57" customFormat="1" ht="12">
      <c r="A212" s="114"/>
      <c r="B212" s="61">
        <v>39984</v>
      </c>
      <c r="C212">
        <v>30.52</v>
      </c>
      <c r="D212">
        <v>31.05</v>
      </c>
      <c r="E212">
        <v>30.13</v>
      </c>
      <c r="F212">
        <v>30.71</v>
      </c>
      <c r="G212">
        <v>1513700</v>
      </c>
    </row>
    <row r="213" spans="1:7" s="57" customFormat="1" ht="12">
      <c r="A213" s="114"/>
      <c r="B213" s="61">
        <v>39983</v>
      </c>
      <c r="C213">
        <v>31.17</v>
      </c>
      <c r="D213">
        <v>31.18</v>
      </c>
      <c r="E213">
        <v>30.35</v>
      </c>
      <c r="F213">
        <v>30.44</v>
      </c>
      <c r="G213">
        <v>1044000</v>
      </c>
    </row>
    <row r="214" spans="1:7" s="57" customFormat="1" ht="12">
      <c r="A214" s="114"/>
      <c r="B214" s="61">
        <v>39982</v>
      </c>
      <c r="C214">
        <v>32.04</v>
      </c>
      <c r="D214">
        <v>32.229999999999997</v>
      </c>
      <c r="E214">
        <v>31.4</v>
      </c>
      <c r="F214">
        <v>31.52</v>
      </c>
      <c r="G214">
        <v>1209200</v>
      </c>
    </row>
    <row r="215" spans="1:7" s="57" customFormat="1" ht="12">
      <c r="A215" s="114"/>
      <c r="B215" s="61">
        <v>39981</v>
      </c>
      <c r="C215">
        <v>31.78</v>
      </c>
      <c r="D215">
        <v>32.130000000000003</v>
      </c>
      <c r="E215">
        <v>31.59</v>
      </c>
      <c r="F215">
        <v>32.119999999999997</v>
      </c>
      <c r="G215">
        <v>717400</v>
      </c>
    </row>
    <row r="216" spans="1:7" s="57" customFormat="1" ht="12">
      <c r="A216" s="114"/>
      <c r="B216" s="61">
        <v>39980</v>
      </c>
      <c r="C216">
        <v>31.82</v>
      </c>
      <c r="D216">
        <v>32.090000000000003</v>
      </c>
      <c r="E216">
        <v>31.69</v>
      </c>
      <c r="F216">
        <v>31.79</v>
      </c>
      <c r="G216">
        <v>818400</v>
      </c>
    </row>
    <row r="217" spans="1:7" s="57" customFormat="1" ht="12">
      <c r="A217" s="114"/>
      <c r="B217" s="61">
        <v>39977</v>
      </c>
      <c r="C217">
        <v>31.63</v>
      </c>
      <c r="D217">
        <v>31.84</v>
      </c>
      <c r="E217">
        <v>31.49</v>
      </c>
      <c r="F217">
        <v>31.63</v>
      </c>
      <c r="G217">
        <v>457600</v>
      </c>
    </row>
    <row r="218" spans="1:7" s="57" customFormat="1" ht="12">
      <c r="A218" s="114"/>
      <c r="B218" s="61">
        <v>39976</v>
      </c>
      <c r="C218">
        <v>30.97</v>
      </c>
      <c r="D218">
        <v>31.61</v>
      </c>
      <c r="E218">
        <v>30.68</v>
      </c>
      <c r="F218">
        <v>31.58</v>
      </c>
      <c r="G218">
        <v>688400</v>
      </c>
    </row>
    <row r="219" spans="1:7" s="57" customFormat="1" ht="12">
      <c r="A219" s="114"/>
      <c r="B219" s="61">
        <v>39975</v>
      </c>
      <c r="C219">
        <v>31.59</v>
      </c>
      <c r="D219">
        <v>31.71</v>
      </c>
      <c r="E219">
        <v>30.98</v>
      </c>
      <c r="F219">
        <v>31.06</v>
      </c>
      <c r="G219">
        <v>629800</v>
      </c>
    </row>
    <row r="220" spans="1:7" s="57" customFormat="1" ht="12">
      <c r="A220" s="114"/>
      <c r="B220" s="61">
        <v>39974</v>
      </c>
      <c r="C220">
        <v>31.33</v>
      </c>
      <c r="D220">
        <v>31.77</v>
      </c>
      <c r="E220">
        <v>31.18</v>
      </c>
      <c r="F220">
        <v>31.49</v>
      </c>
      <c r="G220">
        <v>1345800</v>
      </c>
    </row>
    <row r="221" spans="1:7" s="57" customFormat="1" ht="12">
      <c r="A221" s="114"/>
      <c r="B221" s="61">
        <v>39973</v>
      </c>
      <c r="C221">
        <v>31.53</v>
      </c>
      <c r="D221">
        <v>31.53</v>
      </c>
      <c r="E221">
        <v>31.23</v>
      </c>
      <c r="F221">
        <v>31.53</v>
      </c>
      <c r="G221">
        <v>770400</v>
      </c>
    </row>
    <row r="222" spans="1:7" s="57" customFormat="1" ht="12">
      <c r="A222" s="114"/>
      <c r="B222" s="61">
        <v>39970</v>
      </c>
      <c r="C222">
        <v>31.19</v>
      </c>
      <c r="D222">
        <v>31.49</v>
      </c>
      <c r="E222">
        <v>31.07</v>
      </c>
      <c r="F222">
        <v>31.44</v>
      </c>
      <c r="G222">
        <v>775200</v>
      </c>
    </row>
    <row r="223" spans="1:7" s="57" customFormat="1" ht="12">
      <c r="A223" s="114"/>
      <c r="B223" s="61">
        <v>39969</v>
      </c>
      <c r="C223">
        <v>30.78</v>
      </c>
      <c r="D223">
        <v>31.18</v>
      </c>
      <c r="E223">
        <v>30.71</v>
      </c>
      <c r="F223">
        <v>31.18</v>
      </c>
      <c r="G223">
        <v>646400</v>
      </c>
    </row>
    <row r="224" spans="1:7" s="57" customFormat="1" ht="12">
      <c r="A224" s="114"/>
      <c r="B224" s="61">
        <v>39968</v>
      </c>
      <c r="C224">
        <v>31.11</v>
      </c>
      <c r="D224">
        <v>31.11</v>
      </c>
      <c r="E224">
        <v>30.59</v>
      </c>
      <c r="F224">
        <v>30.81</v>
      </c>
      <c r="G224">
        <v>874200</v>
      </c>
    </row>
    <row r="225" spans="1:7" s="57" customFormat="1" ht="12">
      <c r="A225" s="114"/>
      <c r="B225" s="61">
        <v>39967</v>
      </c>
      <c r="C225">
        <v>31.68</v>
      </c>
      <c r="D225">
        <v>31.76</v>
      </c>
      <c r="E225">
        <v>31.19</v>
      </c>
      <c r="F225">
        <v>31.3</v>
      </c>
      <c r="G225">
        <v>1057300</v>
      </c>
    </row>
    <row r="226" spans="1:7" s="57" customFormat="1" ht="12">
      <c r="A226" s="114"/>
      <c r="B226" s="61">
        <v>39966</v>
      </c>
      <c r="C226">
        <v>31.65</v>
      </c>
      <c r="D226">
        <v>31.89</v>
      </c>
      <c r="E226">
        <v>31.25</v>
      </c>
      <c r="F226">
        <v>31.67</v>
      </c>
      <c r="G226">
        <v>1283600</v>
      </c>
    </row>
    <row r="227" spans="1:7" s="57" customFormat="1" ht="12">
      <c r="A227" s="114"/>
      <c r="B227" s="61">
        <v>39963</v>
      </c>
      <c r="C227">
        <v>31.8</v>
      </c>
      <c r="D227">
        <v>32.21</v>
      </c>
      <c r="E227">
        <v>31.57</v>
      </c>
      <c r="F227">
        <v>31.72</v>
      </c>
      <c r="G227">
        <v>1384400</v>
      </c>
    </row>
    <row r="228" spans="1:7" s="57" customFormat="1" ht="12">
      <c r="A228" s="114"/>
      <c r="B228" s="61">
        <v>39962</v>
      </c>
      <c r="C228">
        <v>31.8</v>
      </c>
      <c r="D228">
        <v>32.57</v>
      </c>
      <c r="E228">
        <v>31.77</v>
      </c>
      <c r="F228">
        <v>31.88</v>
      </c>
      <c r="G228">
        <v>1398900</v>
      </c>
    </row>
    <row r="229" spans="1:7" s="57" customFormat="1" ht="12">
      <c r="A229" s="114"/>
      <c r="B229" s="61">
        <v>39961</v>
      </c>
      <c r="C229">
        <v>32.15</v>
      </c>
      <c r="D229">
        <v>32.15</v>
      </c>
      <c r="E229">
        <v>31.26</v>
      </c>
      <c r="F229">
        <v>31.46</v>
      </c>
      <c r="G229">
        <v>1390900</v>
      </c>
    </row>
    <row r="230" spans="1:7" s="57" customFormat="1" ht="12">
      <c r="A230" s="114"/>
      <c r="B230" s="61">
        <v>39960</v>
      </c>
      <c r="C230">
        <v>32.479999999999997</v>
      </c>
      <c r="D230">
        <v>32.6</v>
      </c>
      <c r="E230">
        <v>32.020000000000003</v>
      </c>
      <c r="F230">
        <v>32.25</v>
      </c>
      <c r="G230">
        <v>1057600</v>
      </c>
    </row>
    <row r="231" spans="1:7" s="57" customFormat="1" ht="12">
      <c r="A231" s="114"/>
      <c r="B231" s="61">
        <v>39956</v>
      </c>
      <c r="C231">
        <v>32.659999999999997</v>
      </c>
      <c r="D231">
        <v>32.659999999999997</v>
      </c>
      <c r="E231">
        <v>32.18</v>
      </c>
      <c r="F231">
        <v>32.380000000000003</v>
      </c>
      <c r="G231">
        <v>545000</v>
      </c>
    </row>
    <row r="232" spans="1:7" s="57" customFormat="1" ht="12">
      <c r="A232" s="114"/>
      <c r="B232" s="61">
        <v>39955</v>
      </c>
      <c r="C232">
        <v>32.76</v>
      </c>
      <c r="D232">
        <v>32.840000000000003</v>
      </c>
      <c r="E232">
        <v>32.08</v>
      </c>
      <c r="F232">
        <v>32.770000000000003</v>
      </c>
      <c r="G232">
        <v>855500</v>
      </c>
    </row>
    <row r="233" spans="1:7" s="57" customFormat="1" ht="12">
      <c r="A233" s="114"/>
      <c r="B233" s="61">
        <v>39954</v>
      </c>
      <c r="C233">
        <v>33.520000000000003</v>
      </c>
      <c r="D233">
        <v>33.799999999999997</v>
      </c>
      <c r="E233">
        <v>32.799999999999997</v>
      </c>
      <c r="F233">
        <v>32.97</v>
      </c>
      <c r="G233">
        <v>776300</v>
      </c>
    </row>
    <row r="234" spans="1:7" s="57" customFormat="1" ht="12">
      <c r="A234" s="114"/>
      <c r="B234" s="61">
        <v>39953</v>
      </c>
      <c r="C234">
        <v>33.65</v>
      </c>
      <c r="D234">
        <v>33.729999999999997</v>
      </c>
      <c r="E234">
        <v>33.35</v>
      </c>
      <c r="F234">
        <v>33.549999999999997</v>
      </c>
      <c r="G234">
        <v>664300</v>
      </c>
    </row>
    <row r="235" spans="1:7" s="57" customFormat="1" ht="12">
      <c r="A235" s="114"/>
      <c r="B235" s="61">
        <v>39952</v>
      </c>
      <c r="C235">
        <v>33.369999999999997</v>
      </c>
      <c r="D235">
        <v>33.72</v>
      </c>
      <c r="E235">
        <v>33.33</v>
      </c>
      <c r="F235">
        <v>33.630000000000003</v>
      </c>
      <c r="G235">
        <v>1311300</v>
      </c>
    </row>
    <row r="236" spans="1:7" s="57" customFormat="1" ht="12">
      <c r="A236" s="114"/>
      <c r="B236" s="61">
        <v>39949</v>
      </c>
      <c r="C236">
        <v>33.5</v>
      </c>
      <c r="D236">
        <v>33.64</v>
      </c>
      <c r="E236">
        <v>33.28</v>
      </c>
      <c r="F236">
        <v>33.450000000000003</v>
      </c>
      <c r="G236">
        <v>1182300</v>
      </c>
    </row>
    <row r="237" spans="1:7" s="57" customFormat="1" ht="12">
      <c r="A237" s="114"/>
      <c r="B237" s="61">
        <v>39948</v>
      </c>
      <c r="C237">
        <v>33.58</v>
      </c>
      <c r="D237">
        <v>33.71</v>
      </c>
      <c r="E237">
        <v>33.42</v>
      </c>
      <c r="F237">
        <v>33.450000000000003</v>
      </c>
      <c r="G237">
        <v>718200</v>
      </c>
    </row>
    <row r="238" spans="1:7" s="57" customFormat="1" ht="12">
      <c r="A238" s="114"/>
      <c r="B238" s="61">
        <v>39947</v>
      </c>
      <c r="C238">
        <v>33.56</v>
      </c>
      <c r="D238">
        <v>34.020000000000003</v>
      </c>
      <c r="E238">
        <v>33.47</v>
      </c>
      <c r="F238">
        <v>33.68</v>
      </c>
      <c r="G238">
        <v>1161200</v>
      </c>
    </row>
    <row r="239" spans="1:7" s="57" customFormat="1" ht="12">
      <c r="A239" s="114"/>
      <c r="B239" s="61">
        <v>39946</v>
      </c>
      <c r="C239">
        <v>33.35</v>
      </c>
      <c r="D239">
        <v>33.619999999999997</v>
      </c>
      <c r="E239">
        <v>33.299999999999997</v>
      </c>
      <c r="F239">
        <v>33.53</v>
      </c>
      <c r="G239">
        <v>817100</v>
      </c>
    </row>
    <row r="240" spans="1:7" s="57" customFormat="1" ht="12">
      <c r="A240" s="114"/>
      <c r="B240" s="61">
        <v>39945</v>
      </c>
      <c r="C240">
        <v>33.5</v>
      </c>
      <c r="D240">
        <v>33.5</v>
      </c>
      <c r="E240">
        <v>33.15</v>
      </c>
      <c r="F240">
        <v>33.36</v>
      </c>
      <c r="G240">
        <v>690000</v>
      </c>
    </row>
    <row r="241" spans="1:7" s="57" customFormat="1" ht="12">
      <c r="A241" s="114"/>
      <c r="B241" s="61">
        <v>39942</v>
      </c>
      <c r="C241">
        <v>33.44</v>
      </c>
      <c r="D241">
        <v>33.68</v>
      </c>
      <c r="E241">
        <v>33.380000000000003</v>
      </c>
      <c r="F241">
        <v>33.61</v>
      </c>
      <c r="G241">
        <v>845800</v>
      </c>
    </row>
    <row r="242" spans="1:7" s="57" customFormat="1" ht="12">
      <c r="A242" s="114"/>
      <c r="B242" s="114" t="s">
        <v>476</v>
      </c>
      <c r="C242" s="115">
        <f>AVERAGE(C212:C241)</f>
        <v>32.196999999999996</v>
      </c>
      <c r="D242" s="115">
        <f>AVERAGE(D212:D241)</f>
        <v>32.433999999999997</v>
      </c>
      <c r="E242" s="115">
        <f>AVERAGE(E212:E241)</f>
        <v>31.862999999999996</v>
      </c>
      <c r="F242" s="116">
        <f>AVERAGE(F212:F241)</f>
        <v>32.131999999999998</v>
      </c>
      <c r="G242" s="115">
        <f>AVERAGE(G212:G241)</f>
        <v>954340</v>
      </c>
    </row>
    <row r="243" spans="1:7" s="57" customFormat="1" ht="12">
      <c r="A243" s="114"/>
      <c r="B243" s="114" t="s">
        <v>423</v>
      </c>
      <c r="C243" s="114">
        <f>MEDIAN(C212:C241)</f>
        <v>31.810000000000002</v>
      </c>
      <c r="D243" s="114">
        <f>MEDIAN(D212:D241)</f>
        <v>32.18</v>
      </c>
      <c r="E243" s="114">
        <f>MEDIAN(E212:E241)</f>
        <v>31.58</v>
      </c>
      <c r="F243" s="114">
        <f>MEDIAN(F212:F241)</f>
        <v>31.754999999999999</v>
      </c>
      <c r="G243" s="114">
        <f>MEDIAN(G212:G241)</f>
        <v>850650</v>
      </c>
    </row>
    <row r="244" spans="1:7" s="57" customFormat="1" ht="12">
      <c r="A244" s="114"/>
      <c r="B244" s="114" t="s">
        <v>426</v>
      </c>
      <c r="C244" s="114">
        <f>MAX(C212:C241)</f>
        <v>33.65</v>
      </c>
      <c r="D244" s="114">
        <f>MAX(D212:D241)</f>
        <v>34.020000000000003</v>
      </c>
      <c r="E244" s="114">
        <f>MAX(E212:E241)</f>
        <v>33.47</v>
      </c>
      <c r="F244" s="114">
        <f>MAX(F212:F241)</f>
        <v>33.68</v>
      </c>
      <c r="G244" s="114">
        <f>MAX(G212:G241)</f>
        <v>1513700</v>
      </c>
    </row>
    <row r="245" spans="1:7" s="57" customFormat="1" ht="12">
      <c r="A245" s="114"/>
      <c r="B245" s="114" t="s">
        <v>427</v>
      </c>
      <c r="C245" s="114">
        <f>MIN(C212:C241)</f>
        <v>30.52</v>
      </c>
      <c r="D245" s="114">
        <f>MIN(D212:D241)</f>
        <v>31.05</v>
      </c>
      <c r="E245" s="114">
        <f>MIN(E212:E241)</f>
        <v>30.13</v>
      </c>
      <c r="F245" s="114">
        <f>MIN(F212:F241)</f>
        <v>30.44</v>
      </c>
      <c r="G245" s="114">
        <f>MIN(G212:G241)</f>
        <v>457600</v>
      </c>
    </row>
    <row r="246" spans="1:7" s="57" customFormat="1" ht="12">
      <c r="A246" s="114" t="str">
        <f>[1]DATA!A12</f>
        <v>WEC</v>
      </c>
      <c r="B246" s="71" t="s">
        <v>304</v>
      </c>
      <c r="C246" s="71" t="s">
        <v>305</v>
      </c>
      <c r="D246" s="71" t="s">
        <v>521</v>
      </c>
      <c r="E246" s="71" t="s">
        <v>522</v>
      </c>
      <c r="F246" s="71" t="s">
        <v>523</v>
      </c>
      <c r="G246" s="71" t="s">
        <v>439</v>
      </c>
    </row>
    <row r="247" spans="1:7" s="57" customFormat="1" ht="12">
      <c r="A247" s="114"/>
      <c r="B247" s="61">
        <v>39984</v>
      </c>
      <c r="C247">
        <v>39.479999999999997</v>
      </c>
      <c r="D247">
        <v>39.86</v>
      </c>
      <c r="E247">
        <v>39.049999999999997</v>
      </c>
      <c r="F247">
        <v>39.71</v>
      </c>
      <c r="G247">
        <v>2247800</v>
      </c>
    </row>
    <row r="248" spans="1:7" s="57" customFormat="1" ht="12">
      <c r="A248" s="114"/>
      <c r="B248" s="61">
        <v>39983</v>
      </c>
      <c r="C248">
        <v>40.200000000000003</v>
      </c>
      <c r="D248">
        <v>40.24</v>
      </c>
      <c r="E248">
        <v>39.04</v>
      </c>
      <c r="F248">
        <v>39.18</v>
      </c>
      <c r="G248">
        <v>2155600</v>
      </c>
    </row>
    <row r="249" spans="1:7" s="57" customFormat="1" ht="12">
      <c r="A249" s="114"/>
      <c r="B249" s="61">
        <v>39982</v>
      </c>
      <c r="C249">
        <v>41.6</v>
      </c>
      <c r="D249">
        <v>41.62</v>
      </c>
      <c r="E249">
        <v>40.49</v>
      </c>
      <c r="F249">
        <v>40.49</v>
      </c>
      <c r="G249">
        <v>1435200</v>
      </c>
    </row>
    <row r="250" spans="1:7" s="57" customFormat="1" ht="12">
      <c r="A250" s="114"/>
      <c r="B250" s="61">
        <v>39981</v>
      </c>
      <c r="C250">
        <v>41.45</v>
      </c>
      <c r="D250">
        <v>41.65</v>
      </c>
      <c r="E250">
        <v>41.24</v>
      </c>
      <c r="F250">
        <v>41.6</v>
      </c>
      <c r="G250">
        <v>1128600</v>
      </c>
    </row>
    <row r="251" spans="1:7" s="57" customFormat="1" ht="12">
      <c r="A251" s="114"/>
      <c r="B251" s="61">
        <v>39980</v>
      </c>
      <c r="C251">
        <v>41.41</v>
      </c>
      <c r="D251">
        <v>41.74</v>
      </c>
      <c r="E251">
        <v>41.16</v>
      </c>
      <c r="F251">
        <v>41.41</v>
      </c>
      <c r="G251">
        <v>951600</v>
      </c>
    </row>
    <row r="252" spans="1:7" s="57" customFormat="1" ht="12">
      <c r="A252" s="114"/>
      <c r="B252" s="61">
        <v>39977</v>
      </c>
      <c r="C252">
        <v>41.15</v>
      </c>
      <c r="D252">
        <v>41.46</v>
      </c>
      <c r="E252">
        <v>41.06</v>
      </c>
      <c r="F252">
        <v>41.18</v>
      </c>
      <c r="G252">
        <v>837400</v>
      </c>
    </row>
    <row r="253" spans="1:7" s="57" customFormat="1" ht="12">
      <c r="A253" s="114"/>
      <c r="B253" s="61">
        <v>39976</v>
      </c>
      <c r="C253">
        <v>40.299999999999997</v>
      </c>
      <c r="D253">
        <v>41.27</v>
      </c>
      <c r="E253">
        <v>40.299999999999997</v>
      </c>
      <c r="F253">
        <v>41.19</v>
      </c>
      <c r="G253">
        <v>919200</v>
      </c>
    </row>
    <row r="254" spans="1:7" s="57" customFormat="1" ht="12">
      <c r="A254" s="114"/>
      <c r="B254" s="61">
        <v>39975</v>
      </c>
      <c r="C254">
        <v>41.16</v>
      </c>
      <c r="D254">
        <v>41.19</v>
      </c>
      <c r="E254">
        <v>40.29</v>
      </c>
      <c r="F254">
        <v>40.380000000000003</v>
      </c>
      <c r="G254">
        <v>1092600</v>
      </c>
    </row>
    <row r="255" spans="1:7" s="57" customFormat="1" ht="12">
      <c r="A255" s="114"/>
      <c r="B255" s="61">
        <v>39974</v>
      </c>
      <c r="C255">
        <v>40.78</v>
      </c>
      <c r="D255">
        <v>41.21</v>
      </c>
      <c r="E255">
        <v>40.72</v>
      </c>
      <c r="F255">
        <v>40.89</v>
      </c>
      <c r="G255">
        <v>861600</v>
      </c>
    </row>
    <row r="256" spans="1:7" s="57" customFormat="1" ht="12">
      <c r="A256" s="114"/>
      <c r="B256" s="61">
        <v>39973</v>
      </c>
      <c r="C256">
        <v>41.26</v>
      </c>
      <c r="D256">
        <v>41.38</v>
      </c>
      <c r="E256">
        <v>40.909999999999997</v>
      </c>
      <c r="F256">
        <v>41.12</v>
      </c>
      <c r="G256">
        <v>642800</v>
      </c>
    </row>
    <row r="257" spans="1:7" s="57" customFormat="1" ht="12">
      <c r="A257" s="114"/>
      <c r="B257" s="61">
        <v>39970</v>
      </c>
      <c r="C257">
        <v>41</v>
      </c>
      <c r="D257">
        <v>41.43</v>
      </c>
      <c r="E257">
        <v>40.799999999999997</v>
      </c>
      <c r="F257">
        <v>41.26</v>
      </c>
      <c r="G257">
        <v>837200</v>
      </c>
    </row>
    <row r="258" spans="1:7" s="57" customFormat="1" ht="12">
      <c r="A258" s="114"/>
      <c r="B258" s="61">
        <v>39969</v>
      </c>
      <c r="C258">
        <v>40.380000000000003</v>
      </c>
      <c r="D258">
        <v>40.96</v>
      </c>
      <c r="E258">
        <v>40.369999999999997</v>
      </c>
      <c r="F258">
        <v>40.96</v>
      </c>
      <c r="G258">
        <v>960900</v>
      </c>
    </row>
    <row r="259" spans="1:7" s="57" customFormat="1" ht="12">
      <c r="A259" s="114"/>
      <c r="B259" s="61">
        <v>39968</v>
      </c>
      <c r="C259">
        <v>40.69</v>
      </c>
      <c r="D259">
        <v>40.69</v>
      </c>
      <c r="E259">
        <v>40.270000000000003</v>
      </c>
      <c r="F259">
        <v>40.380000000000003</v>
      </c>
      <c r="G259">
        <v>994600</v>
      </c>
    </row>
    <row r="260" spans="1:7" s="57" customFormat="1" ht="12">
      <c r="A260" s="114"/>
      <c r="B260" s="61">
        <v>39967</v>
      </c>
      <c r="C260">
        <v>41.04</v>
      </c>
      <c r="D260">
        <v>41.12</v>
      </c>
      <c r="E260">
        <v>40.520000000000003</v>
      </c>
      <c r="F260">
        <v>40.82</v>
      </c>
      <c r="G260">
        <v>1306900</v>
      </c>
    </row>
    <row r="261" spans="1:7" s="57" customFormat="1" ht="12">
      <c r="A261" s="114"/>
      <c r="B261" s="61">
        <v>39966</v>
      </c>
      <c r="C261">
        <v>40.94</v>
      </c>
      <c r="D261">
        <v>41.15</v>
      </c>
      <c r="E261">
        <v>40.33</v>
      </c>
      <c r="F261">
        <v>41.04</v>
      </c>
      <c r="G261">
        <v>1665400</v>
      </c>
    </row>
    <row r="262" spans="1:7" s="57" customFormat="1" ht="12">
      <c r="A262" s="114"/>
      <c r="B262" s="61">
        <v>39963</v>
      </c>
      <c r="C262">
        <v>40.92</v>
      </c>
      <c r="D262">
        <v>41.56</v>
      </c>
      <c r="E262">
        <v>40.81</v>
      </c>
      <c r="F262">
        <v>40.81</v>
      </c>
      <c r="G262">
        <v>1847300</v>
      </c>
    </row>
    <row r="263" spans="1:7" s="57" customFormat="1" ht="12">
      <c r="A263" s="114"/>
      <c r="B263" s="61">
        <v>39962</v>
      </c>
      <c r="C263">
        <v>41.07</v>
      </c>
      <c r="D263">
        <v>41.94</v>
      </c>
      <c r="E263">
        <v>40.97</v>
      </c>
      <c r="F263">
        <v>41.05</v>
      </c>
      <c r="G263">
        <v>1540100</v>
      </c>
    </row>
    <row r="264" spans="1:7" s="57" customFormat="1" ht="12">
      <c r="A264" s="114"/>
      <c r="B264" s="61">
        <v>39961</v>
      </c>
      <c r="C264">
        <v>41.7</v>
      </c>
      <c r="D264">
        <v>41.71</v>
      </c>
      <c r="E264">
        <v>40.56</v>
      </c>
      <c r="F264">
        <v>40.89</v>
      </c>
      <c r="G264">
        <v>1918400</v>
      </c>
    </row>
    <row r="265" spans="1:7" s="57" customFormat="1" ht="12">
      <c r="A265" s="114"/>
      <c r="B265" s="61">
        <v>39960</v>
      </c>
      <c r="C265">
        <v>42.21</v>
      </c>
      <c r="D265">
        <v>42.34</v>
      </c>
      <c r="E265">
        <v>41.56</v>
      </c>
      <c r="F265">
        <v>41.94</v>
      </c>
      <c r="G265">
        <v>1461000</v>
      </c>
    </row>
    <row r="266" spans="1:7" s="57" customFormat="1" ht="12">
      <c r="A266" s="114"/>
      <c r="B266" s="61">
        <v>39956</v>
      </c>
      <c r="C266">
        <v>42.3</v>
      </c>
      <c r="D266">
        <v>42.39</v>
      </c>
      <c r="E266">
        <v>41.84</v>
      </c>
      <c r="F266">
        <v>41.98</v>
      </c>
      <c r="G266">
        <v>993300</v>
      </c>
    </row>
    <row r="267" spans="1:7" s="57" customFormat="1" ht="12">
      <c r="A267" s="114"/>
      <c r="B267" s="61">
        <v>39955</v>
      </c>
      <c r="C267">
        <v>42.54</v>
      </c>
      <c r="D267">
        <v>42.56</v>
      </c>
      <c r="E267">
        <v>41.72</v>
      </c>
      <c r="F267">
        <v>42.41</v>
      </c>
      <c r="G267">
        <v>1645600</v>
      </c>
    </row>
    <row r="268" spans="1:7" s="57" customFormat="1" ht="12">
      <c r="A268" s="114"/>
      <c r="B268" s="61">
        <v>39954</v>
      </c>
      <c r="C268">
        <v>43.44</v>
      </c>
      <c r="D268">
        <v>43.92</v>
      </c>
      <c r="E268">
        <v>42.64</v>
      </c>
      <c r="F268">
        <v>42.85</v>
      </c>
      <c r="G268">
        <v>1340800</v>
      </c>
    </row>
    <row r="269" spans="1:7" s="57" customFormat="1" ht="12">
      <c r="A269" s="114"/>
      <c r="B269" s="61">
        <v>39953</v>
      </c>
      <c r="C269">
        <v>43.28</v>
      </c>
      <c r="D269">
        <v>43.56</v>
      </c>
      <c r="E269">
        <v>43.1</v>
      </c>
      <c r="F269">
        <v>43.5</v>
      </c>
      <c r="G269">
        <v>1410900</v>
      </c>
    </row>
    <row r="270" spans="1:7" s="57" customFormat="1" ht="12">
      <c r="A270" s="114"/>
      <c r="B270" s="61">
        <v>39952</v>
      </c>
      <c r="C270">
        <v>43.33</v>
      </c>
      <c r="D270">
        <v>43.71</v>
      </c>
      <c r="E270">
        <v>43.08</v>
      </c>
      <c r="F270">
        <v>43.26</v>
      </c>
      <c r="G270">
        <v>1668400</v>
      </c>
    </row>
    <row r="271" spans="1:7" s="57" customFormat="1" ht="12">
      <c r="A271" s="114"/>
      <c r="B271" s="61">
        <v>39949</v>
      </c>
      <c r="C271">
        <v>43.4</v>
      </c>
      <c r="D271">
        <v>43.72</v>
      </c>
      <c r="E271">
        <v>43.32</v>
      </c>
      <c r="F271">
        <v>43.7</v>
      </c>
      <c r="G271">
        <v>1283400</v>
      </c>
    </row>
    <row r="272" spans="1:7" s="57" customFormat="1" ht="12">
      <c r="A272" s="114"/>
      <c r="B272" s="61">
        <v>39948</v>
      </c>
      <c r="C272">
        <v>43.46</v>
      </c>
      <c r="D272">
        <v>43.55</v>
      </c>
      <c r="E272">
        <v>43.18</v>
      </c>
      <c r="F272">
        <v>43.25</v>
      </c>
      <c r="G272">
        <v>1233300</v>
      </c>
    </row>
    <row r="273" spans="1:7" s="57" customFormat="1" ht="12">
      <c r="A273" s="114"/>
      <c r="B273" s="61">
        <v>39947</v>
      </c>
      <c r="C273">
        <v>43.02</v>
      </c>
      <c r="D273">
        <v>43.75</v>
      </c>
      <c r="E273">
        <v>42.95</v>
      </c>
      <c r="F273">
        <v>43.55</v>
      </c>
      <c r="G273">
        <v>828900</v>
      </c>
    </row>
    <row r="274" spans="1:7" s="57" customFormat="1" ht="12">
      <c r="A274" s="114"/>
      <c r="B274" s="61">
        <v>39946</v>
      </c>
      <c r="C274">
        <v>42.72</v>
      </c>
      <c r="D274">
        <v>43.2</v>
      </c>
      <c r="E274">
        <v>42.71</v>
      </c>
      <c r="F274">
        <v>43.05</v>
      </c>
      <c r="G274">
        <v>1155000</v>
      </c>
    </row>
    <row r="275" spans="1:7" s="57" customFormat="1" ht="12">
      <c r="A275" s="114"/>
      <c r="B275" s="61">
        <v>39945</v>
      </c>
      <c r="C275">
        <v>42.93</v>
      </c>
      <c r="D275">
        <v>43</v>
      </c>
      <c r="E275">
        <v>42.67</v>
      </c>
      <c r="F275">
        <v>42.75</v>
      </c>
      <c r="G275">
        <v>1045300</v>
      </c>
    </row>
    <row r="276" spans="1:7" s="57" customFormat="1" ht="12">
      <c r="A276" s="114"/>
      <c r="B276" s="61">
        <v>39942</v>
      </c>
      <c r="C276">
        <v>42.97</v>
      </c>
      <c r="D276">
        <v>43.15</v>
      </c>
      <c r="E276">
        <v>42.64</v>
      </c>
      <c r="F276">
        <v>43.12</v>
      </c>
      <c r="G276">
        <v>1455600</v>
      </c>
    </row>
    <row r="277" spans="1:7" s="57" customFormat="1" ht="12">
      <c r="A277" s="114"/>
      <c r="B277" s="114" t="s">
        <v>476</v>
      </c>
      <c r="C277" s="115">
        <f>AVERAGE(C247:C276)</f>
        <v>41.737666666666669</v>
      </c>
      <c r="D277" s="115">
        <f>AVERAGE(D247:D276)</f>
        <v>42.034333333333343</v>
      </c>
      <c r="E277" s="115">
        <f>AVERAGE(E247:E276)</f>
        <v>41.343333333333348</v>
      </c>
      <c r="F277" s="116">
        <f>AVERAGE(F247:F276)</f>
        <v>41.657333333333327</v>
      </c>
      <c r="G277" s="115">
        <f>AVERAGE(G247:G276)</f>
        <v>1295490</v>
      </c>
    </row>
    <row r="278" spans="1:7" s="57" customFormat="1" ht="12">
      <c r="A278" s="114"/>
      <c r="B278" s="114" t="s">
        <v>423</v>
      </c>
      <c r="C278" s="114">
        <f>MEDIAN(C247:C276)</f>
        <v>41.43</v>
      </c>
      <c r="D278" s="114">
        <f>MEDIAN(D247:D276)</f>
        <v>41.68</v>
      </c>
      <c r="E278" s="114">
        <f>MEDIAN(E247:E276)</f>
        <v>41.015000000000001</v>
      </c>
      <c r="F278" s="114">
        <f>MEDIAN(F247:F276)</f>
        <v>41.224999999999994</v>
      </c>
      <c r="G278" s="114">
        <f>MEDIAN(G247:G276)</f>
        <v>1258350</v>
      </c>
    </row>
    <row r="279" spans="1:7" s="57" customFormat="1" ht="12">
      <c r="A279" s="114"/>
      <c r="B279" s="114" t="s">
        <v>426</v>
      </c>
      <c r="C279" s="114">
        <f>MAX(C247:C276)</f>
        <v>43.46</v>
      </c>
      <c r="D279" s="114">
        <f>MAX(D247:D276)</f>
        <v>43.92</v>
      </c>
      <c r="E279" s="114">
        <f>MAX(E247:E276)</f>
        <v>43.32</v>
      </c>
      <c r="F279" s="114">
        <f>MAX(F247:F276)</f>
        <v>43.7</v>
      </c>
      <c r="G279" s="114">
        <f>MAX(G247:G276)</f>
        <v>2247800</v>
      </c>
    </row>
    <row r="280" spans="1:7" s="57" customFormat="1" ht="12">
      <c r="A280" s="114"/>
      <c r="B280" s="114" t="s">
        <v>427</v>
      </c>
      <c r="C280" s="114">
        <f>MIN(C247:C276)</f>
        <v>39.479999999999997</v>
      </c>
      <c r="D280" s="114">
        <f>MIN(D247:D276)</f>
        <v>39.86</v>
      </c>
      <c r="E280" s="114">
        <f>MIN(E247:E276)</f>
        <v>39.04</v>
      </c>
      <c r="F280" s="114">
        <f>MIN(F247:F276)</f>
        <v>39.18</v>
      </c>
      <c r="G280" s="114">
        <f>MIN(G247:G276)</f>
        <v>642800</v>
      </c>
    </row>
    <row r="281" spans="1:7" s="57" customFormat="1" ht="12">
      <c r="A281" s="114" t="str">
        <f>[1]DATA!A13</f>
        <v>EIX</v>
      </c>
      <c r="B281" s="71" t="s">
        <v>304</v>
      </c>
      <c r="C281" s="71" t="s">
        <v>305</v>
      </c>
      <c r="D281" s="71" t="s">
        <v>521</v>
      </c>
      <c r="E281" s="71" t="s">
        <v>522</v>
      </c>
      <c r="F281" s="71" t="s">
        <v>523</v>
      </c>
      <c r="G281" s="71" t="s">
        <v>439</v>
      </c>
    </row>
    <row r="282" spans="1:7" s="57" customFormat="1" ht="12" customHeight="1">
      <c r="A282" s="114"/>
      <c r="B282" s="61">
        <v>39984</v>
      </c>
      <c r="C282">
        <v>45.3</v>
      </c>
      <c r="D282">
        <v>46.25</v>
      </c>
      <c r="E282">
        <v>44.86</v>
      </c>
      <c r="F282">
        <v>46.06</v>
      </c>
      <c r="G282">
        <v>3421600</v>
      </c>
    </row>
    <row r="283" spans="1:7" s="57" customFormat="1" ht="12">
      <c r="A283" s="114"/>
      <c r="B283" s="61">
        <v>39983</v>
      </c>
      <c r="C283">
        <v>46.11</v>
      </c>
      <c r="D283">
        <v>46.17</v>
      </c>
      <c r="E283">
        <v>44.9</v>
      </c>
      <c r="F283">
        <v>45</v>
      </c>
      <c r="G283">
        <v>3021800</v>
      </c>
    </row>
    <row r="284" spans="1:7" s="57" customFormat="1" ht="12">
      <c r="A284" s="114"/>
      <c r="B284" s="61">
        <v>39982</v>
      </c>
      <c r="C284">
        <v>47.54</v>
      </c>
      <c r="D284">
        <v>47.86</v>
      </c>
      <c r="E284">
        <v>46.49</v>
      </c>
      <c r="F284">
        <v>46.49</v>
      </c>
      <c r="G284">
        <v>2860800</v>
      </c>
    </row>
    <row r="285" spans="1:7" s="57" customFormat="1" ht="12">
      <c r="A285" s="114"/>
      <c r="B285" s="61">
        <v>39981</v>
      </c>
      <c r="C285">
        <v>47.56</v>
      </c>
      <c r="D285">
        <v>48</v>
      </c>
      <c r="E285">
        <v>47.22</v>
      </c>
      <c r="F285">
        <v>47.71</v>
      </c>
      <c r="G285">
        <v>1742900</v>
      </c>
    </row>
    <row r="286" spans="1:7" s="57" customFormat="1" ht="12">
      <c r="A286" s="114"/>
      <c r="B286" s="61">
        <v>39980</v>
      </c>
      <c r="C286">
        <v>47.76</v>
      </c>
      <c r="D286">
        <v>48.05</v>
      </c>
      <c r="E286">
        <v>47.26</v>
      </c>
      <c r="F286">
        <v>47.44</v>
      </c>
      <c r="G286">
        <v>2944200</v>
      </c>
    </row>
    <row r="287" spans="1:7" s="57" customFormat="1" ht="12">
      <c r="A287" s="114"/>
      <c r="B287" s="61">
        <v>39977</v>
      </c>
      <c r="C287">
        <v>47.03</v>
      </c>
      <c r="D287">
        <v>47.59</v>
      </c>
      <c r="E287">
        <v>46.95</v>
      </c>
      <c r="F287">
        <v>47.15</v>
      </c>
      <c r="G287">
        <v>2736800</v>
      </c>
    </row>
    <row r="288" spans="1:7" s="57" customFormat="1" ht="12">
      <c r="A288" s="114"/>
      <c r="B288" s="61">
        <v>39976</v>
      </c>
      <c r="C288">
        <v>46.31</v>
      </c>
      <c r="D288">
        <v>46.83</v>
      </c>
      <c r="E288">
        <v>46.19</v>
      </c>
      <c r="F288">
        <v>46.75</v>
      </c>
      <c r="G288">
        <v>2866800</v>
      </c>
    </row>
    <row r="289" spans="1:7" s="57" customFormat="1" ht="12">
      <c r="A289" s="114"/>
      <c r="B289" s="61">
        <v>39975</v>
      </c>
      <c r="C289">
        <v>47.1</v>
      </c>
      <c r="D289">
        <v>47.18</v>
      </c>
      <c r="E289">
        <v>46.26</v>
      </c>
      <c r="F289">
        <v>46.32</v>
      </c>
      <c r="G289">
        <v>2839000</v>
      </c>
    </row>
    <row r="290" spans="1:7" s="57" customFormat="1" ht="12">
      <c r="A290" s="114"/>
      <c r="B290" s="61">
        <v>39974</v>
      </c>
      <c r="C290">
        <v>46.71</v>
      </c>
      <c r="D290">
        <v>47.14</v>
      </c>
      <c r="E290">
        <v>46.44</v>
      </c>
      <c r="F290">
        <v>46.8</v>
      </c>
      <c r="G290">
        <v>3223400</v>
      </c>
    </row>
    <row r="291" spans="1:7" s="57" customFormat="1" ht="12">
      <c r="A291" s="114"/>
      <c r="B291" s="61">
        <v>39973</v>
      </c>
      <c r="C291">
        <v>47.47</v>
      </c>
      <c r="D291">
        <v>47.51</v>
      </c>
      <c r="E291">
        <v>46.95</v>
      </c>
      <c r="F291">
        <v>47.06</v>
      </c>
      <c r="G291">
        <v>4757400</v>
      </c>
    </row>
    <row r="292" spans="1:7" s="57" customFormat="1" ht="12">
      <c r="A292" s="114"/>
      <c r="B292" s="61">
        <v>39970</v>
      </c>
      <c r="C292">
        <v>46.34</v>
      </c>
      <c r="D292">
        <v>47.65</v>
      </c>
      <c r="E292">
        <v>45.73</v>
      </c>
      <c r="F292">
        <v>47.61</v>
      </c>
      <c r="G292">
        <v>6358000</v>
      </c>
    </row>
    <row r="293" spans="1:7" s="57" customFormat="1" ht="12">
      <c r="A293" s="114"/>
      <c r="B293" s="61">
        <v>39969</v>
      </c>
      <c r="C293">
        <v>45.75</v>
      </c>
      <c r="D293">
        <v>46.36</v>
      </c>
      <c r="E293">
        <v>45.74</v>
      </c>
      <c r="F293">
        <v>46.36</v>
      </c>
      <c r="G293">
        <v>3513400</v>
      </c>
    </row>
    <row r="294" spans="1:7" s="57" customFormat="1" ht="12">
      <c r="A294" s="114"/>
      <c r="B294" s="61">
        <v>39968</v>
      </c>
      <c r="C294">
        <v>46.06</v>
      </c>
      <c r="D294">
        <v>46.07</v>
      </c>
      <c r="E294">
        <v>45.58</v>
      </c>
      <c r="F294">
        <v>45.77</v>
      </c>
      <c r="G294">
        <v>2504100</v>
      </c>
    </row>
    <row r="295" spans="1:7" s="57" customFormat="1" ht="12">
      <c r="A295" s="114"/>
      <c r="B295" s="61">
        <v>39967</v>
      </c>
      <c r="C295">
        <v>45.95</v>
      </c>
      <c r="D295">
        <v>46.36</v>
      </c>
      <c r="E295">
        <v>45.79</v>
      </c>
      <c r="F295">
        <v>46.27</v>
      </c>
      <c r="G295">
        <v>3589500</v>
      </c>
    </row>
    <row r="296" spans="1:7" s="57" customFormat="1" ht="12">
      <c r="A296" s="114"/>
      <c r="B296" s="61">
        <v>39966</v>
      </c>
      <c r="C296">
        <v>45.93</v>
      </c>
      <c r="D296">
        <v>46.21</v>
      </c>
      <c r="E296">
        <v>45.2</v>
      </c>
      <c r="F296">
        <v>45.97</v>
      </c>
      <c r="G296">
        <v>3383000</v>
      </c>
    </row>
    <row r="297" spans="1:7" s="57" customFormat="1" ht="12">
      <c r="A297" s="114"/>
      <c r="B297" s="61">
        <v>39963</v>
      </c>
      <c r="C297">
        <v>46.1</v>
      </c>
      <c r="D297">
        <v>46.81</v>
      </c>
      <c r="E297">
        <v>45.94</v>
      </c>
      <c r="F297">
        <v>45.94</v>
      </c>
      <c r="G297">
        <v>1936900</v>
      </c>
    </row>
    <row r="298" spans="1:7" s="57" customFormat="1" ht="12">
      <c r="A298" s="114"/>
      <c r="B298" s="61">
        <v>39962</v>
      </c>
      <c r="C298">
        <v>46.33</v>
      </c>
      <c r="D298">
        <v>47.06</v>
      </c>
      <c r="E298">
        <v>46.26</v>
      </c>
      <c r="F298">
        <v>46.27</v>
      </c>
      <c r="G298">
        <v>2075000</v>
      </c>
    </row>
    <row r="299" spans="1:7" s="57" customFormat="1" ht="12">
      <c r="A299" s="114"/>
      <c r="B299" s="61">
        <v>39961</v>
      </c>
      <c r="C299">
        <v>47.46</v>
      </c>
      <c r="D299">
        <v>47.46</v>
      </c>
      <c r="E299">
        <v>45.99</v>
      </c>
      <c r="F299">
        <v>46.21</v>
      </c>
      <c r="G299">
        <v>2675200</v>
      </c>
    </row>
    <row r="300" spans="1:7" s="57" customFormat="1" ht="12">
      <c r="A300" s="114"/>
      <c r="B300" s="61">
        <v>39960</v>
      </c>
      <c r="C300">
        <v>47.9</v>
      </c>
      <c r="D300">
        <v>47.9</v>
      </c>
      <c r="E300">
        <v>47.1</v>
      </c>
      <c r="F300">
        <v>47.42</v>
      </c>
      <c r="G300">
        <v>1636500</v>
      </c>
    </row>
    <row r="301" spans="1:7" s="57" customFormat="1" ht="12">
      <c r="A301" s="114"/>
      <c r="B301" s="61">
        <v>39956</v>
      </c>
      <c r="C301">
        <v>48.1</v>
      </c>
      <c r="D301">
        <v>48.17</v>
      </c>
      <c r="E301">
        <v>47.65</v>
      </c>
      <c r="F301">
        <v>47.71</v>
      </c>
      <c r="G301">
        <v>1801000</v>
      </c>
    </row>
    <row r="302" spans="1:7" s="57" customFormat="1" ht="12">
      <c r="A302" s="114"/>
      <c r="B302" s="61">
        <v>39955</v>
      </c>
      <c r="C302">
        <v>48.31</v>
      </c>
      <c r="D302">
        <v>48.44</v>
      </c>
      <c r="E302">
        <v>47.61</v>
      </c>
      <c r="F302">
        <v>48.26</v>
      </c>
      <c r="G302">
        <v>2275100</v>
      </c>
    </row>
    <row r="303" spans="1:7" s="57" customFormat="1" ht="12">
      <c r="A303" s="114"/>
      <c r="B303" s="61">
        <v>39954</v>
      </c>
      <c r="C303">
        <v>48.6</v>
      </c>
      <c r="D303">
        <v>49.48</v>
      </c>
      <c r="E303">
        <v>48.4</v>
      </c>
      <c r="F303">
        <v>48.62</v>
      </c>
      <c r="G303">
        <v>4306500</v>
      </c>
    </row>
    <row r="304" spans="1:7" s="57" customFormat="1" ht="12">
      <c r="A304" s="114"/>
      <c r="B304" s="61">
        <v>39953</v>
      </c>
      <c r="C304">
        <v>48.48</v>
      </c>
      <c r="D304">
        <v>48.87</v>
      </c>
      <c r="E304">
        <v>48.3</v>
      </c>
      <c r="F304">
        <v>48.66</v>
      </c>
      <c r="G304">
        <v>3321900</v>
      </c>
    </row>
    <row r="305" spans="1:7" s="57" customFormat="1" ht="12">
      <c r="A305" s="114"/>
      <c r="B305" s="61">
        <v>39952</v>
      </c>
      <c r="C305">
        <v>48.84</v>
      </c>
      <c r="D305">
        <v>48.91</v>
      </c>
      <c r="E305">
        <v>48.39</v>
      </c>
      <c r="F305">
        <v>48.47</v>
      </c>
      <c r="G305">
        <v>4099700</v>
      </c>
    </row>
    <row r="306" spans="1:7" s="57" customFormat="1" ht="12">
      <c r="A306" s="114"/>
      <c r="B306" s="61">
        <v>39949</v>
      </c>
      <c r="C306">
        <v>48.69</v>
      </c>
      <c r="D306">
        <v>48.95</v>
      </c>
      <c r="E306">
        <v>48.26</v>
      </c>
      <c r="F306">
        <v>48.8</v>
      </c>
      <c r="G306">
        <v>4596800</v>
      </c>
    </row>
    <row r="307" spans="1:7" s="57" customFormat="1" ht="12">
      <c r="A307" s="114"/>
      <c r="B307" s="61">
        <v>39948</v>
      </c>
      <c r="C307">
        <v>49.43</v>
      </c>
      <c r="D307">
        <v>49.43</v>
      </c>
      <c r="E307">
        <v>48.59</v>
      </c>
      <c r="F307">
        <v>48.7</v>
      </c>
      <c r="G307">
        <v>3778200</v>
      </c>
    </row>
    <row r="308" spans="1:7" s="57" customFormat="1" ht="12">
      <c r="A308" s="114"/>
      <c r="B308" s="61">
        <v>39947</v>
      </c>
      <c r="C308">
        <v>49.39</v>
      </c>
      <c r="D308">
        <v>49.78</v>
      </c>
      <c r="E308">
        <v>49.22</v>
      </c>
      <c r="F308">
        <v>49.48</v>
      </c>
      <c r="G308">
        <v>4718600</v>
      </c>
    </row>
    <row r="309" spans="1:7" s="57" customFormat="1" ht="12">
      <c r="A309" s="114"/>
      <c r="B309" s="61">
        <v>39946</v>
      </c>
      <c r="C309">
        <v>49.75</v>
      </c>
      <c r="D309">
        <v>49.78</v>
      </c>
      <c r="E309">
        <v>49.27</v>
      </c>
      <c r="F309">
        <v>49.39</v>
      </c>
      <c r="G309">
        <v>4938900</v>
      </c>
    </row>
    <row r="310" spans="1:7" s="57" customFormat="1" ht="12">
      <c r="A310" s="114"/>
      <c r="B310" s="61">
        <v>39945</v>
      </c>
      <c r="C310">
        <v>49.81</v>
      </c>
      <c r="D310">
        <v>49.96</v>
      </c>
      <c r="E310">
        <v>49.4</v>
      </c>
      <c r="F310">
        <v>49.84</v>
      </c>
      <c r="G310">
        <v>2460400</v>
      </c>
    </row>
    <row r="311" spans="1:7" s="57" customFormat="1" ht="12">
      <c r="A311" s="114"/>
      <c r="B311" s="61">
        <v>39942</v>
      </c>
      <c r="C311">
        <v>50.01</v>
      </c>
      <c r="D311">
        <v>50.2</v>
      </c>
      <c r="E311">
        <v>49.44</v>
      </c>
      <c r="F311">
        <v>50.01</v>
      </c>
      <c r="G311">
        <v>4403200</v>
      </c>
    </row>
    <row r="312" spans="1:7" s="57" customFormat="1" ht="12">
      <c r="A312" s="114"/>
      <c r="B312" s="114" t="s">
        <v>476</v>
      </c>
      <c r="C312" s="115">
        <f>AVERAGE(C282:C311)</f>
        <v>47.537333333333336</v>
      </c>
      <c r="D312" s="115">
        <f>AVERAGE(D282:D311)</f>
        <v>47.881</v>
      </c>
      <c r="E312" s="115">
        <f>AVERAGE(E282:E311)</f>
        <v>47.046000000000006</v>
      </c>
      <c r="F312" s="116">
        <f>AVERAGE(F282:F311)</f>
        <v>47.418000000000006</v>
      </c>
      <c r="G312" s="115">
        <f>AVERAGE(G282:G311)</f>
        <v>3292886.6666666665</v>
      </c>
    </row>
    <row r="313" spans="1:7" s="57" customFormat="1" ht="12">
      <c r="A313" s="114"/>
      <c r="B313" s="114" t="s">
        <v>423</v>
      </c>
      <c r="C313" s="114">
        <f>MEDIAN(C282:C311)</f>
        <v>47.504999999999995</v>
      </c>
      <c r="D313" s="114">
        <f>MEDIAN(D282:D311)</f>
        <v>47.754999999999995</v>
      </c>
      <c r="E313" s="114">
        <f>MEDIAN(E282:E311)</f>
        <v>46.95</v>
      </c>
      <c r="F313" s="114">
        <f>MEDIAN(F282:F311)</f>
        <v>47.284999999999997</v>
      </c>
      <c r="G313" s="114">
        <f>MEDIAN(G282:G311)</f>
        <v>3122600</v>
      </c>
    </row>
    <row r="314" spans="1:7" s="57" customFormat="1" ht="12">
      <c r="A314" s="114"/>
      <c r="B314" s="114" t="s">
        <v>426</v>
      </c>
      <c r="C314" s="114">
        <f>MAX(C282:C311)</f>
        <v>50.01</v>
      </c>
      <c r="D314" s="114">
        <f>MAX(D282:D311)</f>
        <v>50.2</v>
      </c>
      <c r="E314" s="114">
        <f>MAX(E282:E311)</f>
        <v>49.44</v>
      </c>
      <c r="F314" s="114">
        <f>MAX(F282:F311)</f>
        <v>50.01</v>
      </c>
      <c r="G314" s="114">
        <f>MAX(G282:G311)</f>
        <v>6358000</v>
      </c>
    </row>
    <row r="315" spans="1:7" s="57" customFormat="1" ht="12">
      <c r="A315" s="114"/>
      <c r="B315" s="114" t="s">
        <v>427</v>
      </c>
      <c r="C315" s="114">
        <f>MIN(C282:C311)</f>
        <v>45.3</v>
      </c>
      <c r="D315" s="114">
        <f>MIN(D282:D311)</f>
        <v>46.07</v>
      </c>
      <c r="E315" s="114">
        <f>MIN(E282:E311)</f>
        <v>44.86</v>
      </c>
      <c r="F315" s="114">
        <f>MIN(F282:F311)</f>
        <v>45</v>
      </c>
      <c r="G315" s="114">
        <f>MIN(G282:G311)</f>
        <v>1636500</v>
      </c>
    </row>
    <row r="316" spans="1:7" s="57" customFormat="1" ht="12">
      <c r="A316" s="114" t="str">
        <f>[1]DATA!A14</f>
        <v>IDA</v>
      </c>
      <c r="B316" s="71" t="s">
        <v>304</v>
      </c>
      <c r="C316" s="71" t="s">
        <v>305</v>
      </c>
      <c r="D316" s="71" t="s">
        <v>521</v>
      </c>
      <c r="E316" s="71" t="s">
        <v>522</v>
      </c>
      <c r="F316" s="71" t="s">
        <v>523</v>
      </c>
      <c r="G316" s="71" t="s">
        <v>439</v>
      </c>
    </row>
    <row r="317" spans="1:7" s="57" customFormat="1" ht="12">
      <c r="A317" s="114"/>
      <c r="B317" s="61">
        <v>39984</v>
      </c>
      <c r="C317">
        <v>46.12</v>
      </c>
      <c r="D317">
        <v>47.16</v>
      </c>
      <c r="E317">
        <v>46.08</v>
      </c>
      <c r="F317">
        <v>46.94</v>
      </c>
      <c r="G317">
        <v>422100</v>
      </c>
    </row>
    <row r="318" spans="1:7" s="57" customFormat="1" ht="12">
      <c r="A318" s="114"/>
      <c r="B318" s="61">
        <v>39983</v>
      </c>
      <c r="C318">
        <v>46.64</v>
      </c>
      <c r="D318">
        <v>47.01</v>
      </c>
      <c r="E318">
        <v>46.03</v>
      </c>
      <c r="F318">
        <v>46.22</v>
      </c>
      <c r="G318">
        <v>303500</v>
      </c>
    </row>
    <row r="319" spans="1:7" s="57" customFormat="1" ht="12">
      <c r="A319" s="114"/>
      <c r="B319" s="61">
        <v>39982</v>
      </c>
      <c r="C319">
        <v>48.71</v>
      </c>
      <c r="D319">
        <v>48.71</v>
      </c>
      <c r="E319">
        <v>47.44</v>
      </c>
      <c r="F319">
        <v>47.5</v>
      </c>
      <c r="G319">
        <v>234100</v>
      </c>
    </row>
    <row r="320" spans="1:7" s="57" customFormat="1" ht="12">
      <c r="A320" s="114"/>
      <c r="B320" s="61">
        <v>39981</v>
      </c>
      <c r="C320">
        <v>48.43</v>
      </c>
      <c r="D320">
        <v>49.12</v>
      </c>
      <c r="E320">
        <v>48.21</v>
      </c>
      <c r="F320">
        <v>48.83</v>
      </c>
      <c r="G320">
        <v>192500</v>
      </c>
    </row>
    <row r="321" spans="1:7" s="57" customFormat="1" ht="12">
      <c r="A321" s="114"/>
      <c r="B321" s="61">
        <v>39980</v>
      </c>
      <c r="C321">
        <v>48.48</v>
      </c>
      <c r="D321">
        <v>48.67</v>
      </c>
      <c r="E321">
        <v>48.3</v>
      </c>
      <c r="F321">
        <v>48.48</v>
      </c>
      <c r="G321">
        <v>272600</v>
      </c>
    </row>
    <row r="322" spans="1:7" s="57" customFormat="1" ht="12">
      <c r="A322" s="114"/>
      <c r="B322" s="61">
        <v>39977</v>
      </c>
      <c r="C322">
        <v>48.39</v>
      </c>
      <c r="D322">
        <v>48.69</v>
      </c>
      <c r="E322">
        <v>47.95</v>
      </c>
      <c r="F322">
        <v>48.16</v>
      </c>
      <c r="G322">
        <v>207400</v>
      </c>
    </row>
    <row r="323" spans="1:7" s="57" customFormat="1" ht="12">
      <c r="A323" s="114"/>
      <c r="B323" s="61">
        <v>39976</v>
      </c>
      <c r="C323">
        <v>47.56</v>
      </c>
      <c r="D323">
        <v>48.58</v>
      </c>
      <c r="E323">
        <v>47.48</v>
      </c>
      <c r="F323">
        <v>48.47</v>
      </c>
      <c r="G323">
        <v>166000</v>
      </c>
    </row>
    <row r="324" spans="1:7" s="57" customFormat="1" ht="12">
      <c r="A324" s="114"/>
      <c r="B324" s="61">
        <v>39975</v>
      </c>
      <c r="C324">
        <v>48.49</v>
      </c>
      <c r="D324">
        <v>48.69</v>
      </c>
      <c r="E324">
        <v>47.53</v>
      </c>
      <c r="F324">
        <v>47.63</v>
      </c>
      <c r="G324">
        <v>299800</v>
      </c>
    </row>
    <row r="325" spans="1:7" s="57" customFormat="1" ht="12">
      <c r="A325" s="114"/>
      <c r="B325" s="61">
        <v>39974</v>
      </c>
      <c r="C325">
        <v>47.7</v>
      </c>
      <c r="D325">
        <v>48.68</v>
      </c>
      <c r="E325">
        <v>47.7</v>
      </c>
      <c r="F325">
        <v>48.3</v>
      </c>
      <c r="G325">
        <v>422400</v>
      </c>
    </row>
    <row r="326" spans="1:7" s="57" customFormat="1" ht="12">
      <c r="A326" s="114"/>
      <c r="B326" s="61">
        <v>39973</v>
      </c>
      <c r="C326">
        <v>48.61</v>
      </c>
      <c r="D326">
        <v>48.74</v>
      </c>
      <c r="E326">
        <v>48.21</v>
      </c>
      <c r="F326">
        <v>48.72</v>
      </c>
      <c r="G326">
        <v>322700</v>
      </c>
    </row>
    <row r="327" spans="1:7" s="57" customFormat="1" ht="12">
      <c r="A327" s="114"/>
      <c r="B327" s="61">
        <v>39970</v>
      </c>
      <c r="C327">
        <v>48.21</v>
      </c>
      <c r="D327">
        <v>48.61</v>
      </c>
      <c r="E327">
        <v>47.96</v>
      </c>
      <c r="F327">
        <v>48.52</v>
      </c>
      <c r="G327">
        <v>422200</v>
      </c>
    </row>
    <row r="328" spans="1:7" s="57" customFormat="1" ht="12">
      <c r="A328" s="114"/>
      <c r="B328" s="61">
        <v>39969</v>
      </c>
      <c r="C328">
        <v>46.92</v>
      </c>
      <c r="D328">
        <v>47.96</v>
      </c>
      <c r="E328">
        <v>46.79</v>
      </c>
      <c r="F328">
        <v>47.94</v>
      </c>
      <c r="G328">
        <v>410900</v>
      </c>
    </row>
    <row r="329" spans="1:7" s="57" customFormat="1" ht="12">
      <c r="A329" s="114"/>
      <c r="B329" s="61">
        <v>39968</v>
      </c>
      <c r="C329">
        <v>47.43</v>
      </c>
      <c r="D329">
        <v>47.51</v>
      </c>
      <c r="E329">
        <v>46.99</v>
      </c>
      <c r="F329">
        <v>47.04</v>
      </c>
      <c r="G329">
        <v>289800</v>
      </c>
    </row>
    <row r="330" spans="1:7" s="57" customFormat="1" ht="12">
      <c r="A330" s="114"/>
      <c r="B330" s="61">
        <v>39967</v>
      </c>
      <c r="C330">
        <v>47.69</v>
      </c>
      <c r="D330">
        <v>47.9</v>
      </c>
      <c r="E330">
        <v>47.1</v>
      </c>
      <c r="F330">
        <v>47.54</v>
      </c>
      <c r="G330">
        <v>436500</v>
      </c>
    </row>
    <row r="331" spans="1:7" s="57" customFormat="1" ht="12">
      <c r="A331" s="114"/>
      <c r="B331" s="61">
        <v>39966</v>
      </c>
      <c r="C331">
        <v>47.33</v>
      </c>
      <c r="D331">
        <v>47.93</v>
      </c>
      <c r="E331">
        <v>46.79</v>
      </c>
      <c r="F331">
        <v>47.78</v>
      </c>
      <c r="G331">
        <v>434800</v>
      </c>
    </row>
    <row r="332" spans="1:7" s="57" customFormat="1" ht="12">
      <c r="A332" s="114"/>
      <c r="B332" s="61">
        <v>39963</v>
      </c>
      <c r="C332">
        <v>47.67</v>
      </c>
      <c r="D332">
        <v>48.32</v>
      </c>
      <c r="E332">
        <v>47.21</v>
      </c>
      <c r="F332">
        <v>47.23</v>
      </c>
      <c r="G332">
        <v>243500</v>
      </c>
    </row>
    <row r="333" spans="1:7" s="57" customFormat="1" ht="12">
      <c r="A333" s="114"/>
      <c r="B333" s="61">
        <v>39962</v>
      </c>
      <c r="C333">
        <v>47.27</v>
      </c>
      <c r="D333">
        <v>48.89</v>
      </c>
      <c r="E333">
        <v>47.27</v>
      </c>
      <c r="F333">
        <v>47.93</v>
      </c>
      <c r="G333">
        <v>352200</v>
      </c>
    </row>
    <row r="334" spans="1:7" s="57" customFormat="1" ht="12">
      <c r="A334" s="114"/>
      <c r="B334" s="61">
        <v>39961</v>
      </c>
      <c r="C334">
        <v>47.97</v>
      </c>
      <c r="D334">
        <v>47.97</v>
      </c>
      <c r="E334">
        <v>46.62</v>
      </c>
      <c r="F334">
        <v>46.97</v>
      </c>
      <c r="G334">
        <v>267900</v>
      </c>
    </row>
    <row r="335" spans="1:7" s="57" customFormat="1" ht="12">
      <c r="A335" s="114"/>
      <c r="B335" s="61">
        <v>39960</v>
      </c>
      <c r="C335">
        <v>48.81</v>
      </c>
      <c r="D335">
        <v>49.01</v>
      </c>
      <c r="E335">
        <v>48.09</v>
      </c>
      <c r="F335">
        <v>48.33</v>
      </c>
      <c r="G335">
        <v>219300</v>
      </c>
    </row>
    <row r="336" spans="1:7" s="57" customFormat="1" ht="12">
      <c r="A336" s="114"/>
      <c r="B336" s="61">
        <v>39956</v>
      </c>
      <c r="C336">
        <v>48.85</v>
      </c>
      <c r="D336">
        <v>49.06</v>
      </c>
      <c r="E336">
        <v>48.25</v>
      </c>
      <c r="F336">
        <v>48.47</v>
      </c>
      <c r="G336">
        <v>350200</v>
      </c>
    </row>
    <row r="337" spans="1:7" s="57" customFormat="1" ht="12">
      <c r="A337" s="114"/>
      <c r="B337" s="61">
        <v>39955</v>
      </c>
      <c r="C337">
        <v>48.75</v>
      </c>
      <c r="D337">
        <v>49.06</v>
      </c>
      <c r="E337">
        <v>47.86</v>
      </c>
      <c r="F337">
        <v>49.02</v>
      </c>
      <c r="G337">
        <v>642200</v>
      </c>
    </row>
    <row r="338" spans="1:7" s="57" customFormat="1" ht="12">
      <c r="A338" s="114"/>
      <c r="B338" s="61">
        <v>39954</v>
      </c>
      <c r="C338">
        <v>49.35</v>
      </c>
      <c r="D338">
        <v>49.8</v>
      </c>
      <c r="E338">
        <v>48.84</v>
      </c>
      <c r="F338">
        <v>49</v>
      </c>
      <c r="G338">
        <v>598400</v>
      </c>
    </row>
    <row r="339" spans="1:7" s="57" customFormat="1" ht="12">
      <c r="A339" s="114"/>
      <c r="B339" s="61">
        <v>39953</v>
      </c>
      <c r="C339">
        <v>49.45</v>
      </c>
      <c r="D339">
        <v>49.6</v>
      </c>
      <c r="E339">
        <v>49.02</v>
      </c>
      <c r="F339">
        <v>49.4</v>
      </c>
      <c r="G339">
        <v>156500</v>
      </c>
    </row>
    <row r="340" spans="1:7" s="57" customFormat="1" ht="12">
      <c r="A340" s="114"/>
      <c r="B340" s="61">
        <v>39952</v>
      </c>
      <c r="C340">
        <v>49.53</v>
      </c>
      <c r="D340">
        <v>49.85</v>
      </c>
      <c r="E340">
        <v>49.28</v>
      </c>
      <c r="F340">
        <v>49.49</v>
      </c>
      <c r="G340">
        <v>195400</v>
      </c>
    </row>
    <row r="341" spans="1:7" s="57" customFormat="1" ht="12">
      <c r="A341" s="114"/>
      <c r="B341" s="61">
        <v>39949</v>
      </c>
      <c r="C341">
        <v>49.53</v>
      </c>
      <c r="D341">
        <v>49.71</v>
      </c>
      <c r="E341">
        <v>49.18</v>
      </c>
      <c r="F341">
        <v>49.65</v>
      </c>
      <c r="G341">
        <v>178800</v>
      </c>
    </row>
    <row r="342" spans="1:7" s="57" customFormat="1" ht="12">
      <c r="A342" s="114"/>
      <c r="B342" s="61">
        <v>39948</v>
      </c>
      <c r="C342">
        <v>49.58</v>
      </c>
      <c r="D342">
        <v>49.8</v>
      </c>
      <c r="E342">
        <v>48.94</v>
      </c>
      <c r="F342">
        <v>49.26</v>
      </c>
      <c r="G342">
        <v>168700</v>
      </c>
    </row>
    <row r="343" spans="1:7" s="57" customFormat="1" ht="12">
      <c r="A343" s="114"/>
      <c r="B343" s="61">
        <v>39947</v>
      </c>
      <c r="C343">
        <v>49.06</v>
      </c>
      <c r="D343">
        <v>50.16</v>
      </c>
      <c r="E343">
        <v>49.06</v>
      </c>
      <c r="F343">
        <v>49.62</v>
      </c>
      <c r="G343">
        <v>194300</v>
      </c>
    </row>
    <row r="344" spans="1:7" s="57" customFormat="1" ht="12">
      <c r="A344" s="114"/>
      <c r="B344" s="61">
        <v>39946</v>
      </c>
      <c r="C344">
        <v>48.13</v>
      </c>
      <c r="D344">
        <v>49.12</v>
      </c>
      <c r="E344">
        <v>48.08</v>
      </c>
      <c r="F344">
        <v>49.08</v>
      </c>
      <c r="G344">
        <v>290400</v>
      </c>
    </row>
    <row r="345" spans="1:7" s="57" customFormat="1" ht="12">
      <c r="A345" s="114"/>
      <c r="B345" s="61">
        <v>39945</v>
      </c>
      <c r="C345">
        <v>48.21</v>
      </c>
      <c r="D345">
        <v>48.6</v>
      </c>
      <c r="E345">
        <v>47.82</v>
      </c>
      <c r="F345">
        <v>48.11</v>
      </c>
      <c r="G345">
        <v>413700</v>
      </c>
    </row>
    <row r="346" spans="1:7" s="57" customFormat="1" ht="12">
      <c r="A346" s="114"/>
      <c r="B346" s="61">
        <v>39942</v>
      </c>
      <c r="C346">
        <v>47.58</v>
      </c>
      <c r="D346">
        <v>48.07</v>
      </c>
      <c r="E346">
        <v>47.2</v>
      </c>
      <c r="F346">
        <v>48.01</v>
      </c>
      <c r="G346">
        <v>210000</v>
      </c>
    </row>
    <row r="347" spans="1:7" s="57" customFormat="1" ht="12">
      <c r="A347" s="114"/>
      <c r="B347" s="114" t="s">
        <v>476</v>
      </c>
      <c r="C347" s="115">
        <f>AVERAGE(C317:C346)</f>
        <v>48.214999999999996</v>
      </c>
      <c r="D347" s="115">
        <f>AVERAGE(D317:D346)</f>
        <v>48.699333333333321</v>
      </c>
      <c r="E347" s="115">
        <f>AVERAGE(E317:E346)</f>
        <v>47.775999999999996</v>
      </c>
      <c r="F347" s="116">
        <f>AVERAGE(F317:F346)</f>
        <v>48.254666666666665</v>
      </c>
      <c r="G347" s="115">
        <f>AVERAGE(G317:G346)</f>
        <v>310626.66666666669</v>
      </c>
    </row>
    <row r="348" spans="1:7" s="57" customFormat="1" ht="12">
      <c r="A348" s="114"/>
      <c r="B348" s="114" t="s">
        <v>423</v>
      </c>
      <c r="C348" s="114">
        <f>MEDIAN(C317:C346)</f>
        <v>48.3</v>
      </c>
      <c r="D348" s="114">
        <f>MEDIAN(D317:D346)</f>
        <v>48.69</v>
      </c>
      <c r="E348" s="114">
        <f>MEDIAN(E317:E346)</f>
        <v>47.84</v>
      </c>
      <c r="F348" s="114">
        <f>MEDIAN(F317:F346)</f>
        <v>48.314999999999998</v>
      </c>
      <c r="G348" s="114">
        <f>MEDIAN(G317:G346)</f>
        <v>290100</v>
      </c>
    </row>
    <row r="349" spans="1:7" s="57" customFormat="1" ht="12">
      <c r="A349" s="114"/>
      <c r="B349" s="114" t="s">
        <v>426</v>
      </c>
      <c r="C349" s="114">
        <f>MAX(C317:C346)</f>
        <v>49.58</v>
      </c>
      <c r="D349" s="114">
        <f>MAX(D317:D346)</f>
        <v>50.16</v>
      </c>
      <c r="E349" s="114">
        <f>MAX(E317:E346)</f>
        <v>49.28</v>
      </c>
      <c r="F349" s="114">
        <f>MAX(F317:F346)</f>
        <v>49.65</v>
      </c>
      <c r="G349" s="114">
        <f>MAX(G317:G346)</f>
        <v>642200</v>
      </c>
    </row>
    <row r="350" spans="1:7" s="57" customFormat="1" ht="12">
      <c r="A350" s="114"/>
      <c r="B350" s="114" t="s">
        <v>427</v>
      </c>
      <c r="C350" s="114">
        <f>MIN(C317:C346)</f>
        <v>46.12</v>
      </c>
      <c r="D350" s="114">
        <f>MIN(D317:D346)</f>
        <v>47.01</v>
      </c>
      <c r="E350" s="114">
        <f>MIN(E317:E346)</f>
        <v>46.03</v>
      </c>
      <c r="F350" s="114">
        <f>MIN(F317:F346)</f>
        <v>46.22</v>
      </c>
      <c r="G350" s="114">
        <f>MIN(G317:G346)</f>
        <v>156500</v>
      </c>
    </row>
    <row r="351" spans="1:7" s="57" customFormat="1" ht="12">
      <c r="A351" s="114" t="str">
        <f>[1]DATA!A15</f>
        <v>NWE</v>
      </c>
      <c r="B351" s="71" t="s">
        <v>304</v>
      </c>
      <c r="C351" s="71" t="s">
        <v>305</v>
      </c>
      <c r="D351" s="71" t="s">
        <v>521</v>
      </c>
      <c r="E351" s="71" t="s">
        <v>522</v>
      </c>
      <c r="F351" s="71" t="s">
        <v>523</v>
      </c>
      <c r="G351" s="71" t="s">
        <v>439</v>
      </c>
    </row>
    <row r="352" spans="1:7" s="57" customFormat="1" ht="12">
      <c r="A352" s="114"/>
      <c r="B352" s="61">
        <v>39984</v>
      </c>
      <c r="C352">
        <v>38.5</v>
      </c>
      <c r="D352">
        <v>39.01</v>
      </c>
      <c r="E352">
        <v>38.119999999999997</v>
      </c>
      <c r="F352">
        <v>38.909999999999997</v>
      </c>
      <c r="G352">
        <v>489000</v>
      </c>
    </row>
    <row r="353" spans="1:7" s="57" customFormat="1" ht="12">
      <c r="A353" s="114"/>
      <c r="B353" s="61">
        <v>39983</v>
      </c>
      <c r="C353">
        <v>39.619999999999997</v>
      </c>
      <c r="D353">
        <v>39.619999999999997</v>
      </c>
      <c r="E353">
        <v>38.36</v>
      </c>
      <c r="F353">
        <v>38.47</v>
      </c>
      <c r="G353">
        <v>283200</v>
      </c>
    </row>
    <row r="354" spans="1:7" s="57" customFormat="1" ht="12">
      <c r="A354" s="114"/>
      <c r="B354" s="61">
        <v>39982</v>
      </c>
      <c r="C354">
        <v>40.94</v>
      </c>
      <c r="D354">
        <v>41.05</v>
      </c>
      <c r="E354">
        <v>39.96</v>
      </c>
      <c r="F354">
        <v>39.97</v>
      </c>
      <c r="G354">
        <v>163100</v>
      </c>
    </row>
    <row r="355" spans="1:7" s="57" customFormat="1" ht="12">
      <c r="A355" s="114"/>
      <c r="B355" s="61">
        <v>39981</v>
      </c>
      <c r="C355">
        <v>40.46</v>
      </c>
      <c r="D355">
        <v>41.3</v>
      </c>
      <c r="E355">
        <v>40.24</v>
      </c>
      <c r="F355">
        <v>41.04</v>
      </c>
      <c r="G355">
        <v>201200</v>
      </c>
    </row>
    <row r="356" spans="1:7" s="57" customFormat="1" ht="12">
      <c r="A356" s="114"/>
      <c r="B356" s="61">
        <v>39980</v>
      </c>
      <c r="C356">
        <v>40.729999999999997</v>
      </c>
      <c r="D356">
        <v>40.94</v>
      </c>
      <c r="E356">
        <v>40.26</v>
      </c>
      <c r="F356">
        <v>40.46</v>
      </c>
      <c r="G356">
        <v>187400</v>
      </c>
    </row>
    <row r="357" spans="1:7" s="57" customFormat="1" ht="12">
      <c r="A357" s="114"/>
      <c r="B357" s="61">
        <v>39977</v>
      </c>
      <c r="C357">
        <v>40.53</v>
      </c>
      <c r="D357">
        <v>40.75</v>
      </c>
      <c r="E357">
        <v>40.340000000000003</v>
      </c>
      <c r="F357">
        <v>40.46</v>
      </c>
      <c r="G357">
        <v>195000</v>
      </c>
    </row>
    <row r="358" spans="1:7" s="57" customFormat="1" ht="12">
      <c r="A358" s="114"/>
      <c r="B358" s="61">
        <v>39976</v>
      </c>
      <c r="C358">
        <v>40.15</v>
      </c>
      <c r="D358">
        <v>40.729999999999997</v>
      </c>
      <c r="E358">
        <v>40.020000000000003</v>
      </c>
      <c r="F358">
        <v>40.619999999999997</v>
      </c>
      <c r="G358">
        <v>134800</v>
      </c>
    </row>
    <row r="359" spans="1:7" s="57" customFormat="1" ht="12">
      <c r="A359" s="114"/>
      <c r="B359" s="61">
        <v>39975</v>
      </c>
      <c r="C359">
        <v>40.770000000000003</v>
      </c>
      <c r="D359">
        <v>40.78</v>
      </c>
      <c r="E359">
        <v>40.22</v>
      </c>
      <c r="F359">
        <v>40.22</v>
      </c>
      <c r="G359">
        <v>64200</v>
      </c>
    </row>
    <row r="360" spans="1:7" s="57" customFormat="1" ht="12">
      <c r="A360" s="114"/>
      <c r="B360" s="61">
        <v>39974</v>
      </c>
      <c r="C360">
        <v>41.16</v>
      </c>
      <c r="D360">
        <v>41.37</v>
      </c>
      <c r="E360">
        <v>40.840000000000003</v>
      </c>
      <c r="F360">
        <v>40.85</v>
      </c>
      <c r="G360">
        <v>152600</v>
      </c>
    </row>
    <row r="361" spans="1:7" s="57" customFormat="1" ht="12">
      <c r="A361" s="114"/>
      <c r="B361" s="61">
        <v>39973</v>
      </c>
      <c r="C361">
        <v>41.5</v>
      </c>
      <c r="D361">
        <v>41.56</v>
      </c>
      <c r="E361">
        <v>41.19</v>
      </c>
      <c r="F361">
        <v>41.44</v>
      </c>
      <c r="G361">
        <v>112100</v>
      </c>
    </row>
    <row r="362" spans="1:7" s="57" customFormat="1" ht="12">
      <c r="A362" s="114"/>
      <c r="B362" s="61">
        <v>39970</v>
      </c>
      <c r="C362">
        <v>41.4</v>
      </c>
      <c r="D362">
        <v>41.67</v>
      </c>
      <c r="E362">
        <v>40.93</v>
      </c>
      <c r="F362">
        <v>41.37</v>
      </c>
      <c r="G362">
        <v>116600</v>
      </c>
    </row>
    <row r="363" spans="1:7" s="57" customFormat="1" ht="12">
      <c r="A363" s="114"/>
      <c r="B363" s="61">
        <v>39969</v>
      </c>
      <c r="C363">
        <v>40.78</v>
      </c>
      <c r="D363">
        <v>41.27</v>
      </c>
      <c r="E363">
        <v>40.68</v>
      </c>
      <c r="F363">
        <v>41.26</v>
      </c>
      <c r="G363">
        <v>147200</v>
      </c>
    </row>
    <row r="364" spans="1:7" s="57" customFormat="1" ht="12">
      <c r="A364" s="114"/>
      <c r="B364" s="61">
        <v>39968</v>
      </c>
      <c r="C364">
        <v>40.799999999999997</v>
      </c>
      <c r="D364">
        <v>40.9</v>
      </c>
      <c r="E364">
        <v>40.409999999999997</v>
      </c>
      <c r="F364">
        <v>40.700000000000003</v>
      </c>
      <c r="G364">
        <v>180600</v>
      </c>
    </row>
    <row r="365" spans="1:7" s="57" customFormat="1" ht="12">
      <c r="A365" s="114"/>
      <c r="B365" s="61">
        <v>39967</v>
      </c>
      <c r="C365">
        <v>41.36</v>
      </c>
      <c r="D365">
        <v>41.45</v>
      </c>
      <c r="E365">
        <v>40.6</v>
      </c>
      <c r="F365">
        <v>40.869999999999997</v>
      </c>
      <c r="G365">
        <v>219200</v>
      </c>
    </row>
    <row r="366" spans="1:7" s="57" customFormat="1" ht="12">
      <c r="A366" s="114"/>
      <c r="B366" s="61">
        <v>39966</v>
      </c>
      <c r="C366">
        <v>41.33</v>
      </c>
      <c r="D366">
        <v>41.62</v>
      </c>
      <c r="E366">
        <v>40.880000000000003</v>
      </c>
      <c r="F366">
        <v>41.44</v>
      </c>
      <c r="G366">
        <v>390500</v>
      </c>
    </row>
    <row r="367" spans="1:7" s="57" customFormat="1" ht="12">
      <c r="A367" s="114"/>
      <c r="B367" s="61">
        <v>39963</v>
      </c>
      <c r="C367">
        <v>43.17</v>
      </c>
      <c r="D367">
        <v>43.17</v>
      </c>
      <c r="E367">
        <v>41.15</v>
      </c>
      <c r="F367">
        <v>41.16</v>
      </c>
      <c r="G367">
        <v>523200</v>
      </c>
    </row>
    <row r="368" spans="1:7" s="57" customFormat="1" ht="12">
      <c r="A368" s="114"/>
      <c r="B368" s="61">
        <v>39962</v>
      </c>
      <c r="C368">
        <v>40.9</v>
      </c>
      <c r="D368">
        <v>41.83</v>
      </c>
      <c r="E368">
        <v>40.880000000000003</v>
      </c>
      <c r="F368">
        <v>41.05</v>
      </c>
      <c r="G368">
        <v>238300</v>
      </c>
    </row>
    <row r="369" spans="1:7" s="57" customFormat="1" ht="12">
      <c r="A369" s="114"/>
      <c r="B369" s="61">
        <v>39961</v>
      </c>
      <c r="C369">
        <v>40.86</v>
      </c>
      <c r="D369">
        <v>41</v>
      </c>
      <c r="E369">
        <v>40.340000000000003</v>
      </c>
      <c r="F369">
        <v>40.68</v>
      </c>
      <c r="G369">
        <v>316000</v>
      </c>
    </row>
    <row r="370" spans="1:7" s="57" customFormat="1" ht="12">
      <c r="A370" s="114"/>
      <c r="B370" s="61">
        <v>39960</v>
      </c>
      <c r="C370">
        <v>41.23</v>
      </c>
      <c r="D370">
        <v>41.6</v>
      </c>
      <c r="E370">
        <v>40.79</v>
      </c>
      <c r="F370">
        <v>40.98</v>
      </c>
      <c r="G370">
        <v>159600</v>
      </c>
    </row>
    <row r="371" spans="1:7" s="57" customFormat="1" ht="12">
      <c r="A371" s="114"/>
      <c r="B371" s="61">
        <v>39956</v>
      </c>
      <c r="C371">
        <v>40.99</v>
      </c>
      <c r="D371">
        <v>41.09</v>
      </c>
      <c r="E371">
        <v>40.729999999999997</v>
      </c>
      <c r="F371">
        <v>40.99</v>
      </c>
      <c r="G371">
        <v>90000</v>
      </c>
    </row>
    <row r="372" spans="1:7" s="57" customFormat="1" ht="12">
      <c r="A372" s="114"/>
      <c r="B372" s="61">
        <v>39955</v>
      </c>
      <c r="C372">
        <v>41.01</v>
      </c>
      <c r="D372">
        <v>41.27</v>
      </c>
      <c r="E372">
        <v>40.520000000000003</v>
      </c>
      <c r="F372">
        <v>41.1</v>
      </c>
      <c r="G372">
        <v>190800</v>
      </c>
    </row>
    <row r="373" spans="1:7" s="57" customFormat="1" ht="12">
      <c r="A373" s="114"/>
      <c r="B373" s="61">
        <v>39954</v>
      </c>
      <c r="C373">
        <v>42.07</v>
      </c>
      <c r="D373">
        <v>42.42</v>
      </c>
      <c r="E373">
        <v>41.15</v>
      </c>
      <c r="F373">
        <v>41.34</v>
      </c>
      <c r="G373">
        <v>195400</v>
      </c>
    </row>
    <row r="374" spans="1:7" s="57" customFormat="1" ht="12">
      <c r="A374" s="114"/>
      <c r="B374" s="61">
        <v>39953</v>
      </c>
      <c r="C374">
        <v>41.97</v>
      </c>
      <c r="D374">
        <v>42.23</v>
      </c>
      <c r="E374">
        <v>41.7</v>
      </c>
      <c r="F374">
        <v>42.11</v>
      </c>
      <c r="G374">
        <v>152900</v>
      </c>
    </row>
    <row r="375" spans="1:7" s="57" customFormat="1" ht="12">
      <c r="A375" s="114"/>
      <c r="B375" s="61">
        <v>39952</v>
      </c>
      <c r="C375">
        <v>42.06</v>
      </c>
      <c r="D375">
        <v>42.3</v>
      </c>
      <c r="E375">
        <v>41.9</v>
      </c>
      <c r="F375">
        <v>42.05</v>
      </c>
      <c r="G375">
        <v>169400</v>
      </c>
    </row>
    <row r="376" spans="1:7" s="57" customFormat="1" ht="12">
      <c r="A376" s="114"/>
      <c r="B376" s="61">
        <v>39949</v>
      </c>
      <c r="C376">
        <v>42.15</v>
      </c>
      <c r="D376">
        <v>42.24</v>
      </c>
      <c r="E376">
        <v>41.82</v>
      </c>
      <c r="F376">
        <v>42.22</v>
      </c>
      <c r="G376">
        <v>230700</v>
      </c>
    </row>
    <row r="377" spans="1:7" s="57" customFormat="1" ht="12">
      <c r="A377" s="114"/>
      <c r="B377" s="61">
        <v>39948</v>
      </c>
      <c r="C377">
        <v>42.21</v>
      </c>
      <c r="D377">
        <v>42.42</v>
      </c>
      <c r="E377">
        <v>41.94</v>
      </c>
      <c r="F377">
        <v>42.13</v>
      </c>
      <c r="G377">
        <v>157100</v>
      </c>
    </row>
    <row r="378" spans="1:7" s="57" customFormat="1" ht="12">
      <c r="A378" s="114"/>
      <c r="B378" s="61">
        <v>39947</v>
      </c>
      <c r="C378">
        <v>42.2</v>
      </c>
      <c r="D378">
        <v>43.01</v>
      </c>
      <c r="E378">
        <v>42.2</v>
      </c>
      <c r="F378">
        <v>42.33</v>
      </c>
      <c r="G378">
        <v>188000</v>
      </c>
    </row>
    <row r="379" spans="1:7" s="57" customFormat="1" ht="12">
      <c r="A379" s="114"/>
      <c r="B379" s="61">
        <v>39946</v>
      </c>
      <c r="C379">
        <v>41.72</v>
      </c>
      <c r="D379">
        <v>42.5</v>
      </c>
      <c r="E379">
        <v>41.62</v>
      </c>
      <c r="F379">
        <v>42.31</v>
      </c>
      <c r="G379">
        <v>237300</v>
      </c>
    </row>
    <row r="380" spans="1:7" s="57" customFormat="1" ht="12">
      <c r="A380" s="114"/>
      <c r="B380" s="61">
        <v>39945</v>
      </c>
      <c r="C380">
        <v>41.71</v>
      </c>
      <c r="D380">
        <v>41.91</v>
      </c>
      <c r="E380">
        <v>41.42</v>
      </c>
      <c r="F380">
        <v>41.74</v>
      </c>
      <c r="G380">
        <v>110000</v>
      </c>
    </row>
    <row r="381" spans="1:7" s="57" customFormat="1" ht="12">
      <c r="A381" s="114"/>
      <c r="B381" s="61">
        <v>39942</v>
      </c>
      <c r="C381">
        <v>41.71</v>
      </c>
      <c r="D381">
        <v>41.94</v>
      </c>
      <c r="E381">
        <v>41.48</v>
      </c>
      <c r="F381">
        <v>41.89</v>
      </c>
      <c r="G381">
        <v>68200</v>
      </c>
    </row>
    <row r="382" spans="1:7" s="57" customFormat="1" ht="12">
      <c r="A382" s="114"/>
      <c r="B382" s="114" t="s">
        <v>476</v>
      </c>
      <c r="C382" s="115">
        <f>AVERAGE(C352:C381)</f>
        <v>41.199666666666673</v>
      </c>
      <c r="D382" s="115">
        <f>AVERAGE(D352:D381)</f>
        <v>41.498333333333335</v>
      </c>
      <c r="E382" s="115">
        <f>AVERAGE(E352:E381)</f>
        <v>40.756333333333338</v>
      </c>
      <c r="F382" s="116">
        <f>AVERAGE(F352:F381)</f>
        <v>41.071999999999996</v>
      </c>
      <c r="G382" s="115">
        <f>AVERAGE(G352:G381)</f>
        <v>202120</v>
      </c>
    </row>
    <row r="383" spans="1:7" s="57" customFormat="1" ht="12">
      <c r="A383" s="114"/>
      <c r="B383" s="114" t="s">
        <v>423</v>
      </c>
      <c r="C383" s="114">
        <f>MEDIAN(C352:C381)</f>
        <v>41.194999999999993</v>
      </c>
      <c r="D383" s="114">
        <f>MEDIAN(D352:D381)</f>
        <v>41.505000000000003</v>
      </c>
      <c r="E383" s="114">
        <f>MEDIAN(E352:E381)</f>
        <v>40.814999999999998</v>
      </c>
      <c r="F383" s="114">
        <f>MEDIAN(F352:F381)</f>
        <v>41.075000000000003</v>
      </c>
      <c r="G383" s="114">
        <f>MEDIAN(G352:G381)</f>
        <v>184000</v>
      </c>
    </row>
    <row r="384" spans="1:7" s="57" customFormat="1" ht="12">
      <c r="A384" s="114"/>
      <c r="B384" s="114" t="s">
        <v>426</v>
      </c>
      <c r="C384" s="114">
        <f>MAX(C352:C381)</f>
        <v>43.17</v>
      </c>
      <c r="D384" s="114">
        <f>MAX(D352:D381)</f>
        <v>43.17</v>
      </c>
      <c r="E384" s="114">
        <f>MAX(E352:E381)</f>
        <v>42.2</v>
      </c>
      <c r="F384" s="114">
        <f>MAX(F352:F381)</f>
        <v>42.33</v>
      </c>
      <c r="G384" s="114">
        <f>MAX(G352:G381)</f>
        <v>523200</v>
      </c>
    </row>
    <row r="385" spans="1:7" s="57" customFormat="1" ht="12">
      <c r="A385" s="114"/>
      <c r="B385" s="114" t="s">
        <v>427</v>
      </c>
      <c r="C385" s="114">
        <f>MIN(C352:C381)</f>
        <v>38.5</v>
      </c>
      <c r="D385" s="114">
        <f>MIN(D352:D381)</f>
        <v>39.01</v>
      </c>
      <c r="E385" s="114">
        <f>MIN(E352:E381)</f>
        <v>38.119999999999997</v>
      </c>
      <c r="F385" s="114">
        <f>MIN(F352:F381)</f>
        <v>38.47</v>
      </c>
      <c r="G385" s="114">
        <f>MIN(G352:G381)</f>
        <v>64200</v>
      </c>
    </row>
    <row r="386" spans="1:7" s="57" customFormat="1" ht="12">
      <c r="A386" s="114" t="str">
        <f>[1]DATA!A16</f>
        <v>PCG</v>
      </c>
      <c r="B386" s="71" t="s">
        <v>304</v>
      </c>
      <c r="C386" s="71" t="s">
        <v>305</v>
      </c>
      <c r="D386" s="71" t="s">
        <v>521</v>
      </c>
      <c r="E386" s="71" t="s">
        <v>522</v>
      </c>
      <c r="F386" s="71" t="s">
        <v>523</v>
      </c>
      <c r="G386" s="71" t="s">
        <v>439</v>
      </c>
    </row>
    <row r="387" spans="1:7" s="57" customFormat="1" ht="12">
      <c r="A387" s="114"/>
      <c r="B387" s="61">
        <v>39984</v>
      </c>
      <c r="C387">
        <v>44.01</v>
      </c>
      <c r="D387">
        <v>44.67</v>
      </c>
      <c r="E387">
        <v>43.2</v>
      </c>
      <c r="F387">
        <v>44.33</v>
      </c>
      <c r="G387">
        <v>9347600</v>
      </c>
    </row>
    <row r="388" spans="1:7" s="57" customFormat="1" ht="12">
      <c r="A388" s="114"/>
      <c r="B388" s="61">
        <v>39983</v>
      </c>
      <c r="C388">
        <v>44.36</v>
      </c>
      <c r="D388">
        <v>44.4</v>
      </c>
      <c r="E388">
        <v>43.49</v>
      </c>
      <c r="F388">
        <v>43.59</v>
      </c>
      <c r="G388">
        <v>2299300</v>
      </c>
    </row>
    <row r="389" spans="1:7" s="57" customFormat="1" ht="12">
      <c r="A389" s="114"/>
      <c r="B389" s="61">
        <v>39982</v>
      </c>
      <c r="C389">
        <v>45.74</v>
      </c>
      <c r="D389">
        <v>45.92</v>
      </c>
      <c r="E389">
        <v>44.65</v>
      </c>
      <c r="F389">
        <v>44.65</v>
      </c>
      <c r="G389">
        <v>2087900</v>
      </c>
    </row>
    <row r="390" spans="1:7" s="57" customFormat="1" ht="12">
      <c r="A390" s="114"/>
      <c r="B390" s="61">
        <v>39981</v>
      </c>
      <c r="C390">
        <v>45.24</v>
      </c>
      <c r="D390">
        <v>45.83</v>
      </c>
      <c r="E390">
        <v>45.21</v>
      </c>
      <c r="F390">
        <v>45.73</v>
      </c>
      <c r="G390">
        <v>2101900</v>
      </c>
    </row>
    <row r="391" spans="1:7" s="57" customFormat="1" ht="12">
      <c r="A391" s="114"/>
      <c r="B391" s="61">
        <v>39980</v>
      </c>
      <c r="C391">
        <v>45.35</v>
      </c>
      <c r="D391">
        <v>45.79</v>
      </c>
      <c r="E391">
        <v>45.2</v>
      </c>
      <c r="F391">
        <v>45.32</v>
      </c>
      <c r="G391">
        <v>2570200</v>
      </c>
    </row>
    <row r="392" spans="1:7" s="57" customFormat="1" ht="12">
      <c r="A392" s="114"/>
      <c r="B392" s="61">
        <v>39977</v>
      </c>
      <c r="C392">
        <v>44.9</v>
      </c>
      <c r="D392">
        <v>45.38</v>
      </c>
      <c r="E392">
        <v>44.77</v>
      </c>
      <c r="F392">
        <v>45.17</v>
      </c>
      <c r="G392">
        <v>2663100</v>
      </c>
    </row>
    <row r="393" spans="1:7" s="57" customFormat="1" ht="12">
      <c r="A393" s="114"/>
      <c r="B393" s="61">
        <v>39976</v>
      </c>
      <c r="C393">
        <v>44.28</v>
      </c>
      <c r="D393">
        <v>44.94</v>
      </c>
      <c r="E393">
        <v>44.23</v>
      </c>
      <c r="F393">
        <v>44.87</v>
      </c>
      <c r="G393">
        <v>1838400</v>
      </c>
    </row>
    <row r="394" spans="1:7" s="57" customFormat="1" ht="12">
      <c r="A394" s="114"/>
      <c r="B394" s="61">
        <v>39975</v>
      </c>
      <c r="C394">
        <v>44.93</v>
      </c>
      <c r="D394">
        <v>45.11</v>
      </c>
      <c r="E394">
        <v>44.29</v>
      </c>
      <c r="F394">
        <v>44.33</v>
      </c>
      <c r="G394">
        <v>1814800</v>
      </c>
    </row>
    <row r="395" spans="1:7" s="57" customFormat="1" ht="12">
      <c r="A395" s="114"/>
      <c r="B395" s="61">
        <v>39974</v>
      </c>
      <c r="C395">
        <v>44.63</v>
      </c>
      <c r="D395">
        <v>45.08</v>
      </c>
      <c r="E395">
        <v>44.42</v>
      </c>
      <c r="F395">
        <v>44.58</v>
      </c>
      <c r="G395">
        <v>2048700</v>
      </c>
    </row>
    <row r="396" spans="1:7" s="57" customFormat="1" ht="12">
      <c r="A396" s="114"/>
      <c r="B396" s="61">
        <v>39973</v>
      </c>
      <c r="C396">
        <v>45.36</v>
      </c>
      <c r="D396">
        <v>45.36</v>
      </c>
      <c r="E396">
        <v>44.83</v>
      </c>
      <c r="F396">
        <v>45</v>
      </c>
      <c r="G396">
        <v>1958500</v>
      </c>
    </row>
    <row r="397" spans="1:7" s="57" customFormat="1" ht="12">
      <c r="A397" s="114"/>
      <c r="B397" s="61">
        <v>39970</v>
      </c>
      <c r="C397">
        <v>45.1</v>
      </c>
      <c r="D397">
        <v>45.43</v>
      </c>
      <c r="E397">
        <v>44.6</v>
      </c>
      <c r="F397">
        <v>45.3</v>
      </c>
      <c r="G397">
        <v>2173000</v>
      </c>
    </row>
    <row r="398" spans="1:7" s="57" customFormat="1" ht="12">
      <c r="A398" s="114"/>
      <c r="B398" s="61">
        <v>39969</v>
      </c>
      <c r="C398">
        <v>44.03</v>
      </c>
      <c r="D398">
        <v>45.02</v>
      </c>
      <c r="E398">
        <v>43.91</v>
      </c>
      <c r="F398">
        <v>45.02</v>
      </c>
      <c r="G398">
        <v>2827300</v>
      </c>
    </row>
    <row r="399" spans="1:7" s="57" customFormat="1" ht="12">
      <c r="A399" s="114"/>
      <c r="B399" s="61">
        <v>39968</v>
      </c>
      <c r="C399">
        <v>44.5</v>
      </c>
      <c r="D399">
        <v>44.55</v>
      </c>
      <c r="E399">
        <v>43.89</v>
      </c>
      <c r="F399">
        <v>44.02</v>
      </c>
      <c r="G399">
        <v>2972300</v>
      </c>
    </row>
    <row r="400" spans="1:7" s="57" customFormat="1" ht="12">
      <c r="A400" s="114"/>
      <c r="B400" s="61">
        <v>39967</v>
      </c>
      <c r="C400">
        <v>44.83</v>
      </c>
      <c r="D400">
        <v>44.95</v>
      </c>
      <c r="E400">
        <v>44.31</v>
      </c>
      <c r="F400">
        <v>44.65</v>
      </c>
      <c r="G400">
        <v>1990700</v>
      </c>
    </row>
    <row r="401" spans="1:7" s="57" customFormat="1" ht="12">
      <c r="A401" s="114"/>
      <c r="B401" s="61">
        <v>39966</v>
      </c>
      <c r="C401">
        <v>44.9</v>
      </c>
      <c r="D401">
        <v>45.16</v>
      </c>
      <c r="E401">
        <v>44.35</v>
      </c>
      <c r="F401">
        <v>44.94</v>
      </c>
      <c r="G401">
        <v>2869100</v>
      </c>
    </row>
    <row r="402" spans="1:7" s="57" customFormat="1" ht="12">
      <c r="A402" s="114"/>
      <c r="B402" s="61">
        <v>39963</v>
      </c>
      <c r="C402">
        <v>44.94</v>
      </c>
      <c r="D402">
        <v>45.75</v>
      </c>
      <c r="E402">
        <v>44.85</v>
      </c>
      <c r="F402">
        <v>44.91</v>
      </c>
      <c r="G402">
        <v>2642600</v>
      </c>
    </row>
    <row r="403" spans="1:7" s="57" customFormat="1" ht="12">
      <c r="A403" s="114"/>
      <c r="B403" s="61">
        <v>39962</v>
      </c>
      <c r="C403">
        <v>45.08</v>
      </c>
      <c r="D403">
        <v>45.85</v>
      </c>
      <c r="E403">
        <v>44.97</v>
      </c>
      <c r="F403">
        <v>45.04</v>
      </c>
      <c r="G403">
        <v>2709200</v>
      </c>
    </row>
    <row r="404" spans="1:7" s="57" customFormat="1" ht="12">
      <c r="A404" s="114"/>
      <c r="B404" s="61">
        <v>39961</v>
      </c>
      <c r="C404">
        <v>45.81</v>
      </c>
      <c r="D404">
        <v>45.89</v>
      </c>
      <c r="E404">
        <v>44.75</v>
      </c>
      <c r="F404">
        <v>44.82</v>
      </c>
      <c r="G404">
        <v>4250800</v>
      </c>
    </row>
    <row r="405" spans="1:7" s="57" customFormat="1" ht="12">
      <c r="A405" s="114"/>
      <c r="B405" s="61">
        <v>39960</v>
      </c>
      <c r="C405">
        <v>46.34</v>
      </c>
      <c r="D405">
        <v>46.62</v>
      </c>
      <c r="E405">
        <v>45.97</v>
      </c>
      <c r="F405">
        <v>46.06</v>
      </c>
      <c r="G405">
        <v>2306100</v>
      </c>
    </row>
    <row r="406" spans="1:7" s="57" customFormat="1" ht="12">
      <c r="A406" s="114"/>
      <c r="B406" s="61">
        <v>39956</v>
      </c>
      <c r="C406">
        <v>46.29</v>
      </c>
      <c r="D406">
        <v>46.43</v>
      </c>
      <c r="E406">
        <v>45.79</v>
      </c>
      <c r="F406">
        <v>46.14</v>
      </c>
      <c r="G406">
        <v>2498800</v>
      </c>
    </row>
    <row r="407" spans="1:7" s="57" customFormat="1" ht="12">
      <c r="A407" s="114"/>
      <c r="B407" s="61">
        <v>39955</v>
      </c>
      <c r="C407">
        <v>46.57</v>
      </c>
      <c r="D407">
        <v>46.58</v>
      </c>
      <c r="E407">
        <v>45.72</v>
      </c>
      <c r="F407">
        <v>46.49</v>
      </c>
      <c r="G407">
        <v>1856600</v>
      </c>
    </row>
    <row r="408" spans="1:7" s="57" customFormat="1" ht="12">
      <c r="A408" s="114"/>
      <c r="B408" s="61">
        <v>39954</v>
      </c>
      <c r="C408">
        <v>47.3</v>
      </c>
      <c r="D408">
        <v>48.02</v>
      </c>
      <c r="E408">
        <v>46.56</v>
      </c>
      <c r="F408">
        <v>46.77</v>
      </c>
      <c r="G408">
        <v>1973200</v>
      </c>
    </row>
    <row r="409" spans="1:7" s="57" customFormat="1" ht="12">
      <c r="A409" s="114"/>
      <c r="B409" s="61">
        <v>39953</v>
      </c>
      <c r="C409">
        <v>47.24</v>
      </c>
      <c r="D409">
        <v>47.4</v>
      </c>
      <c r="E409">
        <v>46.84</v>
      </c>
      <c r="F409">
        <v>47.36</v>
      </c>
      <c r="G409">
        <v>1718000</v>
      </c>
    </row>
    <row r="410" spans="1:7" s="57" customFormat="1" ht="12">
      <c r="A410" s="114"/>
      <c r="B410" s="61">
        <v>39952</v>
      </c>
      <c r="C410">
        <v>47.23</v>
      </c>
      <c r="D410">
        <v>47.28</v>
      </c>
      <c r="E410">
        <v>46.99</v>
      </c>
      <c r="F410">
        <v>47.18</v>
      </c>
      <c r="G410">
        <v>1587300</v>
      </c>
    </row>
    <row r="411" spans="1:7" s="57" customFormat="1" ht="12">
      <c r="A411" s="114"/>
      <c r="B411" s="61">
        <v>39949</v>
      </c>
      <c r="C411">
        <v>47</v>
      </c>
      <c r="D411">
        <v>47.28</v>
      </c>
      <c r="E411">
        <v>46.74</v>
      </c>
      <c r="F411">
        <v>47.23</v>
      </c>
      <c r="G411">
        <v>2064300</v>
      </c>
    </row>
    <row r="412" spans="1:7" s="57" customFormat="1" ht="12">
      <c r="A412" s="114"/>
      <c r="B412" s="61">
        <v>39948</v>
      </c>
      <c r="C412">
        <v>47.25</v>
      </c>
      <c r="D412">
        <v>47.29</v>
      </c>
      <c r="E412">
        <v>46.82</v>
      </c>
      <c r="F412">
        <v>46.88</v>
      </c>
      <c r="G412">
        <v>2812000</v>
      </c>
    </row>
    <row r="413" spans="1:7" s="57" customFormat="1" ht="12">
      <c r="A413" s="114"/>
      <c r="B413" s="61">
        <v>39947</v>
      </c>
      <c r="C413">
        <v>46.81</v>
      </c>
      <c r="D413">
        <v>47.74</v>
      </c>
      <c r="E413">
        <v>46.72</v>
      </c>
      <c r="F413">
        <v>47.23</v>
      </c>
      <c r="G413">
        <v>3168200</v>
      </c>
    </row>
    <row r="414" spans="1:7" s="57" customFormat="1" ht="12">
      <c r="A414" s="114"/>
      <c r="B414" s="61">
        <v>39946</v>
      </c>
      <c r="C414">
        <v>46.64</v>
      </c>
      <c r="D414">
        <v>47.01</v>
      </c>
      <c r="E414">
        <v>46.38</v>
      </c>
      <c r="F414">
        <v>46.9</v>
      </c>
      <c r="G414">
        <v>2073100</v>
      </c>
    </row>
    <row r="415" spans="1:7" s="57" customFormat="1" ht="12">
      <c r="A415" s="114"/>
      <c r="B415" s="61">
        <v>39945</v>
      </c>
      <c r="C415">
        <v>46.42</v>
      </c>
      <c r="D415">
        <v>46.65</v>
      </c>
      <c r="E415">
        <v>46.35</v>
      </c>
      <c r="F415">
        <v>46.52</v>
      </c>
      <c r="G415">
        <v>1694600</v>
      </c>
    </row>
    <row r="416" spans="1:7" s="57" customFormat="1" ht="12">
      <c r="A416" s="114"/>
      <c r="B416" s="61">
        <v>39942</v>
      </c>
      <c r="C416">
        <v>46.17</v>
      </c>
      <c r="D416">
        <v>46.62</v>
      </c>
      <c r="E416">
        <v>45.9</v>
      </c>
      <c r="F416">
        <v>46.6</v>
      </c>
      <c r="G416">
        <v>2576200</v>
      </c>
    </row>
    <row r="417" spans="1:7" s="57" customFormat="1" ht="12">
      <c r="A417" s="114"/>
      <c r="B417" s="114" t="s">
        <v>476</v>
      </c>
      <c r="C417" s="115">
        <f>AVERAGE(C387:C416)</f>
        <v>45.64166666666668</v>
      </c>
      <c r="D417" s="115">
        <f>AVERAGE(D387:D416)</f>
        <v>46</v>
      </c>
      <c r="E417" s="115">
        <f>AVERAGE(E387:E416)</f>
        <v>45.223333333333336</v>
      </c>
      <c r="F417" s="116">
        <f>AVERAGE(F387:F416)</f>
        <v>45.587666666666671</v>
      </c>
      <c r="G417" s="115">
        <f>AVERAGE(G387:G416)</f>
        <v>2583126.6666666665</v>
      </c>
    </row>
    <row r="418" spans="1:7" s="57" customFormat="1" ht="12">
      <c r="A418" s="114"/>
      <c r="B418" s="114" t="s">
        <v>423</v>
      </c>
      <c r="C418" s="114">
        <f>MEDIAN(C387:C416)</f>
        <v>45.355000000000004</v>
      </c>
      <c r="D418" s="114">
        <f>MEDIAN(D387:D416)</f>
        <v>45.84</v>
      </c>
      <c r="E418" s="114">
        <f>MEDIAN(E387:E416)</f>
        <v>44.91</v>
      </c>
      <c r="F418" s="114">
        <f>MEDIAN(F387:F416)</f>
        <v>45.234999999999999</v>
      </c>
      <c r="G418" s="114">
        <f>MEDIAN(G387:G416)</f>
        <v>2236150</v>
      </c>
    </row>
    <row r="419" spans="1:7" s="57" customFormat="1" ht="12">
      <c r="A419" s="114"/>
      <c r="B419" s="114" t="s">
        <v>426</v>
      </c>
      <c r="C419" s="114">
        <f>MAX(C387:C416)</f>
        <v>47.3</v>
      </c>
      <c r="D419" s="114">
        <f>MAX(D387:D416)</f>
        <v>48.02</v>
      </c>
      <c r="E419" s="114">
        <f>MAX(E387:E416)</f>
        <v>46.99</v>
      </c>
      <c r="F419" s="114">
        <f>MAX(F387:F416)</f>
        <v>47.36</v>
      </c>
      <c r="G419" s="114">
        <f>MAX(G387:G416)</f>
        <v>9347600</v>
      </c>
    </row>
    <row r="420" spans="1:7" s="57" customFormat="1" ht="12">
      <c r="A420" s="114"/>
      <c r="B420" s="114" t="s">
        <v>427</v>
      </c>
      <c r="C420" s="114">
        <f>MIN(C387:C416)</f>
        <v>44.01</v>
      </c>
      <c r="D420" s="114">
        <f>MIN(D387:D416)</f>
        <v>44.4</v>
      </c>
      <c r="E420" s="114">
        <f>MIN(E387:E416)</f>
        <v>43.2</v>
      </c>
      <c r="F420" s="114">
        <f>MIN(F387:F416)</f>
        <v>43.59</v>
      </c>
      <c r="G420" s="114">
        <f>MIN(G387:G416)</f>
        <v>1587300</v>
      </c>
    </row>
    <row r="421" spans="1:7" s="57" customFormat="1" ht="12">
      <c r="A421" s="114" t="str">
        <f>[1]DATA!A17</f>
        <v>PNW</v>
      </c>
      <c r="B421" s="71" t="s">
        <v>304</v>
      </c>
      <c r="C421" s="71" t="s">
        <v>305</v>
      </c>
      <c r="D421" s="71" t="s">
        <v>521</v>
      </c>
      <c r="E421" s="71" t="s">
        <v>522</v>
      </c>
      <c r="F421" s="71" t="s">
        <v>523</v>
      </c>
      <c r="G421" s="71" t="s">
        <v>439</v>
      </c>
    </row>
    <row r="422" spans="1:7" s="57" customFormat="1" ht="12">
      <c r="A422" s="114"/>
      <c r="B422" s="61">
        <v>39977</v>
      </c>
      <c r="C422">
        <v>57.32</v>
      </c>
      <c r="D422">
        <v>57.79</v>
      </c>
      <c r="E422">
        <v>57.24</v>
      </c>
      <c r="F422">
        <v>57.55</v>
      </c>
      <c r="G422">
        <v>760100</v>
      </c>
    </row>
    <row r="423" spans="1:7" s="57" customFormat="1" ht="12">
      <c r="A423" s="114"/>
      <c r="B423" s="61">
        <v>39976</v>
      </c>
      <c r="C423">
        <v>56.18</v>
      </c>
      <c r="D423">
        <v>57.38</v>
      </c>
      <c r="E423">
        <v>55.88</v>
      </c>
      <c r="F423">
        <v>57.32</v>
      </c>
      <c r="G423">
        <v>563800</v>
      </c>
    </row>
    <row r="424" spans="1:7" s="57" customFormat="1" ht="12">
      <c r="A424" s="114"/>
      <c r="B424" s="61">
        <v>39975</v>
      </c>
      <c r="C424">
        <v>56.96</v>
      </c>
      <c r="D424">
        <v>57.1</v>
      </c>
      <c r="E424">
        <v>55.98</v>
      </c>
      <c r="F424">
        <v>56.18</v>
      </c>
      <c r="G424">
        <v>491600</v>
      </c>
    </row>
    <row r="425" spans="1:7" s="57" customFormat="1" ht="12">
      <c r="A425" s="114"/>
      <c r="B425" s="61">
        <v>39974</v>
      </c>
      <c r="C425">
        <v>56.84</v>
      </c>
      <c r="D425">
        <v>57.14</v>
      </c>
      <c r="E425">
        <v>56.33</v>
      </c>
      <c r="F425">
        <v>56.66</v>
      </c>
      <c r="G425">
        <v>961000</v>
      </c>
    </row>
    <row r="426" spans="1:7" s="57" customFormat="1" ht="12">
      <c r="A426" s="114"/>
      <c r="B426" s="61">
        <v>39973</v>
      </c>
      <c r="C426">
        <v>56.72</v>
      </c>
      <c r="D426">
        <v>56.88</v>
      </c>
      <c r="E426">
        <v>56.36</v>
      </c>
      <c r="F426">
        <v>56.73</v>
      </c>
      <c r="G426">
        <v>453800</v>
      </c>
    </row>
    <row r="427" spans="1:7" s="57" customFormat="1" ht="12">
      <c r="A427" s="114"/>
      <c r="B427" s="61">
        <v>39970</v>
      </c>
      <c r="C427">
        <v>56.51</v>
      </c>
      <c r="D427">
        <v>57.02</v>
      </c>
      <c r="E427">
        <v>55.93</v>
      </c>
      <c r="F427">
        <v>56.67</v>
      </c>
      <c r="G427">
        <v>418100</v>
      </c>
    </row>
    <row r="428" spans="1:7" s="57" customFormat="1" ht="12">
      <c r="A428" s="114"/>
      <c r="B428" s="61">
        <v>39969</v>
      </c>
      <c r="C428">
        <v>55.65</v>
      </c>
      <c r="D428">
        <v>56.38</v>
      </c>
      <c r="E428">
        <v>55.46</v>
      </c>
      <c r="F428">
        <v>56.38</v>
      </c>
      <c r="G428">
        <v>417600</v>
      </c>
    </row>
    <row r="429" spans="1:7" s="57" customFormat="1" ht="12">
      <c r="A429" s="114"/>
      <c r="B429" s="61">
        <v>39968</v>
      </c>
      <c r="C429">
        <v>55.71</v>
      </c>
      <c r="D429">
        <v>55.94</v>
      </c>
      <c r="E429">
        <v>55.34</v>
      </c>
      <c r="F429">
        <v>55.57</v>
      </c>
      <c r="G429">
        <v>746600</v>
      </c>
    </row>
    <row r="430" spans="1:7" s="57" customFormat="1" ht="12">
      <c r="A430" s="114"/>
      <c r="B430" s="61">
        <v>39967</v>
      </c>
      <c r="C430">
        <v>56.53</v>
      </c>
      <c r="D430">
        <v>56.69</v>
      </c>
      <c r="E430">
        <v>55.62</v>
      </c>
      <c r="F430">
        <v>55.88</v>
      </c>
      <c r="G430">
        <v>1200100</v>
      </c>
    </row>
    <row r="431" spans="1:7" s="57" customFormat="1" ht="12">
      <c r="A431" s="114"/>
      <c r="B431" s="61">
        <v>39966</v>
      </c>
      <c r="C431">
        <v>56.49</v>
      </c>
      <c r="D431">
        <v>56.99</v>
      </c>
      <c r="E431">
        <v>55.73</v>
      </c>
      <c r="F431">
        <v>56.53</v>
      </c>
      <c r="G431">
        <v>678700</v>
      </c>
    </row>
    <row r="432" spans="1:7" s="57" customFormat="1" ht="12">
      <c r="A432" s="114"/>
      <c r="B432" s="61">
        <v>39963</v>
      </c>
      <c r="C432">
        <v>56.8</v>
      </c>
      <c r="D432">
        <v>57.48</v>
      </c>
      <c r="E432">
        <v>56.47</v>
      </c>
      <c r="F432">
        <v>56.48</v>
      </c>
      <c r="G432">
        <v>684700</v>
      </c>
    </row>
    <row r="433" spans="1:7" s="57" customFormat="1" ht="12">
      <c r="A433" s="114"/>
      <c r="B433" s="61">
        <v>39962</v>
      </c>
      <c r="C433">
        <v>56.6</v>
      </c>
      <c r="D433">
        <v>57.73</v>
      </c>
      <c r="E433">
        <v>56.43</v>
      </c>
      <c r="F433">
        <v>56.9</v>
      </c>
      <c r="G433">
        <v>1105000</v>
      </c>
    </row>
    <row r="434" spans="1:7" s="57" customFormat="1" ht="12">
      <c r="A434" s="114"/>
      <c r="B434" s="61">
        <v>39961</v>
      </c>
      <c r="C434">
        <v>57.03</v>
      </c>
      <c r="D434">
        <v>57.14</v>
      </c>
      <c r="E434">
        <v>55.6</v>
      </c>
      <c r="F434">
        <v>55.96</v>
      </c>
      <c r="G434">
        <v>954600</v>
      </c>
    </row>
    <row r="435" spans="1:7" s="57" customFormat="1" ht="12">
      <c r="A435" s="114"/>
      <c r="B435" s="61">
        <v>39960</v>
      </c>
      <c r="C435">
        <v>58.02</v>
      </c>
      <c r="D435">
        <v>58.03</v>
      </c>
      <c r="E435">
        <v>57.16</v>
      </c>
      <c r="F435">
        <v>57.41</v>
      </c>
      <c r="G435">
        <v>991800</v>
      </c>
    </row>
    <row r="436" spans="1:7" s="57" customFormat="1" ht="12">
      <c r="A436" s="114"/>
      <c r="B436" s="61">
        <v>39956</v>
      </c>
      <c r="C436">
        <v>58.31</v>
      </c>
      <c r="D436">
        <v>58.51</v>
      </c>
      <c r="E436">
        <v>57.5</v>
      </c>
      <c r="F436">
        <v>57.67</v>
      </c>
      <c r="G436">
        <v>498400</v>
      </c>
    </row>
    <row r="437" spans="1:7" s="57" customFormat="1" ht="12">
      <c r="A437" s="114"/>
      <c r="B437" s="61">
        <v>39955</v>
      </c>
      <c r="C437">
        <v>58.78</v>
      </c>
      <c r="D437">
        <v>58.78</v>
      </c>
      <c r="E437">
        <v>57.48</v>
      </c>
      <c r="F437">
        <v>58.48</v>
      </c>
      <c r="G437">
        <v>721500</v>
      </c>
    </row>
    <row r="438" spans="1:7" s="57" customFormat="1" ht="12">
      <c r="A438" s="114"/>
      <c r="B438" s="61">
        <v>39954</v>
      </c>
      <c r="C438">
        <v>60.05</v>
      </c>
      <c r="D438">
        <v>60.8</v>
      </c>
      <c r="E438">
        <v>58.78</v>
      </c>
      <c r="F438">
        <v>59.15</v>
      </c>
      <c r="G438">
        <v>880300</v>
      </c>
    </row>
    <row r="439" spans="1:7" s="57" customFormat="1" ht="12">
      <c r="A439" s="114"/>
      <c r="B439" s="61">
        <v>39953</v>
      </c>
      <c r="C439">
        <v>60.27</v>
      </c>
      <c r="D439">
        <v>60.54</v>
      </c>
      <c r="E439">
        <v>59.71</v>
      </c>
      <c r="F439">
        <v>60.09</v>
      </c>
      <c r="G439">
        <v>753900</v>
      </c>
    </row>
    <row r="440" spans="1:7" s="57" customFormat="1" ht="12">
      <c r="A440" s="114"/>
      <c r="B440" s="61">
        <v>39952</v>
      </c>
      <c r="C440">
        <v>60.51</v>
      </c>
      <c r="D440">
        <v>60.64</v>
      </c>
      <c r="E440">
        <v>60.09</v>
      </c>
      <c r="F440">
        <v>60.18</v>
      </c>
      <c r="G440">
        <v>373200</v>
      </c>
    </row>
    <row r="441" spans="1:7" s="57" customFormat="1" ht="12">
      <c r="A441" s="114"/>
      <c r="B441" s="61">
        <v>39949</v>
      </c>
      <c r="C441">
        <v>60.23</v>
      </c>
      <c r="D441">
        <v>60.66</v>
      </c>
      <c r="E441">
        <v>60</v>
      </c>
      <c r="F441">
        <v>60.57</v>
      </c>
      <c r="G441">
        <v>1030100</v>
      </c>
    </row>
    <row r="442" spans="1:7" s="57" customFormat="1" ht="12">
      <c r="A442" s="114"/>
      <c r="B442" s="61">
        <v>39948</v>
      </c>
      <c r="C442">
        <v>60.15</v>
      </c>
      <c r="D442">
        <v>60.22</v>
      </c>
      <c r="E442">
        <v>59.84</v>
      </c>
      <c r="F442">
        <v>60.06</v>
      </c>
      <c r="G442">
        <v>1213200</v>
      </c>
    </row>
    <row r="443" spans="1:7" s="57" customFormat="1" ht="12">
      <c r="A443" s="114"/>
      <c r="B443" s="61">
        <v>39947</v>
      </c>
      <c r="C443">
        <v>59.39</v>
      </c>
      <c r="D443">
        <v>60.69</v>
      </c>
      <c r="E443">
        <v>59.23</v>
      </c>
      <c r="F443">
        <v>60.22</v>
      </c>
      <c r="G443">
        <v>855800</v>
      </c>
    </row>
    <row r="444" spans="1:7" s="57" customFormat="1" ht="12">
      <c r="A444" s="114"/>
      <c r="B444" s="61">
        <v>39946</v>
      </c>
      <c r="C444">
        <v>58.96</v>
      </c>
      <c r="D444">
        <v>59.59</v>
      </c>
      <c r="E444">
        <v>58.68</v>
      </c>
      <c r="F444">
        <v>59.38</v>
      </c>
      <c r="G444">
        <v>563600</v>
      </c>
    </row>
    <row r="445" spans="1:7" s="57" customFormat="1" ht="12">
      <c r="A445" s="114"/>
      <c r="B445" s="61">
        <v>39945</v>
      </c>
      <c r="C445">
        <v>59.12</v>
      </c>
      <c r="D445">
        <v>59.2</v>
      </c>
      <c r="E445">
        <v>58.77</v>
      </c>
      <c r="F445">
        <v>59.01</v>
      </c>
      <c r="G445">
        <v>606400</v>
      </c>
    </row>
    <row r="446" spans="1:7" s="57" customFormat="1" ht="12">
      <c r="A446" s="114"/>
      <c r="B446" s="61">
        <v>39942</v>
      </c>
      <c r="C446">
        <v>59.25</v>
      </c>
      <c r="D446">
        <v>59.44</v>
      </c>
      <c r="E446">
        <v>58.92</v>
      </c>
      <c r="F446">
        <v>59.33</v>
      </c>
      <c r="G446">
        <v>978900</v>
      </c>
    </row>
    <row r="447" spans="1:7" s="57" customFormat="1" ht="12">
      <c r="A447" s="114"/>
      <c r="B447" s="61">
        <v>39941</v>
      </c>
      <c r="C447">
        <v>60.68</v>
      </c>
      <c r="D447">
        <v>60.75</v>
      </c>
      <c r="E447">
        <v>59.18</v>
      </c>
      <c r="F447">
        <v>59.48</v>
      </c>
      <c r="G447">
        <v>1230800</v>
      </c>
    </row>
    <row r="448" spans="1:7" s="57" customFormat="1" ht="12">
      <c r="A448" s="114"/>
      <c r="B448" s="61">
        <v>39940</v>
      </c>
      <c r="C448">
        <v>61.28</v>
      </c>
      <c r="D448">
        <v>61.44</v>
      </c>
      <c r="E448">
        <v>60.44</v>
      </c>
      <c r="F448">
        <v>60.8</v>
      </c>
      <c r="G448">
        <v>659000</v>
      </c>
    </row>
    <row r="449" spans="1:7" s="57" customFormat="1" ht="12">
      <c r="A449" s="114"/>
      <c r="B449" s="61">
        <v>39939</v>
      </c>
      <c r="C449">
        <v>60.73</v>
      </c>
      <c r="D449">
        <v>61.42</v>
      </c>
      <c r="E449">
        <v>60.35</v>
      </c>
      <c r="F449">
        <v>61.41</v>
      </c>
      <c r="G449">
        <v>671200</v>
      </c>
    </row>
    <row r="450" spans="1:7" s="57" customFormat="1" ht="12">
      <c r="A450" s="114"/>
      <c r="B450" s="61">
        <v>39938</v>
      </c>
      <c r="C450">
        <v>61.89</v>
      </c>
      <c r="D450">
        <v>61.89</v>
      </c>
      <c r="E450">
        <v>60.63</v>
      </c>
      <c r="F450">
        <v>60.67</v>
      </c>
      <c r="G450">
        <v>933100</v>
      </c>
    </row>
    <row r="451" spans="1:7" s="57" customFormat="1" ht="12">
      <c r="A451" s="114"/>
      <c r="B451" s="61">
        <v>39935</v>
      </c>
      <c r="C451">
        <v>61.12</v>
      </c>
      <c r="D451">
        <v>61.83</v>
      </c>
      <c r="E451">
        <v>60.85</v>
      </c>
      <c r="F451">
        <v>61.48</v>
      </c>
      <c r="G451">
        <v>754600</v>
      </c>
    </row>
    <row r="452" spans="1:7" s="57" customFormat="1" ht="12">
      <c r="A452" s="114"/>
      <c r="B452" s="114" t="s">
        <v>476</v>
      </c>
      <c r="C452" s="115">
        <f>AVERAGE(C422:C451)</f>
        <v>58.469333333333331</v>
      </c>
      <c r="D452" s="115">
        <f>AVERAGE(D422:D451)</f>
        <v>58.869666666666681</v>
      </c>
      <c r="E452" s="115">
        <f>AVERAGE(E422:E451)</f>
        <v>57.866</v>
      </c>
      <c r="F452" s="116">
        <f>AVERAGE(F422:F451)</f>
        <v>58.34</v>
      </c>
      <c r="G452" s="115">
        <f>AVERAGE(G422:G451)</f>
        <v>771716.66666666663</v>
      </c>
    </row>
    <row r="453" spans="1:7" s="57" customFormat="1" ht="12">
      <c r="A453" s="114"/>
      <c r="B453" s="114" t="s">
        <v>423</v>
      </c>
      <c r="C453" s="114">
        <f>MEDIAN(C422:C451)</f>
        <v>58.545000000000002</v>
      </c>
      <c r="D453" s="114">
        <f>MEDIAN(D422:D451)</f>
        <v>58.644999999999996</v>
      </c>
      <c r="E453" s="114">
        <f>MEDIAN(E422:E451)</f>
        <v>57.489999999999995</v>
      </c>
      <c r="F453" s="114">
        <f>MEDIAN(F422:F451)</f>
        <v>58.075000000000003</v>
      </c>
      <c r="G453" s="114">
        <f>MEDIAN(G422:G451)</f>
        <v>750250</v>
      </c>
    </row>
    <row r="454" spans="1:7" s="57" customFormat="1" ht="12">
      <c r="A454" s="114"/>
      <c r="B454" s="114" t="s">
        <v>426</v>
      </c>
      <c r="C454" s="114">
        <f>MAX(C422:C451)</f>
        <v>61.89</v>
      </c>
      <c r="D454" s="114">
        <f>MAX(D422:D451)</f>
        <v>61.89</v>
      </c>
      <c r="E454" s="114">
        <f>MAX(E422:E451)</f>
        <v>60.85</v>
      </c>
      <c r="F454" s="114">
        <f>MAX(F422:F451)</f>
        <v>61.48</v>
      </c>
      <c r="G454" s="114">
        <f>MAX(G422:G451)</f>
        <v>1230800</v>
      </c>
    </row>
    <row r="455" spans="1:7" s="57" customFormat="1" ht="12">
      <c r="A455" s="114"/>
      <c r="B455" s="114" t="s">
        <v>427</v>
      </c>
      <c r="C455" s="114">
        <f>MIN(C422:C451)</f>
        <v>55.65</v>
      </c>
      <c r="D455" s="114">
        <f>MIN(D422:D451)</f>
        <v>55.94</v>
      </c>
      <c r="E455" s="114">
        <f>MIN(E422:E451)</f>
        <v>55.34</v>
      </c>
      <c r="F455" s="114">
        <f>MIN(F422:F451)</f>
        <v>55.57</v>
      </c>
      <c r="G455" s="114">
        <f>MIN(G422:G451)</f>
        <v>373200</v>
      </c>
    </row>
    <row r="456" spans="1:7" s="57" customFormat="1" ht="12">
      <c r="A456" s="114" t="str">
        <f>[1]DATA!A18</f>
        <v>POR</v>
      </c>
      <c r="B456" s="71" t="s">
        <v>304</v>
      </c>
      <c r="C456" s="71" t="s">
        <v>305</v>
      </c>
      <c r="D456" s="71" t="s">
        <v>521</v>
      </c>
      <c r="E456" s="71" t="s">
        <v>522</v>
      </c>
      <c r="F456" s="71" t="s">
        <v>523</v>
      </c>
      <c r="G456" s="71" t="s">
        <v>439</v>
      </c>
    </row>
    <row r="457" spans="1:7" s="57" customFormat="1" ht="12">
      <c r="A457" s="114"/>
      <c r="B457" s="61">
        <v>39984</v>
      </c>
      <c r="C457">
        <v>29.53</v>
      </c>
      <c r="D457">
        <v>29.82</v>
      </c>
      <c r="E457">
        <v>29.14</v>
      </c>
      <c r="F457">
        <v>29.78</v>
      </c>
      <c r="G457">
        <v>1168000</v>
      </c>
    </row>
    <row r="458" spans="1:7" s="57" customFormat="1" ht="12">
      <c r="A458" s="114"/>
      <c r="B458" s="61">
        <v>39983</v>
      </c>
      <c r="C458">
        <v>30.06</v>
      </c>
      <c r="D458">
        <v>30.18</v>
      </c>
      <c r="E458">
        <v>29.47</v>
      </c>
      <c r="F458">
        <v>29.56</v>
      </c>
      <c r="G458">
        <v>849000</v>
      </c>
    </row>
    <row r="459" spans="1:7" s="57" customFormat="1" ht="12">
      <c r="A459" s="114"/>
      <c r="B459" s="61">
        <v>39982</v>
      </c>
      <c r="C459">
        <v>31.27</v>
      </c>
      <c r="D459">
        <v>31.33</v>
      </c>
      <c r="E459">
        <v>30.32</v>
      </c>
      <c r="F459">
        <v>30.36</v>
      </c>
      <c r="G459">
        <v>657500</v>
      </c>
    </row>
    <row r="460" spans="1:7" s="57" customFormat="1" ht="12">
      <c r="A460" s="114"/>
      <c r="B460" s="61">
        <v>39981</v>
      </c>
      <c r="C460">
        <v>30.77</v>
      </c>
      <c r="D460">
        <v>31.31</v>
      </c>
      <c r="E460">
        <v>30.63</v>
      </c>
      <c r="F460">
        <v>31.3</v>
      </c>
      <c r="G460">
        <v>823600</v>
      </c>
    </row>
    <row r="461" spans="1:7" s="57" customFormat="1" ht="12">
      <c r="A461" s="114"/>
      <c r="B461" s="61">
        <v>39980</v>
      </c>
      <c r="C461">
        <v>30.97</v>
      </c>
      <c r="D461">
        <v>31.21</v>
      </c>
      <c r="E461">
        <v>30.71</v>
      </c>
      <c r="F461">
        <v>30.81</v>
      </c>
      <c r="G461">
        <v>620700</v>
      </c>
    </row>
    <row r="462" spans="1:7" s="57" customFormat="1" ht="12">
      <c r="A462" s="114"/>
      <c r="B462" s="61">
        <v>39977</v>
      </c>
      <c r="C462">
        <v>30.53</v>
      </c>
      <c r="D462">
        <v>30.77</v>
      </c>
      <c r="E462">
        <v>30.39</v>
      </c>
      <c r="F462">
        <v>30.77</v>
      </c>
      <c r="G462">
        <v>761600</v>
      </c>
    </row>
    <row r="463" spans="1:7" s="57" customFormat="1" ht="12">
      <c r="A463" s="114"/>
      <c r="B463" s="61">
        <v>39976</v>
      </c>
      <c r="C463">
        <v>29.79</v>
      </c>
      <c r="D463">
        <v>30.63</v>
      </c>
      <c r="E463">
        <v>29.71</v>
      </c>
      <c r="F463">
        <v>30.53</v>
      </c>
      <c r="G463">
        <v>1714200</v>
      </c>
    </row>
    <row r="464" spans="1:7" s="57" customFormat="1" ht="12">
      <c r="A464" s="114"/>
      <c r="B464" s="61">
        <v>39975</v>
      </c>
      <c r="C464">
        <v>30.33</v>
      </c>
      <c r="D464">
        <v>30.48</v>
      </c>
      <c r="E464">
        <v>29.62</v>
      </c>
      <c r="F464">
        <v>29.7</v>
      </c>
      <c r="G464">
        <v>5262400</v>
      </c>
    </row>
    <row r="465" spans="1:7" s="57" customFormat="1" ht="12">
      <c r="A465" s="114"/>
      <c r="B465" s="61">
        <v>39974</v>
      </c>
      <c r="C465">
        <v>30.9</v>
      </c>
      <c r="D465">
        <v>30.96</v>
      </c>
      <c r="E465">
        <v>29.7</v>
      </c>
      <c r="F465">
        <v>29.78</v>
      </c>
      <c r="G465">
        <v>1523300</v>
      </c>
    </row>
    <row r="466" spans="1:7" s="57" customFormat="1" ht="12">
      <c r="A466" s="114"/>
      <c r="B466" s="61">
        <v>39973</v>
      </c>
      <c r="C466">
        <v>31.25</v>
      </c>
      <c r="D466">
        <v>31.4</v>
      </c>
      <c r="E466">
        <v>31.06</v>
      </c>
      <c r="F466">
        <v>31.27</v>
      </c>
      <c r="G466">
        <v>368300</v>
      </c>
    </row>
    <row r="467" spans="1:7" s="57" customFormat="1" ht="12">
      <c r="A467" s="114"/>
      <c r="B467" s="61">
        <v>39970</v>
      </c>
      <c r="C467">
        <v>31.17</v>
      </c>
      <c r="D467">
        <v>31.3</v>
      </c>
      <c r="E467">
        <v>30.82</v>
      </c>
      <c r="F467">
        <v>31.19</v>
      </c>
      <c r="G467">
        <v>469000</v>
      </c>
    </row>
    <row r="468" spans="1:7" s="57" customFormat="1" ht="12">
      <c r="A468" s="114"/>
      <c r="B468" s="61">
        <v>39969</v>
      </c>
      <c r="C468">
        <v>30.64</v>
      </c>
      <c r="D468">
        <v>31.05</v>
      </c>
      <c r="E468">
        <v>30.54</v>
      </c>
      <c r="F468">
        <v>31.05</v>
      </c>
      <c r="G468">
        <v>569100</v>
      </c>
    </row>
    <row r="469" spans="1:7" s="57" customFormat="1" ht="12">
      <c r="A469" s="114"/>
      <c r="B469" s="61">
        <v>39968</v>
      </c>
      <c r="C469">
        <v>30.87</v>
      </c>
      <c r="D469">
        <v>31.01</v>
      </c>
      <c r="E469">
        <v>30.5</v>
      </c>
      <c r="F469">
        <v>30.7</v>
      </c>
      <c r="G469">
        <v>669500</v>
      </c>
    </row>
    <row r="470" spans="1:7" s="57" customFormat="1" ht="12">
      <c r="A470" s="114"/>
      <c r="B470" s="61">
        <v>39967</v>
      </c>
      <c r="C470">
        <v>30.72</v>
      </c>
      <c r="D470">
        <v>31.25</v>
      </c>
      <c r="E470">
        <v>30.54</v>
      </c>
      <c r="F470">
        <v>30.97</v>
      </c>
      <c r="G470">
        <v>1058200</v>
      </c>
    </row>
    <row r="471" spans="1:7" s="57" customFormat="1" ht="12">
      <c r="A471" s="114"/>
      <c r="B471" s="61">
        <v>39966</v>
      </c>
      <c r="C471">
        <v>30.44</v>
      </c>
      <c r="D471">
        <v>30.91</v>
      </c>
      <c r="E471">
        <v>30.25</v>
      </c>
      <c r="F471">
        <v>30.72</v>
      </c>
      <c r="G471">
        <v>717100</v>
      </c>
    </row>
    <row r="472" spans="1:7" s="57" customFormat="1" ht="12">
      <c r="A472" s="114"/>
      <c r="B472" s="61">
        <v>39963</v>
      </c>
      <c r="C472">
        <v>30.74</v>
      </c>
      <c r="D472">
        <v>31.06</v>
      </c>
      <c r="E472">
        <v>30.43</v>
      </c>
      <c r="F472">
        <v>30.44</v>
      </c>
      <c r="G472">
        <v>532700</v>
      </c>
    </row>
    <row r="473" spans="1:7" s="57" customFormat="1" ht="12">
      <c r="A473" s="114"/>
      <c r="B473" s="61">
        <v>39962</v>
      </c>
      <c r="C473">
        <v>30.53</v>
      </c>
      <c r="D473">
        <v>31.45</v>
      </c>
      <c r="E473">
        <v>30.53</v>
      </c>
      <c r="F473">
        <v>30.83</v>
      </c>
      <c r="G473">
        <v>461300</v>
      </c>
    </row>
    <row r="474" spans="1:7" s="57" customFormat="1" ht="12">
      <c r="A474" s="114"/>
      <c r="B474" s="61">
        <v>39961</v>
      </c>
      <c r="C474">
        <v>30.89</v>
      </c>
      <c r="D474">
        <v>31.01</v>
      </c>
      <c r="E474">
        <v>30.25</v>
      </c>
      <c r="F474">
        <v>30.36</v>
      </c>
      <c r="G474">
        <v>505600</v>
      </c>
    </row>
    <row r="475" spans="1:7" s="57" customFormat="1" ht="12">
      <c r="A475" s="114"/>
      <c r="B475" s="61">
        <v>39960</v>
      </c>
      <c r="C475">
        <v>31.25</v>
      </c>
      <c r="D475">
        <v>31.48</v>
      </c>
      <c r="E475">
        <v>31</v>
      </c>
      <c r="F475">
        <v>31.13</v>
      </c>
      <c r="G475">
        <v>406300</v>
      </c>
    </row>
    <row r="476" spans="1:7" s="57" customFormat="1" ht="12">
      <c r="A476" s="114"/>
      <c r="B476" s="61">
        <v>39956</v>
      </c>
      <c r="C476">
        <v>31.1</v>
      </c>
      <c r="D476">
        <v>31.21</v>
      </c>
      <c r="E476">
        <v>30.88</v>
      </c>
      <c r="F476">
        <v>31.07</v>
      </c>
      <c r="G476">
        <v>227600</v>
      </c>
    </row>
    <row r="477" spans="1:7" s="57" customFormat="1" ht="12">
      <c r="A477" s="114"/>
      <c r="B477" s="61">
        <v>39955</v>
      </c>
      <c r="C477">
        <v>31.31</v>
      </c>
      <c r="D477">
        <v>31.64</v>
      </c>
      <c r="E477">
        <v>30.82</v>
      </c>
      <c r="F477">
        <v>31.24</v>
      </c>
      <c r="G477">
        <v>589800</v>
      </c>
    </row>
    <row r="478" spans="1:7" s="57" customFormat="1" ht="12">
      <c r="A478" s="114"/>
      <c r="B478" s="61">
        <v>39954</v>
      </c>
      <c r="C478">
        <v>32.119999999999997</v>
      </c>
      <c r="D478">
        <v>32.46</v>
      </c>
      <c r="E478">
        <v>31.47</v>
      </c>
      <c r="F478">
        <v>31.55</v>
      </c>
      <c r="G478">
        <v>374700</v>
      </c>
    </row>
    <row r="479" spans="1:7" s="57" customFormat="1" ht="12">
      <c r="A479" s="114"/>
      <c r="B479" s="61">
        <v>39953</v>
      </c>
      <c r="C479">
        <v>32.24</v>
      </c>
      <c r="D479">
        <v>32.31</v>
      </c>
      <c r="E479">
        <v>31.95</v>
      </c>
      <c r="F479">
        <v>32.19</v>
      </c>
      <c r="G479">
        <v>252900</v>
      </c>
    </row>
    <row r="480" spans="1:7" s="57" customFormat="1" ht="12">
      <c r="A480" s="114"/>
      <c r="B480" s="61">
        <v>39952</v>
      </c>
      <c r="C480">
        <v>32.19</v>
      </c>
      <c r="D480">
        <v>32.51</v>
      </c>
      <c r="E480">
        <v>32.119999999999997</v>
      </c>
      <c r="F480">
        <v>32.24</v>
      </c>
      <c r="G480">
        <v>211200</v>
      </c>
    </row>
    <row r="481" spans="1:7" s="57" customFormat="1" ht="12">
      <c r="A481" s="114"/>
      <c r="B481" s="61">
        <v>39949</v>
      </c>
      <c r="C481">
        <v>32.25</v>
      </c>
      <c r="D481">
        <v>32.44</v>
      </c>
      <c r="E481">
        <v>32.14</v>
      </c>
      <c r="F481">
        <v>32.33</v>
      </c>
      <c r="G481">
        <v>346500</v>
      </c>
    </row>
    <row r="482" spans="1:7" s="57" customFormat="1" ht="12">
      <c r="A482" s="114"/>
      <c r="B482" s="61">
        <v>39948</v>
      </c>
      <c r="C482">
        <v>32.340000000000003</v>
      </c>
      <c r="D482">
        <v>32.4</v>
      </c>
      <c r="E482">
        <v>32.020000000000003</v>
      </c>
      <c r="F482">
        <v>32.159999999999997</v>
      </c>
      <c r="G482">
        <v>354100</v>
      </c>
    </row>
    <row r="483" spans="1:7" s="57" customFormat="1" ht="12">
      <c r="A483" s="114"/>
      <c r="B483" s="61">
        <v>39947</v>
      </c>
      <c r="C483">
        <v>31.91</v>
      </c>
      <c r="D483">
        <v>32.479999999999997</v>
      </c>
      <c r="E483">
        <v>31.91</v>
      </c>
      <c r="F483">
        <v>32.35</v>
      </c>
      <c r="G483">
        <v>339700</v>
      </c>
    </row>
    <row r="484" spans="1:7" s="57" customFormat="1" ht="12">
      <c r="A484" s="114"/>
      <c r="B484" s="61">
        <v>39946</v>
      </c>
      <c r="C484">
        <v>31.6</v>
      </c>
      <c r="D484">
        <v>31.96</v>
      </c>
      <c r="E484">
        <v>31.5</v>
      </c>
      <c r="F484">
        <v>31.91</v>
      </c>
      <c r="G484">
        <v>281400</v>
      </c>
    </row>
    <row r="485" spans="1:7" s="57" customFormat="1" ht="12">
      <c r="A485" s="114"/>
      <c r="B485" s="61">
        <v>39945</v>
      </c>
      <c r="C485">
        <v>31.7</v>
      </c>
      <c r="D485">
        <v>31.78</v>
      </c>
      <c r="E485">
        <v>31.42</v>
      </c>
      <c r="F485">
        <v>31.6</v>
      </c>
      <c r="G485">
        <v>387300</v>
      </c>
    </row>
    <row r="486" spans="1:7" s="57" customFormat="1" ht="12">
      <c r="A486" s="114"/>
      <c r="B486" s="61">
        <v>39942</v>
      </c>
      <c r="C486">
        <v>31.7</v>
      </c>
      <c r="D486">
        <v>31.84</v>
      </c>
      <c r="E486">
        <v>31.62</v>
      </c>
      <c r="F486">
        <v>31.79</v>
      </c>
      <c r="G486">
        <v>333800</v>
      </c>
    </row>
    <row r="487" spans="1:7" s="57" customFormat="1" ht="12">
      <c r="A487" s="114"/>
      <c r="B487" s="114" t="s">
        <v>476</v>
      </c>
      <c r="C487" s="115">
        <f>AVERAGE(C457:C486)</f>
        <v>31.103666666666665</v>
      </c>
      <c r="D487" s="115">
        <f>AVERAGE(D457:D486)</f>
        <v>31.388000000000002</v>
      </c>
      <c r="E487" s="115">
        <f>AVERAGE(E457:E486)</f>
        <v>30.782000000000004</v>
      </c>
      <c r="F487" s="116">
        <f>AVERAGE(F457:F486)</f>
        <v>31.055999999999997</v>
      </c>
      <c r="G487" s="115">
        <f>AVERAGE(G457:G486)</f>
        <v>761213.33333333337</v>
      </c>
    </row>
    <row r="488" spans="1:7" ht="12">
      <c r="A488" s="114"/>
      <c r="B488" s="114" t="s">
        <v>423</v>
      </c>
      <c r="C488" s="114">
        <f>MEDIAN(C457:C486)</f>
        <v>31.035</v>
      </c>
      <c r="D488" s="114">
        <f>MEDIAN(D457:D486)</f>
        <v>31.305</v>
      </c>
      <c r="E488" s="114">
        <f>MEDIAN(E457:E486)</f>
        <v>30.67</v>
      </c>
      <c r="F488" s="114">
        <f>MEDIAN(F457:F486)</f>
        <v>31.060000000000002</v>
      </c>
      <c r="G488" s="114">
        <f>MEDIAN(G457:G486)</f>
        <v>519150</v>
      </c>
    </row>
    <row r="489" spans="1:7" ht="12">
      <c r="A489" s="114"/>
      <c r="B489" s="114" t="s">
        <v>426</v>
      </c>
      <c r="C489" s="114">
        <f>MAX(C457:C486)</f>
        <v>32.340000000000003</v>
      </c>
      <c r="D489" s="114">
        <f>MAX(D457:D486)</f>
        <v>32.51</v>
      </c>
      <c r="E489" s="114">
        <f>MAX(E457:E486)</f>
        <v>32.14</v>
      </c>
      <c r="F489" s="114">
        <f>MAX(F457:F486)</f>
        <v>32.35</v>
      </c>
      <c r="G489" s="114">
        <f>MAX(G457:G486)</f>
        <v>5262400</v>
      </c>
    </row>
    <row r="490" spans="1:7" ht="12">
      <c r="A490" s="114"/>
      <c r="B490" s="114" t="s">
        <v>427</v>
      </c>
      <c r="C490" s="114">
        <f>MIN(C457:C486)</f>
        <v>29.53</v>
      </c>
      <c r="D490" s="114">
        <f>MIN(D457:D486)</f>
        <v>29.82</v>
      </c>
      <c r="E490" s="114">
        <f>MIN(E457:E486)</f>
        <v>29.14</v>
      </c>
      <c r="F490" s="114">
        <f>MIN(F457:F486)</f>
        <v>29.56</v>
      </c>
      <c r="G490" s="114">
        <f>MIN(G457:G486)</f>
        <v>211200</v>
      </c>
    </row>
    <row r="491" spans="1:7" ht="12">
      <c r="A491" s="71" t="str">
        <f>[1]DATA!A19</f>
        <v>XEL</v>
      </c>
      <c r="B491" s="71" t="s">
        <v>304</v>
      </c>
      <c r="C491" s="71" t="s">
        <v>305</v>
      </c>
      <c r="D491" s="71" t="s">
        <v>521</v>
      </c>
      <c r="E491" s="71" t="s">
        <v>522</v>
      </c>
      <c r="F491" s="71" t="s">
        <v>523</v>
      </c>
      <c r="G491" s="71" t="s">
        <v>439</v>
      </c>
    </row>
    <row r="492" spans="1:7" ht="12">
      <c r="A492" s="71"/>
      <c r="B492" s="61">
        <v>39984</v>
      </c>
      <c r="C492">
        <v>27.8</v>
      </c>
      <c r="D492">
        <v>28.17</v>
      </c>
      <c r="E492">
        <v>27.46</v>
      </c>
      <c r="F492">
        <v>28.01</v>
      </c>
      <c r="G492">
        <v>6433000</v>
      </c>
    </row>
    <row r="493" spans="1:7" ht="12">
      <c r="A493" s="71"/>
      <c r="B493" s="61">
        <v>39983</v>
      </c>
      <c r="C493">
        <v>28.32</v>
      </c>
      <c r="D493">
        <v>28.42</v>
      </c>
      <c r="E493">
        <v>27.69</v>
      </c>
      <c r="F493">
        <v>27.71</v>
      </c>
      <c r="G493">
        <v>5558000</v>
      </c>
    </row>
    <row r="494" spans="1:7" ht="12">
      <c r="A494" s="71"/>
      <c r="B494" s="61">
        <v>39982</v>
      </c>
      <c r="C494">
        <v>29.32</v>
      </c>
      <c r="D494">
        <v>29.36</v>
      </c>
      <c r="E494">
        <v>28.55</v>
      </c>
      <c r="F494">
        <v>28.55</v>
      </c>
      <c r="G494">
        <v>4023800</v>
      </c>
    </row>
    <row r="495" spans="1:7" ht="12">
      <c r="A495" s="71"/>
      <c r="B495" s="61">
        <v>39981</v>
      </c>
      <c r="C495">
        <v>29.43</v>
      </c>
      <c r="D495">
        <v>29.47</v>
      </c>
      <c r="E495">
        <v>29.12</v>
      </c>
      <c r="F495">
        <v>29.36</v>
      </c>
      <c r="G495">
        <v>3892400</v>
      </c>
    </row>
    <row r="496" spans="1:7" ht="12">
      <c r="A496" s="71"/>
      <c r="B496" s="61">
        <v>39980</v>
      </c>
      <c r="C496">
        <v>29.55</v>
      </c>
      <c r="D496">
        <v>29.74</v>
      </c>
      <c r="E496">
        <v>29.34</v>
      </c>
      <c r="F496">
        <v>29.48</v>
      </c>
      <c r="G496">
        <v>6810200</v>
      </c>
    </row>
    <row r="497" spans="1:7" ht="12">
      <c r="A497" s="71"/>
      <c r="B497" s="61">
        <v>39977</v>
      </c>
      <c r="C497">
        <v>29.21</v>
      </c>
      <c r="D497">
        <v>29.58</v>
      </c>
      <c r="E497">
        <v>29.04</v>
      </c>
      <c r="F497">
        <v>29.42</v>
      </c>
      <c r="G497">
        <v>4518400</v>
      </c>
    </row>
    <row r="498" spans="1:7" ht="12">
      <c r="A498" s="71"/>
      <c r="B498" s="61">
        <v>39976</v>
      </c>
      <c r="C498">
        <v>28.76</v>
      </c>
      <c r="D498">
        <v>29.3</v>
      </c>
      <c r="E498">
        <v>28.61</v>
      </c>
      <c r="F498">
        <v>29.28</v>
      </c>
      <c r="G498">
        <v>5756200</v>
      </c>
    </row>
    <row r="499" spans="1:7" ht="12">
      <c r="A499" s="71"/>
      <c r="B499" s="61">
        <v>39975</v>
      </c>
      <c r="C499">
        <v>29.11</v>
      </c>
      <c r="D499">
        <v>29.15</v>
      </c>
      <c r="E499">
        <v>28.7</v>
      </c>
      <c r="F499">
        <v>28.77</v>
      </c>
      <c r="G499">
        <v>3410700</v>
      </c>
    </row>
    <row r="500" spans="1:7" ht="12">
      <c r="A500" s="71"/>
      <c r="B500" s="61">
        <v>39974</v>
      </c>
      <c r="C500">
        <v>28.95</v>
      </c>
      <c r="D500">
        <v>29.14</v>
      </c>
      <c r="E500">
        <v>28.89</v>
      </c>
      <c r="F500">
        <v>28.98</v>
      </c>
      <c r="G500">
        <v>10186900</v>
      </c>
    </row>
    <row r="501" spans="1:7" ht="12">
      <c r="A501" s="71"/>
      <c r="B501" s="61">
        <v>39973</v>
      </c>
      <c r="C501">
        <v>29.26</v>
      </c>
      <c r="D501">
        <v>29.29</v>
      </c>
      <c r="E501">
        <v>28.96</v>
      </c>
      <c r="F501">
        <v>29.14</v>
      </c>
      <c r="G501">
        <v>9735700</v>
      </c>
    </row>
    <row r="502" spans="1:7" ht="12">
      <c r="A502" s="71"/>
      <c r="B502" s="61">
        <v>39970</v>
      </c>
      <c r="C502">
        <v>29</v>
      </c>
      <c r="D502">
        <v>29.23</v>
      </c>
      <c r="E502">
        <v>28.85</v>
      </c>
      <c r="F502">
        <v>29.15</v>
      </c>
      <c r="G502">
        <v>7962100</v>
      </c>
    </row>
    <row r="503" spans="1:7" ht="12">
      <c r="A503" s="71"/>
      <c r="B503" s="61">
        <v>39969</v>
      </c>
      <c r="C503">
        <v>28.47</v>
      </c>
      <c r="D503">
        <v>28.91</v>
      </c>
      <c r="E503">
        <v>28.46</v>
      </c>
      <c r="F503">
        <v>28.91</v>
      </c>
      <c r="G503">
        <v>2981300</v>
      </c>
    </row>
    <row r="504" spans="1:7" ht="12">
      <c r="A504" s="71"/>
      <c r="B504" s="61">
        <v>39968</v>
      </c>
      <c r="C504">
        <v>28.75</v>
      </c>
      <c r="D504">
        <v>28.76</v>
      </c>
      <c r="E504">
        <v>28.45</v>
      </c>
      <c r="F504">
        <v>28.48</v>
      </c>
      <c r="G504">
        <v>3098300</v>
      </c>
    </row>
    <row r="505" spans="1:7" ht="12">
      <c r="A505" s="71"/>
      <c r="B505" s="61">
        <v>39967</v>
      </c>
      <c r="C505">
        <v>28.89</v>
      </c>
      <c r="D505">
        <v>28.98</v>
      </c>
      <c r="E505">
        <v>28.63</v>
      </c>
      <c r="F505">
        <v>28.86</v>
      </c>
      <c r="G505">
        <v>4388200</v>
      </c>
    </row>
    <row r="506" spans="1:7" ht="12">
      <c r="A506" s="71"/>
      <c r="B506" s="61">
        <v>39966</v>
      </c>
      <c r="C506">
        <v>28.72</v>
      </c>
      <c r="D506">
        <v>29.07</v>
      </c>
      <c r="E506">
        <v>28.36</v>
      </c>
      <c r="F506">
        <v>28.87</v>
      </c>
      <c r="G506">
        <v>4411600</v>
      </c>
    </row>
    <row r="507" spans="1:7" ht="12">
      <c r="A507" s="71"/>
      <c r="B507" s="61">
        <v>39963</v>
      </c>
      <c r="C507">
        <v>28.78</v>
      </c>
      <c r="D507">
        <v>29.25</v>
      </c>
      <c r="E507">
        <v>28.72</v>
      </c>
      <c r="F507">
        <v>28.72</v>
      </c>
      <c r="G507">
        <v>4263000</v>
      </c>
    </row>
    <row r="508" spans="1:7" ht="12">
      <c r="A508" s="71"/>
      <c r="B508" s="61">
        <v>39962</v>
      </c>
      <c r="C508">
        <v>28.81</v>
      </c>
      <c r="D508">
        <v>29.19</v>
      </c>
      <c r="E508">
        <v>28.81</v>
      </c>
      <c r="F508">
        <v>28.88</v>
      </c>
      <c r="G508">
        <v>3473400</v>
      </c>
    </row>
    <row r="509" spans="1:7" ht="12">
      <c r="A509" s="71"/>
      <c r="B509" s="61">
        <v>39961</v>
      </c>
      <c r="C509">
        <v>29.19</v>
      </c>
      <c r="D509">
        <v>29.23</v>
      </c>
      <c r="E509">
        <v>28.33</v>
      </c>
      <c r="F509">
        <v>28.65</v>
      </c>
      <c r="G509">
        <v>4731800</v>
      </c>
    </row>
    <row r="510" spans="1:7" ht="12">
      <c r="A510" s="71"/>
      <c r="B510" s="61">
        <v>39960</v>
      </c>
      <c r="C510">
        <v>29.65</v>
      </c>
      <c r="D510">
        <v>29.72</v>
      </c>
      <c r="E510">
        <v>29.26</v>
      </c>
      <c r="F510">
        <v>29.37</v>
      </c>
      <c r="G510">
        <v>2687400</v>
      </c>
    </row>
    <row r="511" spans="1:7" ht="12">
      <c r="A511" s="71"/>
      <c r="B511" s="61">
        <v>39956</v>
      </c>
      <c r="C511">
        <v>29.74</v>
      </c>
      <c r="D511">
        <v>29.79</v>
      </c>
      <c r="E511">
        <v>29.45</v>
      </c>
      <c r="F511">
        <v>29.57</v>
      </c>
      <c r="G511">
        <v>2039500</v>
      </c>
    </row>
    <row r="512" spans="1:7" ht="12">
      <c r="A512" s="71"/>
      <c r="B512" s="61">
        <v>39955</v>
      </c>
      <c r="C512">
        <v>29.82</v>
      </c>
      <c r="D512">
        <v>29.92</v>
      </c>
      <c r="E512">
        <v>29.31</v>
      </c>
      <c r="F512">
        <v>29.81</v>
      </c>
      <c r="G512">
        <v>3391300</v>
      </c>
    </row>
    <row r="513" spans="1:7" ht="12">
      <c r="A513" s="71"/>
      <c r="B513" s="61">
        <v>39954</v>
      </c>
      <c r="C513">
        <v>30.18</v>
      </c>
      <c r="D513">
        <v>30.66</v>
      </c>
      <c r="E513">
        <v>29.77</v>
      </c>
      <c r="F513">
        <v>29.95</v>
      </c>
      <c r="G513">
        <v>4028400</v>
      </c>
    </row>
    <row r="514" spans="1:7" ht="12">
      <c r="A514" s="71"/>
      <c r="B514" s="61">
        <v>39953</v>
      </c>
      <c r="C514">
        <v>30.24</v>
      </c>
      <c r="D514">
        <v>30.37</v>
      </c>
      <c r="E514">
        <v>30.04</v>
      </c>
      <c r="F514">
        <v>30.27</v>
      </c>
      <c r="G514">
        <v>2667000</v>
      </c>
    </row>
    <row r="515" spans="1:7" ht="12">
      <c r="A515" s="71"/>
      <c r="B515" s="61">
        <v>39952</v>
      </c>
      <c r="C515">
        <v>30.42</v>
      </c>
      <c r="D515">
        <v>30.5</v>
      </c>
      <c r="E515">
        <v>30.22</v>
      </c>
      <c r="F515">
        <v>30.25</v>
      </c>
      <c r="G515">
        <v>2543600</v>
      </c>
    </row>
    <row r="516" spans="1:7" ht="12">
      <c r="A516" s="71"/>
      <c r="B516" s="61">
        <v>39949</v>
      </c>
      <c r="C516">
        <v>30.25</v>
      </c>
      <c r="D516">
        <v>30.46</v>
      </c>
      <c r="E516">
        <v>30.14</v>
      </c>
      <c r="F516">
        <v>30.42</v>
      </c>
      <c r="G516">
        <v>2437000</v>
      </c>
    </row>
    <row r="517" spans="1:7" ht="12">
      <c r="A517" s="71"/>
      <c r="B517" s="61">
        <v>39948</v>
      </c>
      <c r="C517">
        <v>30.26</v>
      </c>
      <c r="D517">
        <v>30.37</v>
      </c>
      <c r="E517">
        <v>30.1</v>
      </c>
      <c r="F517">
        <v>30.14</v>
      </c>
      <c r="G517">
        <v>1862300</v>
      </c>
    </row>
    <row r="518" spans="1:7" ht="12">
      <c r="A518" s="71"/>
      <c r="B518" s="61">
        <v>39947</v>
      </c>
      <c r="C518">
        <v>30.06</v>
      </c>
      <c r="D518">
        <v>30.65</v>
      </c>
      <c r="E518">
        <v>30.02</v>
      </c>
      <c r="F518">
        <v>30.33</v>
      </c>
      <c r="G518">
        <v>2794900</v>
      </c>
    </row>
    <row r="519" spans="1:7" ht="12">
      <c r="A519" s="71"/>
      <c r="B519" s="61">
        <v>39946</v>
      </c>
      <c r="C519">
        <v>30</v>
      </c>
      <c r="D519">
        <v>30.14</v>
      </c>
      <c r="E519">
        <v>29.94</v>
      </c>
      <c r="F519">
        <v>30.03</v>
      </c>
      <c r="G519">
        <v>3900000</v>
      </c>
    </row>
    <row r="520" spans="1:7" ht="12">
      <c r="A520" s="71"/>
      <c r="B520" s="61">
        <v>39945</v>
      </c>
      <c r="C520">
        <v>30.14</v>
      </c>
      <c r="D520">
        <v>30.26</v>
      </c>
      <c r="E520">
        <v>29.94</v>
      </c>
      <c r="F520">
        <v>30.03</v>
      </c>
      <c r="G520">
        <v>3107700</v>
      </c>
    </row>
    <row r="521" spans="1:7" ht="12">
      <c r="A521" s="71"/>
      <c r="B521" s="61">
        <v>39942</v>
      </c>
      <c r="C521">
        <v>30.2</v>
      </c>
      <c r="D521">
        <v>30.27</v>
      </c>
      <c r="E521">
        <v>30.02</v>
      </c>
      <c r="F521">
        <v>30.25</v>
      </c>
      <c r="G521">
        <v>2117800</v>
      </c>
    </row>
    <row r="522" spans="1:7" ht="12">
      <c r="A522" s="71"/>
      <c r="B522" s="114" t="s">
        <v>476</v>
      </c>
      <c r="C522" s="115">
        <f>AVERAGE(C492:C521)</f>
        <v>29.375999999999994</v>
      </c>
      <c r="D522" s="115">
        <f>AVERAGE(D492:D521)</f>
        <v>29.578333333333333</v>
      </c>
      <c r="E522" s="115">
        <f>AVERAGE(E492:E521)</f>
        <v>29.105999999999998</v>
      </c>
      <c r="F522" s="116">
        <f>AVERAGE(F492:F521)</f>
        <v>29.321333333333332</v>
      </c>
      <c r="G522" s="115">
        <f>AVERAGE(G492:G521)</f>
        <v>4307063.333333333</v>
      </c>
    </row>
    <row r="523" spans="1:7" ht="12">
      <c r="A523" s="71"/>
      <c r="B523" s="114" t="s">
        <v>423</v>
      </c>
      <c r="C523" s="114">
        <f>MEDIAN(C492:C521)</f>
        <v>29.29</v>
      </c>
      <c r="D523" s="114">
        <f>MEDIAN(D492:D521)</f>
        <v>29.414999999999999</v>
      </c>
      <c r="E523" s="114">
        <f>MEDIAN(E492:E521)</f>
        <v>29</v>
      </c>
      <c r="F523" s="114">
        <f>MEDIAN(F492:F521)</f>
        <v>29.32</v>
      </c>
      <c r="G523" s="114">
        <f>MEDIAN(G492:G521)</f>
        <v>3896200</v>
      </c>
    </row>
    <row r="524" spans="1:7" ht="12">
      <c r="A524" s="71"/>
      <c r="B524" s="114" t="s">
        <v>426</v>
      </c>
      <c r="C524" s="114">
        <f>MAX(C492:C521)</f>
        <v>30.42</v>
      </c>
      <c r="D524" s="114">
        <f>MAX(D492:D521)</f>
        <v>30.66</v>
      </c>
      <c r="E524" s="114">
        <f>MAX(E492:E521)</f>
        <v>30.22</v>
      </c>
      <c r="F524" s="114">
        <f>MAX(F492:F521)</f>
        <v>30.42</v>
      </c>
      <c r="G524" s="114">
        <f>MAX(G492:G521)</f>
        <v>10186900</v>
      </c>
    </row>
    <row r="525" spans="1:7" ht="12">
      <c r="A525" s="71"/>
      <c r="B525" s="114" t="s">
        <v>427</v>
      </c>
      <c r="C525" s="114">
        <f>MIN(C492:C521)</f>
        <v>27.8</v>
      </c>
      <c r="D525" s="114">
        <f>MIN(D492:D521)</f>
        <v>28.17</v>
      </c>
      <c r="E525" s="114">
        <f>MIN(E492:E521)</f>
        <v>27.46</v>
      </c>
      <c r="F525" s="114">
        <f>MIN(F492:F521)</f>
        <v>27.71</v>
      </c>
      <c r="G525" s="114">
        <f>MIN(G492:G521)</f>
        <v>1862300</v>
      </c>
    </row>
    <row r="526" spans="1:7" ht="12">
      <c r="A526"/>
    </row>
    <row r="527" spans="1:7" ht="12">
      <c r="A527"/>
    </row>
    <row r="528" spans="1:7" ht="12">
      <c r="A528"/>
    </row>
    <row r="529" spans="1:1" ht="12">
      <c r="A529"/>
    </row>
    <row r="530" spans="1:1" ht="12">
      <c r="A530"/>
    </row>
    <row r="531" spans="1:1" ht="12">
      <c r="A531"/>
    </row>
    <row r="532" spans="1:1" ht="12">
      <c r="A532"/>
    </row>
    <row r="533" spans="1:1" ht="12">
      <c r="A533"/>
    </row>
    <row r="534" spans="1:1" ht="12">
      <c r="A534"/>
    </row>
    <row r="535" spans="1:1" ht="12">
      <c r="A535"/>
    </row>
    <row r="536" spans="1:1" ht="12">
      <c r="A536"/>
    </row>
    <row r="537" spans="1:1" ht="12">
      <c r="A537"/>
    </row>
    <row r="538" spans="1:1" ht="12">
      <c r="A538"/>
    </row>
    <row r="539" spans="1:1" ht="12">
      <c r="A539"/>
    </row>
    <row r="540" spans="1:1" ht="12">
      <c r="A540"/>
    </row>
    <row r="541" spans="1:1" ht="12">
      <c r="A541"/>
    </row>
    <row r="542" spans="1:1" ht="12">
      <c r="A542"/>
    </row>
    <row r="543" spans="1:1" ht="12">
      <c r="A543"/>
    </row>
    <row r="544" spans="1:1" ht="12">
      <c r="A544"/>
    </row>
    <row r="545" spans="1:1" ht="12">
      <c r="A545"/>
    </row>
    <row r="546" spans="1:1" ht="12">
      <c r="A546"/>
    </row>
    <row r="547" spans="1:1" ht="12">
      <c r="A547"/>
    </row>
    <row r="548" spans="1:1" ht="12">
      <c r="A548"/>
    </row>
    <row r="549" spans="1:1" ht="12">
      <c r="A549"/>
    </row>
    <row r="550" spans="1:1" ht="12">
      <c r="A550"/>
    </row>
    <row r="551" spans="1:1" ht="12">
      <c r="A551"/>
    </row>
    <row r="552" spans="1:1" ht="12">
      <c r="A552"/>
    </row>
    <row r="553" spans="1:1" ht="12">
      <c r="A553"/>
    </row>
    <row r="554" spans="1:1" ht="12">
      <c r="A554"/>
    </row>
    <row r="555" spans="1:1" ht="12">
      <c r="A555"/>
    </row>
    <row r="556" spans="1:1" ht="12">
      <c r="A556"/>
    </row>
    <row r="557" spans="1:1" ht="12">
      <c r="A557"/>
    </row>
    <row r="558" spans="1:1" ht="12">
      <c r="A558"/>
    </row>
    <row r="559" spans="1:1" ht="12">
      <c r="A559"/>
    </row>
    <row r="560" spans="1:1" ht="12">
      <c r="A560"/>
    </row>
  </sheetData>
  <phoneticPr fontId="16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G459"/>
  <sheetViews>
    <sheetView defaultGridColor="0" topLeftCell="E1" colorId="8" workbookViewId="0">
      <selection activeCell="Q38" sqref="Q38"/>
    </sheetView>
  </sheetViews>
  <sheetFormatPr defaultColWidth="11.42578125" defaultRowHeight="12"/>
  <cols>
    <col min="38" max="51" width="13.28515625" customWidth="1"/>
    <col min="53" max="53" width="15.28515625" customWidth="1"/>
  </cols>
  <sheetData>
    <row r="1" spans="1:4141" ht="12.75">
      <c r="A1" s="177" t="s">
        <v>322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4141" ht="12.75">
      <c r="A2" s="5"/>
      <c r="B2" s="224" t="s">
        <v>542</v>
      </c>
      <c r="C2" s="5"/>
      <c r="D2" s="5"/>
      <c r="E2" s="7" t="s">
        <v>465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7" t="s">
        <v>499</v>
      </c>
      <c r="BA2" s="5"/>
    </row>
    <row r="3" spans="1:4141" ht="12.75">
      <c r="A3" s="7" t="s">
        <v>424</v>
      </c>
      <c r="B3" s="7" t="s">
        <v>462</v>
      </c>
      <c r="C3" s="7"/>
      <c r="E3" s="94" t="s">
        <v>470</v>
      </c>
      <c r="F3" s="95">
        <v>2008</v>
      </c>
      <c r="G3" s="95">
        <v>2009</v>
      </c>
      <c r="H3" s="95">
        <v>2010</v>
      </c>
      <c r="I3" s="95">
        <v>2011</v>
      </c>
      <c r="J3" s="95">
        <v>2012</v>
      </c>
      <c r="K3" s="95">
        <v>2013</v>
      </c>
      <c r="L3" s="95">
        <v>2014</v>
      </c>
      <c r="M3" s="95" t="s">
        <v>471</v>
      </c>
      <c r="N3" s="7">
        <f t="shared" ref="N3:U3" si="0">F3</f>
        <v>2008</v>
      </c>
      <c r="O3" s="7">
        <f t="shared" si="0"/>
        <v>2009</v>
      </c>
      <c r="P3" s="7">
        <f t="shared" si="0"/>
        <v>2010</v>
      </c>
      <c r="Q3" s="7">
        <f t="shared" si="0"/>
        <v>2011</v>
      </c>
      <c r="R3" s="7">
        <f t="shared" si="0"/>
        <v>2012</v>
      </c>
      <c r="S3" s="7">
        <f t="shared" si="0"/>
        <v>2013</v>
      </c>
      <c r="T3" s="7">
        <f t="shared" si="0"/>
        <v>2014</v>
      </c>
      <c r="U3" s="7" t="str">
        <f t="shared" si="0"/>
        <v>2016-2018</v>
      </c>
      <c r="V3" s="7">
        <f t="shared" ref="V3:AC3" si="1">F3</f>
        <v>2008</v>
      </c>
      <c r="W3" s="7">
        <f t="shared" si="1"/>
        <v>2009</v>
      </c>
      <c r="X3" s="7">
        <f t="shared" si="1"/>
        <v>2010</v>
      </c>
      <c r="Y3" s="7">
        <f t="shared" si="1"/>
        <v>2011</v>
      </c>
      <c r="Z3" s="7">
        <f t="shared" si="1"/>
        <v>2012</v>
      </c>
      <c r="AA3" s="7">
        <f t="shared" si="1"/>
        <v>2013</v>
      </c>
      <c r="AB3" s="7">
        <f t="shared" si="1"/>
        <v>2014</v>
      </c>
      <c r="AC3" s="8" t="str">
        <f t="shared" si="1"/>
        <v>2016-2018</v>
      </c>
      <c r="AD3" s="7">
        <f t="shared" ref="AD3:AK3" si="2">F3</f>
        <v>2008</v>
      </c>
      <c r="AE3" s="7">
        <f t="shared" si="2"/>
        <v>2009</v>
      </c>
      <c r="AF3" s="7">
        <f t="shared" si="2"/>
        <v>2010</v>
      </c>
      <c r="AG3" s="7">
        <f t="shared" si="2"/>
        <v>2011</v>
      </c>
      <c r="AH3" s="7">
        <f t="shared" si="2"/>
        <v>2012</v>
      </c>
      <c r="AI3" s="7">
        <f t="shared" si="2"/>
        <v>2013</v>
      </c>
      <c r="AJ3" s="7">
        <f t="shared" si="2"/>
        <v>2014</v>
      </c>
      <c r="AK3" s="7" t="str">
        <f t="shared" si="2"/>
        <v>2016-2018</v>
      </c>
      <c r="AL3" s="7">
        <f t="shared" ref="AL3:AS3" si="3">F3</f>
        <v>2008</v>
      </c>
      <c r="AM3" s="7">
        <f t="shared" si="3"/>
        <v>2009</v>
      </c>
      <c r="AN3" s="7">
        <f t="shared" si="3"/>
        <v>2010</v>
      </c>
      <c r="AO3" s="7">
        <f t="shared" si="3"/>
        <v>2011</v>
      </c>
      <c r="AP3" s="7">
        <f t="shared" si="3"/>
        <v>2012</v>
      </c>
      <c r="AQ3" s="7">
        <f t="shared" si="3"/>
        <v>2013</v>
      </c>
      <c r="AR3" s="7">
        <f t="shared" si="3"/>
        <v>2014</v>
      </c>
      <c r="AS3" s="7" t="str">
        <f t="shared" si="3"/>
        <v>2016-2018</v>
      </c>
      <c r="AT3" s="7" t="s">
        <v>466</v>
      </c>
      <c r="AU3" s="7" t="s">
        <v>486</v>
      </c>
      <c r="AV3" s="7" t="s">
        <v>466</v>
      </c>
      <c r="AW3" s="7" t="s">
        <v>486</v>
      </c>
      <c r="AX3" s="7" t="s">
        <v>466</v>
      </c>
      <c r="AY3" s="7" t="s">
        <v>486</v>
      </c>
      <c r="AZ3" s="51">
        <v>2014</v>
      </c>
      <c r="BA3" s="74" t="s">
        <v>147</v>
      </c>
    </row>
    <row r="4" spans="1:4141" ht="12.75">
      <c r="A4" s="7" t="s">
        <v>487</v>
      </c>
      <c r="B4" s="7" t="s">
        <v>469</v>
      </c>
      <c r="C4" s="7" t="s">
        <v>467</v>
      </c>
      <c r="E4" s="7" t="s">
        <v>493</v>
      </c>
      <c r="F4" s="7" t="s">
        <v>494</v>
      </c>
      <c r="G4" s="7" t="s">
        <v>494</v>
      </c>
      <c r="H4" s="7" t="s">
        <v>494</v>
      </c>
      <c r="I4" s="7" t="s">
        <v>494</v>
      </c>
      <c r="J4" s="7" t="s">
        <v>494</v>
      </c>
      <c r="K4" s="7" t="s">
        <v>494</v>
      </c>
      <c r="L4" s="7" t="s">
        <v>494</v>
      </c>
      <c r="M4" s="7" t="s">
        <v>494</v>
      </c>
      <c r="N4" s="7" t="s">
        <v>495</v>
      </c>
      <c r="O4" s="7" t="s">
        <v>495</v>
      </c>
      <c r="P4" s="7" t="s">
        <v>495</v>
      </c>
      <c r="Q4" s="7" t="s">
        <v>495</v>
      </c>
      <c r="R4" s="7" t="s">
        <v>495</v>
      </c>
      <c r="S4" s="7" t="s">
        <v>495</v>
      </c>
      <c r="T4" s="7" t="s">
        <v>495</v>
      </c>
      <c r="U4" s="7" t="s">
        <v>495</v>
      </c>
      <c r="V4" s="7" t="s">
        <v>509</v>
      </c>
      <c r="W4" s="8" t="s">
        <v>509</v>
      </c>
      <c r="X4" s="8" t="s">
        <v>509</v>
      </c>
      <c r="Y4" s="8" t="s">
        <v>509</v>
      </c>
      <c r="Z4" s="8" t="s">
        <v>509</v>
      </c>
      <c r="AA4" s="8" t="s">
        <v>509</v>
      </c>
      <c r="AB4" s="8" t="s">
        <v>509</v>
      </c>
      <c r="AC4" s="8" t="s">
        <v>509</v>
      </c>
      <c r="AD4" s="7" t="s">
        <v>435</v>
      </c>
      <c r="AE4" s="7" t="s">
        <v>435</v>
      </c>
      <c r="AF4" s="7" t="s">
        <v>435</v>
      </c>
      <c r="AG4" s="7" t="s">
        <v>435</v>
      </c>
      <c r="AH4" s="7" t="s">
        <v>435</v>
      </c>
      <c r="AI4" s="7" t="s">
        <v>435</v>
      </c>
      <c r="AJ4" s="7" t="s">
        <v>435</v>
      </c>
      <c r="AK4" s="7" t="s">
        <v>435</v>
      </c>
      <c r="AL4" s="7" t="s">
        <v>436</v>
      </c>
      <c r="AM4" s="7" t="s">
        <v>436</v>
      </c>
      <c r="AN4" s="7" t="s">
        <v>436</v>
      </c>
      <c r="AO4" s="7" t="s">
        <v>436</v>
      </c>
      <c r="AP4" s="7" t="s">
        <v>436</v>
      </c>
      <c r="AQ4" s="7" t="s">
        <v>436</v>
      </c>
      <c r="AR4" s="7" t="s">
        <v>436</v>
      </c>
      <c r="AS4" s="7" t="s">
        <v>436</v>
      </c>
      <c r="AT4" s="7" t="s">
        <v>437</v>
      </c>
      <c r="AU4" s="7" t="s">
        <v>437</v>
      </c>
      <c r="AV4" s="7" t="s">
        <v>443</v>
      </c>
      <c r="AW4" s="7" t="s">
        <v>443</v>
      </c>
      <c r="AX4" s="7" t="s">
        <v>149</v>
      </c>
      <c r="AY4" s="7" t="s">
        <v>149</v>
      </c>
      <c r="AZ4" s="7" t="s">
        <v>494</v>
      </c>
      <c r="BA4" s="7" t="s">
        <v>520</v>
      </c>
    </row>
    <row r="5" spans="1:4141" s="80" customFormat="1" ht="12.75">
      <c r="A5" s="87" t="s">
        <v>381</v>
      </c>
      <c r="B5" s="85">
        <f>'$perShare'!F32</f>
        <v>44.833333333333336</v>
      </c>
      <c r="C5" s="86">
        <v>0.55000000000000004</v>
      </c>
      <c r="D5"/>
      <c r="E5" s="88">
        <v>2.0499999999999998</v>
      </c>
      <c r="F5" s="88">
        <v>2.25</v>
      </c>
      <c r="G5" s="88">
        <v>2.3199999999999998</v>
      </c>
      <c r="H5" s="88">
        <v>2.36</v>
      </c>
      <c r="I5" s="88">
        <v>2.5499999999999998</v>
      </c>
      <c r="J5" s="88">
        <v>2.68</v>
      </c>
      <c r="K5" s="88">
        <v>2.75</v>
      </c>
      <c r="L5" s="88">
        <v>2.85</v>
      </c>
      <c r="M5" s="88">
        <v>3.25</v>
      </c>
      <c r="N5" s="88">
        <v>1.66</v>
      </c>
      <c r="O5" s="88">
        <v>1.73</v>
      </c>
      <c r="P5" s="88">
        <v>1.8</v>
      </c>
      <c r="Q5" s="88">
        <v>1.87</v>
      </c>
      <c r="R5" s="88">
        <v>1.94</v>
      </c>
      <c r="S5" s="88">
        <v>2.02</v>
      </c>
      <c r="T5" s="88">
        <v>2.1</v>
      </c>
      <c r="U5" s="88">
        <v>2.35</v>
      </c>
      <c r="V5" s="88">
        <v>0.13100000000000001</v>
      </c>
      <c r="W5" s="88">
        <v>0.124</v>
      </c>
      <c r="X5" s="88">
        <v>0.122</v>
      </c>
      <c r="Y5" s="88">
        <v>0.125</v>
      </c>
      <c r="Z5" s="88">
        <v>0.13</v>
      </c>
      <c r="AA5" s="88">
        <v>0.13</v>
      </c>
      <c r="AB5" s="88">
        <v>0.13</v>
      </c>
      <c r="AC5" s="88">
        <v>0.125</v>
      </c>
      <c r="AD5" s="88">
        <v>17.079999999999998</v>
      </c>
      <c r="AE5" s="88">
        <v>18.149999999999999</v>
      </c>
      <c r="AF5" s="88">
        <v>19.21</v>
      </c>
      <c r="AG5" s="88">
        <v>20.32</v>
      </c>
      <c r="AH5" s="88">
        <v>20.95</v>
      </c>
      <c r="AI5" s="88">
        <v>21.75</v>
      </c>
      <c r="AJ5" s="88">
        <v>22.45</v>
      </c>
      <c r="AK5" s="88">
        <v>25.75</v>
      </c>
      <c r="AL5" s="88">
        <v>777.19</v>
      </c>
      <c r="AM5" s="88">
        <v>819.65</v>
      </c>
      <c r="AN5" s="88">
        <v>843.34</v>
      </c>
      <c r="AO5" s="88">
        <v>865.13</v>
      </c>
      <c r="AP5" s="88">
        <v>868</v>
      </c>
      <c r="AQ5" s="88">
        <v>870</v>
      </c>
      <c r="AR5" s="88">
        <v>872</v>
      </c>
      <c r="AS5" s="88">
        <v>905</v>
      </c>
      <c r="AT5" s="88">
        <v>0.03</v>
      </c>
      <c r="AU5" s="88">
        <v>4.4999999999999998E-2</v>
      </c>
      <c r="AV5" s="88">
        <v>0.04</v>
      </c>
      <c r="AW5" s="88">
        <v>0.04</v>
      </c>
      <c r="AX5" s="88">
        <v>5.5E-2</v>
      </c>
      <c r="AY5" s="88">
        <v>4.4999999999999998E-2</v>
      </c>
      <c r="AZ5" s="91">
        <f>Earnings!E6</f>
        <v>2.87</v>
      </c>
      <c r="BA5" s="91">
        <f>[1]Earnings!F6</f>
        <v>4.8399999999999999E-2</v>
      </c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</row>
    <row r="6" spans="1:4141" s="57" customFormat="1" ht="12.75">
      <c r="A6" s="87" t="s">
        <v>382</v>
      </c>
      <c r="B6" s="85">
        <f>'$perShare'!F67</f>
        <v>49.047999999999995</v>
      </c>
      <c r="C6" s="86">
        <v>0.7</v>
      </c>
      <c r="D6"/>
      <c r="E6" s="88">
        <v>1.93</v>
      </c>
      <c r="F6" s="88">
        <v>2.82</v>
      </c>
      <c r="G6" s="88">
        <v>1.89</v>
      </c>
      <c r="H6" s="88">
        <v>2.19</v>
      </c>
      <c r="I6" s="88">
        <v>2.65</v>
      </c>
      <c r="J6" s="88">
        <v>2.58</v>
      </c>
      <c r="K6" s="88">
        <v>2.75</v>
      </c>
      <c r="L6" s="88">
        <v>2.95</v>
      </c>
      <c r="M6" s="88">
        <v>3.75</v>
      </c>
      <c r="N6" s="88">
        <v>1.72</v>
      </c>
      <c r="O6" s="88">
        <v>1.76</v>
      </c>
      <c r="P6" s="88">
        <v>1.76</v>
      </c>
      <c r="Q6" s="88">
        <v>1.78</v>
      </c>
      <c r="R6" s="88">
        <v>1.84</v>
      </c>
      <c r="S6" s="88">
        <v>1.9</v>
      </c>
      <c r="T6" s="88">
        <v>1.96</v>
      </c>
      <c r="U6" s="88">
        <v>2.2000000000000002</v>
      </c>
      <c r="V6" s="88">
        <v>0.1</v>
      </c>
      <c r="W6" s="88">
        <v>6.6000000000000003E-2</v>
      </c>
      <c r="X6" s="88">
        <v>7.6999999999999999E-2</v>
      </c>
      <c r="Y6" s="88">
        <v>8.6999999999999994E-2</v>
      </c>
      <c r="Z6" s="88">
        <v>8.1000000000000003E-2</v>
      </c>
      <c r="AA6" s="88">
        <v>0.08</v>
      </c>
      <c r="AB6" s="88">
        <v>8.5000000000000006E-2</v>
      </c>
      <c r="AC6" s="88">
        <v>9.5000000000000001E-2</v>
      </c>
      <c r="AD6" s="88">
        <v>25.37</v>
      </c>
      <c r="AE6" s="88">
        <v>26.41</v>
      </c>
      <c r="AF6" s="88">
        <v>27.26</v>
      </c>
      <c r="AG6" s="88">
        <v>28.78</v>
      </c>
      <c r="AH6" s="88">
        <v>30.48</v>
      </c>
      <c r="AI6" s="88">
        <v>31.6</v>
      </c>
      <c r="AJ6" s="88">
        <v>32.799999999999997</v>
      </c>
      <c r="AK6" s="88">
        <v>36.5</v>
      </c>
      <c r="AL6" s="88">
        <v>32.6</v>
      </c>
      <c r="AM6" s="88">
        <v>35.200000000000003</v>
      </c>
      <c r="AN6" s="88">
        <v>35.799999999999997</v>
      </c>
      <c r="AO6" s="88">
        <v>37.5</v>
      </c>
      <c r="AP6" s="88">
        <v>39.4</v>
      </c>
      <c r="AQ6" s="88">
        <v>41.5</v>
      </c>
      <c r="AR6" s="88">
        <v>43.5</v>
      </c>
      <c r="AS6" s="88">
        <v>45</v>
      </c>
      <c r="AT6" s="88">
        <v>-2.5000000000000001E-2</v>
      </c>
      <c r="AU6" s="88">
        <v>7.0000000000000007E-2</v>
      </c>
      <c r="AV6" s="88">
        <v>4.4999999999999998E-2</v>
      </c>
      <c r="AW6" s="88">
        <v>3.5000000000000003E-2</v>
      </c>
      <c r="AX6" s="88">
        <v>5.5E-2</v>
      </c>
      <c r="AY6" s="88">
        <v>0.04</v>
      </c>
      <c r="AZ6" s="91">
        <f>Earnings!E7</f>
        <v>3.06</v>
      </c>
      <c r="BA6" s="91">
        <f>[1]Earnings!F7</f>
        <v>0.06</v>
      </c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</row>
    <row r="7" spans="1:4141" s="57" customFormat="1" ht="12.75">
      <c r="A7" s="87" t="s">
        <v>383</v>
      </c>
      <c r="B7" s="85">
        <f>'$perShare'!F102</f>
        <v>50.192666666666661</v>
      </c>
      <c r="C7" s="86">
        <v>0.7</v>
      </c>
      <c r="D7"/>
      <c r="E7" s="88">
        <v>1.92</v>
      </c>
      <c r="F7" s="88">
        <v>2.54</v>
      </c>
      <c r="G7" s="88">
        <v>1.89</v>
      </c>
      <c r="H7" s="88">
        <v>2.75</v>
      </c>
      <c r="I7" s="88">
        <v>2.75</v>
      </c>
      <c r="J7" s="88">
        <v>3.05</v>
      </c>
      <c r="K7" s="88">
        <v>3.3</v>
      </c>
      <c r="L7" s="88">
        <v>3.4</v>
      </c>
      <c r="M7" s="88">
        <v>3.8</v>
      </c>
      <c r="N7" s="88">
        <v>1.4</v>
      </c>
      <c r="O7" s="88">
        <v>1.5</v>
      </c>
      <c r="P7" s="88">
        <v>1.58</v>
      </c>
      <c r="Q7" s="88">
        <v>1.7</v>
      </c>
      <c r="R7" s="88">
        <v>1.8</v>
      </c>
      <c r="S7" s="88">
        <v>1.88</v>
      </c>
      <c r="T7" s="88">
        <v>1.96</v>
      </c>
      <c r="U7" s="88">
        <v>2.2000000000000002</v>
      </c>
      <c r="V7" s="88">
        <v>9.2999999999999999E-2</v>
      </c>
      <c r="W7" s="88">
        <v>6.8000000000000005E-2</v>
      </c>
      <c r="X7" s="88">
        <v>9.9000000000000005E-2</v>
      </c>
      <c r="Y7" s="88">
        <v>9.5000000000000001E-2</v>
      </c>
      <c r="Z7" s="88">
        <v>0.10299999999999999</v>
      </c>
      <c r="AA7" s="88">
        <v>0.115</v>
      </c>
      <c r="AB7" s="88">
        <v>0.115</v>
      </c>
      <c r="AC7" s="88">
        <v>0.11</v>
      </c>
      <c r="AD7" s="88">
        <v>25.56</v>
      </c>
      <c r="AE7" s="88">
        <v>25.07</v>
      </c>
      <c r="AF7" s="88">
        <v>26.09</v>
      </c>
      <c r="AG7" s="88">
        <v>27.14</v>
      </c>
      <c r="AH7" s="88">
        <v>28.25</v>
      </c>
      <c r="AI7" s="88">
        <v>29</v>
      </c>
      <c r="AJ7" s="88">
        <v>30.1</v>
      </c>
      <c r="AK7" s="88">
        <v>34.5</v>
      </c>
      <c r="AL7" s="88">
        <v>110.45</v>
      </c>
      <c r="AM7" s="88">
        <v>110.66</v>
      </c>
      <c r="AN7" s="88">
        <v>110.89</v>
      </c>
      <c r="AO7" s="88">
        <v>111.02</v>
      </c>
      <c r="AP7" s="88">
        <v>110.99</v>
      </c>
      <c r="AQ7" s="88">
        <v>112</v>
      </c>
      <c r="AR7" s="88">
        <v>113</v>
      </c>
      <c r="AS7" s="88">
        <v>116</v>
      </c>
      <c r="AT7" s="88">
        <v>0.04</v>
      </c>
      <c r="AU7" s="88">
        <v>0.05</v>
      </c>
      <c r="AV7" s="88">
        <v>0.08</v>
      </c>
      <c r="AW7" s="88">
        <v>4.4999999999999998E-2</v>
      </c>
      <c r="AX7" s="88">
        <v>3.5000000000000003E-2</v>
      </c>
      <c r="AY7" s="88">
        <v>0.04</v>
      </c>
      <c r="AZ7" s="91">
        <f>Earnings!E8</f>
        <v>3.3</v>
      </c>
      <c r="BA7" s="91">
        <f>[1]Earnings!F8</f>
        <v>5.8700000000000002E-2</v>
      </c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</row>
    <row r="8" spans="1:4141" s="80" customFormat="1" ht="12.75">
      <c r="A8" s="87" t="s">
        <v>384</v>
      </c>
      <c r="B8" s="85">
        <f>'$perShare'!F137</f>
        <v>46.775999999999996</v>
      </c>
      <c r="C8" s="86">
        <v>0.65</v>
      </c>
      <c r="D8"/>
      <c r="E8" s="88">
        <v>2</v>
      </c>
      <c r="F8" s="88">
        <v>2.99</v>
      </c>
      <c r="G8" s="88">
        <v>2.97</v>
      </c>
      <c r="H8" s="88">
        <v>2.6</v>
      </c>
      <c r="I8" s="88">
        <v>3.13</v>
      </c>
      <c r="J8" s="88">
        <v>2.98</v>
      </c>
      <c r="K8" s="88">
        <v>3.1</v>
      </c>
      <c r="L8" s="88">
        <v>3.3</v>
      </c>
      <c r="M8" s="88">
        <v>3.75</v>
      </c>
      <c r="N8" s="88">
        <v>1.64</v>
      </c>
      <c r="O8" s="88">
        <v>1.64</v>
      </c>
      <c r="P8" s="88">
        <v>1.71</v>
      </c>
      <c r="Q8" s="88">
        <v>1.85</v>
      </c>
      <c r="R8" s="88">
        <v>1.88</v>
      </c>
      <c r="S8" s="88">
        <v>1.94</v>
      </c>
      <c r="T8" s="88">
        <v>2.04</v>
      </c>
      <c r="U8" s="88">
        <v>2.2999999999999998</v>
      </c>
      <c r="V8" s="88">
        <v>0.113</v>
      </c>
      <c r="W8" s="88">
        <v>0.104</v>
      </c>
      <c r="X8" s="88">
        <v>9.0999999999999998E-2</v>
      </c>
      <c r="Y8" s="88">
        <v>0.10299999999999999</v>
      </c>
      <c r="Z8" s="88">
        <v>9.5000000000000001E-2</v>
      </c>
      <c r="AA8" s="88">
        <v>9.5000000000000001E-2</v>
      </c>
      <c r="AB8" s="88">
        <v>0.1</v>
      </c>
      <c r="AC8" s="88">
        <v>0.1</v>
      </c>
      <c r="AD8" s="88">
        <v>26.33</v>
      </c>
      <c r="AE8" s="88">
        <v>27.49</v>
      </c>
      <c r="AF8" s="88">
        <v>28.33</v>
      </c>
      <c r="AG8" s="88">
        <v>30.33</v>
      </c>
      <c r="AH8" s="88">
        <v>31.37</v>
      </c>
      <c r="AI8" s="88">
        <v>32.549999999999997</v>
      </c>
      <c r="AJ8" s="88">
        <v>33.85</v>
      </c>
      <c r="AK8" s="88">
        <v>38.25</v>
      </c>
      <c r="AL8" s="88">
        <v>406.07</v>
      </c>
      <c r="AM8" s="88">
        <v>478.05</v>
      </c>
      <c r="AN8" s="88">
        <v>480.81</v>
      </c>
      <c r="AO8" s="88">
        <v>483.42</v>
      </c>
      <c r="AP8" s="88">
        <v>485.67</v>
      </c>
      <c r="AQ8" s="88">
        <v>489</v>
      </c>
      <c r="AR8" s="88">
        <v>492</v>
      </c>
      <c r="AS8" s="88">
        <v>505</v>
      </c>
      <c r="AT8" s="88">
        <v>0.01</v>
      </c>
      <c r="AU8" s="88">
        <v>4.4999999999999998E-2</v>
      </c>
      <c r="AV8" s="88">
        <v>0.04</v>
      </c>
      <c r="AW8" s="88">
        <v>0.04</v>
      </c>
      <c r="AX8" s="88">
        <v>4.4999999999999998E-2</v>
      </c>
      <c r="AY8" s="88">
        <v>0.04</v>
      </c>
      <c r="AZ8" s="91">
        <f>Earnings!E9</f>
        <v>3.32</v>
      </c>
      <c r="BA8" s="91">
        <f>[1]Earnings!F9</f>
        <v>3.6400000000000002E-2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</row>
    <row r="9" spans="1:4141" s="57" customFormat="1" ht="12.75">
      <c r="A9" s="87" t="s">
        <v>77</v>
      </c>
      <c r="B9" s="59">
        <f>'$perShare'!F172</f>
        <v>46.029333333333327</v>
      </c>
      <c r="C9" s="58">
        <v>0.65</v>
      </c>
      <c r="D9"/>
      <c r="E9" s="60">
        <v>1.5</v>
      </c>
      <c r="F9" s="60">
        <v>1.7</v>
      </c>
      <c r="G9" s="60">
        <v>1.76</v>
      </c>
      <c r="H9" s="60">
        <v>2.29</v>
      </c>
      <c r="I9" s="60">
        <v>2.59</v>
      </c>
      <c r="J9" s="60">
        <v>2.7</v>
      </c>
      <c r="K9" s="60">
        <v>2.5</v>
      </c>
      <c r="L9" s="60">
        <v>2.85</v>
      </c>
      <c r="M9" s="60">
        <v>3.5</v>
      </c>
      <c r="N9" s="60">
        <v>0.9</v>
      </c>
      <c r="O9" s="60">
        <v>0.9</v>
      </c>
      <c r="P9" s="60">
        <v>0.98</v>
      </c>
      <c r="Q9" s="60">
        <v>1.1200000000000001</v>
      </c>
      <c r="R9" s="60">
        <v>1.3</v>
      </c>
      <c r="S9" s="60">
        <v>1.43</v>
      </c>
      <c r="T9" s="60">
        <v>1.58</v>
      </c>
      <c r="U9" s="60">
        <v>2</v>
      </c>
      <c r="V9" s="60">
        <v>9.6000000000000002E-2</v>
      </c>
      <c r="W9" s="60">
        <v>9.5000000000000001E-2</v>
      </c>
      <c r="X9" s="60">
        <v>0.106</v>
      </c>
      <c r="Y9" s="60">
        <v>0.111</v>
      </c>
      <c r="Z9" s="60">
        <v>0.109</v>
      </c>
      <c r="AA9" s="60">
        <v>9.5000000000000001E-2</v>
      </c>
      <c r="AB9" s="60">
        <v>0.105</v>
      </c>
      <c r="AC9" s="60">
        <v>0.11</v>
      </c>
      <c r="AD9" s="60">
        <v>17.649999999999999</v>
      </c>
      <c r="AE9" s="60">
        <v>18.5</v>
      </c>
      <c r="AF9" s="60">
        <v>21.76</v>
      </c>
      <c r="AG9" s="60">
        <v>23.55</v>
      </c>
      <c r="AH9" s="60">
        <v>24.84</v>
      </c>
      <c r="AI9" s="60">
        <v>25.85</v>
      </c>
      <c r="AJ9" s="60">
        <v>27.15</v>
      </c>
      <c r="AK9" s="60">
        <v>31.75</v>
      </c>
      <c r="AL9" s="60">
        <v>60.04</v>
      </c>
      <c r="AM9" s="60">
        <v>60.26</v>
      </c>
      <c r="AN9" s="60">
        <v>60.53</v>
      </c>
      <c r="AO9" s="60">
        <v>60.29</v>
      </c>
      <c r="AP9" s="60">
        <v>60.36</v>
      </c>
      <c r="AQ9" s="60">
        <v>60.5</v>
      </c>
      <c r="AR9" s="60">
        <v>60.5</v>
      </c>
      <c r="AS9" s="60">
        <v>60.5</v>
      </c>
      <c r="AT9" s="60">
        <v>0.13</v>
      </c>
      <c r="AU9" s="60">
        <v>5.5E-2</v>
      </c>
      <c r="AV9" s="60">
        <v>4.4999999999999998E-2</v>
      </c>
      <c r="AW9" s="60">
        <v>0.1</v>
      </c>
      <c r="AX9" s="60">
        <v>0.09</v>
      </c>
      <c r="AY9" s="60">
        <v>0.05</v>
      </c>
      <c r="AZ9" s="91">
        <f>Earnings!E10</f>
        <v>2.8</v>
      </c>
      <c r="BA9" s="91">
        <f>[1]Earnings!F10</f>
        <v>0.08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</row>
    <row r="10" spans="1:4141" s="80" customFormat="1" ht="12.75">
      <c r="A10" s="87" t="s">
        <v>385</v>
      </c>
      <c r="B10" s="85">
        <f>'$perShare'!F207</f>
        <v>68.751666666666651</v>
      </c>
      <c r="C10" s="86">
        <v>0.7</v>
      </c>
      <c r="D10"/>
      <c r="E10" s="88">
        <v>3.32</v>
      </c>
      <c r="F10" s="88">
        <v>6.2</v>
      </c>
      <c r="G10" s="88">
        <v>6.3</v>
      </c>
      <c r="H10" s="88">
        <v>6.66</v>
      </c>
      <c r="I10" s="88">
        <v>7.55</v>
      </c>
      <c r="J10" s="88">
        <v>6.02</v>
      </c>
      <c r="K10" s="88">
        <v>4.75</v>
      </c>
      <c r="L10" s="88">
        <v>4.75</v>
      </c>
      <c r="M10" s="88">
        <v>5.5</v>
      </c>
      <c r="N10" s="88">
        <v>3</v>
      </c>
      <c r="O10" s="88">
        <v>3</v>
      </c>
      <c r="P10" s="88">
        <v>3.24</v>
      </c>
      <c r="Q10" s="88">
        <v>3.32</v>
      </c>
      <c r="R10" s="88">
        <v>3.32</v>
      </c>
      <c r="S10" s="88">
        <v>3.32</v>
      </c>
      <c r="T10" s="88">
        <v>3.32</v>
      </c>
      <c r="U10" s="88">
        <v>3.4</v>
      </c>
      <c r="V10" s="88">
        <v>0.153</v>
      </c>
      <c r="W10" s="88">
        <v>0.14299999999999999</v>
      </c>
      <c r="X10" s="88">
        <v>0.14699999999999999</v>
      </c>
      <c r="Y10" s="88">
        <v>0.15</v>
      </c>
      <c r="Z10" s="88">
        <v>0.11600000000000001</v>
      </c>
      <c r="AA10" s="88">
        <v>0.09</v>
      </c>
      <c r="AB10" s="88">
        <v>0.09</v>
      </c>
      <c r="AC10" s="88">
        <v>9.5000000000000001E-2</v>
      </c>
      <c r="AD10" s="88">
        <v>42.07</v>
      </c>
      <c r="AE10" s="88">
        <v>45.54</v>
      </c>
      <c r="AF10" s="88">
        <v>47.53</v>
      </c>
      <c r="AG10" s="88">
        <v>50.81</v>
      </c>
      <c r="AH10" s="88">
        <v>51.73</v>
      </c>
      <c r="AI10" s="88">
        <v>53.1</v>
      </c>
      <c r="AJ10" s="88">
        <v>54.55</v>
      </c>
      <c r="AK10" s="88">
        <v>60.5</v>
      </c>
      <c r="AL10" s="88">
        <v>189.36</v>
      </c>
      <c r="AM10" s="88">
        <v>189.12</v>
      </c>
      <c r="AN10" s="88">
        <v>178.75</v>
      </c>
      <c r="AO10" s="88">
        <v>176.36</v>
      </c>
      <c r="AP10" s="88">
        <v>177.8</v>
      </c>
      <c r="AQ10" s="88">
        <v>178</v>
      </c>
      <c r="AR10" s="88">
        <v>178</v>
      </c>
      <c r="AS10" s="88">
        <v>172</v>
      </c>
      <c r="AT10" s="88">
        <v>5.5E-2</v>
      </c>
      <c r="AU10" s="88">
        <v>-3.5000000000000003E-2</v>
      </c>
      <c r="AV10" s="88">
        <v>7.4999999999999997E-2</v>
      </c>
      <c r="AW10" s="88">
        <v>5.0000000000000001E-3</v>
      </c>
      <c r="AX10" s="88">
        <v>0.05</v>
      </c>
      <c r="AY10" s="88">
        <v>0.03</v>
      </c>
      <c r="AZ10" s="91">
        <f>Earnings!E11</f>
        <v>5.04</v>
      </c>
      <c r="BA10" s="91">
        <f>[1]Earnings!F11</f>
        <v>0</v>
      </c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</row>
    <row r="11" spans="1:4141" s="90" customFormat="1" ht="12.75">
      <c r="A11" s="90" t="s">
        <v>386</v>
      </c>
      <c r="B11" s="85">
        <f>'$perShare'!F242</f>
        <v>32.131999999999998</v>
      </c>
      <c r="C11" s="178">
        <v>0.75</v>
      </c>
      <c r="D11"/>
      <c r="E11" s="88">
        <v>1.37</v>
      </c>
      <c r="F11" s="88">
        <v>1.31</v>
      </c>
      <c r="G11" s="88">
        <v>1.28</v>
      </c>
      <c r="H11" s="88">
        <v>1.8</v>
      </c>
      <c r="I11" s="88">
        <v>1.79</v>
      </c>
      <c r="J11" s="88">
        <v>2.15</v>
      </c>
      <c r="K11" s="88">
        <v>2.25</v>
      </c>
      <c r="L11" s="88">
        <v>2.35</v>
      </c>
      <c r="M11" s="88">
        <v>2.75</v>
      </c>
      <c r="N11" s="88">
        <v>1.1599999999999999</v>
      </c>
      <c r="O11" s="88">
        <v>1.2</v>
      </c>
      <c r="P11" s="88">
        <v>1.24</v>
      </c>
      <c r="Q11" s="88">
        <v>1.28</v>
      </c>
      <c r="R11" s="88">
        <v>1.32</v>
      </c>
      <c r="S11" s="88">
        <v>1.36</v>
      </c>
      <c r="T11" s="88">
        <v>1.4</v>
      </c>
      <c r="U11" s="88">
        <v>1.52</v>
      </c>
      <c r="V11" s="88">
        <v>6.2E-2</v>
      </c>
      <c r="W11" s="88">
        <v>6.3E-2</v>
      </c>
      <c r="X11" s="88">
        <v>8.5000000000000006E-2</v>
      </c>
      <c r="Y11" s="88">
        <v>7.6999999999999999E-2</v>
      </c>
      <c r="Z11" s="88">
        <v>9.4E-2</v>
      </c>
      <c r="AA11" s="88">
        <v>0.09</v>
      </c>
      <c r="AB11" s="88">
        <v>0.09</v>
      </c>
      <c r="AC11" s="88">
        <v>9.5000000000000001E-2</v>
      </c>
      <c r="AD11" s="88">
        <v>20.18</v>
      </c>
      <c r="AE11" s="88">
        <v>20.59</v>
      </c>
      <c r="AF11" s="88">
        <v>21.25</v>
      </c>
      <c r="AG11" s="88">
        <v>22.03</v>
      </c>
      <c r="AH11" s="88">
        <v>22.89</v>
      </c>
      <c r="AI11" s="88">
        <v>25</v>
      </c>
      <c r="AJ11" s="88">
        <v>26.15</v>
      </c>
      <c r="AK11" s="88">
        <v>29.65</v>
      </c>
      <c r="AL11" s="88">
        <v>108.31</v>
      </c>
      <c r="AM11" s="88">
        <v>109.07</v>
      </c>
      <c r="AN11" s="88">
        <v>112.13</v>
      </c>
      <c r="AO11" s="88">
        <v>125.7</v>
      </c>
      <c r="AP11" s="88">
        <v>126.5</v>
      </c>
      <c r="AQ11" s="88">
        <v>128</v>
      </c>
      <c r="AR11" s="88">
        <v>130</v>
      </c>
      <c r="AS11" s="88">
        <v>135</v>
      </c>
      <c r="AT11" s="88">
        <v>1.4999999999999999E-2</v>
      </c>
      <c r="AU11" s="88">
        <v>0.06</v>
      </c>
      <c r="AV11" s="88">
        <v>0.05</v>
      </c>
      <c r="AW11" s="88">
        <v>0.03</v>
      </c>
      <c r="AX11" s="88">
        <v>4.4999999999999998E-2</v>
      </c>
      <c r="AY11" s="88">
        <v>0.05</v>
      </c>
      <c r="AZ11" s="91">
        <f>Earnings!E12</f>
        <v>2.2200000000000002</v>
      </c>
      <c r="BA11" s="91">
        <f>[1]Earnings!F12</f>
        <v>4.8000000000000001E-2</v>
      </c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</row>
    <row r="12" spans="1:4141" s="80" customFormat="1" ht="12.75">
      <c r="A12" s="87" t="s">
        <v>387</v>
      </c>
      <c r="B12" s="89">
        <f>'$perShare'!F277</f>
        <v>41.657333333333327</v>
      </c>
      <c r="C12" s="86">
        <v>0.6</v>
      </c>
      <c r="D12"/>
      <c r="E12" s="84">
        <v>1.44</v>
      </c>
      <c r="F12" s="88">
        <v>1.52</v>
      </c>
      <c r="G12" s="88">
        <v>1.6</v>
      </c>
      <c r="H12" s="88">
        <v>1.92</v>
      </c>
      <c r="I12" s="88">
        <v>2.1800000000000002</v>
      </c>
      <c r="J12" s="88">
        <v>2.35</v>
      </c>
      <c r="K12" s="88">
        <v>2.4</v>
      </c>
      <c r="L12" s="88">
        <v>2.5</v>
      </c>
      <c r="M12" s="88">
        <v>3</v>
      </c>
      <c r="N12" s="88">
        <v>0.54</v>
      </c>
      <c r="O12" s="88">
        <v>0.68</v>
      </c>
      <c r="P12" s="88">
        <v>0.8</v>
      </c>
      <c r="Q12" s="88">
        <v>1.04</v>
      </c>
      <c r="R12" s="88">
        <v>1.2</v>
      </c>
      <c r="S12" s="88">
        <v>1.36</v>
      </c>
      <c r="T12" s="88">
        <v>1.52</v>
      </c>
      <c r="U12" s="88">
        <v>2</v>
      </c>
      <c r="V12" s="88">
        <v>0.107</v>
      </c>
      <c r="W12" s="88">
        <v>0.106</v>
      </c>
      <c r="X12" s="88">
        <v>0.12</v>
      </c>
      <c r="Y12" s="88">
        <v>0.129</v>
      </c>
      <c r="Z12" s="88">
        <v>0.13200000000000001</v>
      </c>
      <c r="AA12" s="88">
        <v>0.13</v>
      </c>
      <c r="AB12" s="88">
        <v>0.13</v>
      </c>
      <c r="AC12" s="88">
        <v>0.14000000000000001</v>
      </c>
      <c r="AD12" s="88">
        <v>14.27</v>
      </c>
      <c r="AE12" s="88">
        <v>15.26</v>
      </c>
      <c r="AF12" s="88">
        <v>16.260000000000002</v>
      </c>
      <c r="AG12" s="88">
        <v>17.2</v>
      </c>
      <c r="AH12" s="88">
        <v>18.05</v>
      </c>
      <c r="AI12" s="88">
        <v>18.7</v>
      </c>
      <c r="AJ12" s="88">
        <v>19.350000000000001</v>
      </c>
      <c r="AK12" s="88">
        <v>21.25</v>
      </c>
      <c r="AL12" s="88">
        <v>233.84</v>
      </c>
      <c r="AM12" s="88">
        <v>233.82</v>
      </c>
      <c r="AN12" s="88">
        <v>233.77</v>
      </c>
      <c r="AO12" s="88">
        <v>230.49</v>
      </c>
      <c r="AP12" s="88">
        <v>229.04</v>
      </c>
      <c r="AQ12" s="88">
        <v>228.5</v>
      </c>
      <c r="AR12" s="88">
        <v>228.5</v>
      </c>
      <c r="AS12" s="88">
        <v>228.5</v>
      </c>
      <c r="AT12" s="88">
        <v>0.1</v>
      </c>
      <c r="AU12" s="88">
        <v>5.5E-2</v>
      </c>
      <c r="AV12" s="88">
        <v>0.17</v>
      </c>
      <c r="AW12" s="88">
        <v>0.12</v>
      </c>
      <c r="AX12" s="88">
        <v>7.0000000000000007E-2</v>
      </c>
      <c r="AY12" s="88">
        <v>3.5000000000000003E-2</v>
      </c>
      <c r="AZ12" s="91">
        <f>Earnings!E13</f>
        <v>2.5499999999999998</v>
      </c>
      <c r="BA12" s="91">
        <f>[1]Earnings!F13</f>
        <v>5.5500000000000001E-2</v>
      </c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</row>
    <row r="13" spans="1:4141" s="80" customFormat="1" ht="12.75">
      <c r="A13" s="87" t="s">
        <v>221</v>
      </c>
      <c r="B13" s="89">
        <f>'$perShare'!F312</f>
        <v>47.418000000000006</v>
      </c>
      <c r="C13" s="86">
        <v>0.75</v>
      </c>
      <c r="D13"/>
      <c r="E13" s="84">
        <v>1.38</v>
      </c>
      <c r="F13" s="88">
        <v>3.68</v>
      </c>
      <c r="G13" s="88">
        <v>3.24</v>
      </c>
      <c r="H13" s="88">
        <v>3.35</v>
      </c>
      <c r="I13" s="88">
        <v>3.23</v>
      </c>
      <c r="J13" s="88">
        <v>4.55</v>
      </c>
      <c r="K13" s="88">
        <v>3.5</v>
      </c>
      <c r="L13" s="88">
        <v>3.7</v>
      </c>
      <c r="M13" s="88">
        <v>4.25</v>
      </c>
      <c r="N13" s="88">
        <v>1.23</v>
      </c>
      <c r="O13" s="88">
        <v>1.25</v>
      </c>
      <c r="P13" s="88">
        <v>1.27</v>
      </c>
      <c r="Q13" s="88">
        <v>1.29</v>
      </c>
      <c r="R13" s="88">
        <v>1.31</v>
      </c>
      <c r="S13" s="88">
        <v>1.36</v>
      </c>
      <c r="T13" s="88">
        <v>1.46</v>
      </c>
      <c r="U13" s="88">
        <v>1.8</v>
      </c>
      <c r="V13" s="88">
        <v>0.128</v>
      </c>
      <c r="W13" s="88">
        <v>0.108</v>
      </c>
      <c r="X13" s="88">
        <v>0.104</v>
      </c>
      <c r="Y13" s="88">
        <v>0.105</v>
      </c>
      <c r="Z13" s="88">
        <v>0.159</v>
      </c>
      <c r="AA13" s="88">
        <v>0.115</v>
      </c>
      <c r="AB13" s="88">
        <v>0.115</v>
      </c>
      <c r="AC13" s="88">
        <v>0.11</v>
      </c>
      <c r="AD13" s="88">
        <v>29.21</v>
      </c>
      <c r="AE13" s="88">
        <v>30.2</v>
      </c>
      <c r="AF13" s="88">
        <v>32.44</v>
      </c>
      <c r="AG13" s="88">
        <v>30.86</v>
      </c>
      <c r="AH13" s="88">
        <v>28.95</v>
      </c>
      <c r="AI13" s="88">
        <v>31.05</v>
      </c>
      <c r="AJ13" s="88">
        <v>33.200000000000003</v>
      </c>
      <c r="AK13" s="88">
        <v>40</v>
      </c>
      <c r="AL13" s="88">
        <v>325.81</v>
      </c>
      <c r="AM13" s="88">
        <v>325.81</v>
      </c>
      <c r="AN13" s="88">
        <v>325.81</v>
      </c>
      <c r="AO13" s="88">
        <v>325.81</v>
      </c>
      <c r="AP13" s="88">
        <v>325.81</v>
      </c>
      <c r="AQ13" s="88">
        <v>325.81</v>
      </c>
      <c r="AR13" s="88">
        <v>325.81</v>
      </c>
      <c r="AS13" s="88">
        <v>325.81</v>
      </c>
      <c r="AT13" s="88">
        <v>2.5000000000000001E-2</v>
      </c>
      <c r="AU13" s="88">
        <v>2.5000000000000001E-2</v>
      </c>
      <c r="AV13" s="88">
        <v>0.03</v>
      </c>
      <c r="AW13" s="88">
        <v>5.5E-2</v>
      </c>
      <c r="AX13" s="88">
        <v>5.5E-2</v>
      </c>
      <c r="AY13" s="88">
        <v>4.4999999999999998E-2</v>
      </c>
      <c r="AZ13" s="91">
        <f>Earnings!E14</f>
        <v>3.52</v>
      </c>
      <c r="BA13" s="91">
        <f>[1]Earnings!F14</f>
        <v>-1.89E-2</v>
      </c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</row>
    <row r="14" spans="1:4141" s="80" customFormat="1" ht="12.75">
      <c r="A14" s="87" t="s">
        <v>222</v>
      </c>
      <c r="B14" s="85">
        <f>'$perShare'!F347</f>
        <v>48.254666666666665</v>
      </c>
      <c r="C14" s="86">
        <v>0.7</v>
      </c>
      <c r="D14"/>
      <c r="E14" s="88">
        <v>1.52</v>
      </c>
      <c r="F14" s="88">
        <v>2.1800000000000002</v>
      </c>
      <c r="G14" s="88">
        <v>2.64</v>
      </c>
      <c r="H14" s="88">
        <v>2.95</v>
      </c>
      <c r="I14" s="88">
        <v>3.36</v>
      </c>
      <c r="J14" s="88">
        <v>3.37</v>
      </c>
      <c r="K14" s="88">
        <v>3.3</v>
      </c>
      <c r="L14" s="88">
        <v>3.4</v>
      </c>
      <c r="M14" s="88">
        <v>3.65</v>
      </c>
      <c r="N14" s="88">
        <v>1.2</v>
      </c>
      <c r="O14" s="88">
        <v>1.2</v>
      </c>
      <c r="P14" s="88">
        <v>1.2</v>
      </c>
      <c r="Q14" s="88">
        <v>1.2</v>
      </c>
      <c r="R14" s="88">
        <v>1.37</v>
      </c>
      <c r="S14" s="88">
        <v>1.56</v>
      </c>
      <c r="T14" s="88">
        <v>1.68</v>
      </c>
      <c r="U14" s="88">
        <v>1.9</v>
      </c>
      <c r="V14" s="88">
        <v>7.5999999999999998E-2</v>
      </c>
      <c r="W14" s="88">
        <v>8.8999999999999996E-2</v>
      </c>
      <c r="X14" s="88">
        <v>9.2999999999999999E-2</v>
      </c>
      <c r="Y14" s="88">
        <v>0.10100000000000001</v>
      </c>
      <c r="Z14" s="88">
        <v>9.6000000000000002E-2</v>
      </c>
      <c r="AA14" s="88">
        <v>0.09</v>
      </c>
      <c r="AB14" s="88">
        <v>8.5000000000000006E-2</v>
      </c>
      <c r="AC14" s="88">
        <v>8.5000000000000006E-2</v>
      </c>
      <c r="AD14" s="88">
        <v>27.76</v>
      </c>
      <c r="AE14" s="88">
        <v>29.17</v>
      </c>
      <c r="AF14" s="88">
        <v>31.01</v>
      </c>
      <c r="AG14" s="88">
        <v>33.19</v>
      </c>
      <c r="AH14" s="88">
        <v>35.07</v>
      </c>
      <c r="AI14" s="88">
        <v>36.549999999999997</v>
      </c>
      <c r="AJ14" s="88">
        <v>38.700000000000003</v>
      </c>
      <c r="AK14" s="88">
        <v>43.45</v>
      </c>
      <c r="AL14" s="88">
        <v>46.92</v>
      </c>
      <c r="AM14" s="88">
        <v>47.9</v>
      </c>
      <c r="AN14" s="88">
        <v>49.41</v>
      </c>
      <c r="AO14" s="88">
        <v>49.95</v>
      </c>
      <c r="AP14" s="88">
        <v>50.16</v>
      </c>
      <c r="AQ14" s="88">
        <v>50.5</v>
      </c>
      <c r="AR14" s="88">
        <v>50.5</v>
      </c>
      <c r="AS14" s="88">
        <v>51</v>
      </c>
      <c r="AT14" s="88">
        <v>0.1</v>
      </c>
      <c r="AU14" s="88">
        <v>0.02</v>
      </c>
      <c r="AV14" s="88">
        <v>0.01</v>
      </c>
      <c r="AW14" s="88">
        <v>7.0000000000000007E-2</v>
      </c>
      <c r="AX14" s="88">
        <v>5.5E-2</v>
      </c>
      <c r="AY14" s="88">
        <v>4.4999999999999998E-2</v>
      </c>
      <c r="AZ14" s="91">
        <f>Earnings!E15</f>
        <v>3.4</v>
      </c>
      <c r="BA14" s="91">
        <f>[1]Earnings!F15</f>
        <v>0.04</v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</row>
    <row r="15" spans="1:4141" s="57" customFormat="1" ht="12.75">
      <c r="A15" s="90" t="s">
        <v>61</v>
      </c>
      <c r="B15" s="85">
        <f>'$perShare'!F382</f>
        <v>41.071999999999996</v>
      </c>
      <c r="C15" s="178">
        <v>0.7</v>
      </c>
      <c r="D15"/>
      <c r="E15" s="88">
        <v>1.53</v>
      </c>
      <c r="F15" s="88">
        <v>1.77</v>
      </c>
      <c r="G15" s="88">
        <v>2.02</v>
      </c>
      <c r="H15" s="88">
        <v>2.14</v>
      </c>
      <c r="I15" s="88">
        <v>2.5299999999999998</v>
      </c>
      <c r="J15" s="88">
        <v>2.2599999999999998</v>
      </c>
      <c r="K15" s="88">
        <v>2.4500000000000002</v>
      </c>
      <c r="L15" s="88">
        <v>2.5499999999999998</v>
      </c>
      <c r="M15" s="88">
        <v>2.75</v>
      </c>
      <c r="N15" s="88">
        <v>1.32</v>
      </c>
      <c r="O15" s="88">
        <v>1.34</v>
      </c>
      <c r="P15" s="88">
        <v>1.36</v>
      </c>
      <c r="Q15" s="88">
        <v>1.44</v>
      </c>
      <c r="R15" s="88">
        <v>1.48</v>
      </c>
      <c r="S15" s="88">
        <v>1.52</v>
      </c>
      <c r="T15" s="88">
        <v>1.56</v>
      </c>
      <c r="U15" s="88">
        <v>1.8</v>
      </c>
      <c r="V15" s="88">
        <v>8.8999999999999996E-2</v>
      </c>
      <c r="W15" s="88">
        <v>9.2999999999999999E-2</v>
      </c>
      <c r="X15" s="88">
        <v>9.4E-2</v>
      </c>
      <c r="Y15" s="88">
        <v>0.108</v>
      </c>
      <c r="Z15" s="88">
        <v>0.09</v>
      </c>
      <c r="AA15" s="88">
        <v>9.5000000000000001E-2</v>
      </c>
      <c r="AB15" s="88">
        <v>9.5000000000000001E-2</v>
      </c>
      <c r="AC15" s="88">
        <v>9.5000000000000001E-2</v>
      </c>
      <c r="AD15" s="88">
        <v>21.25</v>
      </c>
      <c r="AE15" s="88">
        <v>21.86</v>
      </c>
      <c r="AF15" s="88">
        <v>22.64</v>
      </c>
      <c r="AG15" s="88">
        <v>23.68</v>
      </c>
      <c r="AH15" s="88">
        <v>25.09</v>
      </c>
      <c r="AI15" s="88">
        <v>26.4</v>
      </c>
      <c r="AJ15" s="88">
        <v>27.7</v>
      </c>
      <c r="AK15" s="88">
        <v>30.75</v>
      </c>
      <c r="AL15" s="88">
        <v>35.93</v>
      </c>
      <c r="AM15" s="88">
        <v>36</v>
      </c>
      <c r="AN15" s="88">
        <v>36.229999999999997</v>
      </c>
      <c r="AO15" s="88">
        <v>36.28</v>
      </c>
      <c r="AP15" s="88">
        <v>37.22</v>
      </c>
      <c r="AQ15" s="88">
        <v>38.1</v>
      </c>
      <c r="AR15" s="88">
        <v>39</v>
      </c>
      <c r="AS15" s="88">
        <v>39</v>
      </c>
      <c r="AT15" s="88">
        <v>0.09</v>
      </c>
      <c r="AU15" s="88">
        <v>0.03</v>
      </c>
      <c r="AV15" s="88">
        <v>0.04</v>
      </c>
      <c r="AW15" s="88">
        <v>0.04</v>
      </c>
      <c r="AX15" s="88">
        <v>2.5000000000000001E-2</v>
      </c>
      <c r="AY15" s="88">
        <v>4.4999999999999998E-2</v>
      </c>
      <c r="AZ15" s="91">
        <f>Earnings!E16</f>
        <v>2.7</v>
      </c>
      <c r="BA15" s="91">
        <f>[1]Earnings!F16</f>
        <v>0.05</v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</row>
    <row r="16" spans="1:4141" ht="12.75">
      <c r="A16" t="s">
        <v>62</v>
      </c>
      <c r="B16" s="93">
        <f>'$perShare'!F417</f>
        <v>45.587666666666671</v>
      </c>
      <c r="C16" s="179">
        <v>0.55000000000000004</v>
      </c>
      <c r="E16">
        <v>1.82</v>
      </c>
      <c r="F16">
        <v>3.22</v>
      </c>
      <c r="G16">
        <v>3.03</v>
      </c>
      <c r="H16">
        <v>2.82</v>
      </c>
      <c r="I16">
        <v>2.78</v>
      </c>
      <c r="J16">
        <v>2.0699999999999998</v>
      </c>
      <c r="K16">
        <v>1.95</v>
      </c>
      <c r="L16">
        <v>2.4</v>
      </c>
      <c r="M16">
        <v>3.25</v>
      </c>
      <c r="N16">
        <v>1.56</v>
      </c>
      <c r="O16">
        <v>1.68</v>
      </c>
      <c r="P16">
        <v>1.82</v>
      </c>
      <c r="Q16">
        <v>1.82</v>
      </c>
      <c r="R16">
        <v>1.82</v>
      </c>
      <c r="S16">
        <v>1.82</v>
      </c>
      <c r="T16">
        <v>1.82</v>
      </c>
      <c r="U16">
        <v>2.1</v>
      </c>
      <c r="V16">
        <v>0.126</v>
      </c>
      <c r="W16">
        <v>0.112</v>
      </c>
      <c r="X16">
        <v>9.7000000000000003E-2</v>
      </c>
      <c r="Y16">
        <v>9.1999999999999998E-2</v>
      </c>
      <c r="Z16">
        <v>6.7000000000000004E-2</v>
      </c>
      <c r="AA16">
        <v>0.06</v>
      </c>
      <c r="AB16">
        <v>7.4999999999999997E-2</v>
      </c>
      <c r="AC16">
        <v>0.09</v>
      </c>
      <c r="AD16">
        <v>25.97</v>
      </c>
      <c r="AE16">
        <v>27.88</v>
      </c>
      <c r="AF16">
        <v>28.55</v>
      </c>
      <c r="AG16">
        <v>29.35</v>
      </c>
      <c r="AH16">
        <v>30.35</v>
      </c>
      <c r="AI16">
        <v>31.3</v>
      </c>
      <c r="AJ16">
        <v>32.049999999999997</v>
      </c>
      <c r="AK16">
        <v>35.5</v>
      </c>
      <c r="AL16">
        <v>361.06</v>
      </c>
      <c r="AM16">
        <v>370.6</v>
      </c>
      <c r="AN16">
        <v>395.23</v>
      </c>
      <c r="AO16">
        <v>412.26</v>
      </c>
      <c r="AP16">
        <v>430.72</v>
      </c>
      <c r="AQ16">
        <v>455</v>
      </c>
      <c r="AR16">
        <v>460</v>
      </c>
      <c r="AS16">
        <v>475</v>
      </c>
      <c r="AT16">
        <v>-5.0000000000000001E-3</v>
      </c>
      <c r="AU16">
        <v>0.04</v>
      </c>
      <c r="AV16">
        <v>6.5000000000000002E-2</v>
      </c>
      <c r="AW16">
        <v>2.5000000000000001E-2</v>
      </c>
      <c r="AX16">
        <v>0.06</v>
      </c>
      <c r="AY16">
        <v>0.03</v>
      </c>
      <c r="AZ16" s="91">
        <f>Earnings!E17</f>
        <v>3.07</v>
      </c>
      <c r="BA16">
        <f>[1]Earnings!F17</f>
        <v>3.1199999999999999E-2</v>
      </c>
    </row>
    <row r="17" spans="1:56" ht="12.75">
      <c r="A17" t="s">
        <v>63</v>
      </c>
      <c r="B17" s="93">
        <f>'$perShare'!F452</f>
        <v>58.34</v>
      </c>
      <c r="C17" s="179">
        <v>0.7</v>
      </c>
      <c r="E17">
        <v>2.2200000000000002</v>
      </c>
      <c r="F17">
        <v>2.12</v>
      </c>
      <c r="G17">
        <v>2.2599999999999998</v>
      </c>
      <c r="H17">
        <v>3.08</v>
      </c>
      <c r="I17">
        <v>2.99</v>
      </c>
      <c r="J17">
        <v>3.5</v>
      </c>
      <c r="K17">
        <v>3.5</v>
      </c>
      <c r="L17">
        <v>3.65</v>
      </c>
      <c r="M17">
        <v>4.25</v>
      </c>
      <c r="N17">
        <v>2.1</v>
      </c>
      <c r="O17">
        <v>2.1</v>
      </c>
      <c r="P17">
        <v>2.1</v>
      </c>
      <c r="Q17">
        <v>2.1</v>
      </c>
      <c r="R17">
        <v>2.12</v>
      </c>
      <c r="S17">
        <v>2.1800000000000002</v>
      </c>
      <c r="T17">
        <v>2.2799999999999998</v>
      </c>
      <c r="U17">
        <v>2.6</v>
      </c>
      <c r="V17">
        <v>6.2E-2</v>
      </c>
      <c r="W17">
        <v>6.9000000000000006E-2</v>
      </c>
      <c r="X17">
        <v>0.09</v>
      </c>
      <c r="Y17">
        <v>8.5999999999999993E-2</v>
      </c>
      <c r="Z17">
        <v>9.8000000000000004E-2</v>
      </c>
      <c r="AA17">
        <v>9.5000000000000001E-2</v>
      </c>
      <c r="AB17">
        <v>9.5000000000000001E-2</v>
      </c>
      <c r="AC17">
        <v>0.1</v>
      </c>
      <c r="AD17">
        <v>34.159999999999997</v>
      </c>
      <c r="AE17">
        <v>32.69</v>
      </c>
      <c r="AF17">
        <v>33.86</v>
      </c>
      <c r="AG17">
        <v>34.979999999999997</v>
      </c>
      <c r="AH17">
        <v>36.200000000000003</v>
      </c>
      <c r="AI17">
        <v>37.25</v>
      </c>
      <c r="AJ17">
        <v>38.450000000000003</v>
      </c>
      <c r="AK17">
        <v>42.5</v>
      </c>
      <c r="AL17">
        <v>100.89</v>
      </c>
      <c r="AM17">
        <v>101.43</v>
      </c>
      <c r="AN17">
        <v>108.77</v>
      </c>
      <c r="AO17">
        <v>109.25</v>
      </c>
      <c r="AP17">
        <v>109.74</v>
      </c>
      <c r="AQ17">
        <v>111</v>
      </c>
      <c r="AR17">
        <v>112</v>
      </c>
      <c r="AS17">
        <v>115</v>
      </c>
      <c r="AT17">
        <v>2.5000000000000001E-2</v>
      </c>
      <c r="AU17">
        <v>0.05</v>
      </c>
      <c r="AV17">
        <v>2.5000000000000001E-2</v>
      </c>
      <c r="AW17">
        <v>0.02</v>
      </c>
      <c r="AX17">
        <v>0</v>
      </c>
      <c r="AY17">
        <v>3.5000000000000003E-2</v>
      </c>
      <c r="AZ17" s="91">
        <f>Earnings!E18</f>
        <v>3.71</v>
      </c>
      <c r="BA17">
        <f>[1]Earnings!F18</f>
        <v>7.2499999999999995E-2</v>
      </c>
    </row>
    <row r="18" spans="1:56" ht="12.75">
      <c r="A18" t="s">
        <v>64</v>
      </c>
      <c r="B18" s="93">
        <f>'$perShare'!F487</f>
        <v>31.055999999999997</v>
      </c>
      <c r="C18" s="179">
        <v>0.75</v>
      </c>
      <c r="E18">
        <v>1.1200000000000001</v>
      </c>
      <c r="F18">
        <v>1.39</v>
      </c>
      <c r="G18">
        <v>1.31</v>
      </c>
      <c r="H18">
        <v>1.66</v>
      </c>
      <c r="I18">
        <v>1.95</v>
      </c>
      <c r="J18">
        <v>1.87</v>
      </c>
      <c r="K18">
        <v>1.9</v>
      </c>
      <c r="L18">
        <v>2</v>
      </c>
      <c r="M18">
        <v>2.25</v>
      </c>
      <c r="N18">
        <v>0.97</v>
      </c>
      <c r="O18">
        <v>1.01</v>
      </c>
      <c r="P18">
        <v>1.04</v>
      </c>
      <c r="Q18">
        <v>1.06</v>
      </c>
      <c r="R18">
        <v>1.08</v>
      </c>
      <c r="S18">
        <v>1.1100000000000001</v>
      </c>
      <c r="T18">
        <v>1.1499999999999999</v>
      </c>
      <c r="U18">
        <v>1.3</v>
      </c>
      <c r="V18">
        <v>6.4000000000000001E-2</v>
      </c>
      <c r="W18">
        <v>6.2E-2</v>
      </c>
      <c r="X18">
        <v>7.9000000000000001E-2</v>
      </c>
      <c r="Y18">
        <v>8.7999999999999995E-2</v>
      </c>
      <c r="Z18">
        <v>8.2000000000000003E-2</v>
      </c>
      <c r="AA18">
        <v>0.08</v>
      </c>
      <c r="AB18">
        <v>0.08</v>
      </c>
      <c r="AC18">
        <v>0.08</v>
      </c>
      <c r="AD18">
        <v>21.64</v>
      </c>
      <c r="AE18">
        <v>20.5</v>
      </c>
      <c r="AF18">
        <v>21.14</v>
      </c>
      <c r="AG18">
        <v>22.07</v>
      </c>
      <c r="AH18">
        <v>22.87</v>
      </c>
      <c r="AI18">
        <v>23.6</v>
      </c>
      <c r="AJ18">
        <v>24.35</v>
      </c>
      <c r="AK18">
        <v>26.75</v>
      </c>
      <c r="AL18">
        <v>62.58</v>
      </c>
      <c r="AM18">
        <v>75.209999999999994</v>
      </c>
      <c r="AN18">
        <v>75.319999999999993</v>
      </c>
      <c r="AO18">
        <v>75.36</v>
      </c>
      <c r="AP18">
        <v>75.56</v>
      </c>
      <c r="AQ18">
        <v>75.75</v>
      </c>
      <c r="AR18">
        <v>76</v>
      </c>
      <c r="AS18">
        <v>76.75</v>
      </c>
      <c r="AT18">
        <v>0.04</v>
      </c>
      <c r="AU18">
        <v>3.5000000000000003E-2</v>
      </c>
      <c r="AV18">
        <v>0.14499999999999999</v>
      </c>
      <c r="AW18">
        <v>3.5000000000000003E-2</v>
      </c>
      <c r="AX18">
        <v>0.02</v>
      </c>
      <c r="AY18">
        <v>3.5000000000000003E-2</v>
      </c>
      <c r="AZ18" s="91">
        <f>Earnings!E19</f>
        <v>2.09</v>
      </c>
      <c r="BA18">
        <f>[1]Earnings!F19</f>
        <v>4.7699999999999999E-2</v>
      </c>
    </row>
    <row r="19" spans="1:56" ht="12.75">
      <c r="A19" t="s">
        <v>65</v>
      </c>
      <c r="B19" s="93">
        <f>'$perShare'!F522</f>
        <v>29.321333333333332</v>
      </c>
      <c r="C19" s="179">
        <v>0.6</v>
      </c>
      <c r="E19">
        <v>1.1200000000000001</v>
      </c>
      <c r="F19">
        <v>1.46</v>
      </c>
      <c r="G19">
        <v>1.49</v>
      </c>
      <c r="H19">
        <v>1.56</v>
      </c>
      <c r="I19">
        <v>1.72</v>
      </c>
      <c r="J19">
        <v>1.85</v>
      </c>
      <c r="K19">
        <v>1.9</v>
      </c>
      <c r="L19">
        <v>1.95</v>
      </c>
      <c r="M19">
        <v>2.25</v>
      </c>
      <c r="N19">
        <v>0.94</v>
      </c>
      <c r="O19">
        <v>0.97</v>
      </c>
      <c r="P19">
        <v>1</v>
      </c>
      <c r="Q19">
        <v>1.03</v>
      </c>
      <c r="R19">
        <v>1.07</v>
      </c>
      <c r="S19">
        <v>1.1100000000000001</v>
      </c>
      <c r="T19">
        <v>1.1499999999999999</v>
      </c>
      <c r="U19">
        <v>1.35</v>
      </c>
      <c r="V19">
        <v>9.1999999999999998E-2</v>
      </c>
      <c r="W19">
        <v>9.4E-2</v>
      </c>
      <c r="X19">
        <v>8.8999999999999996E-2</v>
      </c>
      <c r="Y19">
        <v>9.9000000000000005E-2</v>
      </c>
      <c r="Z19">
        <v>0.10199999999999999</v>
      </c>
      <c r="AA19">
        <v>0.1</v>
      </c>
      <c r="AB19">
        <v>9.5000000000000001E-2</v>
      </c>
      <c r="AC19">
        <v>0.1</v>
      </c>
      <c r="AD19">
        <v>15.35</v>
      </c>
      <c r="AE19">
        <v>15.92</v>
      </c>
      <c r="AF19">
        <v>16.760000000000002</v>
      </c>
      <c r="AG19">
        <v>17.440000000000001</v>
      </c>
      <c r="AH19">
        <v>18.190000000000001</v>
      </c>
      <c r="AI19">
        <v>19.2</v>
      </c>
      <c r="AJ19">
        <v>20.2</v>
      </c>
      <c r="AK19">
        <v>23</v>
      </c>
      <c r="AL19">
        <v>453.79</v>
      </c>
      <c r="AM19">
        <v>457.51</v>
      </c>
      <c r="AN19">
        <v>482.33</v>
      </c>
      <c r="AO19">
        <v>486.49</v>
      </c>
      <c r="AP19">
        <v>487.96</v>
      </c>
      <c r="AQ19">
        <v>497</v>
      </c>
      <c r="AR19">
        <v>506.5</v>
      </c>
      <c r="AS19">
        <v>514</v>
      </c>
      <c r="AT19">
        <v>5.5E-2</v>
      </c>
      <c r="AU19">
        <v>4.4999999999999998E-2</v>
      </c>
      <c r="AV19">
        <v>0.03</v>
      </c>
      <c r="AW19">
        <v>4.4999999999999998E-2</v>
      </c>
      <c r="AX19">
        <v>4.4999999999999998E-2</v>
      </c>
      <c r="AY19">
        <v>4.4999999999999998E-2</v>
      </c>
      <c r="AZ19" s="91">
        <f>Earnings!E20</f>
        <v>1.99</v>
      </c>
      <c r="BA19">
        <f>[1]Earnings!F20</f>
        <v>5.11E-2</v>
      </c>
    </row>
    <row r="20" spans="1:56">
      <c r="C20" s="179"/>
    </row>
    <row r="21" spans="1:56" s="57" customFormat="1" ht="12.75">
      <c r="A21" s="65" t="s">
        <v>158</v>
      </c>
      <c r="B21" s="59"/>
      <c r="C21" s="180">
        <f>AVERAGE(C5:C19)</f>
        <v>0.66999999999999993</v>
      </c>
      <c r="D21" s="58"/>
      <c r="E21" s="60"/>
      <c r="F21" s="60"/>
      <c r="G21" s="60"/>
      <c r="H21" s="60"/>
      <c r="I21" s="60"/>
      <c r="J21" s="60"/>
      <c r="K21" s="60"/>
      <c r="L21" s="60"/>
      <c r="M21" s="60">
        <f>(M11/F11)^(1/9)-1</f>
        <v>8.5886914778599888E-2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5"/>
      <c r="BA21" s="5"/>
    </row>
    <row r="22" spans="1:56" s="57" customFormat="1" ht="12.75">
      <c r="A22"/>
      <c r="B22"/>
      <c r="C22"/>
      <c r="D22" s="58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5"/>
      <c r="BA22" s="5"/>
    </row>
    <row r="23" spans="1:56" s="57" customFormat="1" ht="12.75">
      <c r="A23"/>
      <c r="B23"/>
      <c r="C23"/>
      <c r="D23" s="58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5"/>
      <c r="BA23" s="5"/>
    </row>
    <row r="24" spans="1:56" s="57" customFormat="1" ht="12.75">
      <c r="A24" s="76"/>
      <c r="B24" s="77"/>
      <c r="C24" s="87"/>
      <c r="D24" s="87"/>
      <c r="E24" s="87" t="s">
        <v>238</v>
      </c>
      <c r="F24" s="87" t="s">
        <v>239</v>
      </c>
      <c r="G24" s="60"/>
      <c r="H24" s="118" t="s">
        <v>419</v>
      </c>
      <c r="I24" s="60"/>
      <c r="J24" s="60"/>
      <c r="K24" s="60" t="s">
        <v>534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5"/>
      <c r="BA24" s="5"/>
    </row>
    <row r="25" spans="1:56" ht="12.75">
      <c r="A25" s="24"/>
      <c r="B25" s="5"/>
      <c r="C25" s="95" t="s">
        <v>240</v>
      </c>
      <c r="D25" s="97" t="s">
        <v>241</v>
      </c>
      <c r="E25" s="97" t="s">
        <v>242</v>
      </c>
      <c r="F25" s="87">
        <v>2012</v>
      </c>
      <c r="H25" s="1" t="s">
        <v>46</v>
      </c>
      <c r="K25" s="5" t="s">
        <v>535</v>
      </c>
      <c r="L25" s="5"/>
      <c r="M25" s="5"/>
      <c r="O25" t="s">
        <v>7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6" ht="12.75">
      <c r="B26" s="5"/>
      <c r="C26" s="97" t="s">
        <v>243</v>
      </c>
      <c r="D26" s="97" t="s">
        <v>244</v>
      </c>
      <c r="E26" s="97" t="s">
        <v>245</v>
      </c>
      <c r="F26" s="87" t="s">
        <v>246</v>
      </c>
      <c r="H26" s="280" t="s">
        <v>47</v>
      </c>
      <c r="K26" s="272" t="s">
        <v>482</v>
      </c>
      <c r="L26" s="272" t="s">
        <v>483</v>
      </c>
      <c r="M26" s="282" t="s">
        <v>53</v>
      </c>
      <c r="N26" s="283" t="s">
        <v>54</v>
      </c>
      <c r="O26" s="272" t="s">
        <v>484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  <c r="AA26" s="6"/>
      <c r="AB26" s="6"/>
      <c r="AC26" s="6"/>
      <c r="AD26" s="6"/>
      <c r="AE26" s="6"/>
      <c r="AF26" s="6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2.75">
      <c r="A27" s="97" t="s">
        <v>66</v>
      </c>
      <c r="B27" s="5"/>
      <c r="C27" s="98" t="str">
        <f>[1]Sch1!J19</f>
        <v>A-</v>
      </c>
      <c r="D27" s="95">
        <v>4</v>
      </c>
      <c r="E27" s="99">
        <v>48.1</v>
      </c>
      <c r="F27" s="87">
        <v>45.5</v>
      </c>
      <c r="H27" t="s">
        <v>420</v>
      </c>
      <c r="K27" s="4">
        <f>B5*'SGH-5'!I19</f>
        <v>38915.333333333336</v>
      </c>
      <c r="L27" s="5">
        <f>K27/K$43</f>
        <v>0.2434718039064856</v>
      </c>
      <c r="M27" s="284">
        <v>0</v>
      </c>
      <c r="N27" s="285">
        <v>0.95</v>
      </c>
      <c r="O27" s="5">
        <f>L27*0</f>
        <v>0</v>
      </c>
      <c r="P27" s="5"/>
      <c r="Q27" s="68"/>
      <c r="R27" s="68"/>
      <c r="S27" s="5"/>
      <c r="T27" s="5"/>
      <c r="U27" s="5"/>
      <c r="V27" s="5"/>
      <c r="W27" s="5"/>
      <c r="X27" s="5"/>
      <c r="Y27" s="5">
        <f>AVERAGE(V5:V19)</f>
        <v>9.9466666666666675E-2</v>
      </c>
      <c r="Z27" s="5">
        <f>AVERAGE(W5:W19)</f>
        <v>9.3066666666666673E-2</v>
      </c>
      <c r="AA27" s="5">
        <f t="shared" ref="AA27:AF27" si="4">AVERAGE(X5:X19)</f>
        <v>9.9533333333333335E-2</v>
      </c>
      <c r="AB27" s="5">
        <f t="shared" si="4"/>
        <v>0.10373333333333336</v>
      </c>
      <c r="AC27" s="5">
        <f t="shared" si="4"/>
        <v>0.10360000000000001</v>
      </c>
      <c r="AD27" s="5">
        <f t="shared" si="4"/>
        <v>9.7333333333333341E-2</v>
      </c>
      <c r="AE27" s="5">
        <f t="shared" si="4"/>
        <v>9.8999999999999991E-2</v>
      </c>
      <c r="AF27" s="5">
        <f t="shared" si="4"/>
        <v>0.10200000000000002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2.75">
      <c r="A28" s="97" t="s">
        <v>67</v>
      </c>
      <c r="B28" s="5"/>
      <c r="C28" s="98" t="str">
        <f>[1]Sch1!J23</f>
        <v>BBB+</v>
      </c>
      <c r="D28" s="95">
        <v>3</v>
      </c>
      <c r="E28" s="99">
        <v>54.1</v>
      </c>
      <c r="F28" s="87">
        <v>56.3</v>
      </c>
      <c r="H28" s="280" t="s">
        <v>0</v>
      </c>
      <c r="K28" s="4">
        <f>B6*'SGH-5'!I36</f>
        <v>1932.4911999999997</v>
      </c>
      <c r="L28" s="5">
        <f t="shared" ref="L28:L41" si="5">K28/K$43</f>
        <v>1.2090532913266637E-2</v>
      </c>
      <c r="M28" s="284">
        <v>0</v>
      </c>
      <c r="N28" s="285">
        <v>0.91</v>
      </c>
      <c r="O28" s="5">
        <f>L28*0.5*0.91</f>
        <v>5.5011924755363198E-3</v>
      </c>
      <c r="P28" s="5"/>
      <c r="Q28" s="68"/>
      <c r="R28" s="68"/>
      <c r="S28" s="5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6"/>
      <c r="AF28" s="6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2.75">
      <c r="A29" s="97" t="s">
        <v>68</v>
      </c>
      <c r="B29" s="5"/>
      <c r="C29" s="100" t="str">
        <f>[1]Sch1!J24</f>
        <v>A</v>
      </c>
      <c r="D29" s="95">
        <v>3</v>
      </c>
      <c r="E29" s="101">
        <v>46.8</v>
      </c>
      <c r="F29" s="87">
        <v>48.4</v>
      </c>
      <c r="H29" s="291" t="s">
        <v>1</v>
      </c>
      <c r="K29" s="4">
        <f>B7*'SGH-5'!I52</f>
        <v>5570.8840733333327</v>
      </c>
      <c r="L29" s="5">
        <f t="shared" si="5"/>
        <v>3.4853952889736098E-2</v>
      </c>
      <c r="M29" s="284">
        <v>0.13</v>
      </c>
      <c r="N29" s="285">
        <v>0.84</v>
      </c>
      <c r="O29" s="60">
        <f>L29*0.33*N29+0.33*L29*M29</f>
        <v>1.1156750320004525E-2</v>
      </c>
      <c r="P29" s="5"/>
      <c r="Q29" s="68"/>
      <c r="R29" s="68"/>
      <c r="S29" s="5"/>
      <c r="T29" s="5"/>
      <c r="U29" s="5"/>
      <c r="V29" s="5"/>
      <c r="W29" s="5"/>
      <c r="X29" s="5"/>
      <c r="Y29" s="5"/>
      <c r="Z29" s="6"/>
      <c r="AA29" s="6"/>
      <c r="AB29" s="6"/>
      <c r="AC29" s="6"/>
      <c r="AD29" s="6"/>
      <c r="AE29" s="6"/>
      <c r="AF29" s="6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2.75">
      <c r="A30" s="97" t="s">
        <v>69</v>
      </c>
      <c r="B30" s="5"/>
      <c r="C30" s="98" t="str">
        <f>[1]Sch1!J26</f>
        <v>BBB</v>
      </c>
      <c r="D30" s="95">
        <v>1</v>
      </c>
      <c r="E30" s="99">
        <v>44.8</v>
      </c>
      <c r="F30" s="87">
        <v>49.4</v>
      </c>
      <c r="H30" s="281" t="s">
        <v>49</v>
      </c>
      <c r="K30" s="4">
        <f>B8*'SGH-5'!I75</f>
        <v>22717.699919999999</v>
      </c>
      <c r="L30" s="5">
        <f t="shared" si="5"/>
        <v>0.14213213420918805</v>
      </c>
      <c r="M30" s="284">
        <v>0</v>
      </c>
      <c r="N30" s="285">
        <v>0.92</v>
      </c>
      <c r="O30" s="60">
        <f>L30*(1/11)*N30</f>
        <v>1.1887414861132092E-2</v>
      </c>
      <c r="P30" s="5"/>
      <c r="Q30" s="68"/>
      <c r="R30" s="68"/>
      <c r="S30" s="5"/>
      <c r="T30" s="5"/>
      <c r="U30" s="5"/>
      <c r="V30" s="5"/>
      <c r="W30" s="5"/>
      <c r="X30" s="5"/>
      <c r="Y30" s="25"/>
      <c r="Z30" s="26"/>
      <c r="AA30" s="26">
        <f>AVERAGE(Y27:AC27)</f>
        <v>9.988000000000001E-2</v>
      </c>
      <c r="AB30" s="26"/>
      <c r="AC30" s="27">
        <f>AVERAGE(AA27:AC27)</f>
        <v>0.10228888888888892</v>
      </c>
      <c r="AD30" s="28"/>
      <c r="AE30" s="26">
        <f>AF27</f>
        <v>0.10200000000000002</v>
      </c>
      <c r="AF30" s="27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2.75">
      <c r="A31" s="97" t="s">
        <v>70</v>
      </c>
      <c r="B31" s="5"/>
      <c r="C31" s="98" t="str">
        <f>[1]Sch1!J29</f>
        <v>A-</v>
      </c>
      <c r="D31" s="101">
        <v>1</v>
      </c>
      <c r="E31" s="99">
        <v>52.6</v>
      </c>
      <c r="F31" s="87">
        <v>54.4</v>
      </c>
      <c r="H31" s="71" t="s">
        <v>416</v>
      </c>
      <c r="K31" s="4">
        <f>B9*'SGH-5'!I91</f>
        <v>2778.3305599999994</v>
      </c>
      <c r="L31" s="5">
        <f t="shared" si="5"/>
        <v>1.7382483852767104E-2</v>
      </c>
      <c r="M31" s="284">
        <v>0</v>
      </c>
      <c r="N31" s="285">
        <v>0.95</v>
      </c>
      <c r="O31" s="60">
        <v>0</v>
      </c>
      <c r="P31" s="5"/>
      <c r="Q31" s="68"/>
      <c r="R31" s="68"/>
      <c r="S31" s="5"/>
      <c r="T31" s="5"/>
      <c r="U31" s="5"/>
      <c r="V31" s="5"/>
      <c r="W31" s="5"/>
      <c r="X31" s="5"/>
      <c r="Y31" s="5"/>
      <c r="Z31" s="6"/>
      <c r="AA31" s="6"/>
      <c r="AB31" s="6"/>
      <c r="AC31" s="6"/>
      <c r="AD31" s="6"/>
      <c r="AE31" s="6"/>
      <c r="AF31" s="6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2.75">
      <c r="A32" s="97" t="s">
        <v>71</v>
      </c>
      <c r="B32" s="5"/>
      <c r="C32" s="100" t="str">
        <f>[1]Sch1!J32</f>
        <v>BBB/BBB-</v>
      </c>
      <c r="D32" s="101">
        <v>1</v>
      </c>
      <c r="E32" s="102">
        <v>40.299999999999997</v>
      </c>
      <c r="F32" s="87">
        <v>43</v>
      </c>
      <c r="H32" s="280" t="s">
        <v>50</v>
      </c>
      <c r="K32" s="4">
        <f>B10*'SGH-5'!I107</f>
        <v>12224.046333333332</v>
      </c>
      <c r="L32" s="5">
        <f t="shared" si="5"/>
        <v>7.6479124213586602E-2</v>
      </c>
      <c r="M32" s="284">
        <v>0.01</v>
      </c>
      <c r="N32" s="285">
        <v>0.76</v>
      </c>
      <c r="O32" s="60">
        <f>0.5*L32*M32</f>
        <v>3.8239562106793303E-4</v>
      </c>
      <c r="P32" s="5"/>
      <c r="Q32" s="68"/>
      <c r="R32" s="68"/>
      <c r="S32" s="5"/>
      <c r="T32" s="5"/>
      <c r="U32" s="5"/>
      <c r="V32" s="5"/>
      <c r="W32" s="5"/>
      <c r="X32" s="5"/>
      <c r="Y32" s="5"/>
      <c r="Z32" s="6"/>
      <c r="AA32" s="6"/>
      <c r="AB32" s="6"/>
      <c r="AC32" s="6"/>
      <c r="AD32" s="6"/>
      <c r="AE32" s="6"/>
      <c r="AF32" s="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2.75">
      <c r="A33" s="97" t="s">
        <v>72</v>
      </c>
      <c r="B33" s="5"/>
      <c r="C33" s="98" t="str">
        <f>[1]Sch1!J33</f>
        <v>BBB+</v>
      </c>
      <c r="D33" s="95">
        <v>0.5</v>
      </c>
      <c r="E33" s="102">
        <v>45.8</v>
      </c>
      <c r="F33" s="87">
        <v>48.8</v>
      </c>
      <c r="H33" t="s">
        <v>51</v>
      </c>
      <c r="K33" s="4">
        <f>B11*'SGH-5'!I130</f>
        <v>4064.6979999999999</v>
      </c>
      <c r="L33" s="5">
        <f t="shared" si="5"/>
        <v>2.5430576321118087E-2</v>
      </c>
      <c r="M33" s="284">
        <v>0</v>
      </c>
      <c r="N33" s="285">
        <v>1</v>
      </c>
      <c r="O33" s="60">
        <v>0</v>
      </c>
      <c r="P33" s="5"/>
      <c r="Q33" s="68"/>
      <c r="R33" s="68"/>
      <c r="S33" s="5"/>
      <c r="T33" s="5"/>
      <c r="U33" s="5"/>
      <c r="V33" s="5"/>
      <c r="W33" s="5"/>
      <c r="X33" s="5"/>
      <c r="Y33" s="5"/>
      <c r="Z33" s="6"/>
      <c r="AA33" s="6"/>
      <c r="AB33" s="6"/>
      <c r="AC33" s="6"/>
      <c r="AD33" s="6"/>
      <c r="AE33" s="6"/>
      <c r="AF33" s="6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2.75">
      <c r="A34" s="97" t="s">
        <v>230</v>
      </c>
      <c r="B34" s="5"/>
      <c r="C34" s="100" t="str">
        <f>[1]Sch1!J40</f>
        <v>A-</v>
      </c>
      <c r="D34" s="95">
        <v>2</v>
      </c>
      <c r="E34" s="99">
        <v>44</v>
      </c>
      <c r="F34" s="87">
        <v>48</v>
      </c>
      <c r="H34" s="71" t="s">
        <v>417</v>
      </c>
      <c r="K34" s="4">
        <f>B12*'SGH-5'!I146</f>
        <v>9541.1956266666657</v>
      </c>
      <c r="L34" s="5">
        <f t="shared" si="5"/>
        <v>5.9694005207438477E-2</v>
      </c>
      <c r="M34" s="284">
        <v>0.23</v>
      </c>
      <c r="N34" s="285">
        <v>0.75</v>
      </c>
      <c r="O34" s="60">
        <v>0</v>
      </c>
      <c r="P34" s="5"/>
      <c r="Q34" s="68"/>
      <c r="R34" s="68"/>
      <c r="S34" s="5"/>
      <c r="T34" s="5"/>
      <c r="U34" s="5"/>
      <c r="V34" s="5"/>
      <c r="W34" s="5"/>
      <c r="X34" s="5"/>
      <c r="Y34" s="5"/>
      <c r="Z34" s="6"/>
      <c r="AA34" s="6"/>
      <c r="AB34" s="6"/>
      <c r="AC34" s="6"/>
      <c r="AD34" s="6"/>
      <c r="AE34" s="6"/>
      <c r="AF34" s="6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2.75">
      <c r="A35" s="97" t="s">
        <v>231</v>
      </c>
      <c r="B35" s="5"/>
      <c r="C35" s="100" t="str">
        <f>[1]Sch1!J41</f>
        <v>AA-</v>
      </c>
      <c r="D35" s="95">
        <v>2.5</v>
      </c>
      <c r="E35" s="99">
        <v>45.8</v>
      </c>
      <c r="F35" s="87">
        <v>46.2</v>
      </c>
      <c r="H35" s="291" t="s">
        <v>2</v>
      </c>
      <c r="K35" s="4">
        <f>B13*'SGH-5'!I162</f>
        <v>15449.258580000002</v>
      </c>
      <c r="L35" s="5">
        <f t="shared" si="5"/>
        <v>9.6657500612192707E-2</v>
      </c>
      <c r="M35" s="284">
        <v>0</v>
      </c>
      <c r="N35" s="285">
        <v>0.98</v>
      </c>
      <c r="O35" s="60">
        <f>L35*N35</f>
        <v>9.4724350599948853E-2</v>
      </c>
      <c r="P35" s="5"/>
      <c r="Q35" s="68"/>
      <c r="R35" s="68"/>
      <c r="S35" s="5"/>
      <c r="T35" s="5"/>
      <c r="U35" s="5"/>
      <c r="V35" s="5"/>
      <c r="W35" s="5"/>
      <c r="X35" s="5"/>
      <c r="Y35" s="5"/>
      <c r="Z35" s="6"/>
      <c r="AA35" s="6"/>
      <c r="AB35" s="6"/>
      <c r="AC35" s="6"/>
      <c r="AD35" s="6"/>
      <c r="AE35" s="6"/>
      <c r="AF35" s="6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2.75">
      <c r="A36" s="97" t="s">
        <v>232</v>
      </c>
      <c r="B36" s="5"/>
      <c r="C36" s="100" t="str">
        <f>[1]Sch1!J45</f>
        <v>BBB+</v>
      </c>
      <c r="D36" s="95">
        <v>2</v>
      </c>
      <c r="E36" s="99">
        <v>52.2</v>
      </c>
      <c r="F36" s="87">
        <v>54.5</v>
      </c>
      <c r="H36" s="2" t="s">
        <v>3</v>
      </c>
      <c r="K36" s="4">
        <f>B14*'SGH-5'!I185</f>
        <v>2420.45408</v>
      </c>
      <c r="L36" s="5">
        <f t="shared" si="5"/>
        <v>1.5143447855954284E-2</v>
      </c>
      <c r="M36" s="284">
        <v>0</v>
      </c>
      <c r="N36" s="285">
        <v>1</v>
      </c>
      <c r="O36" s="60">
        <f>L36</f>
        <v>1.5143447855954284E-2</v>
      </c>
      <c r="Q36" s="68"/>
      <c r="R36" s="68"/>
      <c r="S36" s="5"/>
      <c r="T36" s="5"/>
      <c r="U36" s="5"/>
      <c r="V36" s="5"/>
      <c r="W36" s="5"/>
      <c r="X36" s="5"/>
      <c r="Y36" s="5"/>
      <c r="Z36" s="6"/>
      <c r="AA36" s="6"/>
      <c r="AB36" s="6"/>
      <c r="AC36" s="6"/>
      <c r="AD36" s="6"/>
      <c r="AE36" s="6"/>
      <c r="AF36" s="6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2.75">
      <c r="A37" s="97" t="s">
        <v>233</v>
      </c>
      <c r="B37" s="5"/>
      <c r="C37" s="100" t="str">
        <f>[1]Sch1!J48</f>
        <v>A-</v>
      </c>
      <c r="D37" s="95">
        <v>3</v>
      </c>
      <c r="E37" s="99">
        <v>43.5</v>
      </c>
      <c r="F37" s="87">
        <v>46.2</v>
      </c>
      <c r="H37" t="s">
        <v>418</v>
      </c>
      <c r="K37" s="4">
        <f>B15*'SGH-5'!I201</f>
        <v>1528.6998399999998</v>
      </c>
      <c r="L37" s="5">
        <f t="shared" si="5"/>
        <v>9.5642328047990284E-3</v>
      </c>
      <c r="M37" s="284">
        <v>0.25</v>
      </c>
      <c r="N37" s="285">
        <v>0.75</v>
      </c>
      <c r="O37" s="60">
        <v>0</v>
      </c>
      <c r="Q37" s="68"/>
      <c r="R37" s="68"/>
      <c r="S37" s="5"/>
      <c r="T37" s="5"/>
      <c r="U37" s="5"/>
      <c r="V37" s="5"/>
      <c r="W37" s="5"/>
      <c r="X37" s="5"/>
      <c r="Y37" s="5"/>
      <c r="Z37" s="6"/>
      <c r="AA37" s="6"/>
      <c r="AB37" s="6"/>
      <c r="AC37" s="6"/>
      <c r="AD37" s="6"/>
      <c r="AE37" s="6"/>
      <c r="AF37" s="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2.75">
      <c r="A38" s="97" t="s">
        <v>234</v>
      </c>
      <c r="C38" s="100" t="str">
        <f>[1]Sch1!J51</f>
        <v>BBB</v>
      </c>
      <c r="D38" s="95">
        <v>0.5</v>
      </c>
      <c r="E38" s="99">
        <v>48.9</v>
      </c>
      <c r="F38" s="87">
        <v>50.4</v>
      </c>
      <c r="H38" s="292" t="s">
        <v>4</v>
      </c>
      <c r="K38" s="4">
        <f>B16*'SGH-5'!I217</f>
        <v>19635.519786666671</v>
      </c>
      <c r="L38" s="5">
        <f t="shared" si="5"/>
        <v>0.12284863095355451</v>
      </c>
      <c r="M38" s="284">
        <v>0.2</v>
      </c>
      <c r="N38" s="285">
        <v>0.8</v>
      </c>
      <c r="O38" s="60">
        <f>L38</f>
        <v>0.12284863095355451</v>
      </c>
      <c r="Q38" s="293">
        <f>0.5-Q41</f>
        <v>0.35750000000000004</v>
      </c>
      <c r="R38" s="68"/>
      <c r="S38" s="5"/>
      <c r="T38" s="5"/>
      <c r="U38" s="5"/>
      <c r="V38" s="5"/>
      <c r="W38" s="5"/>
      <c r="X38" s="5"/>
      <c r="Y38" s="5"/>
      <c r="Z38" s="6"/>
      <c r="AA38" s="6"/>
      <c r="AB38" s="6"/>
      <c r="AC38" s="6"/>
      <c r="AD38" s="6"/>
      <c r="AE38" s="6"/>
      <c r="AF38" s="6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2.75">
      <c r="A39" s="97" t="s">
        <v>235</v>
      </c>
      <c r="C39" s="100" t="str">
        <f>[1]Sch1!J53</f>
        <v>A-</v>
      </c>
      <c r="D39" s="95">
        <v>2</v>
      </c>
      <c r="E39" s="102">
        <v>52.9</v>
      </c>
      <c r="F39" s="87">
        <v>55.4</v>
      </c>
      <c r="H39" s="280" t="s">
        <v>52</v>
      </c>
      <c r="K39" s="4">
        <f>B17*'SGH-5'!I240</f>
        <v>6402.2316000000001</v>
      </c>
      <c r="L39" s="5">
        <f t="shared" si="5"/>
        <v>4.0055236410988952E-2</v>
      </c>
      <c r="M39" s="284">
        <v>0</v>
      </c>
      <c r="N39" s="285">
        <v>1</v>
      </c>
      <c r="O39" s="60">
        <v>0</v>
      </c>
      <c r="Q39" s="68"/>
      <c r="R39" s="68"/>
      <c r="S39" s="5"/>
      <c r="T39" s="5"/>
      <c r="U39" s="5"/>
      <c r="V39" s="5"/>
      <c r="W39" s="5"/>
      <c r="X39" s="5"/>
      <c r="Y39" s="5"/>
      <c r="Z39" s="6"/>
      <c r="AA39" s="6"/>
      <c r="AB39" s="6"/>
      <c r="AC39" s="6"/>
      <c r="AD39" s="6"/>
      <c r="AE39" s="6"/>
      <c r="AF39" s="6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2.75">
      <c r="A40" s="97" t="s">
        <v>236</v>
      </c>
      <c r="C40" s="100" t="str">
        <f>[1]Sch1!J54</f>
        <v>A-</v>
      </c>
      <c r="D40" s="95">
        <v>3</v>
      </c>
      <c r="E40" s="99">
        <v>51.1</v>
      </c>
      <c r="F40" s="87">
        <v>52.9</v>
      </c>
      <c r="H40" s="292" t="s">
        <v>5</v>
      </c>
      <c r="K40" s="3">
        <f>B18*'SGH-5'!I256</f>
        <v>2346.5913599999999</v>
      </c>
      <c r="L40" s="5">
        <f t="shared" si="5"/>
        <v>1.4681329504665854E-2</v>
      </c>
      <c r="M40" s="284">
        <v>0</v>
      </c>
      <c r="N40" s="285">
        <v>1</v>
      </c>
      <c r="O40" s="60">
        <f>L40</f>
        <v>1.4681329504665854E-2</v>
      </c>
      <c r="Q40" s="69"/>
      <c r="R40" s="69"/>
    </row>
    <row r="41" spans="1:56" ht="12.75">
      <c r="A41" s="97" t="s">
        <v>237</v>
      </c>
      <c r="C41" s="100" t="str">
        <f>[1]Sch1!J57</f>
        <v>BBB</v>
      </c>
      <c r="D41" s="103">
        <v>3</v>
      </c>
      <c r="E41" s="99">
        <v>44.6</v>
      </c>
      <c r="F41" s="87">
        <v>46.7</v>
      </c>
      <c r="H41" s="281" t="s">
        <v>6</v>
      </c>
      <c r="K41" s="3">
        <f>B19*'SGH-5'!I272</f>
        <v>14307.637813333333</v>
      </c>
      <c r="L41" s="5">
        <f t="shared" si="5"/>
        <v>8.9515008344257907E-2</v>
      </c>
      <c r="M41" s="284">
        <v>0.1</v>
      </c>
      <c r="N41" s="285">
        <v>0.84</v>
      </c>
      <c r="O41">
        <f>L41*(1/8*N41+L41*M41*(2/8))</f>
        <v>9.5993992941188939E-3</v>
      </c>
      <c r="Q41">
        <f>0.285*0.5</f>
        <v>0.14249999999999999</v>
      </c>
    </row>
    <row r="42" spans="1:56">
      <c r="C42" s="87"/>
      <c r="D42" s="87"/>
      <c r="E42" s="87"/>
      <c r="F42" s="87"/>
      <c r="K42" s="3"/>
      <c r="M42" s="284"/>
      <c r="N42" s="285"/>
    </row>
    <row r="43" spans="1:56" ht="12.75">
      <c r="C43" s="96" t="s">
        <v>247</v>
      </c>
      <c r="D43" s="92">
        <f>AVERAGE(D27:D41)</f>
        <v>2.1</v>
      </c>
      <c r="E43" s="104">
        <f>AVERAGE(E27:E41)</f>
        <v>47.7</v>
      </c>
      <c r="F43" s="104">
        <f>AVERAGE(F27:F41)</f>
        <v>49.74</v>
      </c>
      <c r="K43" s="3">
        <f>SUM(K27:K41)</f>
        <v>159835.07210666669</v>
      </c>
      <c r="L43">
        <f>SUM(L27:L41)</f>
        <v>0.99999999999999978</v>
      </c>
      <c r="M43" s="284"/>
      <c r="N43" s="285"/>
      <c r="O43">
        <f>SUM(O27:O41)</f>
        <v>0.28592491148598326</v>
      </c>
      <c r="Q43" s="69">
        <f>0.45*0.28</f>
        <v>0.12600000000000003</v>
      </c>
      <c r="R43" s="69"/>
    </row>
    <row r="44" spans="1:56" ht="12.75">
      <c r="C44" s="97" t="s">
        <v>248</v>
      </c>
      <c r="D44" s="87"/>
      <c r="E44" s="87"/>
      <c r="F44" s="87"/>
      <c r="K44" s="64"/>
      <c r="L44" s="33"/>
      <c r="M44" s="286"/>
      <c r="N44" s="287"/>
      <c r="O44" s="33"/>
    </row>
    <row r="45" spans="1:56" ht="12.75">
      <c r="C45" s="97" t="s">
        <v>249</v>
      </c>
      <c r="D45" s="87"/>
      <c r="E45" s="87"/>
      <c r="F45" s="87"/>
      <c r="K45" s="64"/>
      <c r="M45" s="284"/>
      <c r="N45" s="285"/>
      <c r="Q45">
        <f>0.45-0.13</f>
        <v>0.32</v>
      </c>
    </row>
    <row r="46" spans="1:56" ht="12.75">
      <c r="C46" s="97" t="s">
        <v>250</v>
      </c>
      <c r="D46" s="87"/>
      <c r="E46" s="87"/>
      <c r="F46" s="87"/>
      <c r="M46" s="284"/>
      <c r="N46" s="285"/>
    </row>
    <row r="47" spans="1:56" ht="12.75">
      <c r="C47" s="97" t="s">
        <v>251</v>
      </c>
      <c r="D47" s="87"/>
      <c r="E47" s="87"/>
      <c r="F47" s="87"/>
      <c r="M47" s="284"/>
      <c r="N47" s="285"/>
    </row>
    <row r="48" spans="1:56" ht="12.75">
      <c r="C48" s="97" t="s">
        <v>252</v>
      </c>
      <c r="D48" s="90"/>
      <c r="E48" s="90"/>
      <c r="F48" s="87"/>
      <c r="K48">
        <f>50%*0.8</f>
        <v>0.4</v>
      </c>
      <c r="M48" s="284" t="s">
        <v>55</v>
      </c>
      <c r="N48" s="285"/>
    </row>
    <row r="49" spans="1:14" ht="12.75">
      <c r="A49" s="56"/>
      <c r="B49" s="57"/>
      <c r="C49" s="97" t="s">
        <v>253</v>
      </c>
      <c r="D49" s="87"/>
      <c r="E49" s="87"/>
      <c r="F49" s="87"/>
      <c r="K49">
        <f>50%*0.7</f>
        <v>0.35</v>
      </c>
      <c r="M49" s="284"/>
      <c r="N49" s="285"/>
    </row>
    <row r="50" spans="1:14" ht="12.75">
      <c r="A50" s="56"/>
      <c r="B50" s="57"/>
      <c r="C50" s="57"/>
      <c r="D50" s="57"/>
      <c r="E50" s="57"/>
      <c r="F50" s="57"/>
      <c r="M50" s="288"/>
      <c r="N50" s="289"/>
    </row>
    <row r="51" spans="1:14" ht="12.75">
      <c r="A51" s="56"/>
      <c r="B51" s="57"/>
      <c r="C51" s="57"/>
      <c r="D51" s="57"/>
      <c r="E51" s="57"/>
      <c r="F51" s="57"/>
      <c r="G51" t="s">
        <v>57</v>
      </c>
      <c r="H51" s="280" t="s">
        <v>48</v>
      </c>
    </row>
    <row r="52" spans="1:14" ht="12.75">
      <c r="A52" s="56"/>
      <c r="D52" s="57"/>
      <c r="E52" s="57"/>
      <c r="F52" s="57"/>
      <c r="G52" t="s">
        <v>58</v>
      </c>
      <c r="H52" s="290" t="s">
        <v>56</v>
      </c>
    </row>
    <row r="53" spans="1:14" ht="12.75">
      <c r="A53" s="56"/>
      <c r="D53" s="57"/>
      <c r="E53" s="57"/>
      <c r="F53" s="57"/>
      <c r="G53" t="s">
        <v>59</v>
      </c>
      <c r="H53" s="291" t="s">
        <v>60</v>
      </c>
    </row>
    <row r="54" spans="1:14" ht="12.75">
      <c r="A54" s="56"/>
      <c r="D54" s="57"/>
      <c r="E54" s="57"/>
      <c r="F54" s="57"/>
    </row>
    <row r="55" spans="1:14" ht="12.75">
      <c r="A55" s="56"/>
      <c r="D55" s="57"/>
      <c r="E55" s="57"/>
      <c r="F55" s="57"/>
    </row>
    <row r="56" spans="1:14" ht="12.75">
      <c r="A56" s="56"/>
      <c r="D56" s="57"/>
      <c r="E56" s="57"/>
      <c r="F56" s="57"/>
    </row>
    <row r="57" spans="1:14" ht="12.75">
      <c r="A57" s="56"/>
      <c r="D57" s="57"/>
      <c r="E57" s="57"/>
      <c r="F57" s="57"/>
    </row>
    <row r="58" spans="1:14" ht="12.75">
      <c r="A58" s="56"/>
      <c r="D58" s="57"/>
      <c r="E58" s="57"/>
      <c r="F58" s="57"/>
    </row>
    <row r="59" spans="1:14" ht="12.75">
      <c r="A59" s="56"/>
      <c r="D59" s="57"/>
      <c r="E59" s="57"/>
      <c r="F59" s="57"/>
    </row>
    <row r="60" spans="1:14" ht="12.75">
      <c r="A60" s="56"/>
      <c r="D60" s="57"/>
      <c r="E60" s="57"/>
      <c r="F60" s="57"/>
    </row>
    <row r="61" spans="1:14" ht="12.75">
      <c r="A61" s="56"/>
      <c r="D61" s="57"/>
      <c r="E61" s="57"/>
      <c r="F61" s="57"/>
    </row>
    <row r="62" spans="1:14" ht="12.75">
      <c r="A62" s="56"/>
      <c r="D62" s="57"/>
      <c r="E62" s="57"/>
      <c r="F62" s="57"/>
    </row>
    <row r="63" spans="1:14" ht="12.75">
      <c r="A63" s="56"/>
      <c r="D63" s="57"/>
      <c r="E63" s="57"/>
      <c r="F63" s="57"/>
    </row>
    <row r="64" spans="1:14" ht="12.75">
      <c r="A64" s="56"/>
      <c r="D64" s="57"/>
      <c r="E64" s="57"/>
      <c r="F64" s="57"/>
    </row>
    <row r="65" spans="1:6" ht="12.75">
      <c r="A65" s="56"/>
      <c r="D65" s="57"/>
      <c r="E65" s="57"/>
      <c r="F65" s="57"/>
    </row>
    <row r="66" spans="1:6" ht="12.75">
      <c r="A66" s="56"/>
      <c r="D66" s="57"/>
      <c r="E66" s="57"/>
      <c r="F66" s="57"/>
    </row>
    <row r="67" spans="1:6" ht="12.75">
      <c r="A67" s="56"/>
      <c r="D67" s="57"/>
      <c r="E67" s="57"/>
      <c r="F67" s="57"/>
    </row>
    <row r="68" spans="1:6" ht="12.75">
      <c r="A68" s="56"/>
      <c r="B68" s="57"/>
      <c r="C68" s="57"/>
      <c r="D68" s="57"/>
      <c r="E68" s="57"/>
      <c r="F68" s="57"/>
    </row>
    <row r="69" spans="1:6" ht="12.75">
      <c r="A69" s="56"/>
      <c r="B69" s="57"/>
      <c r="C69" s="57"/>
      <c r="D69" s="57"/>
      <c r="E69" s="57"/>
      <c r="F69" s="57"/>
    </row>
    <row r="70" spans="1:6" ht="12.75">
      <c r="A70" s="56"/>
      <c r="B70" s="57"/>
      <c r="C70" s="57"/>
      <c r="D70" s="57"/>
      <c r="E70" s="57"/>
      <c r="F70" s="57"/>
    </row>
    <row r="71" spans="1:6" ht="12.75">
      <c r="A71" s="56"/>
      <c r="B71" s="57"/>
      <c r="C71" s="57"/>
      <c r="D71" s="57"/>
      <c r="E71" s="57"/>
      <c r="F71" s="57"/>
    </row>
    <row r="72" spans="1:6" ht="12.75">
      <c r="A72" s="56"/>
      <c r="B72" s="57"/>
      <c r="C72" s="57"/>
      <c r="D72" s="57"/>
      <c r="E72" s="57"/>
      <c r="F72" s="57"/>
    </row>
    <row r="73" spans="1:6" ht="12.75">
      <c r="A73" s="56"/>
      <c r="B73" s="57"/>
      <c r="C73" s="57"/>
      <c r="D73" s="57"/>
      <c r="E73" s="57"/>
      <c r="F73" s="57"/>
    </row>
    <row r="74" spans="1:6" ht="12.75">
      <c r="A74" s="56"/>
      <c r="B74" s="57"/>
      <c r="C74" s="57"/>
      <c r="D74" s="57"/>
      <c r="E74" s="57"/>
      <c r="F74" s="57"/>
    </row>
    <row r="75" spans="1:6" ht="12.75">
      <c r="A75" s="56"/>
      <c r="B75" s="57"/>
      <c r="C75" s="57"/>
      <c r="D75" s="57"/>
      <c r="E75" s="57"/>
      <c r="F75" s="57"/>
    </row>
    <row r="76" spans="1:6" ht="12.75">
      <c r="A76" s="56"/>
      <c r="B76" s="57"/>
      <c r="C76" s="57"/>
      <c r="D76" s="57"/>
      <c r="E76" s="57"/>
      <c r="F76" s="57"/>
    </row>
    <row r="77" spans="1:6" ht="12.75">
      <c r="A77" s="56"/>
      <c r="B77" s="57"/>
      <c r="C77" s="57"/>
      <c r="D77" s="57"/>
      <c r="E77" s="57"/>
      <c r="F77" s="57"/>
    </row>
    <row r="78" spans="1:6" ht="12.75">
      <c r="A78" s="56"/>
      <c r="B78" s="57"/>
      <c r="C78" s="57"/>
      <c r="D78" s="57"/>
      <c r="E78" s="57"/>
      <c r="F78" s="57"/>
    </row>
    <row r="79" spans="1:6" ht="12.75">
      <c r="A79" s="56"/>
      <c r="B79" s="57"/>
      <c r="C79" s="57"/>
      <c r="D79" s="57"/>
      <c r="E79" s="57"/>
      <c r="F79" s="57"/>
    </row>
    <row r="80" spans="1:6" ht="12.75">
      <c r="A80" s="56"/>
      <c r="B80" s="57"/>
      <c r="C80" s="57"/>
      <c r="D80" s="57"/>
      <c r="E80" s="57"/>
      <c r="F80" s="57"/>
    </row>
    <row r="81" spans="1:6" ht="12.75">
      <c r="A81" s="56"/>
      <c r="B81" s="57"/>
      <c r="C81" s="57"/>
      <c r="D81" s="57"/>
      <c r="E81" s="57"/>
      <c r="F81" s="57"/>
    </row>
    <row r="82" spans="1:6" ht="12.75">
      <c r="A82" s="56"/>
      <c r="B82" s="57"/>
      <c r="C82" s="57"/>
      <c r="D82" s="57"/>
      <c r="E82" s="57"/>
      <c r="F82" s="57"/>
    </row>
    <row r="83" spans="1:6" ht="12.75">
      <c r="A83" s="56"/>
      <c r="B83" s="57"/>
      <c r="C83" s="57"/>
      <c r="D83" s="57"/>
      <c r="E83" s="57"/>
      <c r="F83" s="57"/>
    </row>
    <row r="84" spans="1:6" ht="12.75">
      <c r="A84" s="56"/>
      <c r="B84" s="57"/>
      <c r="C84" s="57"/>
      <c r="D84" s="57"/>
      <c r="E84" s="57"/>
      <c r="F84" s="57"/>
    </row>
    <row r="85" spans="1:6" ht="12.75">
      <c r="A85" s="56"/>
      <c r="B85" s="57"/>
      <c r="C85" s="57"/>
      <c r="D85" s="57"/>
      <c r="E85" s="57"/>
      <c r="F85" s="57"/>
    </row>
    <row r="86" spans="1:6" ht="12.75">
      <c r="A86" s="56"/>
      <c r="B86" s="57"/>
      <c r="C86" s="57"/>
      <c r="D86" s="57"/>
      <c r="E86" s="57"/>
      <c r="F86" s="57"/>
    </row>
    <row r="87" spans="1:6" ht="12.75">
      <c r="A87" s="56"/>
      <c r="B87" s="57"/>
      <c r="C87" s="57"/>
      <c r="D87" s="57"/>
      <c r="E87" s="57"/>
      <c r="F87" s="57"/>
    </row>
    <row r="88" spans="1:6" ht="12.75">
      <c r="A88" s="56"/>
      <c r="B88" s="57"/>
      <c r="C88" s="57"/>
      <c r="D88" s="57"/>
      <c r="E88" s="57"/>
      <c r="F88" s="57"/>
    </row>
    <row r="89" spans="1:6" ht="12.75">
      <c r="A89" s="56"/>
      <c r="B89" s="57"/>
      <c r="C89" s="57"/>
      <c r="D89" s="57"/>
      <c r="E89" s="57"/>
      <c r="F89" s="57"/>
    </row>
    <row r="90" spans="1:6" ht="12.75">
      <c r="A90" s="56"/>
      <c r="B90" s="57"/>
      <c r="C90" s="57"/>
      <c r="D90" s="57"/>
      <c r="E90" s="57"/>
      <c r="F90" s="57"/>
    </row>
    <row r="91" spans="1:6" ht="12.75">
      <c r="A91" s="56"/>
      <c r="B91" s="57"/>
      <c r="C91" s="57"/>
      <c r="D91" s="57"/>
      <c r="E91" s="57"/>
      <c r="F91" s="57"/>
    </row>
    <row r="92" spans="1:6" ht="12.75">
      <c r="A92" s="56"/>
      <c r="B92" s="57"/>
      <c r="C92" s="57"/>
      <c r="D92" s="57"/>
      <c r="E92" s="57"/>
      <c r="F92" s="57"/>
    </row>
    <row r="93" spans="1:6" ht="12.75">
      <c r="A93" s="56"/>
      <c r="B93" s="57"/>
      <c r="C93" s="57"/>
      <c r="D93" s="57"/>
      <c r="E93" s="57"/>
      <c r="F93" s="57"/>
    </row>
    <row r="94" spans="1:6" ht="12.75">
      <c r="A94" s="56"/>
      <c r="B94" s="57"/>
      <c r="C94" s="57"/>
      <c r="D94" s="57"/>
      <c r="E94" s="57"/>
      <c r="F94" s="57"/>
    </row>
    <row r="95" spans="1:6" ht="12.75">
      <c r="A95" s="56"/>
      <c r="B95" s="57"/>
      <c r="C95" s="57"/>
      <c r="D95" s="57"/>
      <c r="E95" s="57"/>
      <c r="F95" s="57"/>
    </row>
    <row r="96" spans="1:6" ht="12.75">
      <c r="A96" s="56"/>
      <c r="B96" s="57"/>
      <c r="C96" s="57"/>
      <c r="D96" s="57"/>
      <c r="E96" s="57"/>
      <c r="F96" s="57"/>
    </row>
    <row r="97" spans="1:7" ht="12.75">
      <c r="A97" s="56"/>
      <c r="B97" s="57"/>
      <c r="C97" s="57"/>
      <c r="D97" s="57"/>
      <c r="E97" s="57"/>
      <c r="F97" s="57"/>
    </row>
    <row r="98" spans="1:7" ht="12.75">
      <c r="A98" s="56"/>
      <c r="B98" s="57"/>
      <c r="C98" s="57"/>
      <c r="D98" s="57"/>
      <c r="E98" s="57"/>
      <c r="F98" s="57"/>
    </row>
    <row r="99" spans="1:7" ht="12.75">
      <c r="A99" s="56"/>
      <c r="B99" s="57"/>
      <c r="C99" s="57"/>
      <c r="D99" s="57"/>
      <c r="E99" s="57"/>
      <c r="F99" s="57"/>
    </row>
    <row r="100" spans="1:7" ht="12.75">
      <c r="A100" s="56"/>
      <c r="B100" s="57"/>
      <c r="C100" s="57"/>
      <c r="D100" s="57"/>
      <c r="E100" s="57"/>
      <c r="F100" s="57"/>
    </row>
    <row r="101" spans="1:7" ht="12.75">
      <c r="A101" s="56"/>
      <c r="B101" s="57"/>
      <c r="C101" s="57"/>
      <c r="D101" s="57"/>
      <c r="E101" s="57"/>
      <c r="F101" s="57"/>
    </row>
    <row r="102" spans="1:7" ht="12.75">
      <c r="A102" s="56"/>
      <c r="B102" s="57"/>
      <c r="C102" s="57"/>
      <c r="D102" s="57"/>
      <c r="E102" s="57"/>
      <c r="F102" s="57"/>
    </row>
    <row r="103" spans="1:7" ht="12.75">
      <c r="A103" s="56"/>
      <c r="B103" s="57"/>
      <c r="C103" s="57"/>
      <c r="D103" s="57"/>
      <c r="E103" s="57"/>
      <c r="F103" s="57"/>
    </row>
    <row r="104" spans="1:7" ht="12.75">
      <c r="A104" s="56"/>
      <c r="B104" s="57"/>
      <c r="C104" s="57"/>
      <c r="D104" s="57"/>
      <c r="E104" s="57"/>
      <c r="F104" s="57"/>
    </row>
    <row r="105" spans="1:7" ht="12.75">
      <c r="A105" s="56"/>
      <c r="B105" s="57"/>
      <c r="C105" s="57"/>
      <c r="D105" s="57"/>
      <c r="E105" s="57"/>
      <c r="F105" s="57"/>
    </row>
    <row r="106" spans="1:7" ht="12.75">
      <c r="A106" s="56"/>
      <c r="B106" s="57"/>
      <c r="C106" s="57"/>
      <c r="D106" s="57"/>
      <c r="E106" s="57"/>
      <c r="F106" s="57"/>
    </row>
    <row r="107" spans="1:7" ht="12.75">
      <c r="A107" s="56"/>
      <c r="B107" s="57"/>
      <c r="C107" s="57"/>
      <c r="D107" s="57"/>
      <c r="E107" s="57"/>
      <c r="F107" s="57"/>
    </row>
    <row r="108" spans="1:7" ht="12.75">
      <c r="A108" s="56"/>
      <c r="B108" s="57"/>
      <c r="C108" s="57"/>
      <c r="D108" s="57"/>
      <c r="E108" s="57"/>
      <c r="F108" s="57"/>
    </row>
    <row r="109" spans="1:7" ht="12.75">
      <c r="A109" s="56"/>
      <c r="B109" s="57"/>
      <c r="C109" s="57"/>
      <c r="D109" s="57"/>
      <c r="E109" s="57"/>
      <c r="F109" s="57"/>
    </row>
    <row r="110" spans="1:7" ht="12.75">
      <c r="A110" s="56"/>
      <c r="B110" s="57"/>
      <c r="C110" s="57"/>
      <c r="D110" s="57"/>
      <c r="E110" s="57"/>
      <c r="F110" s="57"/>
    </row>
    <row r="111" spans="1:7" ht="12.75">
      <c r="A111" s="56"/>
      <c r="B111" s="57"/>
      <c r="C111" s="57"/>
      <c r="D111" s="57"/>
      <c r="E111" s="57"/>
      <c r="F111" s="57"/>
      <c r="G111" s="55"/>
    </row>
    <row r="112" spans="1:7" ht="12.75">
      <c r="A112" s="56"/>
      <c r="B112" s="57"/>
      <c r="C112" s="57"/>
      <c r="D112" s="57"/>
      <c r="E112" s="57"/>
      <c r="F112" s="57"/>
    </row>
    <row r="113" spans="1:6" ht="12.75">
      <c r="A113" s="56"/>
      <c r="B113" s="57"/>
      <c r="C113" s="57"/>
      <c r="D113" s="57"/>
      <c r="E113" s="57"/>
      <c r="F113" s="57"/>
    </row>
    <row r="114" spans="1:6" ht="12.75">
      <c r="A114" s="56"/>
      <c r="B114" s="57"/>
      <c r="C114" s="57"/>
      <c r="D114" s="57"/>
      <c r="E114" s="57"/>
      <c r="F114" s="57"/>
    </row>
    <row r="115" spans="1:6" ht="12.75">
      <c r="A115" s="56"/>
      <c r="B115" s="57"/>
      <c r="C115" s="57"/>
      <c r="D115" s="57"/>
      <c r="E115" s="57"/>
      <c r="F115" s="57"/>
    </row>
    <row r="116" spans="1:6" ht="12.75">
      <c r="A116" s="56"/>
      <c r="B116" s="57"/>
      <c r="C116" s="57"/>
      <c r="D116" s="57"/>
      <c r="E116" s="57"/>
      <c r="F116" s="57"/>
    </row>
    <row r="117" spans="1:6" ht="12.75">
      <c r="A117" s="56"/>
      <c r="B117" s="57"/>
      <c r="C117" s="57"/>
      <c r="D117" s="57"/>
      <c r="E117" s="57"/>
      <c r="F117" s="57"/>
    </row>
    <row r="118" spans="1:6" ht="12.75">
      <c r="A118" s="56"/>
      <c r="B118" s="57"/>
      <c r="C118" s="57"/>
      <c r="D118" s="57"/>
      <c r="E118" s="57"/>
      <c r="F118" s="57"/>
    </row>
    <row r="119" spans="1:6" ht="12.75">
      <c r="A119" s="56"/>
      <c r="B119" s="57"/>
      <c r="C119" s="57"/>
      <c r="D119" s="57"/>
      <c r="E119" s="57"/>
      <c r="F119" s="57"/>
    </row>
    <row r="120" spans="1:6" ht="12.75">
      <c r="A120" s="56"/>
      <c r="B120" s="57"/>
      <c r="C120" s="57"/>
      <c r="D120" s="57"/>
      <c r="E120" s="57"/>
      <c r="F120" s="57"/>
    </row>
    <row r="121" spans="1:6" ht="12.75">
      <c r="A121" s="56"/>
      <c r="B121" s="57"/>
      <c r="C121" s="57"/>
      <c r="D121" s="57"/>
      <c r="E121" s="57"/>
      <c r="F121" s="57"/>
    </row>
    <row r="122" spans="1:6" ht="12.75">
      <c r="A122" s="56"/>
      <c r="B122" s="57"/>
      <c r="C122" s="57"/>
      <c r="D122" s="57"/>
      <c r="E122" s="57"/>
      <c r="F122" s="57"/>
    </row>
    <row r="123" spans="1:6" ht="12.75">
      <c r="A123" s="56"/>
      <c r="B123" s="57"/>
      <c r="C123" s="57"/>
      <c r="D123" s="57"/>
      <c r="E123" s="57"/>
      <c r="F123" s="57"/>
    </row>
    <row r="124" spans="1:6" ht="12.75">
      <c r="A124" s="56"/>
      <c r="B124" s="57"/>
      <c r="C124" s="57"/>
      <c r="D124" s="57"/>
      <c r="E124" s="57"/>
      <c r="F124" s="57"/>
    </row>
    <row r="125" spans="1:6" ht="12.75">
      <c r="A125" s="56"/>
      <c r="B125" s="57"/>
      <c r="C125" s="57"/>
      <c r="D125" s="57"/>
      <c r="E125" s="57"/>
      <c r="F125" s="57"/>
    </row>
    <row r="126" spans="1:6" ht="12.75">
      <c r="A126" s="56"/>
      <c r="B126" s="57"/>
      <c r="C126" s="57"/>
      <c r="D126" s="57"/>
      <c r="E126" s="57"/>
      <c r="F126" s="57"/>
    </row>
    <row r="127" spans="1:6" ht="12.75">
      <c r="A127" s="56"/>
      <c r="B127" s="57"/>
      <c r="C127" s="57"/>
      <c r="D127" s="57"/>
      <c r="E127" s="57"/>
      <c r="F127" s="57"/>
    </row>
    <row r="128" spans="1:6" ht="12.75">
      <c r="A128" s="56"/>
      <c r="B128" s="57"/>
      <c r="C128" s="57"/>
      <c r="D128" s="57"/>
      <c r="E128" s="57"/>
      <c r="F128" s="57"/>
    </row>
    <row r="129" spans="1:7" ht="12.75">
      <c r="A129" s="56"/>
      <c r="B129" s="57"/>
      <c r="C129" s="57"/>
      <c r="D129" s="57"/>
      <c r="E129" s="57"/>
      <c r="F129" s="57"/>
    </row>
    <row r="130" spans="1:7" ht="12.75">
      <c r="A130" s="56"/>
      <c r="B130" s="57"/>
      <c r="C130" s="57"/>
      <c r="D130" s="57"/>
      <c r="E130" s="57"/>
      <c r="F130" s="57"/>
    </row>
    <row r="131" spans="1:7" ht="12.75">
      <c r="A131" s="56"/>
      <c r="B131" s="57"/>
      <c r="C131" s="57"/>
      <c r="D131" s="57"/>
      <c r="E131" s="57"/>
      <c r="F131" s="57"/>
    </row>
    <row r="132" spans="1:7" ht="12.75">
      <c r="A132" s="56"/>
      <c r="B132" s="57"/>
      <c r="C132" s="57"/>
      <c r="D132" s="57"/>
      <c r="E132" s="57"/>
      <c r="F132" s="57"/>
    </row>
    <row r="133" spans="1:7" ht="12.75">
      <c r="A133" s="56"/>
      <c r="B133" s="57"/>
      <c r="C133" s="57"/>
      <c r="D133" s="57"/>
      <c r="E133" s="57"/>
      <c r="F133" s="57"/>
    </row>
    <row r="134" spans="1:7" ht="12.75">
      <c r="A134" s="56"/>
      <c r="B134" s="57"/>
      <c r="C134" s="57"/>
      <c r="D134" s="57"/>
      <c r="E134" s="57"/>
      <c r="F134" s="57"/>
    </row>
    <row r="135" spans="1:7" ht="12.75">
      <c r="A135" s="56"/>
      <c r="B135" s="57"/>
      <c r="C135" s="57"/>
      <c r="D135" s="57"/>
      <c r="E135" s="57"/>
      <c r="F135" s="57"/>
    </row>
    <row r="136" spans="1:7" ht="12.75">
      <c r="A136" s="56"/>
      <c r="B136" s="57"/>
      <c r="C136" s="57"/>
      <c r="D136" s="57"/>
      <c r="E136" s="57"/>
      <c r="F136" s="57"/>
    </row>
    <row r="137" spans="1:7" ht="12.75">
      <c r="A137" s="56"/>
      <c r="B137" s="57"/>
      <c r="C137" s="57"/>
      <c r="D137" s="57"/>
      <c r="E137" s="57"/>
      <c r="F137" s="57"/>
      <c r="G137" s="55"/>
    </row>
    <row r="138" spans="1:7" ht="12.75">
      <c r="A138" s="56"/>
      <c r="B138" s="57"/>
      <c r="C138" s="57"/>
      <c r="D138" s="57"/>
      <c r="E138" s="57"/>
      <c r="F138" s="57"/>
    </row>
    <row r="139" spans="1:7" ht="12.75">
      <c r="A139" s="56"/>
      <c r="B139" s="57"/>
      <c r="C139" s="57"/>
      <c r="D139" s="57"/>
      <c r="E139" s="57"/>
      <c r="F139" s="57"/>
    </row>
    <row r="140" spans="1:7" ht="12.75">
      <c r="A140" s="56"/>
      <c r="B140" s="57"/>
      <c r="C140" s="57"/>
      <c r="D140" s="57"/>
      <c r="E140" s="57"/>
      <c r="F140" s="57"/>
    </row>
    <row r="141" spans="1:7" ht="12.75">
      <c r="A141" s="56"/>
      <c r="B141" s="57"/>
      <c r="C141" s="57"/>
      <c r="D141" s="57"/>
      <c r="E141" s="57"/>
      <c r="F141" s="57"/>
    </row>
    <row r="142" spans="1:7" ht="12.75">
      <c r="A142" s="56"/>
      <c r="B142" s="57"/>
      <c r="C142" s="57"/>
      <c r="D142" s="57"/>
      <c r="E142" s="57"/>
      <c r="F142" s="57"/>
    </row>
    <row r="143" spans="1:7" ht="12.75">
      <c r="A143" s="56"/>
      <c r="B143" s="57"/>
      <c r="C143" s="57"/>
      <c r="D143" s="57"/>
      <c r="E143" s="57"/>
      <c r="F143" s="57"/>
    </row>
    <row r="144" spans="1:7" ht="12.75">
      <c r="A144" s="56"/>
      <c r="B144" s="57"/>
      <c r="C144" s="57"/>
      <c r="D144" s="57"/>
      <c r="E144" s="57"/>
      <c r="F144" s="57"/>
    </row>
    <row r="145" spans="1:6" ht="12.75">
      <c r="A145" s="56"/>
      <c r="B145" s="57"/>
      <c r="C145" s="57"/>
      <c r="D145" s="57"/>
      <c r="E145" s="57"/>
      <c r="F145" s="57"/>
    </row>
    <row r="146" spans="1:6" ht="12.75">
      <c r="A146" s="56"/>
      <c r="B146" s="57"/>
      <c r="C146" s="57"/>
      <c r="D146" s="57"/>
      <c r="E146" s="57"/>
      <c r="F146" s="57"/>
    </row>
    <row r="147" spans="1:6" ht="12.75">
      <c r="A147" s="56"/>
      <c r="B147" s="57"/>
      <c r="C147" s="57"/>
      <c r="D147" s="57"/>
      <c r="E147" s="57"/>
      <c r="F147" s="57"/>
    </row>
    <row r="148" spans="1:6" ht="12.75">
      <c r="A148" s="56"/>
      <c r="B148" s="57"/>
      <c r="C148" s="57"/>
      <c r="D148" s="57"/>
      <c r="E148" s="57"/>
      <c r="F148" s="57"/>
    </row>
    <row r="149" spans="1:6" ht="12.75">
      <c r="A149" s="56"/>
      <c r="B149" s="57"/>
      <c r="C149" s="57"/>
      <c r="D149" s="57"/>
      <c r="E149" s="57"/>
      <c r="F149" s="57"/>
    </row>
    <row r="150" spans="1:6" ht="12.75">
      <c r="A150" s="56"/>
      <c r="B150" s="57"/>
      <c r="C150" s="57"/>
      <c r="D150" s="57"/>
      <c r="E150" s="57"/>
      <c r="F150" s="57"/>
    </row>
    <row r="151" spans="1:6" ht="12.75">
      <c r="A151" s="56"/>
      <c r="B151" s="57"/>
      <c r="C151" s="57"/>
      <c r="D151" s="57"/>
      <c r="E151" s="57"/>
      <c r="F151" s="57"/>
    </row>
    <row r="152" spans="1:6" ht="12.75">
      <c r="A152" s="56"/>
      <c r="B152" s="57"/>
      <c r="C152" s="57"/>
      <c r="D152" s="57"/>
      <c r="E152" s="57"/>
      <c r="F152" s="57"/>
    </row>
    <row r="153" spans="1:6" ht="12.75">
      <c r="A153" s="56"/>
      <c r="B153" s="57"/>
      <c r="C153" s="57"/>
      <c r="D153" s="57"/>
      <c r="E153" s="57"/>
      <c r="F153" s="57"/>
    </row>
    <row r="154" spans="1:6" ht="12.75">
      <c r="A154" s="56"/>
      <c r="B154" s="57"/>
      <c r="C154" s="57"/>
      <c r="D154" s="57"/>
      <c r="E154" s="57"/>
      <c r="F154" s="57"/>
    </row>
    <row r="155" spans="1:6" ht="12.75">
      <c r="A155" s="56"/>
      <c r="B155" s="57"/>
      <c r="C155" s="57"/>
      <c r="D155" s="57"/>
      <c r="E155" s="57"/>
      <c r="F155" s="57"/>
    </row>
    <row r="156" spans="1:6" ht="12.75">
      <c r="A156" s="56"/>
      <c r="B156" s="57"/>
      <c r="C156" s="57"/>
      <c r="D156" s="57"/>
      <c r="E156" s="57"/>
      <c r="F156" s="57"/>
    </row>
    <row r="157" spans="1:6" ht="12.75">
      <c r="A157" s="56"/>
      <c r="B157" s="57"/>
      <c r="C157" s="57"/>
      <c r="D157" s="57"/>
      <c r="E157" s="57"/>
      <c r="F157" s="57"/>
    </row>
    <row r="158" spans="1:6" ht="12.75">
      <c r="A158" s="56"/>
      <c r="B158" s="57"/>
      <c r="C158" s="57"/>
      <c r="D158" s="57"/>
      <c r="E158" s="57"/>
      <c r="F158" s="57"/>
    </row>
    <row r="159" spans="1:6" ht="12.75">
      <c r="A159" s="56"/>
      <c r="B159" s="57"/>
      <c r="C159" s="57"/>
      <c r="D159" s="57"/>
      <c r="E159" s="57"/>
      <c r="F159" s="57"/>
    </row>
    <row r="160" spans="1:6" ht="12.75">
      <c r="A160" s="56"/>
      <c r="B160" s="57"/>
      <c r="C160" s="57"/>
      <c r="D160" s="57"/>
      <c r="E160" s="57"/>
      <c r="F160" s="57"/>
    </row>
    <row r="161" spans="1:7" ht="12.75">
      <c r="A161" s="56"/>
      <c r="B161" s="57"/>
      <c r="C161" s="57"/>
      <c r="D161" s="57"/>
      <c r="E161" s="57"/>
      <c r="F161" s="57"/>
    </row>
    <row r="162" spans="1:7" ht="12.75">
      <c r="A162" s="56"/>
      <c r="B162" s="57"/>
      <c r="C162" s="57"/>
      <c r="D162" s="57"/>
      <c r="E162" s="57"/>
      <c r="F162" s="57"/>
    </row>
    <row r="163" spans="1:7" ht="12.75">
      <c r="A163" s="56"/>
      <c r="B163" s="57"/>
      <c r="C163" s="57"/>
      <c r="D163" s="57"/>
      <c r="E163" s="57"/>
      <c r="F163" s="57"/>
      <c r="G163" s="55"/>
    </row>
    <row r="164" spans="1:7" ht="12.75">
      <c r="A164" s="56"/>
      <c r="B164" s="57"/>
      <c r="C164" s="57"/>
      <c r="D164" s="57"/>
      <c r="E164" s="57"/>
      <c r="F164" s="57"/>
    </row>
    <row r="165" spans="1:7" ht="12.75">
      <c r="A165" s="56"/>
      <c r="B165" s="57"/>
      <c r="C165" s="57"/>
      <c r="D165" s="57"/>
      <c r="E165" s="57"/>
      <c r="F165" s="57"/>
    </row>
    <row r="166" spans="1:7" ht="12.75">
      <c r="A166" s="56"/>
      <c r="B166" s="57"/>
      <c r="C166" s="57"/>
      <c r="D166" s="57"/>
      <c r="E166" s="57"/>
      <c r="F166" s="57"/>
    </row>
    <row r="167" spans="1:7" ht="12.75">
      <c r="A167" s="56"/>
      <c r="B167" s="57"/>
      <c r="C167" s="57"/>
      <c r="D167" s="57"/>
      <c r="E167" s="57"/>
      <c r="F167" s="57"/>
    </row>
    <row r="168" spans="1:7" ht="12.75">
      <c r="A168" s="56"/>
      <c r="B168" s="57"/>
      <c r="C168" s="57"/>
      <c r="D168" s="57"/>
      <c r="E168" s="57"/>
      <c r="F168" s="57"/>
    </row>
    <row r="169" spans="1:7" ht="12.75">
      <c r="A169" s="56"/>
      <c r="B169" s="57"/>
      <c r="C169" s="57"/>
      <c r="D169" s="57"/>
      <c r="E169" s="57"/>
      <c r="F169" s="57"/>
    </row>
    <row r="170" spans="1:7" ht="12.75">
      <c r="A170" s="56"/>
      <c r="B170" s="57"/>
      <c r="C170" s="57"/>
      <c r="D170" s="57"/>
      <c r="E170" s="57"/>
      <c r="F170" s="57"/>
    </row>
    <row r="171" spans="1:7" ht="12.75">
      <c r="A171" s="56"/>
      <c r="B171" s="57"/>
      <c r="C171" s="57"/>
      <c r="D171" s="57"/>
      <c r="E171" s="57"/>
      <c r="F171" s="57"/>
    </row>
    <row r="172" spans="1:7" ht="12.75">
      <c r="A172" s="56"/>
      <c r="B172" s="57"/>
      <c r="C172" s="57"/>
      <c r="D172" s="57"/>
      <c r="E172" s="57"/>
      <c r="F172" s="57"/>
    </row>
    <row r="173" spans="1:7" ht="12.75">
      <c r="A173" s="56"/>
      <c r="B173" s="57"/>
      <c r="C173" s="57"/>
      <c r="D173" s="57"/>
      <c r="E173" s="57"/>
      <c r="F173" s="57"/>
    </row>
    <row r="174" spans="1:7" ht="12.75">
      <c r="A174" s="56"/>
      <c r="B174" s="57"/>
      <c r="C174" s="57"/>
      <c r="D174" s="57"/>
      <c r="E174" s="57"/>
      <c r="F174" s="57"/>
    </row>
    <row r="175" spans="1:7" ht="12.75">
      <c r="A175" s="56"/>
      <c r="B175" s="57"/>
      <c r="C175" s="57"/>
      <c r="D175" s="57"/>
      <c r="E175" s="57"/>
      <c r="F175" s="57"/>
    </row>
    <row r="176" spans="1:7" ht="12.75">
      <c r="A176" s="56"/>
      <c r="B176" s="57"/>
      <c r="C176" s="57"/>
      <c r="D176" s="57"/>
      <c r="E176" s="57"/>
      <c r="F176" s="57"/>
    </row>
    <row r="177" spans="1:7" ht="12.75">
      <c r="A177" s="56"/>
      <c r="B177" s="57"/>
      <c r="C177" s="57"/>
      <c r="D177" s="57"/>
      <c r="E177" s="57"/>
      <c r="F177" s="57"/>
    </row>
    <row r="178" spans="1:7" ht="12.75">
      <c r="A178" s="56"/>
      <c r="B178" s="57"/>
      <c r="C178" s="57"/>
      <c r="D178" s="57"/>
      <c r="E178" s="57"/>
      <c r="F178" s="57"/>
    </row>
    <row r="179" spans="1:7" ht="12.75">
      <c r="A179" s="56"/>
      <c r="B179" s="57"/>
      <c r="C179" s="57"/>
      <c r="D179" s="57"/>
      <c r="E179" s="57"/>
      <c r="F179" s="57"/>
    </row>
    <row r="180" spans="1:7" ht="12.75">
      <c r="A180" s="56"/>
      <c r="B180" s="57"/>
      <c r="C180" s="57"/>
      <c r="D180" s="57"/>
      <c r="E180" s="57"/>
      <c r="F180" s="57"/>
    </row>
    <row r="181" spans="1:7" ht="12.75">
      <c r="A181" s="56"/>
      <c r="B181" s="57"/>
      <c r="C181" s="57"/>
      <c r="D181" s="57"/>
      <c r="E181" s="57"/>
      <c r="F181" s="57"/>
    </row>
    <row r="182" spans="1:7" ht="12.75">
      <c r="A182" s="56"/>
      <c r="B182" s="57"/>
      <c r="C182" s="57"/>
      <c r="D182" s="57"/>
      <c r="E182" s="57"/>
      <c r="F182" s="57"/>
    </row>
    <row r="183" spans="1:7" ht="12.75">
      <c r="A183" s="56"/>
      <c r="B183" s="57"/>
      <c r="C183" s="57"/>
      <c r="D183" s="57"/>
      <c r="E183" s="57"/>
      <c r="F183" s="57"/>
    </row>
    <row r="184" spans="1:7" ht="12.75">
      <c r="A184" s="56"/>
      <c r="B184" s="57"/>
      <c r="C184" s="57"/>
      <c r="D184" s="57"/>
      <c r="E184" s="57"/>
      <c r="F184" s="57"/>
    </row>
    <row r="185" spans="1:7" ht="12.75">
      <c r="A185" s="56"/>
      <c r="B185" s="57"/>
      <c r="C185" s="57"/>
      <c r="D185" s="57"/>
      <c r="E185" s="57"/>
      <c r="F185" s="57"/>
    </row>
    <row r="186" spans="1:7" ht="12.75">
      <c r="A186" s="56"/>
      <c r="B186" s="57"/>
      <c r="C186" s="57"/>
      <c r="D186" s="57"/>
      <c r="E186" s="57"/>
      <c r="F186" s="57"/>
    </row>
    <row r="187" spans="1:7" ht="12.75">
      <c r="A187" s="56"/>
      <c r="B187" s="57"/>
      <c r="C187" s="57"/>
      <c r="D187" s="57"/>
      <c r="E187" s="57"/>
      <c r="F187" s="57"/>
    </row>
    <row r="188" spans="1:7" ht="12.75">
      <c r="A188" s="56"/>
      <c r="B188" s="57"/>
      <c r="C188" s="57"/>
      <c r="D188" s="57"/>
      <c r="E188" s="57"/>
      <c r="F188" s="57"/>
      <c r="G188" s="55"/>
    </row>
    <row r="189" spans="1:7" ht="12.75">
      <c r="A189" s="56"/>
      <c r="B189" s="57"/>
      <c r="C189" s="57"/>
      <c r="D189" s="57"/>
      <c r="E189" s="57"/>
      <c r="F189" s="57"/>
    </row>
    <row r="190" spans="1:7" ht="12.75">
      <c r="A190" s="56"/>
      <c r="B190" s="57"/>
      <c r="C190" s="57"/>
      <c r="D190" s="57"/>
      <c r="E190" s="57"/>
      <c r="F190" s="57"/>
    </row>
    <row r="191" spans="1:7" ht="12.75">
      <c r="A191" s="56"/>
      <c r="B191" s="57"/>
      <c r="C191" s="57"/>
      <c r="D191" s="57"/>
      <c r="E191" s="57"/>
      <c r="F191" s="57"/>
    </row>
    <row r="192" spans="1:7" ht="12.75">
      <c r="A192" s="56"/>
      <c r="B192" s="57"/>
      <c r="C192" s="57"/>
      <c r="D192" s="57"/>
      <c r="E192" s="57"/>
      <c r="F192" s="57"/>
    </row>
    <row r="193" spans="1:6" ht="12.75">
      <c r="A193" s="56"/>
      <c r="B193" s="57"/>
      <c r="C193" s="57"/>
      <c r="D193" s="57"/>
      <c r="E193" s="57"/>
      <c r="F193" s="57"/>
    </row>
    <row r="194" spans="1:6" ht="12.75">
      <c r="A194" s="56"/>
      <c r="B194" s="57"/>
      <c r="C194" s="57"/>
      <c r="D194" s="57"/>
      <c r="E194" s="57"/>
      <c r="F194" s="57"/>
    </row>
    <row r="195" spans="1:6" ht="12.75">
      <c r="A195" s="56"/>
      <c r="B195" s="57"/>
      <c r="C195" s="57"/>
      <c r="D195" s="57"/>
      <c r="E195" s="57"/>
      <c r="F195" s="57"/>
    </row>
    <row r="196" spans="1:6" ht="12.75">
      <c r="A196" s="56"/>
      <c r="B196" s="57"/>
      <c r="C196" s="57"/>
      <c r="D196" s="57"/>
      <c r="E196" s="57"/>
      <c r="F196" s="57"/>
    </row>
    <row r="197" spans="1:6" ht="12.75">
      <c r="A197" s="56"/>
      <c r="B197" s="57"/>
      <c r="C197" s="57"/>
      <c r="D197" s="57"/>
      <c r="E197" s="57"/>
      <c r="F197" s="57"/>
    </row>
    <row r="198" spans="1:6" ht="12.75">
      <c r="A198" s="56"/>
      <c r="B198" s="57"/>
      <c r="C198" s="57"/>
      <c r="D198" s="57"/>
      <c r="E198" s="57"/>
      <c r="F198" s="57"/>
    </row>
    <row r="199" spans="1:6" ht="12.75">
      <c r="A199" s="56"/>
      <c r="B199" s="57"/>
      <c r="C199" s="57"/>
      <c r="D199" s="57"/>
      <c r="E199" s="57"/>
      <c r="F199" s="57"/>
    </row>
    <row r="200" spans="1:6" ht="12.75">
      <c r="A200" s="56"/>
      <c r="B200" s="57"/>
      <c r="C200" s="57"/>
      <c r="D200" s="57"/>
      <c r="E200" s="57"/>
      <c r="F200" s="57"/>
    </row>
    <row r="201" spans="1:6" ht="12.75">
      <c r="A201" s="56"/>
      <c r="B201" s="57"/>
      <c r="C201" s="57"/>
      <c r="D201" s="57"/>
      <c r="E201" s="57"/>
      <c r="F201" s="57"/>
    </row>
    <row r="202" spans="1:6" ht="12.75">
      <c r="A202" s="56"/>
      <c r="B202" s="57"/>
      <c r="C202" s="57"/>
      <c r="D202" s="57"/>
      <c r="E202" s="57"/>
      <c r="F202" s="57"/>
    </row>
    <row r="203" spans="1:6" ht="12.75">
      <c r="A203" s="56"/>
      <c r="B203" s="57"/>
      <c r="C203" s="57"/>
      <c r="D203" s="57"/>
      <c r="E203" s="57"/>
      <c r="F203" s="57"/>
    </row>
    <row r="204" spans="1:6" ht="12.75">
      <c r="A204" s="56"/>
      <c r="B204" s="57"/>
      <c r="C204" s="57"/>
      <c r="D204" s="57"/>
      <c r="E204" s="57"/>
      <c r="F204" s="57"/>
    </row>
    <row r="205" spans="1:6" ht="12.75">
      <c r="A205" s="56"/>
      <c r="B205" s="57"/>
      <c r="C205" s="57"/>
      <c r="D205" s="57"/>
      <c r="E205" s="57"/>
      <c r="F205" s="57"/>
    </row>
    <row r="206" spans="1:6" ht="12.75">
      <c r="A206" s="56"/>
      <c r="B206" s="57"/>
      <c r="C206" s="57"/>
      <c r="D206" s="57"/>
      <c r="E206" s="57"/>
      <c r="F206" s="57"/>
    </row>
    <row r="207" spans="1:6" ht="12.75">
      <c r="A207" s="56"/>
      <c r="B207" s="57"/>
      <c r="C207" s="57"/>
      <c r="D207" s="57"/>
      <c r="E207" s="57"/>
      <c r="F207" s="57"/>
    </row>
    <row r="208" spans="1:6" ht="12.75">
      <c r="A208" s="56"/>
      <c r="B208" s="57"/>
      <c r="C208" s="57"/>
      <c r="D208" s="57"/>
      <c r="E208" s="57"/>
      <c r="F208" s="57"/>
    </row>
    <row r="209" spans="1:7" ht="12.75">
      <c r="A209" s="56"/>
      <c r="B209" s="57"/>
      <c r="C209" s="57"/>
      <c r="D209" s="57"/>
      <c r="E209" s="57"/>
      <c r="F209" s="57"/>
    </row>
    <row r="210" spans="1:7" ht="12.75">
      <c r="A210" s="56"/>
      <c r="B210" s="57"/>
      <c r="C210" s="57"/>
      <c r="D210" s="57"/>
      <c r="E210" s="57"/>
      <c r="F210" s="57"/>
    </row>
    <row r="211" spans="1:7" ht="12.75">
      <c r="A211" s="56"/>
      <c r="B211" s="57"/>
      <c r="C211" s="57"/>
      <c r="D211" s="57"/>
      <c r="E211" s="57"/>
      <c r="F211" s="57"/>
    </row>
    <row r="212" spans="1:7" ht="12.75">
      <c r="A212" s="56"/>
      <c r="B212" s="57"/>
      <c r="C212" s="57"/>
      <c r="D212" s="57"/>
      <c r="E212" s="57"/>
      <c r="F212" s="57"/>
    </row>
    <row r="213" spans="1:7" ht="12.75">
      <c r="A213" s="56"/>
      <c r="B213" s="57"/>
      <c r="C213" s="57"/>
      <c r="D213" s="57"/>
      <c r="E213" s="57"/>
      <c r="F213" s="57"/>
    </row>
    <row r="214" spans="1:7" ht="12.75">
      <c r="A214" s="56"/>
      <c r="B214" s="57"/>
      <c r="C214" s="57"/>
      <c r="D214" s="57"/>
      <c r="E214" s="57"/>
      <c r="F214" s="57"/>
      <c r="G214" s="55"/>
    </row>
    <row r="215" spans="1:7" ht="12.75">
      <c r="A215" s="56"/>
      <c r="B215" s="57"/>
      <c r="C215" s="57"/>
      <c r="D215" s="57"/>
      <c r="E215" s="57"/>
      <c r="F215" s="57"/>
    </row>
    <row r="216" spans="1:7" ht="12.75">
      <c r="A216" s="56"/>
      <c r="B216" s="57"/>
      <c r="C216" s="57"/>
      <c r="D216" s="57"/>
      <c r="E216" s="57"/>
      <c r="F216" s="57"/>
    </row>
    <row r="217" spans="1:7" ht="12.75">
      <c r="A217" s="56"/>
      <c r="B217" s="57"/>
      <c r="C217" s="57"/>
      <c r="D217" s="57"/>
      <c r="E217" s="57"/>
      <c r="F217" s="57"/>
    </row>
    <row r="218" spans="1:7" ht="12.75">
      <c r="A218" s="56"/>
      <c r="B218" s="57"/>
      <c r="C218" s="57"/>
      <c r="D218" s="57"/>
      <c r="E218" s="57"/>
      <c r="F218" s="57"/>
    </row>
    <row r="219" spans="1:7" ht="12.75">
      <c r="A219" s="56"/>
      <c r="B219" s="57"/>
      <c r="C219" s="57"/>
      <c r="D219" s="57"/>
      <c r="E219" s="57"/>
      <c r="F219" s="57"/>
    </row>
    <row r="220" spans="1:7" ht="12.75">
      <c r="A220" s="56"/>
      <c r="B220" s="57"/>
      <c r="C220" s="57"/>
      <c r="D220" s="57"/>
      <c r="E220" s="57"/>
      <c r="F220" s="57"/>
    </row>
    <row r="221" spans="1:7" ht="12.75">
      <c r="A221" s="56"/>
      <c r="B221" s="57"/>
      <c r="C221" s="57"/>
      <c r="D221" s="57"/>
      <c r="E221" s="57"/>
      <c r="F221" s="57"/>
    </row>
    <row r="222" spans="1:7" ht="12.75">
      <c r="A222" s="56"/>
      <c r="B222" s="57"/>
      <c r="C222" s="57"/>
      <c r="D222" s="57"/>
      <c r="E222" s="57"/>
      <c r="F222" s="57"/>
    </row>
    <row r="223" spans="1:7" ht="12.75">
      <c r="A223" s="56"/>
      <c r="B223" s="57"/>
      <c r="C223" s="57"/>
      <c r="D223" s="57"/>
      <c r="E223" s="57"/>
      <c r="F223" s="57"/>
    </row>
    <row r="224" spans="1:7" ht="12.75">
      <c r="A224" s="56"/>
      <c r="B224" s="57"/>
      <c r="C224" s="57"/>
      <c r="D224" s="57"/>
      <c r="E224" s="57"/>
      <c r="F224" s="57"/>
    </row>
    <row r="225" spans="1:7" ht="12.75">
      <c r="A225" s="56"/>
      <c r="B225" s="57"/>
      <c r="C225" s="57"/>
      <c r="D225" s="57"/>
      <c r="E225" s="57"/>
      <c r="F225" s="57"/>
    </row>
    <row r="226" spans="1:7" ht="12.75">
      <c r="A226" s="56"/>
      <c r="B226" s="57"/>
      <c r="C226" s="57"/>
      <c r="D226" s="57"/>
      <c r="E226" s="57"/>
      <c r="F226" s="57"/>
    </row>
    <row r="227" spans="1:7" ht="12.75">
      <c r="A227" s="56"/>
      <c r="B227" s="57"/>
      <c r="C227" s="57"/>
      <c r="D227" s="57"/>
      <c r="E227" s="57"/>
      <c r="F227" s="57"/>
    </row>
    <row r="228" spans="1:7" ht="12.75">
      <c r="A228" s="56"/>
      <c r="B228" s="57"/>
      <c r="C228" s="57"/>
      <c r="D228" s="57"/>
      <c r="E228" s="57"/>
      <c r="F228" s="57"/>
    </row>
    <row r="229" spans="1:7" ht="12.75">
      <c r="A229" s="56"/>
      <c r="B229" s="57"/>
      <c r="C229" s="57"/>
      <c r="D229" s="57"/>
      <c r="E229" s="57"/>
      <c r="F229" s="57"/>
    </row>
    <row r="230" spans="1:7" ht="12.75">
      <c r="A230" s="56"/>
      <c r="B230" s="57"/>
      <c r="C230" s="57"/>
      <c r="D230" s="57"/>
      <c r="E230" s="57"/>
      <c r="F230" s="57"/>
    </row>
    <row r="231" spans="1:7" ht="12.75">
      <c r="A231" s="56"/>
      <c r="B231" s="57"/>
      <c r="C231" s="57"/>
      <c r="D231" s="57"/>
      <c r="E231" s="57"/>
      <c r="F231" s="57"/>
    </row>
    <row r="232" spans="1:7" ht="12.75">
      <c r="A232" s="56"/>
      <c r="B232" s="57"/>
      <c r="C232" s="57"/>
      <c r="D232" s="57"/>
      <c r="E232" s="57"/>
      <c r="F232" s="57"/>
    </row>
    <row r="233" spans="1:7" ht="12.75">
      <c r="A233" s="56"/>
      <c r="B233" s="57"/>
      <c r="C233" s="57"/>
      <c r="D233" s="57"/>
      <c r="E233" s="57"/>
      <c r="F233" s="57"/>
    </row>
    <row r="234" spans="1:7" ht="12.75">
      <c r="A234" s="56"/>
      <c r="B234" s="57"/>
      <c r="C234" s="57"/>
      <c r="D234" s="57"/>
      <c r="E234" s="57"/>
      <c r="F234" s="57"/>
    </row>
    <row r="235" spans="1:7" ht="12.75">
      <c r="A235" s="56"/>
      <c r="B235" s="57"/>
      <c r="C235" s="57"/>
      <c r="D235" s="57"/>
      <c r="E235" s="57"/>
      <c r="F235" s="57"/>
    </row>
    <row r="236" spans="1:7" ht="12.75">
      <c r="A236" s="56"/>
      <c r="B236" s="57"/>
      <c r="C236" s="57"/>
      <c r="D236" s="57"/>
      <c r="E236" s="57"/>
      <c r="F236" s="57"/>
    </row>
    <row r="237" spans="1:7" ht="12.75">
      <c r="A237" s="56"/>
      <c r="B237" s="57"/>
      <c r="C237" s="57"/>
      <c r="D237" s="57"/>
      <c r="E237" s="57"/>
      <c r="F237" s="57"/>
    </row>
    <row r="238" spans="1:7" ht="12.75">
      <c r="A238" s="56"/>
      <c r="B238" s="57"/>
      <c r="C238" s="57"/>
      <c r="D238" s="57"/>
      <c r="E238" s="57"/>
      <c r="F238" s="57"/>
    </row>
    <row r="239" spans="1:7" ht="12.75">
      <c r="A239" s="56"/>
      <c r="B239" s="57"/>
      <c r="C239" s="57"/>
      <c r="D239" s="57"/>
      <c r="E239" s="57"/>
      <c r="F239" s="57"/>
    </row>
    <row r="240" spans="1:7" ht="12.75">
      <c r="A240" s="56"/>
      <c r="B240" s="57"/>
      <c r="C240" s="57"/>
      <c r="D240" s="57"/>
      <c r="E240" s="57"/>
      <c r="F240" s="57"/>
      <c r="G240" s="55"/>
    </row>
    <row r="241" spans="1:6" ht="12.75">
      <c r="A241" s="56"/>
      <c r="B241" s="57"/>
      <c r="C241" s="57"/>
      <c r="D241" s="57"/>
      <c r="E241" s="57"/>
      <c r="F241" s="57"/>
    </row>
    <row r="242" spans="1:6" ht="12.75">
      <c r="A242" s="56"/>
      <c r="B242" s="57"/>
      <c r="C242" s="57"/>
      <c r="D242" s="57"/>
      <c r="E242" s="57"/>
      <c r="F242" s="57"/>
    </row>
    <row r="243" spans="1:6" ht="12.75">
      <c r="A243" s="56"/>
      <c r="B243" s="57"/>
      <c r="C243" s="57"/>
      <c r="D243" s="57"/>
      <c r="E243" s="57"/>
      <c r="F243" s="57"/>
    </row>
    <row r="244" spans="1:6" ht="12.75">
      <c r="A244" s="56"/>
      <c r="B244" s="57"/>
      <c r="C244" s="57"/>
      <c r="D244" s="57"/>
      <c r="E244" s="57"/>
      <c r="F244" s="57"/>
    </row>
    <row r="245" spans="1:6" ht="12.75">
      <c r="A245" s="56"/>
      <c r="B245" s="57"/>
      <c r="C245" s="57"/>
      <c r="D245" s="57"/>
      <c r="E245" s="57"/>
      <c r="F245" s="57"/>
    </row>
    <row r="246" spans="1:6" ht="12.75">
      <c r="A246" s="56"/>
      <c r="B246" s="57"/>
      <c r="C246" s="57"/>
      <c r="D246" s="57"/>
      <c r="E246" s="57"/>
      <c r="F246" s="57"/>
    </row>
    <row r="247" spans="1:6" ht="12.75">
      <c r="A247" s="56"/>
      <c r="B247" s="57"/>
      <c r="C247" s="57"/>
      <c r="D247" s="57"/>
      <c r="E247" s="57"/>
      <c r="F247" s="57"/>
    </row>
    <row r="248" spans="1:6" ht="12.75">
      <c r="A248" s="56"/>
      <c r="B248" s="57"/>
      <c r="C248" s="57"/>
      <c r="D248" s="57"/>
      <c r="E248" s="57"/>
      <c r="F248" s="57"/>
    </row>
    <row r="249" spans="1:6" ht="12.75">
      <c r="A249" s="56"/>
      <c r="B249" s="57"/>
      <c r="C249" s="57"/>
      <c r="D249" s="57"/>
      <c r="E249" s="57"/>
      <c r="F249" s="57"/>
    </row>
    <row r="250" spans="1:6" ht="12.75">
      <c r="A250" s="56"/>
      <c r="B250" s="57"/>
      <c r="C250" s="57"/>
      <c r="D250" s="57"/>
      <c r="E250" s="57"/>
      <c r="F250" s="57"/>
    </row>
    <row r="251" spans="1:6" ht="12.75">
      <c r="A251" s="56"/>
      <c r="B251" s="57"/>
      <c r="C251" s="57"/>
      <c r="D251" s="57"/>
      <c r="E251" s="57"/>
      <c r="F251" s="57"/>
    </row>
    <row r="252" spans="1:6" ht="12.75">
      <c r="A252" s="56"/>
      <c r="B252" s="57"/>
      <c r="C252" s="57"/>
      <c r="D252" s="57"/>
      <c r="E252" s="57"/>
      <c r="F252" s="57"/>
    </row>
    <row r="253" spans="1:6" ht="12.75">
      <c r="A253" s="56"/>
      <c r="B253" s="57"/>
      <c r="C253" s="57"/>
      <c r="D253" s="57"/>
      <c r="E253" s="57"/>
      <c r="F253" s="57"/>
    </row>
    <row r="254" spans="1:6" ht="12.75">
      <c r="A254" s="56"/>
      <c r="B254" s="57"/>
      <c r="C254" s="57"/>
      <c r="D254" s="57"/>
      <c r="E254" s="57"/>
      <c r="F254" s="57"/>
    </row>
    <row r="255" spans="1:6" ht="12.75">
      <c r="A255" s="56"/>
      <c r="B255" s="57"/>
      <c r="C255" s="57"/>
      <c r="D255" s="57"/>
      <c r="E255" s="57"/>
      <c r="F255" s="57"/>
    </row>
    <row r="256" spans="1:6" ht="12.75">
      <c r="A256" s="56"/>
      <c r="B256" s="57"/>
      <c r="C256" s="57"/>
      <c r="D256" s="57"/>
      <c r="E256" s="57"/>
      <c r="F256" s="57"/>
    </row>
    <row r="257" spans="1:7" ht="12.75">
      <c r="A257" s="56"/>
      <c r="B257" s="57"/>
      <c r="C257" s="57"/>
      <c r="D257" s="57"/>
      <c r="E257" s="57"/>
      <c r="F257" s="57"/>
    </row>
    <row r="258" spans="1:7" ht="12.75">
      <c r="A258" s="56"/>
      <c r="B258" s="57"/>
      <c r="C258" s="57"/>
      <c r="D258" s="57"/>
      <c r="E258" s="57"/>
      <c r="F258" s="57"/>
    </row>
    <row r="259" spans="1:7" ht="12.75">
      <c r="A259" s="56"/>
      <c r="B259" s="57"/>
      <c r="C259" s="57"/>
      <c r="D259" s="57"/>
      <c r="E259" s="57"/>
      <c r="F259" s="57"/>
    </row>
    <row r="260" spans="1:7" ht="12.75">
      <c r="A260" s="56"/>
      <c r="B260" s="57"/>
      <c r="C260" s="57"/>
      <c r="D260" s="57"/>
      <c r="E260" s="57"/>
      <c r="F260" s="57"/>
    </row>
    <row r="261" spans="1:7" ht="12.75">
      <c r="A261" s="56"/>
      <c r="B261" s="57"/>
      <c r="C261" s="57"/>
      <c r="D261" s="57"/>
      <c r="E261" s="57"/>
      <c r="F261" s="57"/>
    </row>
    <row r="262" spans="1:7" ht="12.75">
      <c r="A262" s="56"/>
      <c r="B262" s="57"/>
      <c r="C262" s="57"/>
      <c r="D262" s="57"/>
      <c r="E262" s="57"/>
      <c r="F262" s="57"/>
    </row>
    <row r="263" spans="1:7" ht="12.75">
      <c r="A263" s="56"/>
      <c r="B263" s="57"/>
      <c r="C263" s="57"/>
      <c r="D263" s="57"/>
      <c r="E263" s="57"/>
      <c r="F263" s="57"/>
    </row>
    <row r="264" spans="1:7" ht="12.75">
      <c r="A264" s="56"/>
      <c r="B264" s="57"/>
      <c r="C264" s="57"/>
      <c r="D264" s="57"/>
      <c r="E264" s="57"/>
      <c r="F264" s="57"/>
    </row>
    <row r="265" spans="1:7" ht="12.75">
      <c r="A265" s="56"/>
      <c r="B265" s="57"/>
      <c r="C265" s="57"/>
      <c r="D265" s="57"/>
      <c r="E265" s="57"/>
      <c r="F265" s="57"/>
    </row>
    <row r="266" spans="1:7" ht="12.75">
      <c r="A266" s="56"/>
      <c r="B266" s="57"/>
      <c r="C266" s="57"/>
      <c r="D266" s="57"/>
      <c r="E266" s="57"/>
      <c r="F266" s="57"/>
      <c r="G266" s="55"/>
    </row>
    <row r="267" spans="1:7" ht="12.75">
      <c r="A267" s="56"/>
      <c r="B267" s="57"/>
      <c r="C267" s="57"/>
      <c r="D267" s="57"/>
      <c r="E267" s="57"/>
      <c r="F267" s="57"/>
    </row>
    <row r="268" spans="1:7" ht="12.75">
      <c r="A268" s="56"/>
      <c r="B268" s="57"/>
      <c r="C268" s="57"/>
      <c r="D268" s="57"/>
      <c r="E268" s="57"/>
      <c r="F268" s="57"/>
    </row>
    <row r="269" spans="1:7" ht="12.75">
      <c r="A269" s="56"/>
      <c r="B269" s="57"/>
      <c r="C269" s="57"/>
      <c r="D269" s="57"/>
      <c r="E269" s="57"/>
      <c r="F269" s="57"/>
    </row>
    <row r="270" spans="1:7" ht="12.75">
      <c r="A270" s="56"/>
      <c r="B270" s="57"/>
      <c r="C270" s="57"/>
      <c r="D270" s="57"/>
      <c r="E270" s="57"/>
      <c r="F270" s="57"/>
    </row>
    <row r="271" spans="1:7" ht="12.75">
      <c r="A271" s="56"/>
      <c r="B271" s="57"/>
      <c r="C271" s="57"/>
      <c r="D271" s="57"/>
      <c r="E271" s="57"/>
      <c r="F271" s="57"/>
    </row>
    <row r="272" spans="1:7" ht="12.75">
      <c r="A272" s="56"/>
      <c r="B272" s="57"/>
      <c r="C272" s="57"/>
      <c r="D272" s="57"/>
      <c r="E272" s="57"/>
      <c r="F272" s="57"/>
    </row>
    <row r="273" spans="1:6" ht="12.75">
      <c r="A273" s="56"/>
      <c r="B273" s="57"/>
      <c r="C273" s="57"/>
      <c r="D273" s="57"/>
      <c r="E273" s="57"/>
      <c r="F273" s="57"/>
    </row>
    <row r="274" spans="1:6" ht="12.75">
      <c r="A274" s="56"/>
      <c r="B274" s="57"/>
      <c r="C274" s="57"/>
      <c r="D274" s="57"/>
      <c r="E274" s="57"/>
      <c r="F274" s="57"/>
    </row>
    <row r="275" spans="1:6" ht="12.75">
      <c r="A275" s="56"/>
      <c r="B275" s="57"/>
      <c r="C275" s="57"/>
      <c r="D275" s="57"/>
      <c r="E275" s="57"/>
      <c r="F275" s="57"/>
    </row>
    <row r="276" spans="1:6" ht="12.75">
      <c r="A276" s="56"/>
      <c r="B276" s="57"/>
      <c r="C276" s="57"/>
      <c r="D276" s="57"/>
      <c r="E276" s="57"/>
      <c r="F276" s="57"/>
    </row>
    <row r="277" spans="1:6" ht="12.75">
      <c r="A277" s="56"/>
      <c r="B277" s="57"/>
      <c r="C277" s="57"/>
      <c r="D277" s="57"/>
      <c r="E277" s="57"/>
      <c r="F277" s="57"/>
    </row>
    <row r="278" spans="1:6" ht="12.75">
      <c r="A278" s="56"/>
      <c r="B278" s="57"/>
      <c r="C278" s="57"/>
      <c r="D278" s="57"/>
      <c r="E278" s="57"/>
      <c r="F278" s="57"/>
    </row>
    <row r="279" spans="1:6" ht="12.75">
      <c r="A279" s="56"/>
      <c r="B279" s="57"/>
      <c r="C279" s="57"/>
      <c r="D279" s="57"/>
      <c r="E279" s="57"/>
      <c r="F279" s="57"/>
    </row>
    <row r="280" spans="1:6" ht="12.75">
      <c r="A280" s="56"/>
      <c r="B280" s="57"/>
      <c r="C280" s="57"/>
      <c r="D280" s="57"/>
      <c r="E280" s="57"/>
      <c r="F280" s="57"/>
    </row>
    <row r="281" spans="1:6" ht="12.75">
      <c r="A281" s="56"/>
      <c r="B281" s="57"/>
      <c r="C281" s="57"/>
      <c r="D281" s="57"/>
      <c r="E281" s="57"/>
      <c r="F281" s="57"/>
    </row>
    <row r="282" spans="1:6" ht="12.75">
      <c r="A282" s="56"/>
      <c r="B282" s="57"/>
      <c r="C282" s="57"/>
      <c r="D282" s="57"/>
      <c r="E282" s="57"/>
      <c r="F282" s="57"/>
    </row>
    <row r="283" spans="1:6" ht="12.75">
      <c r="A283" s="56"/>
      <c r="B283" s="57"/>
      <c r="C283" s="57"/>
      <c r="D283" s="57"/>
      <c r="E283" s="57"/>
      <c r="F283" s="57"/>
    </row>
    <row r="284" spans="1:6" ht="12.75">
      <c r="A284" s="56"/>
      <c r="B284" s="57"/>
      <c r="C284" s="57"/>
      <c r="D284" s="57"/>
      <c r="E284" s="57"/>
      <c r="F284" s="57"/>
    </row>
    <row r="285" spans="1:6" ht="12.75">
      <c r="A285" s="56"/>
      <c r="B285" s="57"/>
      <c r="C285" s="57"/>
      <c r="D285" s="57"/>
      <c r="E285" s="57"/>
      <c r="F285" s="57"/>
    </row>
    <row r="286" spans="1:6" ht="12.75">
      <c r="A286" s="56"/>
      <c r="B286" s="57"/>
      <c r="C286" s="57"/>
      <c r="D286" s="57"/>
      <c r="E286" s="57"/>
      <c r="F286" s="57"/>
    </row>
    <row r="287" spans="1:6" ht="12.75">
      <c r="A287" s="56"/>
      <c r="B287" s="57"/>
      <c r="C287" s="57"/>
      <c r="D287" s="57"/>
      <c r="E287" s="57"/>
      <c r="F287" s="57"/>
    </row>
    <row r="288" spans="1:6" ht="12.75">
      <c r="A288" s="56"/>
      <c r="B288" s="57"/>
      <c r="C288" s="57"/>
      <c r="D288" s="57"/>
      <c r="E288" s="57"/>
      <c r="F288" s="57"/>
    </row>
    <row r="289" spans="1:7" ht="12.75">
      <c r="A289" s="56"/>
      <c r="B289" s="57"/>
      <c r="C289" s="57"/>
      <c r="D289" s="57"/>
      <c r="E289" s="57"/>
      <c r="F289" s="57"/>
    </row>
    <row r="290" spans="1:7" ht="12.75">
      <c r="A290" s="56"/>
      <c r="B290" s="57"/>
      <c r="C290" s="57"/>
      <c r="D290" s="57"/>
      <c r="E290" s="57"/>
      <c r="F290" s="57"/>
    </row>
    <row r="291" spans="1:7" ht="12.75">
      <c r="A291" s="56"/>
      <c r="B291" s="57"/>
      <c r="C291" s="57"/>
      <c r="D291" s="57"/>
      <c r="E291" s="57"/>
      <c r="F291" s="57"/>
    </row>
    <row r="292" spans="1:7" ht="12.75">
      <c r="A292" s="56"/>
      <c r="B292" s="57"/>
      <c r="C292" s="57"/>
      <c r="D292" s="57"/>
      <c r="E292" s="57"/>
      <c r="F292" s="57"/>
      <c r="G292" s="55"/>
    </row>
    <row r="293" spans="1:7" ht="12.75">
      <c r="A293" s="56"/>
      <c r="B293" s="57"/>
      <c r="C293" s="57"/>
      <c r="D293" s="57"/>
      <c r="E293" s="57"/>
      <c r="F293" s="57"/>
    </row>
    <row r="294" spans="1:7" ht="12.75">
      <c r="A294" s="56"/>
      <c r="B294" s="57"/>
      <c r="C294" s="57"/>
      <c r="D294" s="57"/>
      <c r="E294" s="57"/>
      <c r="F294" s="57"/>
    </row>
    <row r="295" spans="1:7" ht="12.75">
      <c r="A295" s="56"/>
      <c r="B295" s="57"/>
      <c r="C295" s="57"/>
      <c r="D295" s="57"/>
      <c r="E295" s="57"/>
      <c r="F295" s="57"/>
    </row>
    <row r="296" spans="1:7" ht="12.75">
      <c r="A296" s="56"/>
      <c r="B296" s="57"/>
      <c r="C296" s="57"/>
      <c r="D296" s="57"/>
      <c r="E296" s="57"/>
      <c r="F296" s="57"/>
    </row>
    <row r="297" spans="1:7" ht="12.75">
      <c r="A297" s="56"/>
      <c r="B297" s="57"/>
      <c r="C297" s="57"/>
      <c r="D297" s="57"/>
      <c r="E297" s="57"/>
      <c r="F297" s="57"/>
    </row>
    <row r="298" spans="1:7" ht="12.75">
      <c r="A298" s="56"/>
      <c r="B298" s="57"/>
      <c r="C298" s="57"/>
      <c r="D298" s="57"/>
      <c r="E298" s="57"/>
      <c r="F298" s="57"/>
    </row>
    <row r="299" spans="1:7" ht="12.75">
      <c r="A299" s="56"/>
      <c r="B299" s="57"/>
      <c r="C299" s="57"/>
      <c r="D299" s="57"/>
      <c r="E299" s="57"/>
      <c r="F299" s="57"/>
    </row>
    <row r="300" spans="1:7" ht="12.75">
      <c r="A300" s="56"/>
      <c r="B300" s="57"/>
      <c r="C300" s="57"/>
      <c r="D300" s="57"/>
      <c r="E300" s="57"/>
      <c r="F300" s="57"/>
    </row>
    <row r="301" spans="1:7" ht="12.75">
      <c r="A301" s="56"/>
      <c r="B301" s="57"/>
      <c r="C301" s="57"/>
      <c r="D301" s="57"/>
      <c r="E301" s="57"/>
      <c r="F301" s="57"/>
    </row>
    <row r="302" spans="1:7" ht="12.75">
      <c r="A302" s="56"/>
      <c r="B302" s="57"/>
      <c r="C302" s="57"/>
      <c r="D302" s="57"/>
      <c r="E302" s="57"/>
      <c r="F302" s="57"/>
    </row>
    <row r="303" spans="1:7" ht="12.75">
      <c r="A303" s="56"/>
      <c r="B303" s="57"/>
      <c r="C303" s="57"/>
      <c r="D303" s="57"/>
      <c r="E303" s="57"/>
      <c r="F303" s="57"/>
    </row>
    <row r="304" spans="1:7" ht="12.75">
      <c r="A304" s="56"/>
      <c r="B304" s="57"/>
      <c r="C304" s="57"/>
      <c r="D304" s="57"/>
      <c r="E304" s="57"/>
      <c r="F304" s="57"/>
    </row>
    <row r="305" spans="1:7" ht="12.75">
      <c r="A305" s="56"/>
      <c r="B305" s="57"/>
      <c r="C305" s="57"/>
      <c r="D305" s="57"/>
      <c r="E305" s="57"/>
      <c r="F305" s="57"/>
    </row>
    <row r="306" spans="1:7" ht="12.75">
      <c r="A306" s="56"/>
      <c r="B306" s="57"/>
      <c r="C306" s="57"/>
      <c r="D306" s="57"/>
      <c r="E306" s="57"/>
      <c r="F306" s="57"/>
    </row>
    <row r="307" spans="1:7" ht="12.75">
      <c r="A307" s="56"/>
      <c r="B307" s="57"/>
      <c r="C307" s="57"/>
      <c r="D307" s="57"/>
      <c r="E307" s="57"/>
      <c r="F307" s="57"/>
    </row>
    <row r="308" spans="1:7" ht="12.75">
      <c r="A308" s="56"/>
      <c r="B308" s="57"/>
      <c r="C308" s="57"/>
      <c r="D308" s="57"/>
      <c r="E308" s="57"/>
      <c r="F308" s="57"/>
    </row>
    <row r="309" spans="1:7" ht="12.75">
      <c r="A309" s="56"/>
      <c r="B309" s="57"/>
      <c r="C309" s="57"/>
      <c r="D309" s="57"/>
      <c r="E309" s="57"/>
      <c r="F309" s="57"/>
    </row>
    <row r="310" spans="1:7" ht="12.75">
      <c r="A310" s="56"/>
      <c r="B310" s="57"/>
      <c r="C310" s="57"/>
      <c r="D310" s="57"/>
      <c r="E310" s="57"/>
      <c r="F310" s="57"/>
    </row>
    <row r="311" spans="1:7" ht="12.75">
      <c r="A311" s="56"/>
      <c r="B311" s="57"/>
      <c r="C311" s="57"/>
      <c r="D311" s="57"/>
      <c r="E311" s="57"/>
      <c r="F311" s="57"/>
    </row>
    <row r="312" spans="1:7" ht="12.75">
      <c r="A312" s="56"/>
      <c r="B312" s="57"/>
      <c r="C312" s="57"/>
      <c r="D312" s="57"/>
      <c r="E312" s="57"/>
      <c r="F312" s="57"/>
    </row>
    <row r="313" spans="1:7" ht="12.75">
      <c r="A313" s="56"/>
      <c r="B313" s="57"/>
      <c r="C313" s="57"/>
      <c r="D313" s="57"/>
      <c r="E313" s="57"/>
      <c r="F313" s="57"/>
    </row>
    <row r="314" spans="1:7" ht="12.75">
      <c r="A314" s="56"/>
      <c r="B314" s="57"/>
      <c r="C314" s="57"/>
      <c r="D314" s="57"/>
      <c r="E314" s="57"/>
      <c r="F314" s="57"/>
    </row>
    <row r="315" spans="1:7" ht="12.75">
      <c r="A315" s="56"/>
      <c r="B315" s="57"/>
      <c r="C315" s="57"/>
      <c r="D315" s="57"/>
      <c r="E315" s="57"/>
      <c r="F315" s="57"/>
    </row>
    <row r="316" spans="1:7" ht="12.75">
      <c r="A316" s="56"/>
      <c r="B316" s="57"/>
      <c r="C316" s="57"/>
      <c r="D316" s="57"/>
      <c r="E316" s="57"/>
      <c r="F316" s="57"/>
    </row>
    <row r="317" spans="1:7" ht="12.75">
      <c r="A317" s="56"/>
      <c r="B317" s="57"/>
      <c r="C317" s="57"/>
      <c r="D317" s="57"/>
      <c r="E317" s="57"/>
      <c r="F317" s="57"/>
    </row>
    <row r="318" spans="1:7" ht="12.75">
      <c r="A318" s="56"/>
      <c r="B318" s="57"/>
      <c r="C318" s="57"/>
      <c r="D318" s="57"/>
      <c r="E318" s="57"/>
      <c r="F318" s="57"/>
      <c r="G318" s="55"/>
    </row>
    <row r="319" spans="1:7" ht="12.75">
      <c r="A319" s="56"/>
      <c r="B319" s="57"/>
      <c r="C319" s="57"/>
      <c r="D319" s="57"/>
      <c r="E319" s="57"/>
      <c r="F319" s="57"/>
    </row>
    <row r="320" spans="1:7" ht="12.75">
      <c r="A320" s="56"/>
      <c r="B320" s="57"/>
      <c r="C320" s="57"/>
      <c r="D320" s="57"/>
      <c r="E320" s="57"/>
      <c r="F320" s="57"/>
    </row>
    <row r="321" spans="1:6" ht="12.75">
      <c r="A321" s="56"/>
      <c r="B321" s="57"/>
      <c r="C321" s="57"/>
      <c r="D321" s="57"/>
      <c r="E321" s="57"/>
      <c r="F321" s="57"/>
    </row>
    <row r="322" spans="1:6" ht="12.75">
      <c r="A322" s="56"/>
      <c r="B322" s="57"/>
      <c r="C322" s="57"/>
      <c r="D322" s="57"/>
      <c r="E322" s="57"/>
      <c r="F322" s="57"/>
    </row>
    <row r="323" spans="1:6" ht="12.75">
      <c r="A323" s="56"/>
      <c r="B323" s="57"/>
      <c r="C323" s="57"/>
      <c r="D323" s="57"/>
      <c r="E323" s="57"/>
      <c r="F323" s="57"/>
    </row>
    <row r="324" spans="1:6" ht="12.75">
      <c r="A324" s="56"/>
      <c r="B324" s="57"/>
      <c r="C324" s="57"/>
      <c r="D324" s="57"/>
      <c r="E324" s="57"/>
      <c r="F324" s="57"/>
    </row>
    <row r="325" spans="1:6" ht="12.75">
      <c r="A325" s="56"/>
      <c r="B325" s="57"/>
      <c r="C325" s="57"/>
      <c r="D325" s="57"/>
      <c r="E325" s="57"/>
      <c r="F325" s="57"/>
    </row>
    <row r="326" spans="1:6" ht="12.75">
      <c r="A326" s="56"/>
      <c r="B326" s="57"/>
      <c r="C326" s="57"/>
      <c r="D326" s="57"/>
      <c r="E326" s="57"/>
      <c r="F326" s="57"/>
    </row>
    <row r="327" spans="1:6" ht="12.75">
      <c r="A327" s="56"/>
      <c r="B327" s="57"/>
      <c r="C327" s="57"/>
      <c r="D327" s="57"/>
      <c r="E327" s="57"/>
      <c r="F327" s="57"/>
    </row>
    <row r="328" spans="1:6" ht="12.75">
      <c r="A328" s="56"/>
      <c r="B328" s="57"/>
      <c r="C328" s="57"/>
      <c r="D328" s="57"/>
      <c r="E328" s="57"/>
      <c r="F328" s="57"/>
    </row>
    <row r="329" spans="1:6" ht="12.75">
      <c r="A329" s="56"/>
      <c r="B329" s="57"/>
      <c r="C329" s="57"/>
      <c r="D329" s="57"/>
      <c r="E329" s="57"/>
      <c r="F329" s="57"/>
    </row>
    <row r="330" spans="1:6" ht="12.75">
      <c r="A330" s="56"/>
      <c r="B330" s="57"/>
      <c r="C330" s="57"/>
      <c r="D330" s="57"/>
      <c r="E330" s="57"/>
      <c r="F330" s="57"/>
    </row>
    <row r="331" spans="1:6" ht="12.75">
      <c r="A331" s="56"/>
      <c r="B331" s="57"/>
      <c r="C331" s="57"/>
      <c r="D331" s="57"/>
      <c r="E331" s="57"/>
      <c r="F331" s="57"/>
    </row>
    <row r="332" spans="1:6" ht="12.75">
      <c r="A332" s="56"/>
      <c r="B332" s="57"/>
      <c r="C332" s="57"/>
      <c r="D332" s="57"/>
      <c r="E332" s="57"/>
      <c r="F332" s="57"/>
    </row>
    <row r="333" spans="1:6" ht="12.75">
      <c r="A333" s="56"/>
      <c r="B333" s="57"/>
      <c r="C333" s="57"/>
      <c r="D333" s="57"/>
      <c r="E333" s="57"/>
      <c r="F333" s="57"/>
    </row>
    <row r="334" spans="1:6" ht="12.75">
      <c r="A334" s="56"/>
      <c r="B334" s="57"/>
      <c r="C334" s="57"/>
      <c r="D334" s="57"/>
      <c r="E334" s="57"/>
      <c r="F334" s="57"/>
    </row>
    <row r="335" spans="1:6" ht="12.75">
      <c r="A335" s="56"/>
      <c r="B335" s="57"/>
      <c r="C335" s="57"/>
      <c r="D335" s="57"/>
      <c r="E335" s="57"/>
      <c r="F335" s="57"/>
    </row>
    <row r="336" spans="1:6" ht="12.75">
      <c r="A336" s="56"/>
      <c r="B336" s="57"/>
      <c r="C336" s="57"/>
      <c r="D336" s="57"/>
      <c r="E336" s="57"/>
      <c r="F336" s="57"/>
    </row>
    <row r="337" spans="1:7" ht="12.75">
      <c r="A337" s="56"/>
      <c r="B337" s="57"/>
      <c r="C337" s="57"/>
      <c r="D337" s="57"/>
      <c r="E337" s="57"/>
      <c r="F337" s="57"/>
    </row>
    <row r="338" spans="1:7" ht="12.75">
      <c r="A338" s="56"/>
      <c r="B338" s="57"/>
      <c r="C338" s="57"/>
      <c r="D338" s="57"/>
      <c r="E338" s="57"/>
      <c r="F338" s="57"/>
    </row>
    <row r="339" spans="1:7" ht="12.75">
      <c r="A339" s="56"/>
      <c r="B339" s="57"/>
      <c r="C339" s="57"/>
      <c r="D339" s="57"/>
      <c r="E339" s="57"/>
      <c r="F339" s="57"/>
    </row>
    <row r="340" spans="1:7" ht="12.75">
      <c r="A340" s="56"/>
      <c r="B340" s="57"/>
      <c r="C340" s="57"/>
      <c r="D340" s="57"/>
      <c r="E340" s="57"/>
      <c r="F340" s="57"/>
    </row>
    <row r="341" spans="1:7" ht="12.75">
      <c r="A341" s="56"/>
      <c r="B341" s="57"/>
      <c r="C341" s="57"/>
      <c r="D341" s="57"/>
      <c r="E341" s="57"/>
      <c r="F341" s="57"/>
    </row>
    <row r="342" spans="1:7" ht="12.75">
      <c r="A342" s="56"/>
      <c r="B342" s="57"/>
      <c r="C342" s="57"/>
      <c r="D342" s="57"/>
      <c r="E342" s="57"/>
      <c r="F342" s="57"/>
    </row>
    <row r="343" spans="1:7" ht="12.75">
      <c r="A343" s="56"/>
      <c r="B343" s="57"/>
      <c r="C343" s="57"/>
      <c r="D343" s="57"/>
      <c r="E343" s="57"/>
      <c r="F343" s="57"/>
    </row>
    <row r="344" spans="1:7" ht="12.75">
      <c r="A344" s="56"/>
      <c r="B344" s="57"/>
      <c r="C344" s="57"/>
      <c r="D344" s="57"/>
      <c r="E344" s="57"/>
      <c r="F344" s="57"/>
      <c r="G344" s="55"/>
    </row>
    <row r="345" spans="1:7" ht="12.75">
      <c r="A345" s="56"/>
      <c r="B345" s="57"/>
      <c r="C345" s="57"/>
      <c r="D345" s="57"/>
      <c r="E345" s="57"/>
      <c r="F345" s="57"/>
    </row>
    <row r="346" spans="1:7" ht="12.75">
      <c r="A346" s="56"/>
      <c r="B346" s="57"/>
      <c r="C346" s="57"/>
      <c r="D346" s="57"/>
      <c r="E346" s="57"/>
      <c r="F346" s="57"/>
    </row>
    <row r="347" spans="1:7" ht="12.75">
      <c r="A347" s="56"/>
      <c r="B347" s="57"/>
      <c r="C347" s="57"/>
      <c r="D347" s="57"/>
      <c r="E347" s="57"/>
      <c r="F347" s="57"/>
    </row>
    <row r="348" spans="1:7" ht="12.75">
      <c r="A348" s="56"/>
      <c r="B348" s="57"/>
      <c r="C348" s="57"/>
      <c r="D348" s="57"/>
      <c r="E348" s="57"/>
      <c r="F348" s="57"/>
    </row>
    <row r="349" spans="1:7" ht="12.75">
      <c r="A349" s="56"/>
      <c r="B349" s="57"/>
      <c r="C349" s="57"/>
      <c r="D349" s="57"/>
      <c r="E349" s="57"/>
      <c r="F349" s="57"/>
    </row>
    <row r="350" spans="1:7" ht="12.75">
      <c r="A350" s="56"/>
      <c r="B350" s="57"/>
      <c r="C350" s="57"/>
      <c r="D350" s="57"/>
      <c r="E350" s="57"/>
      <c r="F350" s="57"/>
    </row>
    <row r="351" spans="1:7" ht="12.75">
      <c r="A351" s="56"/>
      <c r="B351" s="57"/>
      <c r="C351" s="57"/>
      <c r="D351" s="57"/>
      <c r="E351" s="57"/>
      <c r="F351" s="57"/>
    </row>
    <row r="352" spans="1:7" ht="12.75">
      <c r="A352" s="56"/>
      <c r="B352" s="57"/>
      <c r="C352" s="57"/>
      <c r="D352" s="57"/>
      <c r="E352" s="57"/>
      <c r="F352" s="57"/>
    </row>
    <row r="353" spans="1:6" ht="12.75">
      <c r="A353" s="56"/>
      <c r="B353" s="57"/>
      <c r="C353" s="57"/>
      <c r="D353" s="57"/>
      <c r="E353" s="57"/>
      <c r="F353" s="57"/>
    </row>
    <row r="354" spans="1:6" ht="12.75">
      <c r="A354" s="56"/>
      <c r="B354" s="57"/>
      <c r="C354" s="57"/>
      <c r="D354" s="57"/>
      <c r="E354" s="57"/>
      <c r="F354" s="57"/>
    </row>
    <row r="355" spans="1:6" ht="12.75">
      <c r="A355" s="56"/>
      <c r="B355" s="57"/>
      <c r="C355" s="57"/>
      <c r="D355" s="57"/>
      <c r="E355" s="57"/>
      <c r="F355" s="57"/>
    </row>
    <row r="356" spans="1:6" ht="12.75">
      <c r="A356" s="56"/>
      <c r="B356" s="57"/>
      <c r="C356" s="57"/>
      <c r="D356" s="57"/>
      <c r="E356" s="57"/>
      <c r="F356" s="57"/>
    </row>
    <row r="357" spans="1:6" ht="12.75">
      <c r="A357" s="56"/>
      <c r="B357" s="57"/>
      <c r="C357" s="57"/>
      <c r="D357" s="57"/>
      <c r="E357" s="57"/>
      <c r="F357" s="57"/>
    </row>
    <row r="358" spans="1:6" ht="12.75">
      <c r="A358" s="56"/>
      <c r="B358" s="57"/>
      <c r="C358" s="57"/>
      <c r="D358" s="57"/>
      <c r="E358" s="57"/>
      <c r="F358" s="57"/>
    </row>
    <row r="359" spans="1:6" ht="12.75">
      <c r="A359" s="56"/>
      <c r="B359" s="57"/>
      <c r="C359" s="57"/>
      <c r="D359" s="57"/>
      <c r="E359" s="57"/>
      <c r="F359" s="57"/>
    </row>
    <row r="360" spans="1:6" ht="12.75">
      <c r="A360" s="56"/>
      <c r="B360" s="57"/>
      <c r="C360" s="57"/>
      <c r="D360" s="57"/>
      <c r="E360" s="57"/>
      <c r="F360" s="57"/>
    </row>
    <row r="361" spans="1:6" ht="12.75">
      <c r="A361" s="56"/>
      <c r="B361" s="57"/>
      <c r="C361" s="57"/>
      <c r="D361" s="57"/>
      <c r="E361" s="57"/>
      <c r="F361" s="57"/>
    </row>
    <row r="362" spans="1:6" ht="12.75">
      <c r="A362" s="56"/>
      <c r="B362" s="57"/>
      <c r="C362" s="57"/>
      <c r="D362" s="57"/>
      <c r="E362" s="57"/>
      <c r="F362" s="57"/>
    </row>
    <row r="363" spans="1:6" ht="12.75">
      <c r="A363" s="56"/>
      <c r="B363" s="57"/>
      <c r="C363" s="57"/>
      <c r="D363" s="57"/>
      <c r="E363" s="57"/>
      <c r="F363" s="57"/>
    </row>
    <row r="364" spans="1:6" ht="12.75">
      <c r="A364" s="56"/>
      <c r="B364" s="57"/>
      <c r="C364" s="57"/>
      <c r="D364" s="57"/>
      <c r="E364" s="57"/>
      <c r="F364" s="57"/>
    </row>
    <row r="365" spans="1:6" ht="12.75">
      <c r="A365" s="56"/>
      <c r="B365" s="57"/>
      <c r="C365" s="57"/>
      <c r="D365" s="57"/>
      <c r="E365" s="57"/>
      <c r="F365" s="57"/>
    </row>
    <row r="366" spans="1:6" ht="12.75">
      <c r="A366" s="56"/>
      <c r="B366" s="57"/>
      <c r="C366" s="57"/>
      <c r="D366" s="57"/>
      <c r="E366" s="57"/>
      <c r="F366" s="57"/>
    </row>
    <row r="367" spans="1:6" ht="12.75">
      <c r="A367" s="56"/>
      <c r="B367" s="57"/>
      <c r="C367" s="57"/>
      <c r="D367" s="57"/>
      <c r="E367" s="57"/>
      <c r="F367" s="57"/>
    </row>
    <row r="368" spans="1:6" ht="12.75">
      <c r="A368" s="56"/>
      <c r="B368" s="57"/>
      <c r="C368" s="57"/>
      <c r="D368" s="57"/>
      <c r="E368" s="57"/>
      <c r="F368" s="57"/>
    </row>
    <row r="369" spans="1:7" ht="12.75">
      <c r="A369" s="56"/>
      <c r="B369" s="57"/>
      <c r="C369" s="57"/>
      <c r="D369" s="57"/>
      <c r="E369" s="57"/>
      <c r="F369" s="57"/>
    </row>
    <row r="370" spans="1:7" ht="12.75">
      <c r="A370" s="56"/>
      <c r="B370" s="57"/>
      <c r="C370" s="57"/>
      <c r="D370" s="57"/>
      <c r="E370" s="57"/>
      <c r="F370" s="57"/>
      <c r="G370" s="55"/>
    </row>
    <row r="371" spans="1:7" ht="12.75">
      <c r="A371" s="56"/>
      <c r="B371" s="57"/>
      <c r="C371" s="57"/>
      <c r="D371" s="57"/>
      <c r="E371" s="57"/>
      <c r="F371" s="57"/>
    </row>
    <row r="372" spans="1:7" ht="12.75">
      <c r="A372" s="56"/>
      <c r="B372" s="57"/>
      <c r="C372" s="57"/>
      <c r="D372" s="57"/>
      <c r="E372" s="57"/>
      <c r="F372" s="57"/>
    </row>
    <row r="373" spans="1:7" ht="12.75">
      <c r="A373" s="56"/>
      <c r="B373" s="57"/>
      <c r="C373" s="57"/>
      <c r="D373" s="57"/>
      <c r="E373" s="57"/>
      <c r="F373" s="57"/>
    </row>
    <row r="374" spans="1:7" ht="12.75">
      <c r="A374" s="56"/>
      <c r="B374" s="57"/>
      <c r="C374" s="57"/>
      <c r="D374" s="57"/>
      <c r="E374" s="57"/>
      <c r="F374" s="57"/>
    </row>
    <row r="375" spans="1:7" ht="12.75">
      <c r="A375" s="56"/>
      <c r="B375" s="57"/>
      <c r="C375" s="57"/>
      <c r="D375" s="57"/>
      <c r="E375" s="57"/>
      <c r="F375" s="57"/>
    </row>
    <row r="376" spans="1:7" ht="12.75">
      <c r="A376" s="56"/>
      <c r="B376" s="57"/>
      <c r="C376" s="57"/>
      <c r="D376" s="57"/>
      <c r="E376" s="57"/>
      <c r="F376" s="57"/>
    </row>
    <row r="377" spans="1:7" ht="12.75">
      <c r="A377" s="56"/>
      <c r="B377" s="57"/>
      <c r="C377" s="57"/>
      <c r="D377" s="57"/>
      <c r="E377" s="57"/>
      <c r="F377" s="57"/>
    </row>
    <row r="378" spans="1:7" ht="12.75">
      <c r="A378" s="56"/>
      <c r="B378" s="57"/>
      <c r="C378" s="57"/>
      <c r="D378" s="57"/>
      <c r="E378" s="57"/>
      <c r="F378" s="57"/>
    </row>
    <row r="379" spans="1:7" ht="12.75">
      <c r="A379" s="56"/>
      <c r="B379" s="57"/>
      <c r="C379" s="57"/>
      <c r="D379" s="57"/>
      <c r="E379" s="57"/>
      <c r="F379" s="57"/>
    </row>
    <row r="380" spans="1:7" ht="12.75">
      <c r="A380" s="56"/>
      <c r="B380" s="57"/>
      <c r="C380" s="57"/>
      <c r="D380" s="57"/>
      <c r="E380" s="57"/>
      <c r="F380" s="57"/>
    </row>
    <row r="381" spans="1:7" ht="12.75">
      <c r="A381" s="56"/>
      <c r="B381" s="57"/>
      <c r="C381" s="57"/>
      <c r="D381" s="57"/>
      <c r="E381" s="57"/>
      <c r="F381" s="57"/>
    </row>
    <row r="382" spans="1:7" ht="12.75">
      <c r="A382" s="56"/>
      <c r="B382" s="57"/>
      <c r="C382" s="57"/>
      <c r="D382" s="57"/>
      <c r="E382" s="57"/>
      <c r="F382" s="57"/>
    </row>
    <row r="383" spans="1:7" ht="12.75">
      <c r="A383" s="56"/>
      <c r="B383" s="57"/>
      <c r="C383" s="57"/>
      <c r="D383" s="57"/>
      <c r="E383" s="57"/>
      <c r="F383" s="57"/>
    </row>
    <row r="384" spans="1:7" ht="12.75">
      <c r="A384" s="56"/>
      <c r="B384" s="57"/>
      <c r="C384" s="57"/>
      <c r="D384" s="57"/>
      <c r="E384" s="57"/>
      <c r="F384" s="57"/>
    </row>
    <row r="385" spans="1:7" ht="12.75">
      <c r="A385" s="56"/>
      <c r="B385" s="57"/>
      <c r="C385" s="57"/>
      <c r="D385" s="57"/>
      <c r="E385" s="57"/>
      <c r="F385" s="57"/>
    </row>
    <row r="386" spans="1:7" ht="12.75">
      <c r="A386" s="56"/>
      <c r="B386" s="57"/>
      <c r="C386" s="57"/>
      <c r="D386" s="57"/>
      <c r="E386" s="57"/>
      <c r="F386" s="57"/>
    </row>
    <row r="387" spans="1:7" ht="12.75">
      <c r="A387" s="56"/>
      <c r="B387" s="57"/>
      <c r="C387" s="57"/>
      <c r="D387" s="57"/>
      <c r="E387" s="57"/>
      <c r="F387" s="57"/>
    </row>
    <row r="388" spans="1:7" ht="12.75">
      <c r="A388" s="56"/>
      <c r="B388" s="57"/>
      <c r="C388" s="57"/>
      <c r="D388" s="57"/>
      <c r="E388" s="57"/>
      <c r="F388" s="57"/>
    </row>
    <row r="389" spans="1:7" ht="12.75">
      <c r="A389" s="56"/>
      <c r="B389" s="57"/>
      <c r="C389" s="57"/>
      <c r="D389" s="57"/>
      <c r="E389" s="57"/>
      <c r="F389" s="57"/>
    </row>
    <row r="390" spans="1:7" ht="12.75">
      <c r="A390" s="56"/>
      <c r="B390" s="57"/>
      <c r="C390" s="57"/>
      <c r="D390" s="57"/>
      <c r="E390" s="57"/>
      <c r="F390" s="57"/>
    </row>
    <row r="391" spans="1:7" ht="12.75">
      <c r="A391" s="56"/>
      <c r="B391" s="57"/>
      <c r="C391" s="57"/>
      <c r="D391" s="57"/>
      <c r="E391" s="57"/>
      <c r="F391" s="57"/>
    </row>
    <row r="392" spans="1:7" ht="12.75">
      <c r="A392" s="56"/>
      <c r="B392" s="57"/>
      <c r="C392" s="57"/>
      <c r="D392" s="57"/>
      <c r="E392" s="57"/>
      <c r="F392" s="57"/>
    </row>
    <row r="393" spans="1:7" ht="12.75">
      <c r="A393" s="56"/>
      <c r="B393" s="57"/>
      <c r="C393" s="57"/>
      <c r="D393" s="57"/>
      <c r="E393" s="57"/>
      <c r="F393" s="57"/>
    </row>
    <row r="394" spans="1:7" ht="12.75">
      <c r="A394" s="56"/>
      <c r="B394" s="57"/>
      <c r="C394" s="57"/>
      <c r="D394" s="57"/>
      <c r="E394" s="57"/>
      <c r="F394" s="57"/>
    </row>
    <row r="395" spans="1:7" ht="12.75">
      <c r="A395" s="56"/>
      <c r="B395" s="57"/>
      <c r="C395" s="57"/>
      <c r="D395" s="57"/>
      <c r="E395" s="57"/>
      <c r="F395" s="57"/>
    </row>
    <row r="396" spans="1:7" ht="12.75">
      <c r="A396" s="56"/>
      <c r="B396" s="57"/>
      <c r="C396" s="57"/>
      <c r="D396" s="57"/>
      <c r="E396" s="57"/>
      <c r="F396" s="57"/>
      <c r="G396" s="55"/>
    </row>
    <row r="397" spans="1:7" ht="12.75">
      <c r="A397" s="56"/>
      <c r="B397" s="57"/>
      <c r="C397" s="57"/>
      <c r="D397" s="57"/>
      <c r="E397" s="57"/>
      <c r="F397" s="57"/>
    </row>
    <row r="398" spans="1:7" ht="12.75">
      <c r="A398" s="56"/>
      <c r="B398" s="57"/>
      <c r="C398" s="57"/>
      <c r="D398" s="57"/>
      <c r="E398" s="57"/>
      <c r="F398" s="57"/>
    </row>
    <row r="399" spans="1:7" ht="12.75">
      <c r="A399" s="56"/>
      <c r="B399" s="57"/>
      <c r="C399" s="57"/>
      <c r="D399" s="57"/>
      <c r="E399" s="57"/>
      <c r="F399" s="57"/>
    </row>
    <row r="400" spans="1:7" ht="12.75">
      <c r="A400" s="56"/>
      <c r="B400" s="57"/>
      <c r="C400" s="57"/>
      <c r="D400" s="57"/>
      <c r="E400" s="57"/>
      <c r="F400" s="57"/>
    </row>
    <row r="401" spans="1:6" ht="12.75">
      <c r="A401" s="56"/>
      <c r="B401" s="57"/>
      <c r="C401" s="57"/>
      <c r="D401" s="57"/>
      <c r="E401" s="57"/>
      <c r="F401" s="57"/>
    </row>
    <row r="402" spans="1:6" ht="12.75">
      <c r="A402" s="56"/>
      <c r="B402" s="57"/>
      <c r="C402" s="57"/>
      <c r="D402" s="57"/>
      <c r="E402" s="57"/>
      <c r="F402" s="57"/>
    </row>
    <row r="403" spans="1:6" ht="12.75">
      <c r="A403" s="56"/>
      <c r="B403" s="57"/>
      <c r="C403" s="57"/>
      <c r="D403" s="57"/>
      <c r="E403" s="57"/>
      <c r="F403" s="57"/>
    </row>
    <row r="404" spans="1:6" ht="12.75">
      <c r="A404" s="56"/>
      <c r="B404" s="57"/>
      <c r="C404" s="57"/>
      <c r="D404" s="57"/>
      <c r="E404" s="57"/>
      <c r="F404" s="57"/>
    </row>
    <row r="405" spans="1:6" ht="12.75">
      <c r="A405" s="56"/>
      <c r="B405" s="57"/>
      <c r="C405" s="57"/>
      <c r="D405" s="57"/>
      <c r="E405" s="57"/>
      <c r="F405" s="57"/>
    </row>
    <row r="406" spans="1:6" ht="12.75">
      <c r="A406" s="56"/>
      <c r="B406" s="57"/>
      <c r="C406" s="57"/>
      <c r="D406" s="57"/>
      <c r="E406" s="57"/>
      <c r="F406" s="57"/>
    </row>
    <row r="407" spans="1:6" ht="12.75">
      <c r="A407" s="56"/>
      <c r="B407" s="57"/>
      <c r="C407" s="57"/>
      <c r="D407" s="57"/>
      <c r="E407" s="57"/>
      <c r="F407" s="57"/>
    </row>
    <row r="408" spans="1:6" ht="12.75">
      <c r="A408" s="56"/>
      <c r="B408" s="57"/>
      <c r="C408" s="57"/>
      <c r="D408" s="57"/>
      <c r="E408" s="57"/>
      <c r="F408" s="57"/>
    </row>
    <row r="409" spans="1:6" ht="12.75">
      <c r="A409" s="56"/>
      <c r="B409" s="57"/>
      <c r="C409" s="57"/>
      <c r="D409" s="57"/>
      <c r="E409" s="57"/>
      <c r="F409" s="57"/>
    </row>
    <row r="410" spans="1:6" ht="12.75">
      <c r="A410" s="56"/>
      <c r="B410" s="57"/>
      <c r="C410" s="57"/>
      <c r="D410" s="57"/>
      <c r="E410" s="57"/>
      <c r="F410" s="57"/>
    </row>
    <row r="411" spans="1:6" ht="12.75">
      <c r="A411" s="56"/>
      <c r="B411" s="57"/>
      <c r="C411" s="57"/>
      <c r="D411" s="57"/>
      <c r="E411" s="57"/>
      <c r="F411" s="57"/>
    </row>
    <row r="412" spans="1:6" ht="12.75">
      <c r="A412" s="56"/>
      <c r="B412" s="57"/>
      <c r="C412" s="57"/>
      <c r="D412" s="57"/>
      <c r="E412" s="57"/>
      <c r="F412" s="57"/>
    </row>
    <row r="413" spans="1:6" ht="12.75">
      <c r="A413" s="56"/>
      <c r="B413" s="57"/>
      <c r="C413" s="57"/>
      <c r="D413" s="57"/>
      <c r="E413" s="57"/>
      <c r="F413" s="57"/>
    </row>
    <row r="414" spans="1:6" ht="12.75">
      <c r="A414" s="56"/>
      <c r="B414" s="57"/>
      <c r="C414" s="57"/>
      <c r="D414" s="57"/>
      <c r="E414" s="57"/>
      <c r="F414" s="57"/>
    </row>
    <row r="415" spans="1:6" ht="12.75">
      <c r="A415" s="56"/>
      <c r="B415" s="57"/>
      <c r="C415" s="57"/>
      <c r="D415" s="57"/>
      <c r="E415" s="57"/>
      <c r="F415" s="57"/>
    </row>
    <row r="416" spans="1:6" ht="12.75">
      <c r="A416" s="56"/>
      <c r="B416" s="57"/>
      <c r="C416" s="57"/>
      <c r="D416" s="57"/>
      <c r="E416" s="57"/>
      <c r="F416" s="57"/>
    </row>
    <row r="417" spans="1:7" ht="12.75">
      <c r="A417" s="56"/>
      <c r="B417" s="57"/>
      <c r="C417" s="57"/>
      <c r="D417" s="57"/>
      <c r="E417" s="57"/>
      <c r="F417" s="57"/>
    </row>
    <row r="418" spans="1:7" ht="12.75">
      <c r="A418" s="56"/>
      <c r="B418" s="57"/>
      <c r="C418" s="57"/>
      <c r="D418" s="57"/>
      <c r="E418" s="57"/>
      <c r="F418" s="57"/>
    </row>
    <row r="419" spans="1:7" ht="12.75">
      <c r="A419" s="56"/>
      <c r="B419" s="57"/>
      <c r="C419" s="57"/>
      <c r="D419" s="57"/>
      <c r="E419" s="57"/>
      <c r="F419" s="57"/>
    </row>
    <row r="420" spans="1:7" ht="12.75">
      <c r="A420" s="56"/>
      <c r="B420" s="57"/>
      <c r="C420" s="57"/>
      <c r="D420" s="57"/>
      <c r="E420" s="57"/>
      <c r="F420" s="57"/>
    </row>
    <row r="421" spans="1:7" ht="12.75">
      <c r="A421" s="56"/>
      <c r="B421" s="57"/>
      <c r="C421" s="57"/>
      <c r="D421" s="57"/>
      <c r="E421" s="57"/>
      <c r="F421" s="57"/>
    </row>
    <row r="422" spans="1:7" ht="12.75">
      <c r="A422" s="56"/>
      <c r="B422" s="57"/>
      <c r="C422" s="57"/>
      <c r="D422" s="57"/>
      <c r="E422" s="57"/>
      <c r="F422" s="57"/>
      <c r="G422" s="55"/>
    </row>
    <row r="423" spans="1:7" ht="12.75">
      <c r="A423" s="56"/>
      <c r="B423" s="57"/>
      <c r="C423" s="57"/>
      <c r="D423" s="57"/>
      <c r="E423" s="57"/>
      <c r="F423" s="57"/>
    </row>
    <row r="424" spans="1:7" ht="12.75">
      <c r="A424" s="56"/>
      <c r="B424" s="57"/>
      <c r="C424" s="57"/>
      <c r="D424" s="57"/>
      <c r="E424" s="57"/>
      <c r="F424" s="57"/>
    </row>
    <row r="425" spans="1:7" ht="12.75">
      <c r="A425" s="56"/>
      <c r="B425" s="57"/>
      <c r="C425" s="57"/>
      <c r="D425" s="57"/>
      <c r="E425" s="57"/>
      <c r="F425" s="57"/>
    </row>
    <row r="426" spans="1:7" ht="12.75">
      <c r="A426" s="56"/>
      <c r="B426" s="57"/>
      <c r="C426" s="57"/>
      <c r="D426" s="57"/>
      <c r="E426" s="57"/>
      <c r="F426" s="57"/>
    </row>
    <row r="427" spans="1:7" ht="12.75">
      <c r="A427" s="56"/>
      <c r="B427" s="57"/>
      <c r="C427" s="57"/>
      <c r="D427" s="57"/>
      <c r="E427" s="57"/>
      <c r="F427" s="57"/>
    </row>
    <row r="428" spans="1:7" ht="12.75">
      <c r="A428" s="56"/>
      <c r="B428" s="57"/>
      <c r="C428" s="57"/>
      <c r="D428" s="57"/>
      <c r="E428" s="57"/>
      <c r="F428" s="57"/>
    </row>
    <row r="429" spans="1:7" ht="12.75">
      <c r="A429" s="56"/>
      <c r="B429" s="57"/>
      <c r="C429" s="57"/>
      <c r="D429" s="57"/>
      <c r="E429" s="57"/>
      <c r="F429" s="57"/>
    </row>
    <row r="430" spans="1:7" ht="12.75">
      <c r="A430" s="56"/>
      <c r="B430" s="57"/>
      <c r="C430" s="57"/>
      <c r="D430" s="57"/>
      <c r="E430" s="57"/>
      <c r="F430" s="57"/>
    </row>
    <row r="431" spans="1:7" ht="12.75">
      <c r="A431" s="56"/>
      <c r="B431" s="57"/>
      <c r="C431" s="57"/>
      <c r="D431" s="57"/>
      <c r="E431" s="57"/>
      <c r="F431" s="57"/>
    </row>
    <row r="432" spans="1:7" ht="12.75">
      <c r="A432" s="56"/>
      <c r="B432" s="57"/>
      <c r="C432" s="57"/>
      <c r="D432" s="57"/>
      <c r="E432" s="57"/>
      <c r="F432" s="57"/>
    </row>
    <row r="433" spans="1:6" ht="12.75">
      <c r="A433" s="56"/>
      <c r="B433" s="57"/>
      <c r="C433" s="57"/>
      <c r="D433" s="57"/>
      <c r="E433" s="57"/>
      <c r="F433" s="57"/>
    </row>
    <row r="434" spans="1:6" ht="12.75">
      <c r="A434" s="56"/>
      <c r="B434" s="57"/>
      <c r="C434" s="57"/>
      <c r="D434" s="57"/>
      <c r="E434" s="57"/>
      <c r="F434" s="57"/>
    </row>
    <row r="435" spans="1:6" ht="12.75">
      <c r="A435" s="56"/>
      <c r="B435" s="57"/>
      <c r="C435" s="57"/>
      <c r="D435" s="57"/>
      <c r="E435" s="57"/>
      <c r="F435" s="57"/>
    </row>
    <row r="436" spans="1:6" ht="12.75">
      <c r="A436" s="56"/>
      <c r="B436" s="57"/>
      <c r="C436" s="57"/>
      <c r="D436" s="57"/>
      <c r="E436" s="57"/>
      <c r="F436" s="57"/>
    </row>
    <row r="437" spans="1:6" ht="12.75">
      <c r="A437" s="56"/>
      <c r="B437" s="57"/>
      <c r="C437" s="57"/>
      <c r="D437" s="57"/>
      <c r="E437" s="57"/>
      <c r="F437" s="57"/>
    </row>
    <row r="438" spans="1:6" ht="12.75">
      <c r="A438" s="56"/>
      <c r="B438" s="57"/>
      <c r="C438" s="57"/>
      <c r="D438" s="57"/>
      <c r="E438" s="57"/>
      <c r="F438" s="57"/>
    </row>
    <row r="439" spans="1:6" ht="12.75">
      <c r="A439" s="56"/>
      <c r="B439" s="57"/>
      <c r="C439" s="57"/>
      <c r="D439" s="57"/>
      <c r="E439" s="57"/>
      <c r="F439" s="57"/>
    </row>
    <row r="440" spans="1:6" ht="12.75">
      <c r="A440" s="56"/>
      <c r="B440" s="57"/>
      <c r="C440" s="57"/>
      <c r="D440" s="57"/>
      <c r="E440" s="57"/>
      <c r="F440" s="57"/>
    </row>
    <row r="441" spans="1:6" ht="12.75">
      <c r="A441" s="56"/>
      <c r="B441" s="57"/>
      <c r="C441" s="57"/>
      <c r="D441" s="57"/>
      <c r="E441" s="57"/>
      <c r="F441" s="57"/>
    </row>
    <row r="442" spans="1:6" ht="12.75">
      <c r="A442" s="56"/>
      <c r="B442" s="57"/>
      <c r="C442" s="57"/>
      <c r="D442" s="57"/>
      <c r="E442" s="57"/>
      <c r="F442" s="57"/>
    </row>
    <row r="443" spans="1:6" ht="12.75">
      <c r="A443" s="56"/>
      <c r="B443" s="57"/>
      <c r="C443" s="57"/>
      <c r="D443" s="57"/>
      <c r="E443" s="57"/>
      <c r="F443" s="57"/>
    </row>
    <row r="444" spans="1:6" ht="12.75">
      <c r="A444" s="56"/>
      <c r="B444" s="57"/>
      <c r="C444" s="57"/>
      <c r="D444" s="57"/>
      <c r="E444" s="57"/>
      <c r="F444" s="57"/>
    </row>
    <row r="445" spans="1:6" ht="12.75">
      <c r="A445" s="56"/>
      <c r="B445" s="57"/>
      <c r="C445" s="57"/>
      <c r="D445" s="57"/>
      <c r="E445" s="57"/>
      <c r="F445" s="57"/>
    </row>
    <row r="446" spans="1:6" ht="12.75">
      <c r="A446" s="56"/>
      <c r="B446" s="57"/>
      <c r="C446" s="57"/>
      <c r="D446" s="57"/>
      <c r="E446" s="57"/>
      <c r="F446" s="57"/>
    </row>
    <row r="447" spans="1:6" ht="12.75">
      <c r="A447" s="56"/>
      <c r="B447" s="57"/>
      <c r="C447" s="57"/>
      <c r="D447" s="57"/>
      <c r="E447" s="57"/>
      <c r="F447" s="57"/>
    </row>
    <row r="448" spans="1:6" ht="12.75">
      <c r="A448" s="56"/>
      <c r="B448" s="57"/>
      <c r="C448" s="57"/>
      <c r="D448" s="57"/>
      <c r="E448" s="57"/>
      <c r="F448" s="57"/>
    </row>
    <row r="449" spans="1:6" ht="12.75">
      <c r="A449" s="56"/>
      <c r="B449" s="57"/>
      <c r="C449" s="57"/>
      <c r="D449" s="57"/>
      <c r="E449" s="57"/>
      <c r="F449" s="57"/>
    </row>
    <row r="450" spans="1:6" ht="12.75">
      <c r="A450" s="56"/>
      <c r="B450" s="57"/>
      <c r="C450" s="57"/>
      <c r="D450" s="57"/>
      <c r="E450" s="57"/>
      <c r="F450" s="57"/>
    </row>
    <row r="451" spans="1:6" ht="12.75">
      <c r="A451" s="56"/>
      <c r="B451" s="57"/>
      <c r="C451" s="57"/>
      <c r="D451" s="57"/>
      <c r="E451" s="57"/>
      <c r="F451" s="57"/>
    </row>
    <row r="452" spans="1:6" ht="12.75">
      <c r="A452" s="56"/>
      <c r="B452" s="57"/>
      <c r="C452" s="57"/>
      <c r="D452" s="57"/>
      <c r="E452" s="57"/>
      <c r="F452" s="57"/>
    </row>
    <row r="453" spans="1:6" ht="12.75">
      <c r="A453" s="56"/>
      <c r="B453" s="57"/>
      <c r="C453" s="57"/>
      <c r="D453" s="57"/>
      <c r="E453" s="57"/>
      <c r="F453" s="57"/>
    </row>
    <row r="454" spans="1:6" ht="12.75">
      <c r="A454" s="56"/>
      <c r="B454" s="57"/>
      <c r="C454" s="57"/>
      <c r="D454" s="57"/>
      <c r="E454" s="57"/>
      <c r="F454" s="57"/>
    </row>
    <row r="455" spans="1:6" ht="12.75">
      <c r="A455" s="56"/>
      <c r="B455" s="57"/>
      <c r="C455" s="57"/>
      <c r="D455" s="57"/>
      <c r="E455" s="57"/>
      <c r="F455" s="57"/>
    </row>
    <row r="456" spans="1:6" ht="12.75">
      <c r="A456" s="56"/>
      <c r="B456" s="57"/>
      <c r="C456" s="57"/>
      <c r="D456" s="57"/>
      <c r="E456" s="57"/>
      <c r="F456" s="57"/>
    </row>
    <row r="457" spans="1:6" ht="12.75">
      <c r="A457" s="56"/>
      <c r="B457" s="57"/>
      <c r="C457" s="57"/>
      <c r="D457" s="57"/>
      <c r="E457" s="57"/>
      <c r="F457" s="57"/>
    </row>
    <row r="458" spans="1:6" ht="12.75">
      <c r="A458" s="56"/>
      <c r="B458" s="57"/>
      <c r="C458" s="57"/>
      <c r="D458" s="57"/>
      <c r="E458" s="57"/>
    </row>
    <row r="459" spans="1:6">
      <c r="D459" s="57"/>
      <c r="E459" s="57"/>
    </row>
  </sheetData>
  <phoneticPr fontId="1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73"/>
  <sheetViews>
    <sheetView workbookViewId="0">
      <selection activeCell="L1" sqref="B1:L66"/>
    </sheetView>
  </sheetViews>
  <sheetFormatPr defaultColWidth="6.140625" defaultRowHeight="12.75"/>
  <cols>
    <col min="1" max="1" width="6.140625" style="136" customWidth="1"/>
    <col min="2" max="3" width="4.7109375" style="136" customWidth="1"/>
    <col min="4" max="4" width="20.140625" style="136" customWidth="1"/>
    <col min="5" max="5" width="8.7109375" style="154" customWidth="1"/>
    <col min="6" max="6" width="6.85546875" style="136" customWidth="1"/>
    <col min="7" max="7" width="8" style="136" customWidth="1"/>
    <col min="8" max="8" width="8.85546875" style="154" customWidth="1"/>
    <col min="9" max="9" width="10.140625" style="136" customWidth="1"/>
    <col min="10" max="10" width="8.85546875" style="136" customWidth="1"/>
    <col min="11" max="11" width="8.7109375" style="140" customWidth="1"/>
    <col min="12" max="12" width="8.140625" style="136" customWidth="1"/>
    <col min="13" max="13" width="6.140625" style="130"/>
    <col min="14" max="15" width="6.140625" style="140"/>
    <col min="16" max="24" width="6.140625" style="136"/>
    <col min="25" max="25" width="20.85546875" style="136" customWidth="1"/>
    <col min="26" max="27" width="8.7109375" style="136" customWidth="1"/>
    <col min="28" max="28" width="10.42578125" style="136" customWidth="1"/>
    <col min="29" max="29" width="9.42578125" style="140" customWidth="1"/>
    <col min="30" max="30" width="9.85546875" style="136" customWidth="1"/>
    <col min="31" max="31" width="11.28515625" style="136" customWidth="1"/>
    <col min="32" max="32" width="7.140625" style="140" customWidth="1"/>
    <col min="33" max="16384" width="6.140625" style="136"/>
  </cols>
  <sheetData>
    <row r="1" spans="2:33" ht="15.75">
      <c r="K1" s="174"/>
      <c r="L1" s="219" t="s">
        <v>538</v>
      </c>
      <c r="N1" s="174"/>
      <c r="O1" s="174"/>
      <c r="AC1" s="174"/>
      <c r="AF1" s="174"/>
    </row>
    <row r="2" spans="2:33" s="126" customFormat="1" ht="18.75">
      <c r="B2" s="125"/>
      <c r="E2" s="127"/>
      <c r="H2" s="127"/>
      <c r="I2" s="127"/>
      <c r="K2" s="128"/>
      <c r="L2" s="129" t="s">
        <v>536</v>
      </c>
      <c r="M2" s="130"/>
      <c r="N2" s="128"/>
      <c r="O2" s="128"/>
      <c r="AC2" s="128"/>
      <c r="AF2" s="128"/>
    </row>
    <row r="3" spans="2:33" s="126" customFormat="1" ht="18.75">
      <c r="E3" s="127"/>
      <c r="F3" s="131"/>
      <c r="G3" s="132"/>
      <c r="H3" s="133"/>
      <c r="I3" s="131"/>
      <c r="J3" s="131"/>
      <c r="K3" s="128"/>
      <c r="L3" s="129" t="s">
        <v>537</v>
      </c>
      <c r="M3" s="130"/>
      <c r="N3" s="128"/>
      <c r="O3" s="128"/>
      <c r="Q3" s="131"/>
      <c r="R3" s="132"/>
      <c r="S3" s="132"/>
      <c r="T3" s="131"/>
      <c r="AC3" s="128"/>
      <c r="AF3" s="128"/>
    </row>
    <row r="4" spans="2:33" s="126" customFormat="1" ht="18.75">
      <c r="E4" s="127"/>
      <c r="H4" s="127"/>
      <c r="K4" s="128"/>
      <c r="L4" s="129"/>
      <c r="M4" s="130"/>
      <c r="N4" s="128"/>
      <c r="O4" s="128"/>
      <c r="AC4" s="128"/>
      <c r="AF4" s="128"/>
    </row>
    <row r="5" spans="2:33" s="126" customFormat="1" ht="18.75">
      <c r="E5" s="127"/>
      <c r="G5" s="134" t="str">
        <f>DATA!A1</f>
        <v>PUGET SOUND ENERGY</v>
      </c>
      <c r="H5" s="135"/>
      <c r="K5" s="128"/>
      <c r="L5" s="136"/>
      <c r="M5" s="130"/>
      <c r="N5" s="128"/>
      <c r="O5" s="128"/>
      <c r="AC5" s="128"/>
      <c r="AF5" s="128"/>
    </row>
    <row r="6" spans="2:33" s="126" customFormat="1" ht="18.75">
      <c r="E6" s="127"/>
      <c r="G6" s="137" t="s">
        <v>355</v>
      </c>
      <c r="H6" s="135"/>
      <c r="K6" s="128"/>
      <c r="L6" s="136"/>
      <c r="M6" s="130"/>
      <c r="N6" s="128"/>
      <c r="O6" s="128"/>
      <c r="AC6" s="128"/>
      <c r="AF6" s="128"/>
    </row>
    <row r="8" spans="2:33">
      <c r="E8" s="138" t="s">
        <v>356</v>
      </c>
      <c r="F8" s="139" t="s">
        <v>357</v>
      </c>
      <c r="G8" s="139" t="s">
        <v>358</v>
      </c>
      <c r="H8" s="138" t="s">
        <v>359</v>
      </c>
      <c r="I8" s="139" t="s">
        <v>360</v>
      </c>
      <c r="J8" s="295" t="s">
        <v>361</v>
      </c>
      <c r="K8" s="296"/>
      <c r="AG8" s="21"/>
    </row>
    <row r="9" spans="2:33">
      <c r="D9" s="22" t="s">
        <v>362</v>
      </c>
      <c r="E9" s="141" t="s">
        <v>363</v>
      </c>
      <c r="F9" s="142" t="s">
        <v>364</v>
      </c>
      <c r="G9" s="142" t="s">
        <v>365</v>
      </c>
      <c r="H9" s="141" t="s">
        <v>366</v>
      </c>
      <c r="I9" s="142" t="s">
        <v>187</v>
      </c>
      <c r="J9" s="143" t="s">
        <v>188</v>
      </c>
      <c r="K9" s="144" t="s">
        <v>189</v>
      </c>
      <c r="L9" s="145" t="s">
        <v>190</v>
      </c>
      <c r="P9" s="136" t="s">
        <v>248</v>
      </c>
      <c r="AG9" s="21"/>
    </row>
    <row r="10" spans="2:33">
      <c r="D10" s="22"/>
      <c r="E10" s="146"/>
      <c r="F10" s="147"/>
      <c r="G10" s="147"/>
      <c r="H10" s="148"/>
      <c r="I10" s="147"/>
      <c r="J10" s="147"/>
      <c r="K10" s="149"/>
      <c r="M10" s="130" t="s">
        <v>191</v>
      </c>
      <c r="N10" s="297" t="s">
        <v>192</v>
      </c>
      <c r="O10" s="297"/>
      <c r="P10" s="136" t="s">
        <v>249</v>
      </c>
    </row>
    <row r="11" spans="2:33">
      <c r="D11" s="150" t="s">
        <v>193</v>
      </c>
      <c r="E11" s="151" t="s">
        <v>194</v>
      </c>
      <c r="F11" s="152" t="s">
        <v>195</v>
      </c>
      <c r="G11" s="152" t="s">
        <v>195</v>
      </c>
      <c r="H11" s="153" t="s">
        <v>196</v>
      </c>
      <c r="I11" s="152" t="s">
        <v>197</v>
      </c>
      <c r="J11" s="298" t="s">
        <v>198</v>
      </c>
      <c r="K11" s="298"/>
      <c r="M11" s="130" t="s">
        <v>397</v>
      </c>
      <c r="N11" s="140" t="s">
        <v>188</v>
      </c>
      <c r="O11" s="140" t="s">
        <v>199</v>
      </c>
      <c r="P11" s="136" t="s">
        <v>250</v>
      </c>
    </row>
    <row r="12" spans="2:33" ht="15.75">
      <c r="B12" s="136" t="s">
        <v>200</v>
      </c>
      <c r="F12" s="155"/>
      <c r="G12" s="155"/>
      <c r="H12" s="156"/>
      <c r="I12" s="140"/>
      <c r="K12" s="136"/>
      <c r="L12" s="157"/>
      <c r="P12" s="136" t="s">
        <v>251</v>
      </c>
    </row>
    <row r="13" spans="2:33" ht="15.75">
      <c r="C13" s="154" t="s">
        <v>201</v>
      </c>
      <c r="D13" s="136" t="s">
        <v>202</v>
      </c>
      <c r="E13" s="158">
        <v>55</v>
      </c>
      <c r="F13" s="159" t="s">
        <v>196</v>
      </c>
      <c r="G13" s="160" t="s">
        <v>195</v>
      </c>
      <c r="H13" s="160" t="s">
        <v>197</v>
      </c>
      <c r="I13" s="148" t="s">
        <v>197</v>
      </c>
      <c r="J13" s="148" t="s">
        <v>203</v>
      </c>
      <c r="K13" s="148" t="s">
        <v>204</v>
      </c>
      <c r="L13" s="137"/>
      <c r="M13" s="161"/>
      <c r="P13" s="136" t="s">
        <v>252</v>
      </c>
      <c r="W13" s="87"/>
      <c r="X13" s="87"/>
    </row>
    <row r="14" spans="2:33" ht="15.75">
      <c r="C14" s="154" t="s">
        <v>201</v>
      </c>
      <c r="D14" s="136" t="s">
        <v>205</v>
      </c>
      <c r="E14" s="148">
        <v>72</v>
      </c>
      <c r="F14" s="160" t="s">
        <v>195</v>
      </c>
      <c r="G14" s="160" t="s">
        <v>195</v>
      </c>
      <c r="H14" s="159" t="s">
        <v>195</v>
      </c>
      <c r="I14" s="148" t="s">
        <v>197</v>
      </c>
      <c r="J14" s="148" t="s">
        <v>206</v>
      </c>
      <c r="K14" s="148" t="s">
        <v>207</v>
      </c>
      <c r="L14" s="162"/>
      <c r="M14" s="103"/>
      <c r="N14" s="87"/>
      <c r="O14" s="87"/>
      <c r="P14" s="136" t="s">
        <v>253</v>
      </c>
      <c r="W14" s="87"/>
      <c r="X14" s="87"/>
    </row>
    <row r="15" spans="2:33" ht="15.75">
      <c r="C15" s="154" t="s">
        <v>201</v>
      </c>
      <c r="D15" s="136" t="s">
        <v>208</v>
      </c>
      <c r="E15" s="158">
        <v>54</v>
      </c>
      <c r="F15" s="160" t="s">
        <v>195</v>
      </c>
      <c r="G15" s="160" t="s">
        <v>195</v>
      </c>
      <c r="H15" s="160" t="s">
        <v>197</v>
      </c>
      <c r="I15" s="148" t="s">
        <v>196</v>
      </c>
      <c r="J15" s="148" t="s">
        <v>203</v>
      </c>
      <c r="K15" s="148" t="s">
        <v>209</v>
      </c>
      <c r="L15" s="137"/>
      <c r="M15" s="103"/>
      <c r="N15" s="87"/>
      <c r="O15" s="87"/>
      <c r="W15" s="87"/>
      <c r="X15" s="87"/>
    </row>
    <row r="16" spans="2:33" ht="15.75">
      <c r="C16" s="154" t="s">
        <v>201</v>
      </c>
      <c r="D16" s="136" t="s">
        <v>210</v>
      </c>
      <c r="E16" s="148">
        <v>80</v>
      </c>
      <c r="F16" s="159" t="s">
        <v>196</v>
      </c>
      <c r="G16" s="160" t="s">
        <v>195</v>
      </c>
      <c r="H16" s="160" t="s">
        <v>197</v>
      </c>
      <c r="I16" s="148" t="s">
        <v>196</v>
      </c>
      <c r="J16" s="148" t="s">
        <v>211</v>
      </c>
      <c r="K16" s="148" t="s">
        <v>212</v>
      </c>
      <c r="L16" s="137"/>
      <c r="M16" s="103"/>
      <c r="N16" s="87"/>
      <c r="O16" s="87"/>
      <c r="W16" s="87"/>
      <c r="X16" s="87"/>
    </row>
    <row r="17" spans="2:33" ht="15.75">
      <c r="C17" s="154" t="s">
        <v>201</v>
      </c>
      <c r="D17" s="136" t="s">
        <v>213</v>
      </c>
      <c r="E17" s="158">
        <v>44</v>
      </c>
      <c r="F17" s="159" t="s">
        <v>196</v>
      </c>
      <c r="G17" s="159" t="s">
        <v>214</v>
      </c>
      <c r="H17" s="160" t="s">
        <v>197</v>
      </c>
      <c r="I17" s="148" t="s">
        <v>197</v>
      </c>
      <c r="J17" s="148" t="s">
        <v>373</v>
      </c>
      <c r="K17" s="148" t="s">
        <v>209</v>
      </c>
      <c r="L17" s="137"/>
      <c r="M17" s="103"/>
      <c r="N17" s="87"/>
      <c r="O17" s="87"/>
      <c r="R17" s="136" t="s">
        <v>529</v>
      </c>
      <c r="S17" s="136" t="s">
        <v>508</v>
      </c>
      <c r="W17" s="87"/>
      <c r="X17" s="87"/>
    </row>
    <row r="18" spans="2:33" ht="15.75">
      <c r="C18" s="154" t="s">
        <v>35</v>
      </c>
      <c r="D18" s="136" t="s">
        <v>36</v>
      </c>
      <c r="E18" s="158">
        <v>63</v>
      </c>
      <c r="F18" s="160" t="s">
        <v>37</v>
      </c>
      <c r="G18" s="160" t="s">
        <v>195</v>
      </c>
      <c r="H18" s="160" t="s">
        <v>197</v>
      </c>
      <c r="I18" s="148" t="s">
        <v>197</v>
      </c>
      <c r="J18" s="148" t="s">
        <v>38</v>
      </c>
      <c r="K18" s="148" t="s">
        <v>39</v>
      </c>
      <c r="L18" s="163"/>
      <c r="M18" s="103"/>
      <c r="N18" s="87"/>
      <c r="O18" s="87"/>
      <c r="R18" s="136" t="s">
        <v>531</v>
      </c>
      <c r="S18" s="136" t="s">
        <v>530</v>
      </c>
      <c r="W18" s="87"/>
      <c r="X18" s="87"/>
    </row>
    <row r="19" spans="2:33" ht="15.75">
      <c r="C19" s="154" t="s">
        <v>35</v>
      </c>
      <c r="D19" s="136" t="s">
        <v>40</v>
      </c>
      <c r="E19" s="148">
        <v>71</v>
      </c>
      <c r="F19" s="160" t="s">
        <v>195</v>
      </c>
      <c r="G19" s="160" t="s">
        <v>195</v>
      </c>
      <c r="H19" s="160" t="s">
        <v>197</v>
      </c>
      <c r="I19" s="148" t="s">
        <v>197</v>
      </c>
      <c r="J19" s="164" t="s">
        <v>203</v>
      </c>
      <c r="K19" s="158" t="s">
        <v>41</v>
      </c>
      <c r="L19" s="137"/>
      <c r="M19" s="103"/>
      <c r="N19" s="87"/>
      <c r="O19" s="87"/>
      <c r="R19" s="136" t="s">
        <v>374</v>
      </c>
      <c r="S19" s="136" t="s">
        <v>532</v>
      </c>
      <c r="W19" s="87"/>
      <c r="X19" s="87"/>
    </row>
    <row r="20" spans="2:33">
      <c r="C20" s="154" t="s">
        <v>201</v>
      </c>
      <c r="D20" s="136" t="s">
        <v>42</v>
      </c>
      <c r="E20" s="148">
        <v>89</v>
      </c>
      <c r="F20" s="159" t="s">
        <v>196</v>
      </c>
      <c r="G20" s="160" t="s">
        <v>195</v>
      </c>
      <c r="H20" s="160" t="s">
        <v>197</v>
      </c>
      <c r="I20" s="148" t="s">
        <v>197</v>
      </c>
      <c r="J20" s="148" t="s">
        <v>211</v>
      </c>
      <c r="K20" s="148" t="s">
        <v>43</v>
      </c>
      <c r="M20" s="103"/>
      <c r="N20" s="87"/>
      <c r="O20" s="87"/>
      <c r="R20" s="136" t="s">
        <v>376</v>
      </c>
      <c r="S20" s="136" t="s">
        <v>375</v>
      </c>
      <c r="W20" s="87"/>
      <c r="X20" s="87"/>
    </row>
    <row r="21" spans="2:33" ht="15.75">
      <c r="C21" s="154" t="s">
        <v>44</v>
      </c>
      <c r="D21" s="136" t="s">
        <v>45</v>
      </c>
      <c r="E21" s="158">
        <v>53</v>
      </c>
      <c r="F21" s="160" t="s">
        <v>195</v>
      </c>
      <c r="G21" s="160" t="s">
        <v>195</v>
      </c>
      <c r="H21" s="160" t="s">
        <v>197</v>
      </c>
      <c r="I21" s="148" t="s">
        <v>196</v>
      </c>
      <c r="J21" s="148" t="s">
        <v>206</v>
      </c>
      <c r="K21" s="148" t="s">
        <v>43</v>
      </c>
      <c r="L21" s="165"/>
      <c r="M21" s="103"/>
      <c r="N21" s="87"/>
      <c r="O21" s="87"/>
      <c r="R21" s="136" t="s">
        <v>378</v>
      </c>
      <c r="S21" s="136" t="s">
        <v>159</v>
      </c>
      <c r="W21" s="87"/>
      <c r="X21" s="87"/>
    </row>
    <row r="22" spans="2:33" ht="15.75">
      <c r="C22" s="154" t="s">
        <v>201</v>
      </c>
      <c r="D22" s="149" t="s">
        <v>160</v>
      </c>
      <c r="E22" s="148">
        <v>83</v>
      </c>
      <c r="F22" s="160" t="s">
        <v>195</v>
      </c>
      <c r="G22" s="160" t="s">
        <v>195</v>
      </c>
      <c r="H22" s="159" t="s">
        <v>195</v>
      </c>
      <c r="I22" s="148" t="s">
        <v>196</v>
      </c>
      <c r="J22" s="148" t="s">
        <v>161</v>
      </c>
      <c r="K22" s="148" t="s">
        <v>162</v>
      </c>
      <c r="L22" s="137"/>
      <c r="M22" s="103"/>
      <c r="N22" s="87"/>
      <c r="O22" s="87"/>
      <c r="R22" s="136" t="s">
        <v>380</v>
      </c>
      <c r="S22" s="136" t="s">
        <v>379</v>
      </c>
      <c r="W22" s="87"/>
      <c r="X22" s="87"/>
    </row>
    <row r="23" spans="2:33" ht="15.75">
      <c r="C23" s="154" t="s">
        <v>201</v>
      </c>
      <c r="D23" s="149" t="s">
        <v>288</v>
      </c>
      <c r="E23" s="158">
        <v>44</v>
      </c>
      <c r="F23" s="160" t="s">
        <v>195</v>
      </c>
      <c r="G23" s="160" t="s">
        <v>195</v>
      </c>
      <c r="H23" s="160" t="s">
        <v>197</v>
      </c>
      <c r="I23" s="148" t="s">
        <v>197</v>
      </c>
      <c r="J23" s="148" t="s">
        <v>373</v>
      </c>
      <c r="K23" s="148" t="s">
        <v>289</v>
      </c>
      <c r="L23" s="137"/>
      <c r="M23" s="161"/>
      <c r="R23" s="136" t="s">
        <v>446</v>
      </c>
      <c r="S23" s="136" t="s">
        <v>72</v>
      </c>
      <c r="W23" s="87"/>
      <c r="X23" s="87"/>
    </row>
    <row r="24" spans="2:33" ht="15.75">
      <c r="C24" s="154" t="s">
        <v>201</v>
      </c>
      <c r="D24" s="149" t="s">
        <v>290</v>
      </c>
      <c r="E24" s="158">
        <v>59</v>
      </c>
      <c r="F24" s="160" t="s">
        <v>195</v>
      </c>
      <c r="G24" s="160" t="s">
        <v>195</v>
      </c>
      <c r="H24" s="160" t="s">
        <v>197</v>
      </c>
      <c r="I24" s="148" t="s">
        <v>197</v>
      </c>
      <c r="J24" s="148" t="s">
        <v>291</v>
      </c>
      <c r="K24" s="148" t="s">
        <v>292</v>
      </c>
      <c r="L24" s="137"/>
      <c r="M24" s="161"/>
      <c r="R24" s="136" t="s">
        <v>448</v>
      </c>
      <c r="S24" s="136" t="s">
        <v>230</v>
      </c>
      <c r="W24" s="87"/>
      <c r="X24" s="87"/>
    </row>
    <row r="25" spans="2:33" ht="15.75">
      <c r="C25" s="154" t="s">
        <v>35</v>
      </c>
      <c r="D25" s="149" t="s">
        <v>293</v>
      </c>
      <c r="E25" s="148">
        <v>95</v>
      </c>
      <c r="F25" s="160" t="s">
        <v>195</v>
      </c>
      <c r="G25" s="160" t="s">
        <v>195</v>
      </c>
      <c r="H25" s="160" t="s">
        <v>197</v>
      </c>
      <c r="I25" s="148" t="s">
        <v>197</v>
      </c>
      <c r="J25" s="164" t="s">
        <v>203</v>
      </c>
      <c r="K25" s="148" t="s">
        <v>294</v>
      </c>
      <c r="L25" s="166" t="s">
        <v>295</v>
      </c>
      <c r="M25" s="161">
        <v>48.1</v>
      </c>
      <c r="N25" s="140">
        <v>4</v>
      </c>
      <c r="O25" s="140">
        <v>3.5</v>
      </c>
      <c r="R25" s="136" t="s">
        <v>286</v>
      </c>
      <c r="S25" s="136" t="s">
        <v>231</v>
      </c>
      <c r="W25" s="87"/>
      <c r="X25" s="87"/>
    </row>
    <row r="26" spans="2:33">
      <c r="C26" s="154" t="s">
        <v>201</v>
      </c>
      <c r="D26" s="136" t="s">
        <v>296</v>
      </c>
      <c r="E26" s="158">
        <v>65</v>
      </c>
      <c r="F26" s="160" t="s">
        <v>195</v>
      </c>
      <c r="G26" s="160" t="s">
        <v>297</v>
      </c>
      <c r="H26" s="160" t="s">
        <v>197</v>
      </c>
      <c r="I26" s="148" t="s">
        <v>298</v>
      </c>
      <c r="J26" s="148" t="s">
        <v>299</v>
      </c>
      <c r="K26" s="148" t="s">
        <v>300</v>
      </c>
      <c r="L26" s="140"/>
      <c r="M26" s="161"/>
      <c r="R26" s="136" t="s">
        <v>163</v>
      </c>
      <c r="S26" s="136" t="s">
        <v>164</v>
      </c>
      <c r="W26" s="87"/>
      <c r="X26" s="87"/>
    </row>
    <row r="27" spans="2:33" ht="15.75">
      <c r="C27" s="154" t="s">
        <v>35</v>
      </c>
      <c r="D27" s="136" t="s">
        <v>165</v>
      </c>
      <c r="E27" s="158">
        <v>53</v>
      </c>
      <c r="F27" s="160" t="s">
        <v>297</v>
      </c>
      <c r="G27" s="160" t="s">
        <v>195</v>
      </c>
      <c r="H27" s="159" t="s">
        <v>195</v>
      </c>
      <c r="I27" s="148" t="s">
        <v>197</v>
      </c>
      <c r="J27" s="148" t="s">
        <v>166</v>
      </c>
      <c r="K27" s="164" t="s">
        <v>167</v>
      </c>
      <c r="L27" s="166"/>
      <c r="M27" s="167"/>
      <c r="R27" s="136" t="s">
        <v>168</v>
      </c>
      <c r="S27" s="136" t="s">
        <v>169</v>
      </c>
      <c r="W27" s="87"/>
      <c r="X27" s="87"/>
    </row>
    <row r="28" spans="2:33" ht="15.75">
      <c r="B28" s="136" t="s">
        <v>170</v>
      </c>
      <c r="C28" s="154"/>
      <c r="E28" s="148"/>
      <c r="F28" s="160"/>
      <c r="G28" s="160"/>
      <c r="H28" s="160"/>
      <c r="I28" s="148"/>
      <c r="J28" s="148"/>
      <c r="K28" s="148"/>
      <c r="L28" s="137"/>
      <c r="M28" s="161"/>
      <c r="R28" s="136" t="s">
        <v>171</v>
      </c>
      <c r="S28" s="136" t="s">
        <v>234</v>
      </c>
      <c r="W28" s="87"/>
      <c r="X28" s="87"/>
    </row>
    <row r="29" spans="2:33" ht="15.75">
      <c r="C29" s="154" t="s">
        <v>172</v>
      </c>
      <c r="D29" s="136" t="s">
        <v>173</v>
      </c>
      <c r="E29" s="148">
        <v>91</v>
      </c>
      <c r="F29" s="160" t="s">
        <v>195</v>
      </c>
      <c r="G29" s="160" t="s">
        <v>195</v>
      </c>
      <c r="H29" s="160" t="s">
        <v>197</v>
      </c>
      <c r="I29" s="148" t="s">
        <v>197</v>
      </c>
      <c r="J29" s="164" t="s">
        <v>206</v>
      </c>
      <c r="K29" s="148" t="s">
        <v>174</v>
      </c>
      <c r="L29" s="137" t="s">
        <v>295</v>
      </c>
      <c r="M29" s="161">
        <v>54.1</v>
      </c>
      <c r="N29" s="140">
        <v>3</v>
      </c>
      <c r="O29" s="140">
        <v>3</v>
      </c>
      <c r="R29" s="136" t="s">
        <v>175</v>
      </c>
      <c r="S29" s="136" t="s">
        <v>315</v>
      </c>
      <c r="W29" s="87"/>
      <c r="X29" s="87"/>
    </row>
    <row r="30" spans="2:33" ht="15.75">
      <c r="C30" s="154" t="s">
        <v>201</v>
      </c>
      <c r="D30" s="136" t="s">
        <v>316</v>
      </c>
      <c r="E30" s="148">
        <v>84</v>
      </c>
      <c r="F30" s="160" t="s">
        <v>195</v>
      </c>
      <c r="G30" s="160" t="s">
        <v>195</v>
      </c>
      <c r="H30" s="160" t="s">
        <v>197</v>
      </c>
      <c r="I30" s="148" t="s">
        <v>197</v>
      </c>
      <c r="J30" s="148" t="s">
        <v>122</v>
      </c>
      <c r="K30" s="148" t="s">
        <v>123</v>
      </c>
      <c r="L30" s="166" t="s">
        <v>124</v>
      </c>
      <c r="M30" s="167">
        <v>46.8</v>
      </c>
      <c r="N30" s="140">
        <v>3</v>
      </c>
      <c r="O30" s="140">
        <v>3.5</v>
      </c>
      <c r="R30" s="136" t="s">
        <v>125</v>
      </c>
      <c r="S30" s="136" t="s">
        <v>236</v>
      </c>
      <c r="W30" s="87"/>
      <c r="X30" s="87"/>
      <c r="AG30" s="168"/>
    </row>
    <row r="31" spans="2:33">
      <c r="C31" s="154" t="s">
        <v>201</v>
      </c>
      <c r="D31" s="136" t="s">
        <v>83</v>
      </c>
      <c r="E31" s="148">
        <v>86</v>
      </c>
      <c r="F31" s="160" t="s">
        <v>195</v>
      </c>
      <c r="G31" s="159" t="s">
        <v>214</v>
      </c>
      <c r="H31" s="160" t="s">
        <v>197</v>
      </c>
      <c r="I31" s="158" t="s">
        <v>84</v>
      </c>
      <c r="J31" s="148" t="s">
        <v>85</v>
      </c>
      <c r="K31" s="148" t="s">
        <v>254</v>
      </c>
      <c r="L31" s="87"/>
      <c r="M31" s="87"/>
      <c r="N31" s="87"/>
      <c r="O31" s="87"/>
      <c r="R31" s="136" t="s">
        <v>255</v>
      </c>
      <c r="S31" s="136" t="s">
        <v>237</v>
      </c>
      <c r="W31" s="87"/>
      <c r="X31" s="87"/>
      <c r="AG31" s="168"/>
    </row>
    <row r="32" spans="2:33" ht="15.75">
      <c r="C32" s="154" t="s">
        <v>35</v>
      </c>
      <c r="D32" s="136" t="s">
        <v>256</v>
      </c>
      <c r="E32" s="148">
        <v>92</v>
      </c>
      <c r="F32" s="160" t="s">
        <v>195</v>
      </c>
      <c r="G32" s="160" t="s">
        <v>195</v>
      </c>
      <c r="H32" s="160" t="s">
        <v>197</v>
      </c>
      <c r="I32" s="148" t="s">
        <v>197</v>
      </c>
      <c r="J32" s="164" t="s">
        <v>257</v>
      </c>
      <c r="K32" s="164" t="s">
        <v>258</v>
      </c>
      <c r="L32" s="137" t="s">
        <v>259</v>
      </c>
      <c r="M32" s="161">
        <v>44.8</v>
      </c>
      <c r="N32" s="140">
        <v>1</v>
      </c>
      <c r="O32" s="140">
        <v>1</v>
      </c>
      <c r="W32" s="87"/>
      <c r="X32" s="87"/>
      <c r="AG32" s="168"/>
    </row>
    <row r="33" spans="1:33" ht="15.75">
      <c r="C33" s="154" t="s">
        <v>201</v>
      </c>
      <c r="D33" s="136" t="s">
        <v>260</v>
      </c>
      <c r="E33" s="158">
        <v>64</v>
      </c>
      <c r="F33" s="160" t="s">
        <v>195</v>
      </c>
      <c r="G33" s="159" t="s">
        <v>197</v>
      </c>
      <c r="H33" s="160" t="s">
        <v>197</v>
      </c>
      <c r="I33" s="148" t="s">
        <v>196</v>
      </c>
      <c r="J33" s="148" t="s">
        <v>261</v>
      </c>
      <c r="K33" s="148" t="s">
        <v>39</v>
      </c>
      <c r="L33" s="137"/>
      <c r="M33" s="161"/>
      <c r="W33" s="87"/>
      <c r="X33" s="87"/>
      <c r="AG33" s="168"/>
    </row>
    <row r="34" spans="1:33">
      <c r="C34" s="154" t="s">
        <v>201</v>
      </c>
      <c r="D34" s="136" t="s">
        <v>262</v>
      </c>
      <c r="E34" s="148">
        <v>79</v>
      </c>
      <c r="F34" s="160" t="s">
        <v>195</v>
      </c>
      <c r="G34" s="160" t="s">
        <v>195</v>
      </c>
      <c r="H34" s="159" t="s">
        <v>195</v>
      </c>
      <c r="I34" s="148" t="s">
        <v>197</v>
      </c>
      <c r="J34" s="148" t="s">
        <v>263</v>
      </c>
      <c r="K34" s="148" t="s">
        <v>292</v>
      </c>
      <c r="M34" s="167"/>
      <c r="W34" s="87"/>
      <c r="X34" s="87"/>
      <c r="AG34" s="168"/>
    </row>
    <row r="35" spans="1:33" ht="15.75">
      <c r="C35" s="154" t="s">
        <v>35</v>
      </c>
      <c r="D35" s="136" t="s">
        <v>264</v>
      </c>
      <c r="E35" s="148">
        <v>95</v>
      </c>
      <c r="F35" s="160" t="s">
        <v>195</v>
      </c>
      <c r="G35" s="160" t="s">
        <v>195</v>
      </c>
      <c r="H35" s="160" t="s">
        <v>197</v>
      </c>
      <c r="I35" s="148" t="s">
        <v>197</v>
      </c>
      <c r="J35" s="164" t="s">
        <v>257</v>
      </c>
      <c r="K35" s="148" t="s">
        <v>258</v>
      </c>
      <c r="L35" s="137" t="s">
        <v>259</v>
      </c>
      <c r="M35" s="161">
        <v>52.6</v>
      </c>
      <c r="N35" s="140">
        <v>1</v>
      </c>
      <c r="O35" s="140">
        <v>1</v>
      </c>
      <c r="W35" s="87"/>
      <c r="X35" s="87"/>
      <c r="AG35" s="168"/>
    </row>
    <row r="36" spans="1:33" ht="15.75">
      <c r="A36" s="154"/>
      <c r="C36" s="154" t="s">
        <v>201</v>
      </c>
      <c r="D36" s="136" t="s">
        <v>265</v>
      </c>
      <c r="E36" s="158">
        <v>60</v>
      </c>
      <c r="F36" s="160" t="s">
        <v>195</v>
      </c>
      <c r="G36" s="160" t="s">
        <v>195</v>
      </c>
      <c r="H36" s="160" t="s">
        <v>197</v>
      </c>
      <c r="I36" s="148" t="s">
        <v>197</v>
      </c>
      <c r="J36" s="148" t="s">
        <v>266</v>
      </c>
      <c r="K36" s="148" t="s">
        <v>267</v>
      </c>
      <c r="L36" s="137"/>
      <c r="M36" s="161"/>
      <c r="W36" s="87"/>
      <c r="X36" s="87"/>
      <c r="AG36" s="168"/>
    </row>
    <row r="37" spans="1:33">
      <c r="C37" s="154" t="s">
        <v>201</v>
      </c>
      <c r="D37" s="136" t="s">
        <v>268</v>
      </c>
      <c r="E37" s="148">
        <v>92</v>
      </c>
      <c r="F37" s="160" t="s">
        <v>195</v>
      </c>
      <c r="G37" s="159" t="s">
        <v>196</v>
      </c>
      <c r="H37" s="160" t="s">
        <v>197</v>
      </c>
      <c r="I37" s="148" t="s">
        <v>197</v>
      </c>
      <c r="J37" s="148" t="s">
        <v>269</v>
      </c>
      <c r="K37" s="148" t="s">
        <v>270</v>
      </c>
      <c r="L37" s="154"/>
      <c r="M37" s="167"/>
      <c r="W37" s="87"/>
      <c r="X37" s="87"/>
      <c r="AG37" s="168"/>
    </row>
    <row r="38" spans="1:33" ht="15.75">
      <c r="C38" s="154" t="s">
        <v>201</v>
      </c>
      <c r="D38" s="136" t="s">
        <v>271</v>
      </c>
      <c r="E38" s="148">
        <v>76</v>
      </c>
      <c r="F38" s="160" t="s">
        <v>195</v>
      </c>
      <c r="G38" s="160" t="s">
        <v>195</v>
      </c>
      <c r="H38" s="160" t="s">
        <v>197</v>
      </c>
      <c r="I38" s="148" t="s">
        <v>197</v>
      </c>
      <c r="J38" s="148" t="s">
        <v>166</v>
      </c>
      <c r="K38" s="148" t="s">
        <v>272</v>
      </c>
      <c r="L38" s="166" t="s">
        <v>259</v>
      </c>
      <c r="M38" s="169">
        <v>40.299999999999997</v>
      </c>
      <c r="N38" s="140">
        <v>1</v>
      </c>
      <c r="O38" s="140">
        <v>1</v>
      </c>
      <c r="W38" s="87"/>
      <c r="X38" s="87"/>
      <c r="AG38" s="168"/>
    </row>
    <row r="39" spans="1:33">
      <c r="C39" s="154" t="s">
        <v>35</v>
      </c>
      <c r="D39" s="136" t="s">
        <v>273</v>
      </c>
      <c r="E39" s="148">
        <v>100</v>
      </c>
      <c r="F39" s="160" t="s">
        <v>195</v>
      </c>
      <c r="G39" s="159" t="s">
        <v>274</v>
      </c>
      <c r="H39" s="160" t="s">
        <v>197</v>
      </c>
      <c r="I39" s="148" t="s">
        <v>197</v>
      </c>
      <c r="J39" s="148" t="s">
        <v>85</v>
      </c>
      <c r="K39" s="148" t="s">
        <v>254</v>
      </c>
      <c r="L39" s="87"/>
      <c r="M39" s="87"/>
      <c r="N39" s="87"/>
      <c r="O39" s="87"/>
      <c r="W39" s="87"/>
      <c r="X39" s="87"/>
      <c r="AG39" s="168"/>
    </row>
    <row r="40" spans="1:33" ht="15.75">
      <c r="C40" s="154" t="s">
        <v>275</v>
      </c>
      <c r="D40" s="136" t="s">
        <v>276</v>
      </c>
      <c r="E40" s="158">
        <v>29</v>
      </c>
      <c r="F40" s="160" t="s">
        <v>84</v>
      </c>
      <c r="G40" s="160" t="s">
        <v>84</v>
      </c>
      <c r="H40" s="160" t="s">
        <v>274</v>
      </c>
      <c r="I40" s="148" t="s">
        <v>274</v>
      </c>
      <c r="J40" s="148" t="s">
        <v>269</v>
      </c>
      <c r="K40" s="148" t="s">
        <v>277</v>
      </c>
      <c r="L40" s="166"/>
      <c r="M40" s="161"/>
      <c r="W40" s="87"/>
      <c r="X40" s="87"/>
      <c r="AG40" s="168"/>
    </row>
    <row r="41" spans="1:33" ht="15.75">
      <c r="C41" s="154" t="s">
        <v>201</v>
      </c>
      <c r="D41" s="154" t="s">
        <v>278</v>
      </c>
      <c r="E41" s="148">
        <v>100</v>
      </c>
      <c r="F41" s="160" t="s">
        <v>195</v>
      </c>
      <c r="G41" s="160" t="s">
        <v>195</v>
      </c>
      <c r="H41" s="159" t="s">
        <v>195</v>
      </c>
      <c r="I41" s="148" t="s">
        <v>274</v>
      </c>
      <c r="J41" s="148" t="s">
        <v>122</v>
      </c>
      <c r="K41" s="148" t="s">
        <v>266</v>
      </c>
      <c r="L41" s="166"/>
      <c r="M41" s="161"/>
      <c r="W41" s="87"/>
      <c r="X41" s="87"/>
      <c r="AG41" s="168"/>
    </row>
    <row r="42" spans="1:33">
      <c r="C42" s="154" t="s">
        <v>201</v>
      </c>
      <c r="D42" s="136" t="s">
        <v>279</v>
      </c>
      <c r="E42" s="148">
        <v>72</v>
      </c>
      <c r="F42" s="160" t="s">
        <v>195</v>
      </c>
      <c r="G42" s="160" t="s">
        <v>195</v>
      </c>
      <c r="H42" s="160" t="s">
        <v>197</v>
      </c>
      <c r="I42" s="148" t="s">
        <v>197</v>
      </c>
      <c r="J42" s="158" t="s">
        <v>280</v>
      </c>
      <c r="K42" s="148" t="s">
        <v>266</v>
      </c>
      <c r="L42" s="87"/>
      <c r="M42" s="103"/>
      <c r="W42" s="87"/>
      <c r="X42" s="87"/>
      <c r="AG42" s="168"/>
    </row>
    <row r="43" spans="1:33" ht="15.75">
      <c r="C43" s="154" t="s">
        <v>281</v>
      </c>
      <c r="D43" s="136" t="s">
        <v>282</v>
      </c>
      <c r="E43" s="158">
        <v>58</v>
      </c>
      <c r="F43" s="160" t="s">
        <v>195</v>
      </c>
      <c r="G43" s="160" t="s">
        <v>195</v>
      </c>
      <c r="H43" s="160" t="s">
        <v>197</v>
      </c>
      <c r="I43" s="148" t="s">
        <v>197</v>
      </c>
      <c r="J43" s="164" t="s">
        <v>283</v>
      </c>
      <c r="K43" s="164" t="s">
        <v>284</v>
      </c>
      <c r="L43" s="166"/>
      <c r="M43" s="87"/>
      <c r="W43" s="87"/>
      <c r="X43" s="87"/>
      <c r="AG43" s="168"/>
    </row>
    <row r="44" spans="1:33" ht="15.75">
      <c r="C44" s="154"/>
      <c r="D44" s="136" t="s">
        <v>121</v>
      </c>
      <c r="E44" s="148">
        <v>71</v>
      </c>
      <c r="F44" s="160" t="s">
        <v>84</v>
      </c>
      <c r="G44" s="159" t="s">
        <v>274</v>
      </c>
      <c r="H44" s="160" t="s">
        <v>274</v>
      </c>
      <c r="I44" s="158" t="s">
        <v>84</v>
      </c>
      <c r="J44" s="158" t="s">
        <v>8</v>
      </c>
      <c r="K44" s="148" t="s">
        <v>9</v>
      </c>
      <c r="L44" s="166"/>
      <c r="M44" s="87"/>
      <c r="W44" s="87"/>
      <c r="X44" s="87"/>
      <c r="AG44" s="168"/>
    </row>
    <row r="45" spans="1:33" ht="15.75">
      <c r="C45" s="154" t="s">
        <v>201</v>
      </c>
      <c r="D45" s="136" t="s">
        <v>10</v>
      </c>
      <c r="E45" s="158">
        <v>27</v>
      </c>
      <c r="F45" s="148" t="s">
        <v>195</v>
      </c>
      <c r="G45" s="148" t="s">
        <v>195</v>
      </c>
      <c r="H45" s="148" t="s">
        <v>197</v>
      </c>
      <c r="I45" s="148" t="s">
        <v>197</v>
      </c>
      <c r="J45" s="148" t="s">
        <v>11</v>
      </c>
      <c r="K45" s="148" t="s">
        <v>12</v>
      </c>
      <c r="L45" s="166"/>
      <c r="M45" s="161"/>
      <c r="W45" s="87"/>
      <c r="X45" s="87"/>
      <c r="AG45" s="140"/>
    </row>
    <row r="46" spans="1:33" ht="15.75">
      <c r="C46" s="154" t="s">
        <v>35</v>
      </c>
      <c r="D46" s="136" t="s">
        <v>13</v>
      </c>
      <c r="E46" s="148">
        <v>100</v>
      </c>
      <c r="F46" s="148" t="s">
        <v>195</v>
      </c>
      <c r="G46" s="148" t="s">
        <v>195</v>
      </c>
      <c r="H46" s="148" t="s">
        <v>197</v>
      </c>
      <c r="I46" s="148" t="s">
        <v>197</v>
      </c>
      <c r="J46" s="164" t="s">
        <v>299</v>
      </c>
      <c r="K46" s="148" t="s">
        <v>270</v>
      </c>
      <c r="L46" s="166" t="s">
        <v>259</v>
      </c>
      <c r="M46" s="169">
        <v>45.8</v>
      </c>
      <c r="N46" s="140">
        <v>2</v>
      </c>
      <c r="O46" s="140">
        <v>3</v>
      </c>
      <c r="W46" s="87"/>
      <c r="X46" s="87"/>
      <c r="AG46" s="140"/>
    </row>
    <row r="47" spans="1:33" ht="15.75">
      <c r="C47" s="154" t="s">
        <v>201</v>
      </c>
      <c r="D47" s="136" t="s">
        <v>14</v>
      </c>
      <c r="E47" s="148">
        <v>75</v>
      </c>
      <c r="F47" s="148" t="s">
        <v>195</v>
      </c>
      <c r="G47" s="148" t="s">
        <v>195</v>
      </c>
      <c r="H47" s="148" t="s">
        <v>197</v>
      </c>
      <c r="I47" s="148" t="s">
        <v>197</v>
      </c>
      <c r="J47" s="148" t="s">
        <v>15</v>
      </c>
      <c r="K47" s="148" t="s">
        <v>16</v>
      </c>
      <c r="L47" s="166" t="s">
        <v>17</v>
      </c>
      <c r="M47" s="161">
        <v>44</v>
      </c>
      <c r="N47" s="140">
        <v>3</v>
      </c>
      <c r="O47" s="140">
        <v>3</v>
      </c>
      <c r="W47" s="87"/>
      <c r="X47" s="87"/>
      <c r="AG47" s="140"/>
    </row>
    <row r="48" spans="1:33" ht="15.75">
      <c r="B48" s="136" t="s">
        <v>18</v>
      </c>
      <c r="C48" s="154"/>
      <c r="E48" s="148"/>
      <c r="F48" s="170"/>
      <c r="G48" s="170"/>
      <c r="H48" s="170"/>
      <c r="I48" s="170"/>
      <c r="J48" s="148"/>
      <c r="K48" s="148"/>
      <c r="L48" s="166"/>
      <c r="M48" s="161"/>
      <c r="W48" s="87"/>
      <c r="X48" s="87"/>
      <c r="AG48" s="140"/>
    </row>
    <row r="49" spans="3:24" ht="15.75">
      <c r="C49" s="154" t="s">
        <v>201</v>
      </c>
      <c r="D49" s="136" t="s">
        <v>19</v>
      </c>
      <c r="E49" s="158">
        <v>63</v>
      </c>
      <c r="F49" s="160" t="s">
        <v>195</v>
      </c>
      <c r="G49" s="160" t="s">
        <v>195</v>
      </c>
      <c r="H49" s="160" t="s">
        <v>197</v>
      </c>
      <c r="I49" s="148" t="s">
        <v>197</v>
      </c>
      <c r="J49" s="148" t="s">
        <v>122</v>
      </c>
      <c r="K49" s="148" t="s">
        <v>20</v>
      </c>
      <c r="L49" s="137"/>
      <c r="M49" s="161"/>
      <c r="W49" s="87"/>
      <c r="X49" s="87"/>
    </row>
    <row r="50" spans="3:24" ht="15.75">
      <c r="C50" s="154" t="s">
        <v>201</v>
      </c>
      <c r="D50" s="136" t="s">
        <v>21</v>
      </c>
      <c r="E50" s="158">
        <v>52</v>
      </c>
      <c r="F50" s="160" t="s">
        <v>195</v>
      </c>
      <c r="G50" s="160" t="s">
        <v>195</v>
      </c>
      <c r="H50" s="160" t="s">
        <v>197</v>
      </c>
      <c r="I50" s="148" t="s">
        <v>197</v>
      </c>
      <c r="J50" s="148" t="s">
        <v>299</v>
      </c>
      <c r="K50" s="148" t="s">
        <v>43</v>
      </c>
      <c r="L50" s="137"/>
      <c r="M50" s="161"/>
      <c r="P50" s="149"/>
      <c r="W50" s="87"/>
      <c r="X50" s="87"/>
    </row>
    <row r="51" spans="3:24" ht="15.75">
      <c r="C51" s="154" t="s">
        <v>35</v>
      </c>
      <c r="D51" s="136" t="s">
        <v>22</v>
      </c>
      <c r="E51" s="148">
        <v>98</v>
      </c>
      <c r="F51" s="160" t="s">
        <v>195</v>
      </c>
      <c r="G51" s="160" t="s">
        <v>195</v>
      </c>
      <c r="H51" s="160" t="s">
        <v>197</v>
      </c>
      <c r="I51" s="148" t="s">
        <v>197</v>
      </c>
      <c r="J51" s="148" t="s">
        <v>23</v>
      </c>
      <c r="K51" s="148" t="s">
        <v>16</v>
      </c>
      <c r="L51" s="137" t="s">
        <v>17</v>
      </c>
      <c r="M51" s="161">
        <v>45.8</v>
      </c>
      <c r="N51" s="140">
        <v>2</v>
      </c>
      <c r="O51" s="140">
        <v>5</v>
      </c>
      <c r="P51" s="149"/>
      <c r="W51" s="87"/>
      <c r="X51" s="87"/>
    </row>
    <row r="52" spans="3:24" ht="15.75">
      <c r="C52" s="154" t="s">
        <v>35</v>
      </c>
      <c r="D52" s="171" t="s">
        <v>24</v>
      </c>
      <c r="E52" s="148">
        <v>100</v>
      </c>
      <c r="F52" s="160" t="s">
        <v>195</v>
      </c>
      <c r="G52" s="159" t="s">
        <v>197</v>
      </c>
      <c r="H52" s="160" t="s">
        <v>197</v>
      </c>
      <c r="I52" s="148" t="s">
        <v>197</v>
      </c>
      <c r="J52" s="148" t="s">
        <v>257</v>
      </c>
      <c r="K52" s="148" t="s">
        <v>167</v>
      </c>
      <c r="L52" s="166"/>
      <c r="M52" s="161"/>
      <c r="P52" s="149"/>
      <c r="W52" s="87"/>
      <c r="X52" s="87"/>
    </row>
    <row r="53" spans="3:24" ht="15.75">
      <c r="C53" s="154" t="s">
        <v>35</v>
      </c>
      <c r="D53" s="136" t="s">
        <v>25</v>
      </c>
      <c r="E53" s="148">
        <v>92</v>
      </c>
      <c r="F53" s="160" t="s">
        <v>195</v>
      </c>
      <c r="G53" s="160" t="s">
        <v>195</v>
      </c>
      <c r="H53" s="160" t="s">
        <v>197</v>
      </c>
      <c r="I53" s="148" t="s">
        <v>197</v>
      </c>
      <c r="J53" s="158" t="s">
        <v>26</v>
      </c>
      <c r="K53" s="148" t="s">
        <v>167</v>
      </c>
      <c r="L53" s="166"/>
      <c r="M53" s="169"/>
      <c r="W53" s="87"/>
      <c r="X53" s="87"/>
    </row>
    <row r="54" spans="3:24" ht="15.75">
      <c r="C54" s="154" t="s">
        <v>35</v>
      </c>
      <c r="D54" s="136" t="s">
        <v>27</v>
      </c>
      <c r="E54" s="148">
        <v>100</v>
      </c>
      <c r="F54" s="160" t="s">
        <v>195</v>
      </c>
      <c r="G54" s="160" t="s">
        <v>195</v>
      </c>
      <c r="H54" s="160" t="s">
        <v>197</v>
      </c>
      <c r="I54" s="148" t="s">
        <v>197</v>
      </c>
      <c r="J54" s="148" t="s">
        <v>206</v>
      </c>
      <c r="K54" s="148" t="s">
        <v>12</v>
      </c>
      <c r="L54" s="166" t="s">
        <v>259</v>
      </c>
      <c r="M54" s="161">
        <v>52.2</v>
      </c>
      <c r="N54" s="140">
        <v>3</v>
      </c>
      <c r="O54" s="140">
        <v>4</v>
      </c>
      <c r="W54" s="87"/>
      <c r="X54" s="87"/>
    </row>
    <row r="55" spans="3:24" ht="15.75">
      <c r="C55" s="154" t="s">
        <v>281</v>
      </c>
      <c r="D55" s="136" t="s">
        <v>169</v>
      </c>
      <c r="E55" s="148">
        <v>75</v>
      </c>
      <c r="F55" s="160" t="s">
        <v>297</v>
      </c>
      <c r="G55" s="160" t="s">
        <v>297</v>
      </c>
      <c r="H55" s="160" t="s">
        <v>298</v>
      </c>
      <c r="I55" s="148" t="s">
        <v>298</v>
      </c>
      <c r="J55" s="148" t="s">
        <v>122</v>
      </c>
      <c r="K55" s="148" t="s">
        <v>12</v>
      </c>
      <c r="L55" s="137" t="s">
        <v>17</v>
      </c>
      <c r="M55" s="161">
        <v>43.5</v>
      </c>
      <c r="N55" s="140">
        <v>3</v>
      </c>
      <c r="O55" s="140">
        <v>4</v>
      </c>
      <c r="W55" s="87"/>
      <c r="X55" s="87"/>
    </row>
    <row r="56" spans="3:24" ht="15.75">
      <c r="C56" s="154" t="s">
        <v>201</v>
      </c>
      <c r="D56" s="136" t="s">
        <v>28</v>
      </c>
      <c r="E56" s="148">
        <v>96</v>
      </c>
      <c r="F56" s="148" t="s">
        <v>195</v>
      </c>
      <c r="G56" s="158" t="s">
        <v>197</v>
      </c>
      <c r="H56" s="148" t="s">
        <v>197</v>
      </c>
      <c r="I56" s="148" t="s">
        <v>298</v>
      </c>
      <c r="J56" s="148" t="s">
        <v>166</v>
      </c>
      <c r="K56" s="148" t="s">
        <v>29</v>
      </c>
      <c r="L56" s="137"/>
      <c r="M56" s="161"/>
      <c r="W56" s="87"/>
      <c r="X56" s="87"/>
    </row>
    <row r="57" spans="3:24" ht="15.75">
      <c r="C57" s="154" t="s">
        <v>201</v>
      </c>
      <c r="D57" s="136" t="s">
        <v>30</v>
      </c>
      <c r="E57" s="148">
        <v>80</v>
      </c>
      <c r="F57" s="160" t="s">
        <v>195</v>
      </c>
      <c r="G57" s="160" t="s">
        <v>297</v>
      </c>
      <c r="H57" s="160" t="s">
        <v>197</v>
      </c>
      <c r="I57" s="148" t="s">
        <v>298</v>
      </c>
      <c r="J57" s="148" t="s">
        <v>85</v>
      </c>
      <c r="K57" s="148" t="s">
        <v>300</v>
      </c>
      <c r="L57" s="137" t="s">
        <v>17</v>
      </c>
      <c r="M57" s="161">
        <v>48.9</v>
      </c>
      <c r="N57" s="140">
        <v>0.5</v>
      </c>
      <c r="O57" s="140">
        <v>2.5</v>
      </c>
      <c r="W57" s="87"/>
      <c r="X57" s="87"/>
    </row>
    <row r="58" spans="3:24" ht="15.75">
      <c r="C58" s="154" t="s">
        <v>172</v>
      </c>
      <c r="D58" s="136" t="s">
        <v>31</v>
      </c>
      <c r="E58" s="148">
        <v>100</v>
      </c>
      <c r="F58" s="148" t="s">
        <v>195</v>
      </c>
      <c r="G58" s="158" t="s">
        <v>197</v>
      </c>
      <c r="H58" s="148" t="s">
        <v>197</v>
      </c>
      <c r="I58" s="148" t="s">
        <v>197</v>
      </c>
      <c r="J58" s="148" t="s">
        <v>166</v>
      </c>
      <c r="K58" s="148" t="s">
        <v>32</v>
      </c>
      <c r="L58" s="172"/>
      <c r="M58" s="161"/>
      <c r="W58" s="87"/>
      <c r="X58" s="87"/>
    </row>
    <row r="59" spans="3:24" ht="15.75">
      <c r="C59" s="154" t="s">
        <v>35</v>
      </c>
      <c r="D59" s="136" t="s">
        <v>33</v>
      </c>
      <c r="E59" s="148">
        <v>100</v>
      </c>
      <c r="F59" s="148" t="s">
        <v>195</v>
      </c>
      <c r="G59" s="148" t="s">
        <v>195</v>
      </c>
      <c r="H59" s="148" t="s">
        <v>197</v>
      </c>
      <c r="I59" s="148" t="s">
        <v>197</v>
      </c>
      <c r="J59" s="148" t="s">
        <v>299</v>
      </c>
      <c r="K59" s="148" t="s">
        <v>34</v>
      </c>
      <c r="L59" s="137" t="s">
        <v>17</v>
      </c>
      <c r="M59" s="169">
        <v>52.9</v>
      </c>
      <c r="N59" s="140">
        <v>2</v>
      </c>
      <c r="O59" s="140">
        <v>2</v>
      </c>
      <c r="W59" s="87"/>
      <c r="X59" s="87"/>
    </row>
    <row r="60" spans="3:24" ht="15.75">
      <c r="C60" s="154" t="s">
        <v>35</v>
      </c>
      <c r="D60" s="136" t="s">
        <v>215</v>
      </c>
      <c r="E60" s="148">
        <v>100</v>
      </c>
      <c r="F60" s="148" t="s">
        <v>195</v>
      </c>
      <c r="G60" s="148" t="s">
        <v>297</v>
      </c>
      <c r="H60" s="148" t="s">
        <v>197</v>
      </c>
      <c r="I60" s="148" t="s">
        <v>298</v>
      </c>
      <c r="J60" s="148" t="s">
        <v>122</v>
      </c>
      <c r="K60" s="148" t="s">
        <v>270</v>
      </c>
      <c r="L60" s="137" t="s">
        <v>17</v>
      </c>
      <c r="M60" s="161">
        <v>51.1</v>
      </c>
      <c r="N60" s="140">
        <v>3</v>
      </c>
      <c r="O60" s="140">
        <v>3</v>
      </c>
      <c r="W60" s="87"/>
      <c r="X60" s="87"/>
    </row>
    <row r="61" spans="3:24" ht="15.75">
      <c r="C61" s="154" t="s">
        <v>201</v>
      </c>
      <c r="D61" s="136" t="s">
        <v>216</v>
      </c>
      <c r="E61" s="158">
        <v>33</v>
      </c>
      <c r="F61" s="148" t="s">
        <v>195</v>
      </c>
      <c r="G61" s="148" t="s">
        <v>195</v>
      </c>
      <c r="H61" s="148" t="s">
        <v>197</v>
      </c>
      <c r="I61" s="148" t="s">
        <v>197</v>
      </c>
      <c r="J61" s="148" t="s">
        <v>217</v>
      </c>
      <c r="K61" s="148" t="s">
        <v>12</v>
      </c>
      <c r="L61" s="137"/>
      <c r="M61" s="161"/>
      <c r="W61" s="87"/>
      <c r="X61" s="87"/>
    </row>
    <row r="62" spans="3:24" ht="15.75">
      <c r="C62" s="154" t="s">
        <v>281</v>
      </c>
      <c r="D62" s="136" t="s">
        <v>218</v>
      </c>
      <c r="E62" s="148">
        <v>91</v>
      </c>
      <c r="F62" s="148" t="s">
        <v>195</v>
      </c>
      <c r="G62" s="148" t="s">
        <v>195</v>
      </c>
      <c r="H62" s="148" t="s">
        <v>197</v>
      </c>
      <c r="I62" s="148" t="s">
        <v>197</v>
      </c>
      <c r="J62" s="158" t="s">
        <v>26</v>
      </c>
      <c r="K62" s="148" t="s">
        <v>272</v>
      </c>
      <c r="L62" s="173"/>
      <c r="M62" s="161"/>
      <c r="O62" s="148"/>
      <c r="W62" s="87"/>
      <c r="X62" s="87"/>
    </row>
    <row r="63" spans="3:24" ht="15.75">
      <c r="C63" s="154" t="s">
        <v>201</v>
      </c>
      <c r="D63" s="136" t="s">
        <v>219</v>
      </c>
      <c r="E63" s="148">
        <v>84</v>
      </c>
      <c r="F63" s="148" t="s">
        <v>195</v>
      </c>
      <c r="G63" s="148" t="s">
        <v>195</v>
      </c>
      <c r="H63" s="148" t="s">
        <v>197</v>
      </c>
      <c r="I63" s="148" t="s">
        <v>197</v>
      </c>
      <c r="J63" s="148" t="s">
        <v>122</v>
      </c>
      <c r="K63" s="148" t="s">
        <v>270</v>
      </c>
      <c r="L63" s="173" t="s">
        <v>17</v>
      </c>
      <c r="M63" s="161">
        <v>44.6</v>
      </c>
      <c r="N63" s="140">
        <v>3</v>
      </c>
      <c r="O63" s="140">
        <v>3</v>
      </c>
      <c r="W63" s="87"/>
      <c r="X63" s="87"/>
    </row>
    <row r="64" spans="3:24">
      <c r="W64" s="87"/>
      <c r="X64" s="87"/>
    </row>
    <row r="65" spans="3:24">
      <c r="C65" s="136" t="s">
        <v>220</v>
      </c>
      <c r="W65" s="87"/>
      <c r="X65" s="87"/>
    </row>
    <row r="66" spans="3:24">
      <c r="C66" s="175" t="s">
        <v>513</v>
      </c>
    </row>
    <row r="70" spans="3:24">
      <c r="M70" s="130">
        <f>AVERAGE(M13:M63)</f>
        <v>47.7</v>
      </c>
      <c r="N70" s="167">
        <f>AVERAGE(N13:N63)</f>
        <v>2.2999999999999998</v>
      </c>
      <c r="O70" s="167">
        <f>AVERAGE(O13:O63)</f>
        <v>2.8333333333333335</v>
      </c>
    </row>
    <row r="71" spans="3:24">
      <c r="M71" s="136"/>
      <c r="N71" s="140" t="s">
        <v>299</v>
      </c>
      <c r="O71" s="140" t="s">
        <v>270</v>
      </c>
    </row>
    <row r="72" spans="3:24">
      <c r="M72" s="136"/>
      <c r="N72" s="136"/>
      <c r="O72" s="136"/>
    </row>
    <row r="73" spans="3:24">
      <c r="M73" s="175" t="s">
        <v>321</v>
      </c>
      <c r="N73" s="176" t="s">
        <v>206</v>
      </c>
      <c r="O73" s="176" t="s">
        <v>43</v>
      </c>
    </row>
  </sheetData>
  <mergeCells count="3">
    <mergeCell ref="J8:K8"/>
    <mergeCell ref="N10:O10"/>
    <mergeCell ref="J11:K11"/>
  </mergeCells>
  <phoneticPr fontId="21" type="noConversion"/>
  <pageMargins left="1.08" right="0.75" top="1" bottom="1" header="0.5" footer="0.5"/>
  <pageSetup scale="7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"/>
  <sheetViews>
    <sheetView topLeftCell="A218" workbookViewId="0">
      <selection sqref="A1:K277"/>
    </sheetView>
  </sheetViews>
  <sheetFormatPr defaultColWidth="11.42578125" defaultRowHeight="12"/>
  <cols>
    <col min="1" max="1" width="9.85546875" customWidth="1"/>
    <col min="2" max="2" width="1.140625" customWidth="1"/>
    <col min="4" max="4" width="9.28515625" customWidth="1"/>
    <col min="5" max="5" width="9" customWidth="1"/>
    <col min="6" max="6" width="1.85546875" customWidth="1"/>
    <col min="8" max="8" width="1.140625" customWidth="1"/>
    <col min="9" max="9" width="12" style="33" customWidth="1"/>
    <col min="10" max="10" width="9.85546875" customWidth="1"/>
    <col min="11" max="11" width="2.28515625" customWidth="1"/>
  </cols>
  <sheetData>
    <row r="1" spans="1:13" ht="12.75">
      <c r="A1" s="7"/>
      <c r="B1" s="5"/>
      <c r="C1" s="9"/>
      <c r="D1" s="8"/>
      <c r="E1" s="10"/>
      <c r="F1" s="7"/>
      <c r="G1" s="7"/>
      <c r="H1" s="5"/>
      <c r="I1" s="29"/>
      <c r="J1" s="218" t="s">
        <v>538</v>
      </c>
      <c r="K1" s="5"/>
    </row>
    <row r="2" spans="1:13" ht="12.75">
      <c r="A2" s="7"/>
      <c r="B2" s="5"/>
      <c r="C2" s="9"/>
      <c r="D2" s="8"/>
      <c r="E2" s="10"/>
      <c r="F2" s="7"/>
      <c r="G2" s="7"/>
      <c r="H2" s="5"/>
      <c r="I2" s="29"/>
      <c r="J2" s="221" t="s">
        <v>539</v>
      </c>
      <c r="K2" s="5"/>
    </row>
    <row r="3" spans="1:13" ht="12.75">
      <c r="A3" s="7"/>
      <c r="B3" s="5"/>
      <c r="C3" s="9"/>
      <c r="D3" s="8"/>
      <c r="E3" s="10"/>
      <c r="F3" s="7"/>
      <c r="G3" s="7"/>
      <c r="H3" s="5"/>
      <c r="I3" s="29"/>
      <c r="J3" s="11" t="s">
        <v>353</v>
      </c>
      <c r="K3" s="5"/>
    </row>
    <row r="4" spans="1:13" ht="12.75">
      <c r="A4" s="7"/>
      <c r="B4" s="5"/>
      <c r="C4" s="9"/>
      <c r="D4" s="8"/>
      <c r="E4" s="10"/>
      <c r="F4" s="7"/>
      <c r="G4" s="7"/>
      <c r="H4" s="5"/>
      <c r="I4" s="29"/>
      <c r="J4" s="10"/>
      <c r="K4" s="5"/>
    </row>
    <row r="5" spans="1:13" ht="12.75">
      <c r="A5" s="7"/>
      <c r="B5" s="5"/>
      <c r="C5" s="9"/>
      <c r="D5" s="8"/>
      <c r="E5" s="10"/>
      <c r="F5" s="7"/>
      <c r="G5" s="7"/>
      <c r="H5" s="5"/>
      <c r="I5" s="29"/>
      <c r="J5" s="10"/>
      <c r="K5" s="5"/>
    </row>
    <row r="6" spans="1:13" ht="12.75">
      <c r="A6" s="7"/>
      <c r="B6" s="5"/>
      <c r="C6" s="9"/>
      <c r="D6" s="8"/>
      <c r="E6" s="12"/>
      <c r="F6" s="13" t="str">
        <f>DATA!A1</f>
        <v>PUGET SOUND ENERGY</v>
      </c>
      <c r="G6" s="5"/>
      <c r="H6" s="5"/>
      <c r="I6" s="29"/>
      <c r="J6" s="10"/>
      <c r="K6" s="5"/>
    </row>
    <row r="7" spans="1:13" ht="12.75">
      <c r="A7" s="7"/>
      <c r="B7" s="5"/>
      <c r="C7" s="9"/>
      <c r="D7" s="8"/>
      <c r="E7" s="12"/>
      <c r="F7" s="13" t="s">
        <v>505</v>
      </c>
      <c r="G7" s="5"/>
      <c r="H7" s="5"/>
      <c r="I7" s="29"/>
      <c r="J7" s="10"/>
      <c r="K7" s="5"/>
      <c r="M7" s="52" t="e">
        <f>AVERAGE(E23,E40,E56,E79,E95,E111,E150,E166,E189,E205,E221,E244,E260,E276,E299)</f>
        <v>#DIV/0!</v>
      </c>
    </row>
    <row r="8" spans="1:13" ht="12.75">
      <c r="A8" s="7"/>
      <c r="B8" s="5"/>
      <c r="C8" s="9"/>
      <c r="D8" s="8"/>
      <c r="E8" s="10"/>
      <c r="F8" s="7" t="s">
        <v>498</v>
      </c>
      <c r="G8" s="7"/>
      <c r="H8" s="5"/>
      <c r="I8" s="29"/>
      <c r="J8" s="10"/>
      <c r="K8" s="5"/>
    </row>
    <row r="9" spans="1:13" ht="12.75">
      <c r="A9" s="7"/>
      <c r="B9" s="5"/>
      <c r="C9" s="9"/>
      <c r="D9" s="8"/>
      <c r="E9" s="10"/>
      <c r="F9" s="7"/>
      <c r="G9" s="7"/>
      <c r="H9" s="5"/>
      <c r="I9" s="29"/>
      <c r="J9" s="10"/>
      <c r="K9" s="5"/>
    </row>
    <row r="10" spans="1:13" ht="12.75">
      <c r="A10" s="7"/>
      <c r="B10" s="5"/>
      <c r="C10" s="9"/>
      <c r="D10" s="8"/>
      <c r="E10" s="10"/>
      <c r="F10" s="7"/>
      <c r="G10" s="7"/>
      <c r="H10" s="5"/>
      <c r="I10" s="29"/>
      <c r="J10" s="10"/>
      <c r="K10" s="5"/>
    </row>
    <row r="11" spans="1:13" ht="12.75">
      <c r="A11" s="14" t="s">
        <v>518</v>
      </c>
      <c r="B11" s="5"/>
      <c r="C11" s="15"/>
      <c r="D11" s="16" t="s">
        <v>519</v>
      </c>
      <c r="E11" s="17" t="s">
        <v>148</v>
      </c>
      <c r="F11" s="14"/>
      <c r="G11" s="14"/>
      <c r="H11" s="5"/>
      <c r="I11" s="31" t="s">
        <v>428</v>
      </c>
      <c r="J11" s="18" t="s">
        <v>148</v>
      </c>
      <c r="K11" s="5"/>
    </row>
    <row r="12" spans="1:13" ht="12.75">
      <c r="A12" s="7"/>
      <c r="B12" s="5"/>
      <c r="C12" s="9"/>
      <c r="D12" s="8"/>
      <c r="E12" s="10"/>
      <c r="F12" s="7"/>
      <c r="G12" s="7"/>
      <c r="H12" s="5"/>
      <c r="I12" s="29"/>
      <c r="J12" s="10"/>
      <c r="K12" s="5"/>
    </row>
    <row r="13" spans="1:13" ht="12.75">
      <c r="A13" s="7"/>
      <c r="B13" s="5"/>
      <c r="C13" s="9" t="s">
        <v>429</v>
      </c>
      <c r="D13" s="8" t="s">
        <v>488</v>
      </c>
      <c r="E13" s="10"/>
      <c r="F13" s="7"/>
      <c r="G13" s="7" t="s">
        <v>368</v>
      </c>
      <c r="H13" s="5"/>
      <c r="I13" s="29" t="s">
        <v>369</v>
      </c>
      <c r="J13" s="10" t="s">
        <v>151</v>
      </c>
      <c r="K13" s="5"/>
    </row>
    <row r="14" spans="1:13" ht="12.75">
      <c r="A14" s="19" t="str">
        <f>DATA!A5</f>
        <v>SO</v>
      </c>
      <c r="B14" s="5"/>
      <c r="C14" s="15" t="s">
        <v>301</v>
      </c>
      <c r="D14" s="16" t="s">
        <v>302</v>
      </c>
      <c r="E14" s="17" t="s">
        <v>452</v>
      </c>
      <c r="F14" s="14"/>
      <c r="G14" s="14" t="s">
        <v>533</v>
      </c>
      <c r="H14" s="5"/>
      <c r="I14" s="32" t="s">
        <v>367</v>
      </c>
      <c r="J14" s="17" t="s">
        <v>148</v>
      </c>
      <c r="K14" s="5"/>
    </row>
    <row r="15" spans="1:13" ht="12.75">
      <c r="A15" s="7">
        <f>DATA!F$3</f>
        <v>2008</v>
      </c>
      <c r="B15" s="5"/>
      <c r="C15" s="9">
        <f>1-DATA!N5/DATA!F5</f>
        <v>0.26222222222222225</v>
      </c>
      <c r="D15" s="8">
        <f>DATA!V$5</f>
        <v>0.13100000000000001</v>
      </c>
      <c r="E15" s="10">
        <f>C15*D15</f>
        <v>3.4351111111111117E-2</v>
      </c>
      <c r="F15" s="7"/>
      <c r="G15" s="29">
        <f>DATA!AD$5</f>
        <v>17.079999999999998</v>
      </c>
      <c r="H15" s="5"/>
      <c r="I15" s="29">
        <f>DATA!AL$5</f>
        <v>777.19</v>
      </c>
      <c r="J15" s="10"/>
      <c r="K15" s="5"/>
    </row>
    <row r="16" spans="1:13" ht="12.75">
      <c r="A16" s="7">
        <f>DATA!G$3</f>
        <v>2009</v>
      </c>
      <c r="B16" s="5"/>
      <c r="C16" s="9">
        <f>1-DATA!O5/DATA!G5</f>
        <v>0.25431034482758619</v>
      </c>
      <c r="D16" s="8">
        <f>DATA!W$5</f>
        <v>0.124</v>
      </c>
      <c r="E16" s="10">
        <f>C16*D16</f>
        <v>3.153448275862069E-2</v>
      </c>
      <c r="F16" s="7"/>
      <c r="G16" s="29">
        <f>DATA!AE$5</f>
        <v>18.149999999999999</v>
      </c>
      <c r="H16" s="5"/>
      <c r="I16" s="29">
        <f>DATA!AM$5</f>
        <v>819.65</v>
      </c>
      <c r="J16" s="10"/>
      <c r="K16" s="5"/>
    </row>
    <row r="17" spans="1:12" ht="12.75">
      <c r="A17" s="7">
        <f>DATA!H$3</f>
        <v>2010</v>
      </c>
      <c r="B17" s="5"/>
      <c r="C17" s="9">
        <f>1-DATA!P5/DATA!H5</f>
        <v>0.23728813559322026</v>
      </c>
      <c r="D17" s="8">
        <f>DATA!X$5</f>
        <v>0.122</v>
      </c>
      <c r="E17" s="10">
        <f>C17*D17</f>
        <v>2.8949152542372871E-2</v>
      </c>
      <c r="F17" s="7"/>
      <c r="G17" s="29">
        <f>DATA!AF$5</f>
        <v>19.21</v>
      </c>
      <c r="H17" s="5"/>
      <c r="I17" s="29">
        <f>DATA!AN$5</f>
        <v>843.34</v>
      </c>
      <c r="J17" s="10"/>
      <c r="K17" s="5"/>
    </row>
    <row r="18" spans="1:12" ht="12.75">
      <c r="A18" s="7">
        <f>DATA!I$3</f>
        <v>2011</v>
      </c>
      <c r="B18" s="5"/>
      <c r="C18" s="9">
        <f>1-DATA!Q5/DATA!I5</f>
        <v>0.26666666666666661</v>
      </c>
      <c r="D18" s="8">
        <f>DATA!Y$5</f>
        <v>0.125</v>
      </c>
      <c r="E18" s="10">
        <f>C18*D18</f>
        <v>3.3333333333333326E-2</v>
      </c>
      <c r="F18" s="7"/>
      <c r="G18" s="29">
        <f>DATA!AG$5</f>
        <v>20.32</v>
      </c>
      <c r="H18" s="5"/>
      <c r="I18" s="29">
        <f>DATA!AO$5</f>
        <v>865.13</v>
      </c>
      <c r="J18" s="10"/>
      <c r="K18" s="5"/>
    </row>
    <row r="19" spans="1:12" ht="12.75">
      <c r="A19" s="7">
        <f>DATA!J$3</f>
        <v>2012</v>
      </c>
      <c r="B19" s="5"/>
      <c r="C19" s="9">
        <f>1-DATA!R5/DATA!J5</f>
        <v>0.27611940298507465</v>
      </c>
      <c r="D19" s="8">
        <f>DATA!Z$5</f>
        <v>0.13</v>
      </c>
      <c r="E19" s="20">
        <f>C19*D19</f>
        <v>3.5895522388059709E-2</v>
      </c>
      <c r="F19" s="21"/>
      <c r="G19" s="30">
        <f>DATA!AH$5</f>
        <v>20.95</v>
      </c>
      <c r="H19" s="22"/>
      <c r="I19" s="30">
        <f>DATA!AP$5</f>
        <v>868</v>
      </c>
      <c r="J19" s="10"/>
      <c r="K19" s="5"/>
    </row>
    <row r="20" spans="1:12" ht="12.75">
      <c r="A20" s="23" t="s">
        <v>515</v>
      </c>
      <c r="B20" s="5"/>
      <c r="C20" s="9"/>
      <c r="D20" s="8"/>
      <c r="E20" s="10">
        <f>AVERAGE(E15:E19)</f>
        <v>3.281272042669954E-2</v>
      </c>
      <c r="F20" s="10"/>
      <c r="G20" s="10">
        <f>DATA!AX5</f>
        <v>5.5E-2</v>
      </c>
      <c r="H20" s="5"/>
      <c r="I20" s="29"/>
      <c r="J20" s="10">
        <f>(I19/I15)^0.25-1</f>
        <v>2.8011872391450865E-2</v>
      </c>
      <c r="K20" s="5"/>
    </row>
    <row r="21" spans="1:12" ht="12.75">
      <c r="A21" s="7">
        <f>DATA!K$3</f>
        <v>2013</v>
      </c>
      <c r="B21" s="5"/>
      <c r="C21" s="9">
        <f>1-DATA!S5/DATA!K5</f>
        <v>0.2654545454545455</v>
      </c>
      <c r="D21" s="8">
        <f>DATA!AA$5</f>
        <v>0.13</v>
      </c>
      <c r="E21" s="10">
        <f>C21*D21</f>
        <v>3.4509090909090913E-2</v>
      </c>
      <c r="F21" s="10"/>
      <c r="G21" s="10"/>
      <c r="H21" s="5"/>
      <c r="I21" s="29">
        <f>DATA!AQ$5</f>
        <v>870</v>
      </c>
      <c r="J21" s="10">
        <f>(I21/I19)-1</f>
        <v>2.3041474654377225E-3</v>
      </c>
      <c r="K21" s="5"/>
    </row>
    <row r="22" spans="1:12" ht="12.75">
      <c r="A22" s="7">
        <f>DATA!L$3</f>
        <v>2014</v>
      </c>
      <c r="B22" s="5"/>
      <c r="C22" s="9">
        <f>1-DATA!T$5/DATA!L$5</f>
        <v>0.26315789473684215</v>
      </c>
      <c r="D22" s="8">
        <f>DATA!AB$5</f>
        <v>0.13</v>
      </c>
      <c r="E22" s="10">
        <f>C22*D22</f>
        <v>3.4210526315789483E-2</v>
      </c>
      <c r="F22" s="10"/>
      <c r="G22" s="10"/>
      <c r="H22" s="5"/>
      <c r="I22" s="29">
        <f>DATA!AR$5</f>
        <v>872</v>
      </c>
      <c r="J22" s="10">
        <f>(I22/I19)^0.5-1</f>
        <v>2.3014990165761695E-3</v>
      </c>
      <c r="K22" s="5"/>
    </row>
    <row r="23" spans="1:12" ht="12.75">
      <c r="A23" s="7" t="str">
        <f>DATA!M$3</f>
        <v>2016-2018</v>
      </c>
      <c r="B23" s="5"/>
      <c r="C23" s="9">
        <f>1-DATA!U$5/DATA!M$5</f>
        <v>0.27692307692307694</v>
      </c>
      <c r="D23" s="8">
        <f>DATA!AC$5</f>
        <v>0.125</v>
      </c>
      <c r="E23" s="10">
        <f>C23*D23</f>
        <v>3.4615384615384617E-2</v>
      </c>
      <c r="F23" s="10"/>
      <c r="G23" s="10">
        <f>DATA!AY5</f>
        <v>4.4999999999999998E-2</v>
      </c>
      <c r="H23" s="5"/>
      <c r="I23" s="29">
        <f>DATA!AS$5</f>
        <v>905</v>
      </c>
      <c r="J23" s="10">
        <f>(I23/I19)^0.2-1</f>
        <v>8.3835929373643481E-3</v>
      </c>
      <c r="K23" s="5"/>
      <c r="L23">
        <f>(I23/I21)^0.25-1</f>
        <v>9.9092072623492289E-3</v>
      </c>
    </row>
    <row r="24" spans="1:12" ht="12.75">
      <c r="A24" s="7"/>
      <c r="B24" s="5"/>
      <c r="C24" s="9"/>
      <c r="D24" s="8"/>
      <c r="E24" s="10"/>
      <c r="F24" s="7"/>
      <c r="G24" s="7"/>
      <c r="H24" s="5"/>
      <c r="I24" s="29"/>
      <c r="J24" s="10"/>
      <c r="K24" s="5"/>
    </row>
    <row r="25" spans="1:12" ht="12.75">
      <c r="A25" s="7"/>
      <c r="B25" s="5"/>
      <c r="C25" s="9"/>
      <c r="D25" s="8"/>
      <c r="E25" s="10"/>
      <c r="F25" s="7"/>
      <c r="G25" s="7"/>
      <c r="H25" s="5"/>
      <c r="I25" s="29"/>
      <c r="J25" s="10"/>
      <c r="K25" s="5"/>
    </row>
    <row r="26" spans="1:12" ht="12.75">
      <c r="A26" s="7"/>
      <c r="B26" s="5"/>
      <c r="C26" s="9"/>
      <c r="D26" s="8"/>
      <c r="E26" s="10"/>
      <c r="F26" s="7"/>
      <c r="G26" s="7"/>
      <c r="H26" s="5"/>
      <c r="I26" s="29"/>
      <c r="J26" s="10"/>
      <c r="K26" s="5"/>
    </row>
    <row r="27" spans="1:12" ht="12.75">
      <c r="A27" s="7"/>
      <c r="B27" s="5"/>
      <c r="C27" s="9"/>
      <c r="D27" s="8"/>
      <c r="E27" s="10"/>
      <c r="F27" s="7"/>
      <c r="G27" s="7"/>
      <c r="H27" s="5"/>
      <c r="I27" s="29"/>
      <c r="J27" s="10"/>
      <c r="K27" s="5"/>
    </row>
    <row r="28" spans="1:12" ht="12.75">
      <c r="A28" s="14" t="s">
        <v>518</v>
      </c>
      <c r="B28" s="5"/>
      <c r="C28" s="15"/>
      <c r="D28" s="16" t="s">
        <v>519</v>
      </c>
      <c r="E28" s="17" t="s">
        <v>148</v>
      </c>
      <c r="F28" s="14"/>
      <c r="G28" s="14"/>
      <c r="H28" s="5"/>
      <c r="I28" s="31" t="s">
        <v>428</v>
      </c>
      <c r="J28" s="18" t="s">
        <v>148</v>
      </c>
      <c r="K28" s="5"/>
    </row>
    <row r="29" spans="1:12" ht="12.75">
      <c r="A29" s="7"/>
      <c r="B29" s="5"/>
      <c r="C29" s="9"/>
      <c r="D29" s="8"/>
      <c r="E29" s="10"/>
      <c r="F29" s="7"/>
      <c r="G29" s="7"/>
      <c r="H29" s="5"/>
      <c r="I29" s="29"/>
      <c r="J29" s="10"/>
      <c r="K29" s="5"/>
    </row>
    <row r="30" spans="1:12" ht="12.75">
      <c r="A30" s="7"/>
      <c r="B30" s="5"/>
      <c r="C30" s="9" t="s">
        <v>429</v>
      </c>
      <c r="D30" s="8" t="s">
        <v>488</v>
      </c>
      <c r="E30" s="10"/>
      <c r="F30" s="7"/>
      <c r="G30" s="7" t="s">
        <v>368</v>
      </c>
      <c r="H30" s="5"/>
      <c r="I30" s="29" t="s">
        <v>369</v>
      </c>
      <c r="J30" s="10" t="s">
        <v>151</v>
      </c>
      <c r="K30" s="5"/>
    </row>
    <row r="31" spans="1:12" ht="12.75">
      <c r="A31" s="19" t="str">
        <f>DATA!A$6</f>
        <v>ALE</v>
      </c>
      <c r="B31" s="5"/>
      <c r="C31" s="15" t="s">
        <v>301</v>
      </c>
      <c r="D31" s="16" t="s">
        <v>302</v>
      </c>
      <c r="E31" s="17" t="s">
        <v>452</v>
      </c>
      <c r="F31" s="14"/>
      <c r="G31" s="14" t="s">
        <v>533</v>
      </c>
      <c r="H31" s="5"/>
      <c r="I31" s="32" t="s">
        <v>367</v>
      </c>
      <c r="J31" s="17" t="s">
        <v>148</v>
      </c>
      <c r="K31" s="5"/>
    </row>
    <row r="32" spans="1:12" ht="12.75">
      <c r="A32" s="7">
        <f>DATA!F$3</f>
        <v>2008</v>
      </c>
      <c r="B32" s="5"/>
      <c r="C32" s="9">
        <f>1-DATA!N$6/DATA!F6</f>
        <v>0.39007092198581561</v>
      </c>
      <c r="D32" s="8">
        <f>DATA!V$6</f>
        <v>0.1</v>
      </c>
      <c r="E32" s="10">
        <f>C32*D32</f>
        <v>3.9007092198581561E-2</v>
      </c>
      <c r="F32" s="7"/>
      <c r="G32" s="29">
        <f>DATA!AD$6</f>
        <v>25.37</v>
      </c>
      <c r="H32" s="5"/>
      <c r="I32" s="29">
        <f>DATA!AL$6</f>
        <v>32.6</v>
      </c>
      <c r="J32" s="10"/>
      <c r="K32" s="5"/>
    </row>
    <row r="33" spans="1:12" ht="12.75">
      <c r="A33" s="7">
        <f>DATA!G$3</f>
        <v>2009</v>
      </c>
      <c r="B33" s="5"/>
      <c r="C33" s="9">
        <f>1-DATA!O$6/DATA!G$6</f>
        <v>6.8783068783068724E-2</v>
      </c>
      <c r="D33" s="8">
        <f>DATA!W$6</f>
        <v>6.6000000000000003E-2</v>
      </c>
      <c r="E33" s="10">
        <f>C33*D33</f>
        <v>4.5396825396825363E-3</v>
      </c>
      <c r="F33" s="7"/>
      <c r="G33" s="29">
        <f>DATA!AE$6</f>
        <v>26.41</v>
      </c>
      <c r="H33" s="5"/>
      <c r="I33" s="29">
        <f>DATA!AM$6</f>
        <v>35.200000000000003</v>
      </c>
      <c r="J33" s="10"/>
      <c r="K33" s="5"/>
    </row>
    <row r="34" spans="1:12" ht="12.75">
      <c r="A34" s="7">
        <f>DATA!H$3</f>
        <v>2010</v>
      </c>
      <c r="B34" s="5"/>
      <c r="C34" s="9">
        <f>1-DATA!P$6/DATA!H$6</f>
        <v>0.19634703196347025</v>
      </c>
      <c r="D34" s="8">
        <f>DATA!X$6</f>
        <v>7.6999999999999999E-2</v>
      </c>
      <c r="E34" s="10">
        <f>C34*D34</f>
        <v>1.511872146118721E-2</v>
      </c>
      <c r="F34" s="7"/>
      <c r="G34" s="29">
        <f>DATA!AF$6</f>
        <v>27.26</v>
      </c>
      <c r="H34" s="5"/>
      <c r="I34" s="29">
        <f>DATA!AN$6</f>
        <v>35.799999999999997</v>
      </c>
      <c r="J34" s="10"/>
      <c r="K34" s="5"/>
      <c r="L34">
        <f>(I34/I32)^0.5</f>
        <v>1.0479310612833528</v>
      </c>
    </row>
    <row r="35" spans="1:12" ht="12.75">
      <c r="A35" s="7">
        <f>DATA!I$3</f>
        <v>2011</v>
      </c>
      <c r="B35" s="5"/>
      <c r="C35" s="9">
        <f>1-DATA!Q$6/DATA!I$6</f>
        <v>0.32830188679245276</v>
      </c>
      <c r="D35" s="8">
        <f>DATA!Y$6</f>
        <v>8.6999999999999994E-2</v>
      </c>
      <c r="E35" s="10">
        <f>C35*D35</f>
        <v>2.8562264150943387E-2</v>
      </c>
      <c r="F35" s="7"/>
      <c r="G35" s="29">
        <f>DATA!AG$6</f>
        <v>28.78</v>
      </c>
      <c r="H35" s="5"/>
      <c r="I35" s="29">
        <f>DATA!AO$6</f>
        <v>37.5</v>
      </c>
      <c r="J35" s="10"/>
      <c r="K35" s="5"/>
    </row>
    <row r="36" spans="1:12" ht="12.75">
      <c r="A36" s="7">
        <f>DATA!J$3</f>
        <v>2012</v>
      </c>
      <c r="B36" s="5"/>
      <c r="C36" s="9">
        <f>1-DATA!R$6/DATA!J$6</f>
        <v>0.28682170542635654</v>
      </c>
      <c r="D36" s="8">
        <f>DATA!Z$6</f>
        <v>8.1000000000000003E-2</v>
      </c>
      <c r="E36" s="20">
        <f>C36*D36</f>
        <v>2.3232558139534881E-2</v>
      </c>
      <c r="F36" s="21"/>
      <c r="G36" s="30">
        <f>DATA!AH$6</f>
        <v>30.48</v>
      </c>
      <c r="H36" s="22"/>
      <c r="I36" s="30">
        <f>DATA!AP$6</f>
        <v>39.4</v>
      </c>
      <c r="J36" s="10"/>
      <c r="K36" s="5"/>
    </row>
    <row r="37" spans="1:12" ht="12.75">
      <c r="A37" s="23" t="s">
        <v>515</v>
      </c>
      <c r="B37" s="5"/>
      <c r="C37" s="9"/>
      <c r="D37" s="8"/>
      <c r="E37" s="10">
        <f>AVERAGE(E32:E36)</f>
        <v>2.2092063697985918E-2</v>
      </c>
      <c r="F37" s="10"/>
      <c r="G37" s="10">
        <f>DATA!AX$6</f>
        <v>5.5E-2</v>
      </c>
      <c r="H37" s="5"/>
      <c r="I37" s="29"/>
      <c r="J37" s="10">
        <f>(I36/I32)^0.25-1</f>
        <v>4.8502946942324376E-2</v>
      </c>
      <c r="K37" s="5"/>
      <c r="L37">
        <f>(I36/I34)^0.5-1</f>
        <v>4.9075144695496675E-2</v>
      </c>
    </row>
    <row r="38" spans="1:12" ht="12.75">
      <c r="A38" s="7">
        <f>DATA!K$3</f>
        <v>2013</v>
      </c>
      <c r="B38" s="5"/>
      <c r="C38" s="9">
        <f>1-DATA!S$6/DATA!K$6</f>
        <v>0.30909090909090908</v>
      </c>
      <c r="D38" s="8">
        <f>DATA!AA$6</f>
        <v>0.08</v>
      </c>
      <c r="E38" s="10">
        <f>C38*D38</f>
        <v>2.4727272727272726E-2</v>
      </c>
      <c r="F38" s="10"/>
      <c r="G38" s="10"/>
      <c r="H38" s="5"/>
      <c r="I38" s="29">
        <f>DATA!AQ$6</f>
        <v>41.5</v>
      </c>
      <c r="J38" s="10">
        <f>(I38/I36)-1</f>
        <v>5.3299492385786795E-2</v>
      </c>
      <c r="K38" s="5"/>
    </row>
    <row r="39" spans="1:12" ht="12.75">
      <c r="A39" s="7">
        <f>DATA!L$3</f>
        <v>2014</v>
      </c>
      <c r="B39" s="7"/>
      <c r="C39" s="9">
        <f>1-DATA!T$6/DATA!L$6</f>
        <v>0.33559322033898309</v>
      </c>
      <c r="D39" s="8">
        <f>DATA!AB$6</f>
        <v>8.5000000000000006E-2</v>
      </c>
      <c r="E39" s="10">
        <f>C39*D39</f>
        <v>2.8525423728813566E-2</v>
      </c>
      <c r="F39" s="7"/>
      <c r="G39" s="10"/>
      <c r="H39" s="7"/>
      <c r="I39" s="29">
        <f>DATA!AR$6</f>
        <v>43.5</v>
      </c>
      <c r="J39" s="10">
        <f>(I39/I36)^0.5-1</f>
        <v>5.0743029339516355E-2</v>
      </c>
      <c r="K39" s="5"/>
    </row>
    <row r="40" spans="1:12" ht="12.75">
      <c r="A40" s="7" t="str">
        <f>DATA!M$3</f>
        <v>2016-2018</v>
      </c>
      <c r="B40" s="5"/>
      <c r="C40" s="9">
        <f>1-DATA!U$6/DATA!M$6</f>
        <v>0.41333333333333333</v>
      </c>
      <c r="D40" s="8">
        <f>DATA!AC$6</f>
        <v>9.5000000000000001E-2</v>
      </c>
      <c r="E40" s="10">
        <f>C40*D40</f>
        <v>3.9266666666666665E-2</v>
      </c>
      <c r="F40" s="10"/>
      <c r="G40" s="10">
        <f>DATA!AY$6</f>
        <v>0.04</v>
      </c>
      <c r="H40" s="5"/>
      <c r="I40" s="29">
        <f>DATA!AS$6</f>
        <v>45</v>
      </c>
      <c r="J40" s="10">
        <f>(I40/I36)^0.2-1</f>
        <v>2.6935715660030946E-2</v>
      </c>
      <c r="K40" s="5"/>
    </row>
    <row r="41" spans="1:12" ht="12.75">
      <c r="A41" s="7"/>
      <c r="B41" s="5"/>
      <c r="C41" s="9"/>
      <c r="D41" s="8"/>
      <c r="E41" s="10"/>
      <c r="F41" s="7"/>
      <c r="G41" s="7"/>
      <c r="H41" s="5"/>
      <c r="I41" s="29"/>
      <c r="J41" s="10"/>
      <c r="K41" s="5"/>
    </row>
    <row r="42" spans="1:12" ht="12.75">
      <c r="A42" s="7"/>
      <c r="B42" s="5"/>
      <c r="C42" s="9"/>
      <c r="D42" s="8"/>
      <c r="E42" s="10"/>
      <c r="F42" s="7"/>
      <c r="G42" s="7"/>
      <c r="H42" s="5"/>
      <c r="I42" s="29"/>
      <c r="J42" s="10"/>
      <c r="K42" s="5"/>
    </row>
    <row r="43" spans="1:12" ht="12.75">
      <c r="A43" s="7"/>
      <c r="B43" s="5"/>
      <c r="C43" s="9"/>
      <c r="D43" s="8"/>
      <c r="E43" s="10"/>
      <c r="F43" s="7"/>
      <c r="G43" s="7"/>
      <c r="H43" s="5"/>
      <c r="I43" s="29"/>
      <c r="J43" s="10"/>
      <c r="K43" s="5"/>
    </row>
    <row r="44" spans="1:12" ht="12.75">
      <c r="A44" s="14" t="s">
        <v>518</v>
      </c>
      <c r="B44" s="5"/>
      <c r="C44" s="15"/>
      <c r="D44" s="16" t="s">
        <v>519</v>
      </c>
      <c r="E44" s="17" t="s">
        <v>148</v>
      </c>
      <c r="F44" s="14"/>
      <c r="G44" s="14"/>
      <c r="H44" s="5"/>
      <c r="I44" s="31" t="s">
        <v>428</v>
      </c>
      <c r="J44" s="18" t="s">
        <v>148</v>
      </c>
      <c r="K44" s="5"/>
    </row>
    <row r="45" spans="1:12" ht="12.75">
      <c r="A45" s="7"/>
      <c r="B45" s="5"/>
      <c r="C45" s="9"/>
      <c r="D45" s="8"/>
      <c r="E45" s="10"/>
      <c r="F45" s="7"/>
      <c r="G45" s="7"/>
      <c r="H45" s="5"/>
      <c r="I45" s="29"/>
      <c r="J45" s="10"/>
      <c r="K45" s="5"/>
    </row>
    <row r="46" spans="1:12" ht="12.75">
      <c r="A46" s="7"/>
      <c r="B46" s="5"/>
      <c r="C46" s="9" t="s">
        <v>429</v>
      </c>
      <c r="D46" s="8" t="s">
        <v>488</v>
      </c>
      <c r="E46" s="10"/>
      <c r="F46" s="7"/>
      <c r="G46" s="7" t="s">
        <v>368</v>
      </c>
      <c r="H46" s="5"/>
      <c r="I46" s="29" t="s">
        <v>369</v>
      </c>
      <c r="J46" s="10" t="s">
        <v>151</v>
      </c>
      <c r="K46" s="5"/>
    </row>
    <row r="47" spans="1:12" ht="12.75">
      <c r="A47" s="19" t="str">
        <f>DATA!A$7</f>
        <v>LNT</v>
      </c>
      <c r="B47" s="5"/>
      <c r="C47" s="15" t="s">
        <v>301</v>
      </c>
      <c r="D47" s="16" t="s">
        <v>302</v>
      </c>
      <c r="E47" s="17" t="s">
        <v>452</v>
      </c>
      <c r="F47" s="14"/>
      <c r="G47" s="14" t="s">
        <v>533</v>
      </c>
      <c r="H47" s="5"/>
      <c r="I47" s="32" t="s">
        <v>367</v>
      </c>
      <c r="J47" s="17" t="s">
        <v>148</v>
      </c>
      <c r="K47" s="5"/>
    </row>
    <row r="48" spans="1:12" ht="12.75">
      <c r="A48" s="7">
        <f>DATA!F$3</f>
        <v>2008</v>
      </c>
      <c r="B48" s="5"/>
      <c r="C48" s="9">
        <f>1-DATA!N$7/DATA!F7</f>
        <v>0.44881889763779537</v>
      </c>
      <c r="D48" s="8">
        <f>DATA!V$7</f>
        <v>9.2999999999999999E-2</v>
      </c>
      <c r="E48" s="10">
        <f>C48*D48</f>
        <v>4.1740157480314968E-2</v>
      </c>
      <c r="F48" s="7"/>
      <c r="G48" s="29">
        <f>DATA!AD$7</f>
        <v>25.56</v>
      </c>
      <c r="H48" s="5"/>
      <c r="I48" s="29">
        <f>DATA!AL$7</f>
        <v>110.45</v>
      </c>
      <c r="J48" s="10"/>
      <c r="K48" s="5"/>
    </row>
    <row r="49" spans="1:12" ht="12.75">
      <c r="A49" s="7">
        <f>DATA!G$3</f>
        <v>2009</v>
      </c>
      <c r="B49" s="5"/>
      <c r="C49" s="9">
        <f>1-DATA!O$7/DATA!G$7</f>
        <v>0.20634920634920628</v>
      </c>
      <c r="D49" s="8">
        <f>DATA!W$7</f>
        <v>6.8000000000000005E-2</v>
      </c>
      <c r="E49" s="10">
        <f>C49*D49</f>
        <v>1.4031746031746029E-2</v>
      </c>
      <c r="F49" s="7"/>
      <c r="G49" s="29">
        <f>DATA!AE$7</f>
        <v>25.07</v>
      </c>
      <c r="H49" s="5"/>
      <c r="I49" s="29">
        <f>DATA!AM$7</f>
        <v>110.66</v>
      </c>
      <c r="J49" s="10"/>
      <c r="K49" s="5"/>
    </row>
    <row r="50" spans="1:12" ht="12.75">
      <c r="A50" s="7">
        <f>DATA!H$3</f>
        <v>2010</v>
      </c>
      <c r="B50" s="5"/>
      <c r="C50" s="9">
        <f>1-DATA!P$7/DATA!H$7</f>
        <v>0.42545454545454542</v>
      </c>
      <c r="D50" s="8">
        <f>DATA!X$7</f>
        <v>9.9000000000000005E-2</v>
      </c>
      <c r="E50" s="10">
        <f>C50*D50</f>
        <v>4.2119999999999998E-2</v>
      </c>
      <c r="F50" s="7"/>
      <c r="G50" s="29">
        <f>DATA!AF$7</f>
        <v>26.09</v>
      </c>
      <c r="H50" s="5"/>
      <c r="I50" s="29">
        <f>DATA!AN$7</f>
        <v>110.89</v>
      </c>
      <c r="J50" s="10"/>
      <c r="K50" s="5"/>
    </row>
    <row r="51" spans="1:12" ht="12.75">
      <c r="A51" s="7">
        <f>DATA!I$3</f>
        <v>2011</v>
      </c>
      <c r="B51" s="5"/>
      <c r="C51" s="9">
        <f>1-DATA!Q$7/DATA!I$7</f>
        <v>0.38181818181818183</v>
      </c>
      <c r="D51" s="8">
        <f>DATA!Y$7</f>
        <v>9.5000000000000001E-2</v>
      </c>
      <c r="E51" s="10">
        <f>C51*D51</f>
        <v>3.6272727272727276E-2</v>
      </c>
      <c r="F51" s="7"/>
      <c r="G51" s="29">
        <f>DATA!AG$7</f>
        <v>27.14</v>
      </c>
      <c r="H51" s="5"/>
      <c r="I51" s="29">
        <f>DATA!AO$7</f>
        <v>111.02</v>
      </c>
      <c r="J51" s="10"/>
      <c r="K51" s="5"/>
      <c r="L51">
        <f>(I51/I48)^0.3333-1</f>
        <v>1.7171127701307576E-3</v>
      </c>
    </row>
    <row r="52" spans="1:12" ht="12.75">
      <c r="A52" s="7">
        <f>DATA!J$3</f>
        <v>2012</v>
      </c>
      <c r="B52" s="5"/>
      <c r="C52" s="9">
        <f>1-DATA!R$7/DATA!J$7</f>
        <v>0.40983606557377039</v>
      </c>
      <c r="D52" s="8">
        <f>DATA!Z$7</f>
        <v>0.10299999999999999</v>
      </c>
      <c r="E52" s="20">
        <f>C52*D52</f>
        <v>4.2213114754098349E-2</v>
      </c>
      <c r="F52" s="21"/>
      <c r="G52" s="30">
        <f>DATA!AH$7</f>
        <v>28.25</v>
      </c>
      <c r="H52" s="22"/>
      <c r="I52" s="30">
        <f>DATA!AP$7</f>
        <v>110.99</v>
      </c>
      <c r="J52" s="10"/>
      <c r="K52" s="5"/>
    </row>
    <row r="53" spans="1:12" ht="12.75">
      <c r="A53" s="23" t="s">
        <v>515</v>
      </c>
      <c r="B53" s="5"/>
      <c r="C53" s="9"/>
      <c r="D53" s="8"/>
      <c r="E53" s="10">
        <f>AVERAGE(E48:E52)</f>
        <v>3.5275549107777325E-2</v>
      </c>
      <c r="F53" s="10"/>
      <c r="G53" s="10">
        <f>DATA!AX$7</f>
        <v>3.5000000000000003E-2</v>
      </c>
      <c r="H53" s="5"/>
      <c r="I53" s="29"/>
      <c r="J53" s="10">
        <f>(I52/I48)^0.25-1</f>
        <v>1.2200379659739191E-3</v>
      </c>
      <c r="K53" s="5"/>
    </row>
    <row r="54" spans="1:12" ht="12.75">
      <c r="A54" s="7">
        <f>DATA!K$3</f>
        <v>2013</v>
      </c>
      <c r="B54" s="5"/>
      <c r="C54" s="9">
        <f>1-DATA!S$7/DATA!K$7</f>
        <v>0.4303030303030303</v>
      </c>
      <c r="D54" s="8">
        <f>DATA!AA$7</f>
        <v>0.115</v>
      </c>
      <c r="E54" s="10">
        <f>C54*D54</f>
        <v>4.9484848484848486E-2</v>
      </c>
      <c r="F54" s="10"/>
      <c r="G54" s="10"/>
      <c r="H54" s="5"/>
      <c r="I54" s="29">
        <f>DATA!AQ$7</f>
        <v>112</v>
      </c>
      <c r="J54" s="10">
        <f>(I54/I52)-1</f>
        <v>9.0999189116136581E-3</v>
      </c>
      <c r="K54" s="5"/>
    </row>
    <row r="55" spans="1:12" ht="12.75">
      <c r="A55" s="7">
        <f>DATA!L$3</f>
        <v>2014</v>
      </c>
      <c r="B55" s="7"/>
      <c r="C55" s="9">
        <f>1-DATA!T$7/DATA!L$7</f>
        <v>0.42352941176470593</v>
      </c>
      <c r="D55" s="8">
        <f>DATA!AB$7</f>
        <v>0.115</v>
      </c>
      <c r="E55" s="10">
        <f>C55*D55</f>
        <v>4.8705882352941182E-2</v>
      </c>
      <c r="F55" s="7"/>
      <c r="G55" s="10"/>
      <c r="H55" s="7"/>
      <c r="I55" s="29">
        <f>DATA!AR$7</f>
        <v>113</v>
      </c>
      <c r="J55" s="10">
        <f>(I55/I52)^0.5-1</f>
        <v>9.0142415328842151E-3</v>
      </c>
      <c r="K55" s="7"/>
    </row>
    <row r="56" spans="1:12" ht="12.75">
      <c r="A56" s="7" t="str">
        <f>DATA!M$3</f>
        <v>2016-2018</v>
      </c>
      <c r="B56" s="5"/>
      <c r="C56" s="9">
        <f>1-DATA!U$7/DATA!M$7</f>
        <v>0.42105263157894735</v>
      </c>
      <c r="D56" s="8">
        <f>DATA!AC$7</f>
        <v>0.11</v>
      </c>
      <c r="E56" s="10">
        <f>C56*D56</f>
        <v>4.6315789473684206E-2</v>
      </c>
      <c r="F56" s="10"/>
      <c r="G56" s="10">
        <f>DATA!AY$7</f>
        <v>0.04</v>
      </c>
      <c r="H56" s="5"/>
      <c r="I56" s="29">
        <f>DATA!AS$7</f>
        <v>116</v>
      </c>
      <c r="J56" s="10">
        <f>(I56/I52)^0.2-1</f>
        <v>8.8691163853713562E-3</v>
      </c>
      <c r="K56" s="5"/>
    </row>
    <row r="57" spans="1:12" ht="12.75">
      <c r="A57" s="7"/>
      <c r="B57" s="5"/>
      <c r="C57" s="9"/>
      <c r="D57" s="8"/>
      <c r="E57" s="10"/>
      <c r="F57" s="7"/>
      <c r="G57" s="7"/>
      <c r="H57" s="5"/>
      <c r="I57" s="29"/>
      <c r="J57" s="218" t="s">
        <v>538</v>
      </c>
      <c r="K57" s="5"/>
    </row>
    <row r="58" spans="1:12" ht="12.75">
      <c r="A58" s="7"/>
      <c r="B58" s="5"/>
      <c r="C58" s="9"/>
      <c r="D58" s="8"/>
      <c r="E58" s="10"/>
      <c r="F58" s="7"/>
      <c r="G58" s="7"/>
      <c r="H58" s="5"/>
      <c r="I58" s="29"/>
      <c r="J58" s="221" t="s">
        <v>539</v>
      </c>
      <c r="K58" s="5"/>
    </row>
    <row r="59" spans="1:12" ht="12.75">
      <c r="A59" s="7"/>
      <c r="B59" s="5"/>
      <c r="C59" s="9"/>
      <c r="D59" s="8"/>
      <c r="E59" s="10"/>
      <c r="F59" s="7"/>
      <c r="G59" s="7"/>
      <c r="H59" s="5"/>
      <c r="I59" s="29"/>
      <c r="J59" s="11" t="s">
        <v>354</v>
      </c>
      <c r="K59" s="5"/>
    </row>
    <row r="60" spans="1:12" ht="12.75">
      <c r="A60" s="7"/>
      <c r="B60" s="5"/>
      <c r="C60" s="9"/>
      <c r="D60" s="8"/>
      <c r="E60" s="10"/>
      <c r="F60" s="7"/>
      <c r="G60" s="7"/>
      <c r="H60" s="5"/>
      <c r="I60" s="29"/>
      <c r="J60" s="10"/>
      <c r="K60" s="5"/>
    </row>
    <row r="61" spans="1:12" ht="12.75">
      <c r="A61" s="7"/>
      <c r="B61" s="5"/>
      <c r="C61" s="9"/>
      <c r="D61" s="8"/>
      <c r="E61" s="10"/>
      <c r="F61" s="7"/>
      <c r="G61" s="7"/>
      <c r="H61" s="5"/>
      <c r="I61" s="29"/>
      <c r="J61" s="10"/>
      <c r="K61" s="5"/>
    </row>
    <row r="62" spans="1:12" ht="12.75">
      <c r="A62" s="7"/>
      <c r="B62" s="5"/>
      <c r="C62" s="9"/>
      <c r="D62" s="8"/>
      <c r="E62" s="12"/>
      <c r="F62" s="13" t="str">
        <f>F$6</f>
        <v>PUGET SOUND ENERGY</v>
      </c>
      <c r="G62" s="5"/>
      <c r="H62" s="5"/>
      <c r="I62" s="29"/>
      <c r="J62" s="10"/>
      <c r="K62" s="5"/>
    </row>
    <row r="63" spans="1:12" ht="12.75">
      <c r="A63" s="7"/>
      <c r="B63" s="5"/>
      <c r="C63" s="9"/>
      <c r="D63" s="8"/>
      <c r="E63" s="12"/>
      <c r="F63" s="13" t="s">
        <v>505</v>
      </c>
      <c r="G63" s="5"/>
      <c r="H63" s="5"/>
      <c r="I63" s="29"/>
      <c r="J63" s="10"/>
      <c r="K63" s="5"/>
    </row>
    <row r="64" spans="1:12" ht="12.75">
      <c r="A64" s="7"/>
      <c r="B64" s="5"/>
      <c r="C64" s="9"/>
      <c r="D64" s="8"/>
      <c r="E64" s="10"/>
      <c r="F64" s="7" t="s">
        <v>498</v>
      </c>
      <c r="G64" s="7"/>
      <c r="H64" s="5"/>
      <c r="I64" s="29"/>
      <c r="J64" s="10"/>
      <c r="K64" s="5"/>
    </row>
    <row r="65" spans="1:11" ht="12.75">
      <c r="A65" s="7"/>
      <c r="B65" s="5"/>
      <c r="C65" s="9"/>
      <c r="D65" s="8"/>
      <c r="E65" s="10"/>
      <c r="F65" s="7"/>
      <c r="G65" s="7"/>
      <c r="H65" s="5"/>
      <c r="I65" s="29"/>
      <c r="J65" s="10"/>
      <c r="K65" s="5"/>
    </row>
    <row r="66" spans="1:11" ht="12.75">
      <c r="A66" s="7"/>
      <c r="B66" s="5"/>
      <c r="C66" s="9"/>
      <c r="D66" s="8"/>
      <c r="E66" s="10"/>
      <c r="F66" s="7"/>
      <c r="G66" s="7"/>
      <c r="H66" s="5"/>
      <c r="I66" s="29"/>
      <c r="J66" s="10"/>
      <c r="K66" s="5"/>
    </row>
    <row r="67" spans="1:11" ht="12.75">
      <c r="A67" s="14" t="s">
        <v>518</v>
      </c>
      <c r="B67" s="5"/>
      <c r="C67" s="15"/>
      <c r="D67" s="16" t="s">
        <v>519</v>
      </c>
      <c r="E67" s="17" t="s">
        <v>148</v>
      </c>
      <c r="F67" s="14"/>
      <c r="G67" s="14"/>
      <c r="H67" s="5"/>
      <c r="I67" s="31" t="s">
        <v>428</v>
      </c>
      <c r="J67" s="18" t="s">
        <v>148</v>
      </c>
      <c r="K67" s="5"/>
    </row>
    <row r="68" spans="1:11" ht="12.75">
      <c r="A68" s="7"/>
      <c r="B68" s="5"/>
      <c r="C68" s="9"/>
      <c r="D68" s="8"/>
      <c r="E68" s="10"/>
      <c r="F68" s="7"/>
      <c r="G68" s="7"/>
      <c r="H68" s="5"/>
      <c r="I68" s="29"/>
      <c r="J68" s="10"/>
      <c r="K68" s="5"/>
    </row>
    <row r="69" spans="1:11" ht="12.75">
      <c r="A69" s="7"/>
      <c r="B69" s="5"/>
      <c r="C69" s="9" t="s">
        <v>429</v>
      </c>
      <c r="D69" s="8" t="s">
        <v>488</v>
      </c>
      <c r="E69" s="10"/>
      <c r="F69" s="7"/>
      <c r="G69" s="7" t="s">
        <v>368</v>
      </c>
      <c r="H69" s="5"/>
      <c r="I69" s="29" t="s">
        <v>369</v>
      </c>
      <c r="J69" s="10" t="s">
        <v>151</v>
      </c>
      <c r="K69" s="5"/>
    </row>
    <row r="70" spans="1:11" ht="12.75">
      <c r="A70" s="19" t="str">
        <f>DATA!A$8</f>
        <v>AEP</v>
      </c>
      <c r="B70" s="5"/>
      <c r="C70" s="15" t="s">
        <v>301</v>
      </c>
      <c r="D70" s="16" t="s">
        <v>302</v>
      </c>
      <c r="E70" s="17" t="s">
        <v>452</v>
      </c>
      <c r="F70" s="14"/>
      <c r="G70" s="14" t="s">
        <v>533</v>
      </c>
      <c r="H70" s="5"/>
      <c r="I70" s="32" t="s">
        <v>367</v>
      </c>
      <c r="J70" s="17" t="s">
        <v>148</v>
      </c>
      <c r="K70" s="5"/>
    </row>
    <row r="71" spans="1:11" ht="12.75">
      <c r="A71" s="7">
        <f>DATA!F$3</f>
        <v>2008</v>
      </c>
      <c r="B71" s="5"/>
      <c r="C71" s="9">
        <f>1-DATA!N$8/DATA!F$8</f>
        <v>0.45150501672240806</v>
      </c>
      <c r="D71" s="8">
        <f>DATA!V$8</f>
        <v>0.113</v>
      </c>
      <c r="E71" s="10">
        <f>C71*D71</f>
        <v>5.1020066889632114E-2</v>
      </c>
      <c r="F71" s="7"/>
      <c r="G71" s="7">
        <f>DATA!AD$8</f>
        <v>26.33</v>
      </c>
      <c r="H71" s="5"/>
      <c r="I71" s="29">
        <f>DATA!AL$8</f>
        <v>406.07</v>
      </c>
      <c r="J71" s="10"/>
      <c r="K71" s="5"/>
    </row>
    <row r="72" spans="1:11" ht="12.75">
      <c r="A72" s="7">
        <f>DATA!G$3</f>
        <v>2009</v>
      </c>
      <c r="B72" s="5"/>
      <c r="C72" s="9">
        <f>1-DATA!O$8/DATA!G$8</f>
        <v>0.44781144781144788</v>
      </c>
      <c r="D72" s="8">
        <f>DATA!W$8</f>
        <v>0.104</v>
      </c>
      <c r="E72" s="10">
        <f>C72*D72</f>
        <v>4.6572390572390578E-2</v>
      </c>
      <c r="F72" s="7"/>
      <c r="G72" s="7">
        <f>DATA!AE$8</f>
        <v>27.49</v>
      </c>
      <c r="H72" s="5"/>
      <c r="I72" s="29">
        <f>DATA!AM$8</f>
        <v>478.05</v>
      </c>
      <c r="J72" s="10"/>
      <c r="K72" s="5"/>
    </row>
    <row r="73" spans="1:11" ht="12.75">
      <c r="A73" s="7">
        <f>DATA!H$3</f>
        <v>2010</v>
      </c>
      <c r="B73" s="5"/>
      <c r="C73" s="9">
        <f>1-DATA!P$8/DATA!H$8</f>
        <v>0.34230769230769231</v>
      </c>
      <c r="D73" s="8">
        <f>DATA!X$8</f>
        <v>9.0999999999999998E-2</v>
      </c>
      <c r="E73" s="10">
        <f>C73*D73</f>
        <v>3.1150000000000001E-2</v>
      </c>
      <c r="F73" s="7"/>
      <c r="G73" s="7">
        <f>DATA!AF$8</f>
        <v>28.33</v>
      </c>
      <c r="H73" s="5"/>
      <c r="I73" s="29">
        <f>DATA!AN$8</f>
        <v>480.81</v>
      </c>
      <c r="J73" s="10"/>
      <c r="K73" s="5"/>
    </row>
    <row r="74" spans="1:11" ht="12.75">
      <c r="A74" s="7">
        <f>DATA!I$3</f>
        <v>2011</v>
      </c>
      <c r="B74" s="5"/>
      <c r="C74" s="9">
        <f>1-DATA!Q$8/DATA!I$8</f>
        <v>0.40894568690095845</v>
      </c>
      <c r="D74" s="8">
        <f>DATA!Y$8</f>
        <v>0.10299999999999999</v>
      </c>
      <c r="E74" s="10">
        <f>C74*D74</f>
        <v>4.2121405750798716E-2</v>
      </c>
      <c r="F74" s="7"/>
      <c r="G74" s="7">
        <f>DATA!AG$8</f>
        <v>30.33</v>
      </c>
      <c r="H74" s="5"/>
      <c r="I74" s="29">
        <f>DATA!AO$8</f>
        <v>483.42</v>
      </c>
      <c r="J74" s="10"/>
      <c r="K74" s="5"/>
    </row>
    <row r="75" spans="1:11" ht="12.75">
      <c r="A75" s="7">
        <f>DATA!J$3</f>
        <v>2012</v>
      </c>
      <c r="B75" s="5"/>
      <c r="C75" s="9">
        <f>1-DATA!R$8/DATA!J$8</f>
        <v>0.36912751677852351</v>
      </c>
      <c r="D75" s="8">
        <f>DATA!Z$8</f>
        <v>9.5000000000000001E-2</v>
      </c>
      <c r="E75" s="20">
        <f>C75*D75</f>
        <v>3.5067114093959732E-2</v>
      </c>
      <c r="F75" s="21"/>
      <c r="G75" s="21">
        <f>DATA!AH$8</f>
        <v>31.37</v>
      </c>
      <c r="H75" s="22"/>
      <c r="I75" s="30">
        <f>DATA!AP$8</f>
        <v>485.67</v>
      </c>
      <c r="J75" s="10"/>
      <c r="K75" s="5"/>
    </row>
    <row r="76" spans="1:11" ht="12.75">
      <c r="A76" s="23" t="s">
        <v>515</v>
      </c>
      <c r="B76" s="5"/>
      <c r="C76" s="9"/>
      <c r="D76" s="8"/>
      <c r="E76" s="10">
        <f>AVERAGE(E71:E75)</f>
        <v>4.1186195461356233E-2</v>
      </c>
      <c r="F76" s="10"/>
      <c r="G76" s="10">
        <f>DATA!AX$8</f>
        <v>4.4999999999999998E-2</v>
      </c>
      <c r="H76" s="5"/>
      <c r="I76" s="29"/>
      <c r="J76" s="10">
        <f>(I75/I71)^0.25-1</f>
        <v>4.5767384961147073E-2</v>
      </c>
      <c r="K76" s="5"/>
    </row>
    <row r="77" spans="1:11" ht="12.75">
      <c r="A77" s="7">
        <f>DATA!K$3</f>
        <v>2013</v>
      </c>
      <c r="B77" s="5"/>
      <c r="C77" s="9">
        <f>1-DATA!S$8/DATA!K$8</f>
        <v>0.37419354838709684</v>
      </c>
      <c r="D77" s="8">
        <f>DATA!AA$8</f>
        <v>9.5000000000000001E-2</v>
      </c>
      <c r="E77" s="10">
        <f>C77*D77</f>
        <v>3.55483870967742E-2</v>
      </c>
      <c r="F77" s="10"/>
      <c r="G77" s="10"/>
      <c r="H77" s="5"/>
      <c r="I77" s="29">
        <f>DATA!AQ$8</f>
        <v>489</v>
      </c>
      <c r="J77" s="10">
        <f>(I77/I75)-1</f>
        <v>6.8565075050959212E-3</v>
      </c>
      <c r="K77" s="5"/>
    </row>
    <row r="78" spans="1:11" ht="12.75">
      <c r="A78" s="7">
        <f>DATA!L$3</f>
        <v>2014</v>
      </c>
      <c r="B78" s="7"/>
      <c r="C78" s="9">
        <f>1-DATA!T$8/DATA!L$8</f>
        <v>0.38181818181818172</v>
      </c>
      <c r="D78" s="8">
        <f>DATA!AB$8</f>
        <v>0.1</v>
      </c>
      <c r="E78" s="10">
        <f>C78*D78</f>
        <v>3.8181818181818178E-2</v>
      </c>
      <c r="F78" s="7"/>
      <c r="G78" s="10"/>
      <c r="H78" s="7"/>
      <c r="I78" s="29">
        <f>DATA!AR$8</f>
        <v>492</v>
      </c>
      <c r="J78" s="10">
        <f>(I78/I75)^0.5-1</f>
        <v>6.4956737579504598E-3</v>
      </c>
      <c r="K78" s="7"/>
    </row>
    <row r="79" spans="1:11" ht="12.75">
      <c r="A79" s="7" t="str">
        <f>DATA!M$3</f>
        <v>2016-2018</v>
      </c>
      <c r="B79" s="5"/>
      <c r="C79" s="9">
        <f>1-DATA!U$8/DATA!M$8</f>
        <v>0.38666666666666671</v>
      </c>
      <c r="D79" s="8">
        <f>DATA!AC$8</f>
        <v>0.1</v>
      </c>
      <c r="E79" s="10">
        <f>C79*D79</f>
        <v>3.8666666666666676E-2</v>
      </c>
      <c r="F79" s="10"/>
      <c r="G79" s="10">
        <f>DATA!AY$8</f>
        <v>0.04</v>
      </c>
      <c r="H79" s="5"/>
      <c r="I79" s="29">
        <f>DATA!AS$8</f>
        <v>505</v>
      </c>
      <c r="J79" s="10">
        <f>(I79/I75)^0.2-1</f>
        <v>7.8363544268682528E-3</v>
      </c>
      <c r="K79" s="5"/>
    </row>
    <row r="80" spans="1:11" ht="12.75">
      <c r="A80" s="7"/>
      <c r="B80" s="5"/>
      <c r="C80" s="9"/>
      <c r="D80" s="8"/>
      <c r="E80" s="10"/>
      <c r="F80" s="7"/>
      <c r="G80" s="7"/>
      <c r="H80" s="5"/>
      <c r="I80" s="29"/>
      <c r="J80" s="10"/>
      <c r="K80" s="5"/>
    </row>
    <row r="81" spans="1:11" ht="12.75">
      <c r="A81" s="7"/>
      <c r="B81" s="5"/>
      <c r="C81" s="9"/>
      <c r="D81" s="8"/>
      <c r="E81" s="10"/>
      <c r="F81" s="7"/>
      <c r="G81" s="7"/>
      <c r="H81" s="5"/>
      <c r="I81" s="29"/>
      <c r="J81" s="10"/>
      <c r="K81" s="5"/>
    </row>
    <row r="82" spans="1:11" ht="12.75">
      <c r="A82" s="7"/>
      <c r="B82" s="5"/>
      <c r="C82" s="9"/>
      <c r="D82" s="8"/>
      <c r="E82" s="10"/>
      <c r="F82" s="7"/>
      <c r="G82" s="7"/>
      <c r="H82" s="5"/>
      <c r="I82" s="29"/>
      <c r="J82" s="10"/>
      <c r="K82" s="5"/>
    </row>
    <row r="83" spans="1:11" ht="12.75">
      <c r="A83" s="14" t="s">
        <v>518</v>
      </c>
      <c r="B83" s="5"/>
      <c r="C83" s="15"/>
      <c r="D83" s="16" t="s">
        <v>519</v>
      </c>
      <c r="E83" s="17" t="s">
        <v>148</v>
      </c>
      <c r="F83" s="14"/>
      <c r="G83" s="14"/>
      <c r="H83" s="5"/>
      <c r="I83" s="31" t="s">
        <v>428</v>
      </c>
      <c r="J83" s="18" t="s">
        <v>148</v>
      </c>
      <c r="K83" s="5"/>
    </row>
    <row r="84" spans="1:11" ht="12.75">
      <c r="A84" s="7"/>
      <c r="B84" s="5"/>
      <c r="C84" s="9"/>
      <c r="D84" s="8"/>
      <c r="E84" s="10"/>
      <c r="F84" s="7"/>
      <c r="G84" s="7"/>
      <c r="H84" s="5"/>
      <c r="I84" s="29"/>
      <c r="J84" s="10"/>
      <c r="K84" s="5"/>
    </row>
    <row r="85" spans="1:11" ht="12.75">
      <c r="A85" s="7"/>
      <c r="B85" s="5"/>
      <c r="C85" s="9" t="s">
        <v>429</v>
      </c>
      <c r="D85" s="8" t="s">
        <v>488</v>
      </c>
      <c r="E85" s="10"/>
      <c r="F85" s="7"/>
      <c r="G85" s="7" t="s">
        <v>368</v>
      </c>
      <c r="H85" s="5"/>
      <c r="I85" s="29" t="s">
        <v>369</v>
      </c>
      <c r="J85" s="10" t="s">
        <v>151</v>
      </c>
      <c r="K85" s="5"/>
    </row>
    <row r="86" spans="1:11" ht="12.75">
      <c r="A86" s="19" t="str">
        <f>DATA!A$9</f>
        <v>CNL</v>
      </c>
      <c r="B86" s="5"/>
      <c r="C86" s="15" t="s">
        <v>301</v>
      </c>
      <c r="D86" s="16" t="s">
        <v>302</v>
      </c>
      <c r="E86" s="17" t="s">
        <v>452</v>
      </c>
      <c r="F86" s="14"/>
      <c r="G86" s="14" t="s">
        <v>533</v>
      </c>
      <c r="H86" s="5"/>
      <c r="I86" s="32" t="s">
        <v>367</v>
      </c>
      <c r="J86" s="17" t="s">
        <v>148</v>
      </c>
      <c r="K86" s="5"/>
    </row>
    <row r="87" spans="1:11" ht="12.75">
      <c r="A87" s="7">
        <f>DATA!F$3</f>
        <v>2008</v>
      </c>
      <c r="B87" s="5"/>
      <c r="C87" s="9">
        <f>1-DATA!N$9/DATA!F$9</f>
        <v>0.47058823529411764</v>
      </c>
      <c r="D87" s="8">
        <f>DATA!V$9</f>
        <v>9.6000000000000002E-2</v>
      </c>
      <c r="E87" s="10">
        <f>C87*D87</f>
        <v>4.5176470588235297E-2</v>
      </c>
      <c r="F87" s="7"/>
      <c r="G87" s="29">
        <f>DATA!AD$9</f>
        <v>17.649999999999999</v>
      </c>
      <c r="H87" s="5"/>
      <c r="I87" s="29">
        <f>DATA!AL$9</f>
        <v>60.04</v>
      </c>
      <c r="J87" s="10"/>
      <c r="K87" s="5"/>
    </row>
    <row r="88" spans="1:11" ht="12.75">
      <c r="A88" s="7">
        <f>DATA!G$3</f>
        <v>2009</v>
      </c>
      <c r="B88" s="5"/>
      <c r="C88" s="9">
        <f>1-DATA!O$9/DATA!G$9</f>
        <v>0.48863636363636365</v>
      </c>
      <c r="D88" s="8">
        <f>DATA!W$9</f>
        <v>9.5000000000000001E-2</v>
      </c>
      <c r="E88" s="10">
        <f>C88*D88</f>
        <v>4.6420454545454549E-2</v>
      </c>
      <c r="F88" s="7"/>
      <c r="G88" s="29">
        <f>DATA!AE$9</f>
        <v>18.5</v>
      </c>
      <c r="H88" s="5"/>
      <c r="I88" s="29">
        <f>DATA!AM$9</f>
        <v>60.26</v>
      </c>
      <c r="J88" s="10"/>
      <c r="K88" s="5"/>
    </row>
    <row r="89" spans="1:11" ht="12.75">
      <c r="A89" s="7">
        <f>DATA!H$3</f>
        <v>2010</v>
      </c>
      <c r="B89" s="5"/>
      <c r="C89" s="9">
        <f>1-DATA!P$9/DATA!H$9</f>
        <v>0.57205240174672489</v>
      </c>
      <c r="D89" s="8">
        <f>DATA!X$9</f>
        <v>0.106</v>
      </c>
      <c r="E89" s="10">
        <f>C89*D89</f>
        <v>6.0637554585152839E-2</v>
      </c>
      <c r="F89" s="7"/>
      <c r="G89" s="29">
        <f>DATA!AF$9</f>
        <v>21.76</v>
      </c>
      <c r="H89" s="5"/>
      <c r="I89" s="29">
        <f>DATA!AN$9</f>
        <v>60.53</v>
      </c>
      <c r="J89" s="10"/>
      <c r="K89" s="5"/>
    </row>
    <row r="90" spans="1:11" ht="12.75">
      <c r="A90" s="7">
        <f>DATA!I$3</f>
        <v>2011</v>
      </c>
      <c r="B90" s="5"/>
      <c r="C90" s="9">
        <f>1-DATA!Q$9/DATA!I$9</f>
        <v>0.56756756756756754</v>
      </c>
      <c r="D90" s="8">
        <f>DATA!Y$9</f>
        <v>0.111</v>
      </c>
      <c r="E90" s="10">
        <f>C90*D90</f>
        <v>6.3E-2</v>
      </c>
      <c r="F90" s="7"/>
      <c r="G90" s="29">
        <f>DATA!AG$9</f>
        <v>23.55</v>
      </c>
      <c r="H90" s="5"/>
      <c r="I90" s="29">
        <f>DATA!AO$9</f>
        <v>60.29</v>
      </c>
      <c r="J90" s="10"/>
      <c r="K90" s="5"/>
    </row>
    <row r="91" spans="1:11" ht="12.75">
      <c r="A91" s="7">
        <f>DATA!J$3</f>
        <v>2012</v>
      </c>
      <c r="B91" s="5"/>
      <c r="C91" s="9">
        <f>1-DATA!R$9/DATA!J$9</f>
        <v>0.5185185185185186</v>
      </c>
      <c r="D91" s="8">
        <f>DATA!Z$9</f>
        <v>0.109</v>
      </c>
      <c r="E91" s="20">
        <f>C91*D91</f>
        <v>5.651851851851853E-2</v>
      </c>
      <c r="F91" s="21"/>
      <c r="G91" s="30">
        <f>DATA!AH$9</f>
        <v>24.84</v>
      </c>
      <c r="H91" s="22"/>
      <c r="I91" s="30">
        <f>DATA!AP$9</f>
        <v>60.36</v>
      </c>
      <c r="J91" s="10"/>
      <c r="K91" s="5"/>
    </row>
    <row r="92" spans="1:11" ht="12.75">
      <c r="A92" s="23" t="s">
        <v>515</v>
      </c>
      <c r="B92" s="5"/>
      <c r="C92" s="9"/>
      <c r="D92" s="8"/>
      <c r="E92" s="10">
        <f>AVERAGE(E87:E91)</f>
        <v>5.4350599647472242E-2</v>
      </c>
      <c r="F92" s="10"/>
      <c r="G92" s="10">
        <f>DATA!AX$9</f>
        <v>0.09</v>
      </c>
      <c r="H92" s="5"/>
      <c r="I92" s="29"/>
      <c r="J92" s="10">
        <f>(I91/I87)^0.25-1</f>
        <v>1.3297901714866001E-3</v>
      </c>
      <c r="K92" s="5"/>
    </row>
    <row r="93" spans="1:11" ht="12.75">
      <c r="A93" s="7">
        <f>DATA!K$3</f>
        <v>2013</v>
      </c>
      <c r="B93" s="5"/>
      <c r="C93" s="9">
        <f>1-DATA!S$9/DATA!K$9</f>
        <v>0.42800000000000005</v>
      </c>
      <c r="D93" s="8">
        <f>DATA!AA$9</f>
        <v>9.5000000000000001E-2</v>
      </c>
      <c r="E93" s="10">
        <f>C93*D93</f>
        <v>4.0660000000000002E-2</v>
      </c>
      <c r="F93" s="10"/>
      <c r="G93" s="10"/>
      <c r="H93" s="5"/>
      <c r="I93" s="29">
        <f>DATA!AQ$9</f>
        <v>60.5</v>
      </c>
      <c r="J93" s="10">
        <f>(I93/I91)-1</f>
        <v>2.3194168323392717E-3</v>
      </c>
      <c r="K93" s="5"/>
    </row>
    <row r="94" spans="1:11" ht="12.75">
      <c r="A94" s="7">
        <f>DATA!L$3</f>
        <v>2014</v>
      </c>
      <c r="B94" s="7"/>
      <c r="C94" s="9">
        <f>1-DATA!T$9/DATA!L$9</f>
        <v>0.44561403508771924</v>
      </c>
      <c r="D94" s="8">
        <f>DATA!AB$9</f>
        <v>0.105</v>
      </c>
      <c r="E94" s="10">
        <f>C94*D94</f>
        <v>4.678947368421052E-2</v>
      </c>
      <c r="F94" s="7"/>
      <c r="G94" s="10"/>
      <c r="H94" s="7"/>
      <c r="I94" s="29">
        <f>DATA!AR$9</f>
        <v>60.5</v>
      </c>
      <c r="J94" s="10">
        <f>(I94/I91)^0.5-1</f>
        <v>1.1590367330953644E-3</v>
      </c>
      <c r="K94" s="7"/>
    </row>
    <row r="95" spans="1:11" ht="12.75">
      <c r="A95" s="7" t="str">
        <f>DATA!M$3</f>
        <v>2016-2018</v>
      </c>
      <c r="B95" s="5"/>
      <c r="C95" s="9">
        <f>1-DATA!U$9/DATA!M$9</f>
        <v>0.4285714285714286</v>
      </c>
      <c r="D95" s="8">
        <f>DATA!AC$9</f>
        <v>0.11</v>
      </c>
      <c r="E95" s="10">
        <f>C95*D95</f>
        <v>4.7142857142857146E-2</v>
      </c>
      <c r="F95" s="10"/>
      <c r="G95" s="10">
        <f>DATA!AY$9</f>
        <v>0.05</v>
      </c>
      <c r="H95" s="5"/>
      <c r="I95" s="29">
        <f>DATA!AS$9</f>
        <v>60.5</v>
      </c>
      <c r="J95" s="10">
        <f>(I95/I91)^0.2-1</f>
        <v>4.6345358887389665E-4</v>
      </c>
      <c r="K95" s="5"/>
    </row>
    <row r="96" spans="1:11" ht="12.75">
      <c r="A96" s="7"/>
      <c r="B96" s="5"/>
      <c r="C96" s="9"/>
      <c r="D96" s="8"/>
      <c r="E96" s="10"/>
      <c r="F96" s="7"/>
      <c r="G96" s="7"/>
      <c r="H96" s="5"/>
      <c r="I96" s="29"/>
      <c r="J96" s="10"/>
      <c r="K96" s="5"/>
    </row>
    <row r="97" spans="1:12" ht="12.75">
      <c r="A97" s="7"/>
      <c r="B97" s="5"/>
      <c r="C97" s="9"/>
      <c r="D97" s="8"/>
      <c r="E97" s="10"/>
      <c r="F97" s="7"/>
      <c r="G97" s="7"/>
      <c r="H97" s="5"/>
      <c r="I97" s="29"/>
      <c r="J97" s="10"/>
      <c r="K97" s="5"/>
    </row>
    <row r="98" spans="1:12" ht="12.75">
      <c r="A98" s="7"/>
      <c r="B98" s="5"/>
      <c r="C98" s="9"/>
      <c r="D98" s="8"/>
      <c r="E98" s="10"/>
      <c r="F98" s="7"/>
      <c r="G98" s="7"/>
      <c r="H98" s="5"/>
      <c r="I98" s="29"/>
      <c r="J98" s="10"/>
      <c r="K98" s="5"/>
    </row>
    <row r="99" spans="1:12" ht="12.75">
      <c r="A99" s="14" t="s">
        <v>518</v>
      </c>
      <c r="B99" s="5"/>
      <c r="C99" s="15"/>
      <c r="D99" s="16" t="s">
        <v>519</v>
      </c>
      <c r="E99" s="17" t="s">
        <v>148</v>
      </c>
      <c r="F99" s="14"/>
      <c r="G99" s="14"/>
      <c r="H99" s="5"/>
      <c r="I99" s="31" t="s">
        <v>428</v>
      </c>
      <c r="J99" s="18" t="s">
        <v>148</v>
      </c>
      <c r="K99" s="5"/>
    </row>
    <row r="100" spans="1:12" ht="12.75">
      <c r="A100" s="7"/>
      <c r="B100" s="5"/>
      <c r="C100" s="9"/>
      <c r="D100" s="8"/>
      <c r="E100" s="10"/>
      <c r="F100" s="7"/>
      <c r="G100" s="7"/>
      <c r="H100" s="5"/>
      <c r="I100" s="29"/>
      <c r="J100" s="10"/>
      <c r="K100" s="5"/>
    </row>
    <row r="101" spans="1:12" ht="12.75">
      <c r="A101" s="7"/>
      <c r="B101" s="5"/>
      <c r="C101" s="9" t="s">
        <v>429</v>
      </c>
      <c r="D101" s="8" t="s">
        <v>488</v>
      </c>
      <c r="E101" s="10"/>
      <c r="F101" s="7"/>
      <c r="G101" s="7" t="s">
        <v>368</v>
      </c>
      <c r="H101" s="5"/>
      <c r="I101" s="29" t="s">
        <v>369</v>
      </c>
      <c r="J101" s="10" t="s">
        <v>151</v>
      </c>
      <c r="K101" s="5"/>
    </row>
    <row r="102" spans="1:12" ht="12.75">
      <c r="A102" s="19" t="str">
        <f>DATA!A$10</f>
        <v>ETR</v>
      </c>
      <c r="B102" s="5"/>
      <c r="C102" s="15" t="s">
        <v>301</v>
      </c>
      <c r="D102" s="16" t="s">
        <v>302</v>
      </c>
      <c r="E102" s="17" t="s">
        <v>452</v>
      </c>
      <c r="F102" s="14"/>
      <c r="G102" s="14" t="s">
        <v>533</v>
      </c>
      <c r="H102" s="5"/>
      <c r="I102" s="32" t="s">
        <v>367</v>
      </c>
      <c r="J102" s="17" t="s">
        <v>148</v>
      </c>
      <c r="K102" s="5"/>
    </row>
    <row r="103" spans="1:12" ht="12.75">
      <c r="A103" s="7">
        <f>DATA!F$3</f>
        <v>2008</v>
      </c>
      <c r="B103" s="5"/>
      <c r="C103" s="9">
        <f>1-DATA!N$10/DATA!F$10</f>
        <v>0.5161290322580645</v>
      </c>
      <c r="D103" s="8">
        <f>DATA!V$10</f>
        <v>0.153</v>
      </c>
      <c r="E103" s="10">
        <f>C103*D103</f>
        <v>7.8967741935483865E-2</v>
      </c>
      <c r="F103" s="7"/>
      <c r="G103" s="29">
        <f>DATA!AD$10</f>
        <v>42.07</v>
      </c>
      <c r="H103" s="5"/>
      <c r="I103" s="29">
        <f>DATA!AL$10</f>
        <v>189.36</v>
      </c>
      <c r="J103" s="10"/>
      <c r="K103" s="5"/>
    </row>
    <row r="104" spans="1:12" ht="12.75">
      <c r="A104" s="7">
        <f>DATA!G$3</f>
        <v>2009</v>
      </c>
      <c r="B104" s="5"/>
      <c r="C104" s="9">
        <f>1-DATA!O$10/DATA!G$10</f>
        <v>0.52380952380952372</v>
      </c>
      <c r="D104" s="8">
        <f>DATA!W$10</f>
        <v>0.14299999999999999</v>
      </c>
      <c r="E104" s="10">
        <f>C104*D104</f>
        <v>7.4904761904761891E-2</v>
      </c>
      <c r="F104" s="7"/>
      <c r="G104" s="29">
        <f>DATA!AE$10</f>
        <v>45.54</v>
      </c>
      <c r="H104" s="5"/>
      <c r="I104" s="29">
        <f>DATA!AM$10</f>
        <v>189.12</v>
      </c>
      <c r="J104" s="10"/>
      <c r="K104" s="5"/>
    </row>
    <row r="105" spans="1:12" ht="12.75">
      <c r="A105" s="7">
        <f>DATA!H$3</f>
        <v>2010</v>
      </c>
      <c r="B105" s="5"/>
      <c r="C105" s="9">
        <f>1-DATA!P$10/DATA!H$10</f>
        <v>0.51351351351351349</v>
      </c>
      <c r="D105" s="8">
        <f>DATA!X$10</f>
        <v>0.14699999999999999</v>
      </c>
      <c r="E105" s="10">
        <f>C105*D105</f>
        <v>7.5486486486486482E-2</v>
      </c>
      <c r="F105" s="7"/>
      <c r="G105" s="29">
        <f>DATA!AF$10</f>
        <v>47.53</v>
      </c>
      <c r="H105" s="5"/>
      <c r="I105" s="29">
        <f>DATA!AN$10</f>
        <v>178.75</v>
      </c>
      <c r="J105" s="10"/>
      <c r="K105" s="5"/>
    </row>
    <row r="106" spans="1:12" ht="12.75">
      <c r="A106" s="7">
        <f>DATA!I$3</f>
        <v>2011</v>
      </c>
      <c r="B106" s="5"/>
      <c r="C106" s="9">
        <f>1-DATA!Q$10/DATA!I$10</f>
        <v>0.56026490066225165</v>
      </c>
      <c r="D106" s="8">
        <f>DATA!Y$10</f>
        <v>0.15</v>
      </c>
      <c r="E106" s="10">
        <f>C106*D106</f>
        <v>8.4039735099337751E-2</v>
      </c>
      <c r="F106" s="7"/>
      <c r="G106" s="29">
        <f>DATA!AG$10</f>
        <v>50.81</v>
      </c>
      <c r="H106" s="5"/>
      <c r="I106" s="29">
        <f>DATA!AO$10</f>
        <v>176.36</v>
      </c>
      <c r="J106" s="10"/>
      <c r="K106" s="5"/>
      <c r="L106">
        <f>(I107/I105)^0.5-1</f>
        <v>-2.6608828059963008E-3</v>
      </c>
    </row>
    <row r="107" spans="1:12" ht="12.75">
      <c r="A107" s="7">
        <f>DATA!J$3</f>
        <v>2012</v>
      </c>
      <c r="B107" s="5"/>
      <c r="C107" s="9">
        <f>1-DATA!R$10/DATA!J$10</f>
        <v>0.44850498338870426</v>
      </c>
      <c r="D107" s="8">
        <f>DATA!Z$10</f>
        <v>0.11600000000000001</v>
      </c>
      <c r="E107" s="20">
        <f>C107*D107</f>
        <v>5.2026578073089698E-2</v>
      </c>
      <c r="F107" s="21"/>
      <c r="G107" s="30">
        <f>DATA!AH$10</f>
        <v>51.73</v>
      </c>
      <c r="H107" s="22"/>
      <c r="I107" s="30">
        <f>DATA!AP$10</f>
        <v>177.8</v>
      </c>
      <c r="J107" s="10"/>
      <c r="K107" s="5"/>
    </row>
    <row r="108" spans="1:12" ht="12.75">
      <c r="A108" s="23" t="s">
        <v>515</v>
      </c>
      <c r="B108" s="5"/>
      <c r="C108" s="9"/>
      <c r="D108" s="8"/>
      <c r="E108" s="10">
        <f>AVERAGE(E103:E107)</f>
        <v>7.3085060699831936E-2</v>
      </c>
      <c r="F108" s="10"/>
      <c r="G108" s="10">
        <f>DATA!AX$10</f>
        <v>0.05</v>
      </c>
      <c r="H108" s="5"/>
      <c r="I108" s="29"/>
      <c r="J108" s="10">
        <f>(I107/I103)^0.25-1</f>
        <v>-1.5624314444925957E-2</v>
      </c>
      <c r="K108" s="5"/>
    </row>
    <row r="109" spans="1:12" ht="12.75">
      <c r="A109" s="7">
        <f>DATA!K$3</f>
        <v>2013</v>
      </c>
      <c r="B109" s="5"/>
      <c r="C109" s="9">
        <f>1-DATA!S$10/DATA!K$10</f>
        <v>0.30105263157894735</v>
      </c>
      <c r="D109" s="8">
        <f>DATA!AA$10</f>
        <v>0.09</v>
      </c>
      <c r="E109" s="10">
        <f>C109*D109</f>
        <v>2.7094736842105262E-2</v>
      </c>
      <c r="F109" s="10"/>
      <c r="G109" s="10"/>
      <c r="H109" s="5"/>
      <c r="I109" s="29">
        <f>DATA!AQ$10</f>
        <v>178</v>
      </c>
      <c r="J109" s="10">
        <f>(I109/I107)-1</f>
        <v>1.1248593925758943E-3</v>
      </c>
      <c r="K109" s="5"/>
    </row>
    <row r="110" spans="1:12" ht="12.75">
      <c r="A110" s="7">
        <f>DATA!L$3</f>
        <v>2014</v>
      </c>
      <c r="B110" s="7"/>
      <c r="C110" s="9">
        <f>1-DATA!T$10/DATA!L$10</f>
        <v>0.30105263157894735</v>
      </c>
      <c r="D110" s="8">
        <f>DATA!AB$10</f>
        <v>0.09</v>
      </c>
      <c r="E110" s="10">
        <f>C110*D110</f>
        <v>2.7094736842105262E-2</v>
      </c>
      <c r="F110" s="7"/>
      <c r="G110" s="10"/>
      <c r="H110" s="7"/>
      <c r="I110" s="29">
        <f>DATA!AR$10</f>
        <v>178</v>
      </c>
      <c r="J110" s="10">
        <f>(I110/I107)^0.5-1</f>
        <v>5.622716215996082E-4</v>
      </c>
      <c r="K110" s="7"/>
    </row>
    <row r="111" spans="1:12" ht="12.75">
      <c r="A111" s="7" t="str">
        <f>DATA!M$3</f>
        <v>2016-2018</v>
      </c>
      <c r="B111" s="5"/>
      <c r="C111" s="9">
        <f>1-DATA!U$10/DATA!M$10</f>
        <v>0.38181818181818183</v>
      </c>
      <c r="D111" s="8">
        <f>DATA!AC$10</f>
        <v>9.5000000000000001E-2</v>
      </c>
      <c r="E111" s="10">
        <f>C111*D111</f>
        <v>3.6272727272727276E-2</v>
      </c>
      <c r="F111" s="10"/>
      <c r="G111" s="10">
        <f>DATA!AY$10</f>
        <v>0.03</v>
      </c>
      <c r="H111" s="5"/>
      <c r="I111" s="29">
        <f>DATA!AS$10</f>
        <v>172</v>
      </c>
      <c r="J111" s="10">
        <f>(I111/I107)^0.2-1</f>
        <v>-6.6110196698300205E-3</v>
      </c>
      <c r="K111" s="5"/>
    </row>
    <row r="112" spans="1:12" ht="12.75">
      <c r="A112" s="7"/>
      <c r="B112" s="5"/>
      <c r="C112" s="9"/>
      <c r="D112" s="8"/>
      <c r="E112" s="10"/>
      <c r="F112" s="7"/>
      <c r="G112" s="7"/>
      <c r="H112" s="5"/>
      <c r="I112" s="29"/>
      <c r="J112" s="218" t="s">
        <v>538</v>
      </c>
      <c r="K112" s="5"/>
    </row>
    <row r="113" spans="1:11" ht="12.75">
      <c r="A113" s="7"/>
      <c r="B113" s="5"/>
      <c r="C113" s="9"/>
      <c r="D113" s="8"/>
      <c r="E113" s="10"/>
      <c r="F113" s="7"/>
      <c r="G113" s="7"/>
      <c r="H113" s="5"/>
      <c r="I113" s="29"/>
      <c r="J113" s="221" t="s">
        <v>539</v>
      </c>
      <c r="K113" s="5"/>
    </row>
    <row r="114" spans="1:11" ht="12.75">
      <c r="A114" s="7"/>
      <c r="B114" s="5"/>
      <c r="C114" s="9"/>
      <c r="D114" s="8"/>
      <c r="E114" s="10"/>
      <c r="F114" s="7"/>
      <c r="G114" s="7"/>
      <c r="H114" s="5"/>
      <c r="I114" s="29"/>
      <c r="J114" s="11" t="s">
        <v>352</v>
      </c>
      <c r="K114" s="5"/>
    </row>
    <row r="115" spans="1:11" ht="12.75">
      <c r="A115" s="7"/>
      <c r="B115" s="5"/>
      <c r="C115" s="9"/>
      <c r="D115" s="8"/>
      <c r="E115" s="10"/>
      <c r="F115" s="7"/>
      <c r="G115" s="7"/>
      <c r="H115" s="5"/>
      <c r="I115" s="29"/>
      <c r="J115" s="10"/>
      <c r="K115" s="5"/>
    </row>
    <row r="116" spans="1:11" ht="12.75">
      <c r="A116" s="7"/>
      <c r="B116" s="5"/>
      <c r="C116" s="9"/>
      <c r="D116" s="8"/>
      <c r="E116" s="10"/>
      <c r="F116" s="7"/>
      <c r="G116" s="7"/>
      <c r="H116" s="5"/>
      <c r="I116" s="29"/>
      <c r="J116" s="10"/>
      <c r="K116" s="5"/>
    </row>
    <row r="117" spans="1:11" ht="12.75">
      <c r="A117" s="7"/>
      <c r="B117" s="5"/>
      <c r="C117" s="9"/>
      <c r="D117" s="8"/>
      <c r="E117" s="12"/>
      <c r="F117" s="13" t="str">
        <f>F$6</f>
        <v>PUGET SOUND ENERGY</v>
      </c>
      <c r="G117" s="5"/>
      <c r="H117" s="5"/>
      <c r="I117" s="29"/>
      <c r="J117" s="10"/>
      <c r="K117" s="5"/>
    </row>
    <row r="118" spans="1:11" ht="12.75">
      <c r="A118" s="7"/>
      <c r="B118" s="5"/>
      <c r="C118" s="9"/>
      <c r="D118" s="8"/>
      <c r="E118" s="12"/>
      <c r="F118" s="13" t="s">
        <v>505</v>
      </c>
      <c r="G118" s="5"/>
      <c r="H118" s="5"/>
      <c r="I118" s="29"/>
      <c r="J118" s="10"/>
      <c r="K118" s="5"/>
    </row>
    <row r="119" spans="1:11" ht="12.75">
      <c r="A119" s="7"/>
      <c r="B119" s="5"/>
      <c r="C119" s="9"/>
      <c r="D119" s="8"/>
      <c r="E119" s="10"/>
      <c r="F119" s="7" t="s">
        <v>498</v>
      </c>
      <c r="G119" s="7"/>
      <c r="H119" s="5"/>
      <c r="I119" s="29"/>
      <c r="J119" s="10"/>
      <c r="K119" s="5"/>
    </row>
    <row r="120" spans="1:11" ht="12.75">
      <c r="A120" s="7"/>
      <c r="B120" s="5"/>
      <c r="C120" s="9"/>
      <c r="D120" s="8"/>
      <c r="E120" s="10"/>
      <c r="F120" s="7"/>
      <c r="G120" s="7"/>
      <c r="H120" s="5"/>
      <c r="I120" s="29"/>
      <c r="J120" s="10"/>
      <c r="K120" s="5"/>
    </row>
    <row r="121" spans="1:11" ht="12.75">
      <c r="A121" s="7"/>
      <c r="B121" s="5"/>
      <c r="C121" s="9"/>
      <c r="D121" s="8"/>
      <c r="E121" s="10"/>
      <c r="F121" s="7"/>
      <c r="G121" s="7"/>
      <c r="H121" s="5"/>
      <c r="I121" s="29"/>
      <c r="J121" s="10"/>
      <c r="K121" s="5"/>
    </row>
    <row r="122" spans="1:11" ht="12.75">
      <c r="A122" s="14" t="s">
        <v>518</v>
      </c>
      <c r="B122" s="5"/>
      <c r="C122" s="15"/>
      <c r="D122" s="16" t="s">
        <v>519</v>
      </c>
      <c r="E122" s="17" t="s">
        <v>148</v>
      </c>
      <c r="F122" s="14"/>
      <c r="G122" s="14"/>
      <c r="H122" s="5"/>
      <c r="I122" s="31" t="s">
        <v>428</v>
      </c>
      <c r="J122" s="18" t="s">
        <v>148</v>
      </c>
      <c r="K122" s="5"/>
    </row>
    <row r="123" spans="1:11" ht="12.75">
      <c r="A123" s="7"/>
      <c r="B123" s="5"/>
      <c r="C123" s="9"/>
      <c r="D123" s="8"/>
      <c r="E123" s="10"/>
      <c r="F123" s="7"/>
      <c r="G123" s="7"/>
      <c r="H123" s="5"/>
      <c r="I123" s="29"/>
      <c r="J123" s="10"/>
      <c r="K123" s="5"/>
    </row>
    <row r="124" spans="1:11" ht="12.75">
      <c r="A124" s="7"/>
      <c r="B124" s="5"/>
      <c r="C124" s="9" t="s">
        <v>429</v>
      </c>
      <c r="D124" s="8" t="s">
        <v>488</v>
      </c>
      <c r="E124" s="10"/>
      <c r="F124" s="7"/>
      <c r="G124" s="7" t="s">
        <v>368</v>
      </c>
      <c r="H124" s="5"/>
      <c r="I124" s="29" t="s">
        <v>369</v>
      </c>
      <c r="J124" s="10" t="s">
        <v>151</v>
      </c>
      <c r="K124" s="5"/>
    </row>
    <row r="125" spans="1:11" ht="12.75">
      <c r="A125" s="19" t="str">
        <f>DATA!A$11</f>
        <v>WR</v>
      </c>
      <c r="B125" s="5"/>
      <c r="C125" s="15" t="s">
        <v>301</v>
      </c>
      <c r="D125" s="16" t="s">
        <v>302</v>
      </c>
      <c r="E125" s="17" t="s">
        <v>452</v>
      </c>
      <c r="F125" s="14"/>
      <c r="G125" s="14" t="s">
        <v>533</v>
      </c>
      <c r="H125" s="5"/>
      <c r="I125" s="32" t="s">
        <v>367</v>
      </c>
      <c r="J125" s="17" t="s">
        <v>148</v>
      </c>
      <c r="K125" s="5"/>
    </row>
    <row r="126" spans="1:11" ht="12.75">
      <c r="A126" s="7">
        <f>DATA!F$3</f>
        <v>2008</v>
      </c>
      <c r="B126" s="5"/>
      <c r="C126" s="9">
        <f>1-DATA!N$11/DATA!F$11</f>
        <v>0.11450381679389321</v>
      </c>
      <c r="D126" s="8">
        <f>DATA!V$11</f>
        <v>6.2E-2</v>
      </c>
      <c r="E126" s="10">
        <f>C126*D126</f>
        <v>7.099236641221379E-3</v>
      </c>
      <c r="F126" s="7"/>
      <c r="G126" s="29">
        <f>DATA!AD$11</f>
        <v>20.18</v>
      </c>
      <c r="H126" s="5"/>
      <c r="I126" s="29">
        <f>DATA!AL$11</f>
        <v>108.31</v>
      </c>
      <c r="J126" s="10"/>
      <c r="K126" s="5"/>
    </row>
    <row r="127" spans="1:11" ht="12.75">
      <c r="A127" s="7">
        <f>DATA!G$3</f>
        <v>2009</v>
      </c>
      <c r="B127" s="5"/>
      <c r="C127" s="9">
        <f>1-DATA!O$11/DATA!G$11</f>
        <v>6.25E-2</v>
      </c>
      <c r="D127" s="8">
        <f>DATA!W$11</f>
        <v>6.3E-2</v>
      </c>
      <c r="E127" s="10">
        <f>C127*D127</f>
        <v>3.9375E-3</v>
      </c>
      <c r="F127" s="7"/>
      <c r="G127" s="29">
        <f>DATA!AE$11</f>
        <v>20.59</v>
      </c>
      <c r="H127" s="5"/>
      <c r="I127" s="29">
        <f>DATA!AM$11</f>
        <v>109.07</v>
      </c>
      <c r="J127" s="10"/>
      <c r="K127" s="5"/>
    </row>
    <row r="128" spans="1:11" ht="12.75">
      <c r="A128" s="7">
        <f>DATA!H$3</f>
        <v>2010</v>
      </c>
      <c r="B128" s="5"/>
      <c r="C128" s="9">
        <f>1-DATA!P$11/DATA!H$11</f>
        <v>0.31111111111111112</v>
      </c>
      <c r="D128" s="8">
        <f>DATA!X$11</f>
        <v>8.5000000000000006E-2</v>
      </c>
      <c r="E128" s="10">
        <f>C128*D128</f>
        <v>2.6444444444444448E-2</v>
      </c>
      <c r="F128" s="7"/>
      <c r="G128" s="29">
        <f>DATA!AF$11</f>
        <v>21.25</v>
      </c>
      <c r="H128" s="5"/>
      <c r="I128" s="29">
        <f>DATA!AN$11</f>
        <v>112.13</v>
      </c>
      <c r="J128" s="10"/>
      <c r="K128" s="5"/>
    </row>
    <row r="129" spans="1:12" ht="12.75">
      <c r="A129" s="7">
        <f>DATA!I$3</f>
        <v>2011</v>
      </c>
      <c r="B129" s="5"/>
      <c r="C129" s="9">
        <f>1-DATA!Q$11/DATA!I$11</f>
        <v>0.28491620111731841</v>
      </c>
      <c r="D129" s="8">
        <f>DATA!Y$11</f>
        <v>7.6999999999999999E-2</v>
      </c>
      <c r="E129" s="10">
        <f>C129*D129</f>
        <v>2.1938547486033518E-2</v>
      </c>
      <c r="F129" s="7"/>
      <c r="G129" s="29">
        <f>DATA!AG$11</f>
        <v>22.03</v>
      </c>
      <c r="H129" s="5"/>
      <c r="I129" s="29">
        <f>DATA!AO$11</f>
        <v>125.7</v>
      </c>
      <c r="J129" s="10"/>
      <c r="K129" s="5"/>
      <c r="L129">
        <f>(I129/I126)^0.333-1</f>
        <v>5.083376366799941E-2</v>
      </c>
    </row>
    <row r="130" spans="1:12" ht="12.75">
      <c r="A130" s="7">
        <f>DATA!J$3</f>
        <v>2012</v>
      </c>
      <c r="B130" s="5"/>
      <c r="C130" s="9">
        <f>1-DATA!R$11/DATA!J$11</f>
        <v>0.38604651162790693</v>
      </c>
      <c r="D130" s="8">
        <f>DATA!Z$11</f>
        <v>9.4E-2</v>
      </c>
      <c r="E130" s="20">
        <f>C130*D130</f>
        <v>3.6288372093023248E-2</v>
      </c>
      <c r="F130" s="21"/>
      <c r="G130" s="30">
        <f>DATA!AH$11</f>
        <v>22.89</v>
      </c>
      <c r="H130" s="22"/>
      <c r="I130" s="30">
        <f>DATA!AP$11</f>
        <v>126.5</v>
      </c>
      <c r="J130" s="10"/>
      <c r="K130" s="5"/>
    </row>
    <row r="131" spans="1:12" ht="12.75">
      <c r="A131" s="23" t="s">
        <v>515</v>
      </c>
      <c r="B131" s="5"/>
      <c r="C131" s="9"/>
      <c r="D131" s="8"/>
      <c r="E131" s="10">
        <f>AVERAGE(E126:E130)</f>
        <v>1.9141620132944522E-2</v>
      </c>
      <c r="F131" s="10"/>
      <c r="G131" s="10">
        <f>DATA!AX$11</f>
        <v>4.4999999999999998E-2</v>
      </c>
      <c r="H131" s="5"/>
      <c r="I131" s="29"/>
      <c r="J131" s="10">
        <f>(I130/I126)^0.25-1</f>
        <v>3.9574199314022174E-2</v>
      </c>
      <c r="K131" s="5"/>
    </row>
    <row r="132" spans="1:12" ht="12.75">
      <c r="A132" s="7">
        <f>DATA!K$3</f>
        <v>2013</v>
      </c>
      <c r="B132" s="5"/>
      <c r="C132" s="9">
        <f>1-DATA!S$11/DATA!K$11</f>
        <v>0.39555555555555555</v>
      </c>
      <c r="D132" s="8">
        <f>DATA!AA$11</f>
        <v>0.09</v>
      </c>
      <c r="E132" s="10">
        <f>C132*D132</f>
        <v>3.56E-2</v>
      </c>
      <c r="F132" s="10"/>
      <c r="G132" s="10"/>
      <c r="H132" s="5"/>
      <c r="I132" s="29">
        <f>DATA!AQ$11</f>
        <v>128</v>
      </c>
      <c r="J132" s="10">
        <f>(I132/I130)-1</f>
        <v>1.1857707509881354E-2</v>
      </c>
      <c r="K132" s="5"/>
    </row>
    <row r="133" spans="1:12" ht="12.75">
      <c r="A133" s="7">
        <f>DATA!L$3</f>
        <v>2014</v>
      </c>
      <c r="B133" s="7"/>
      <c r="C133" s="9">
        <f>1-DATA!T$11/DATA!L$11</f>
        <v>0.4042553191489362</v>
      </c>
      <c r="D133" s="8">
        <f>DATA!AB$11</f>
        <v>0.09</v>
      </c>
      <c r="E133" s="10">
        <f>C133*D133</f>
        <v>3.6382978723404256E-2</v>
      </c>
      <c r="F133" s="7"/>
      <c r="G133" s="10"/>
      <c r="H133" s="7"/>
      <c r="I133" s="29">
        <f>DATA!AR$11</f>
        <v>130</v>
      </c>
      <c r="J133" s="10">
        <f>(I133/I130)^0.5-1</f>
        <v>1.373960373940375E-2</v>
      </c>
      <c r="K133" s="7"/>
    </row>
    <row r="134" spans="1:12" ht="12.75">
      <c r="A134" s="7" t="str">
        <f>DATA!M$3</f>
        <v>2016-2018</v>
      </c>
      <c r="B134" s="5"/>
      <c r="C134" s="9">
        <f>1-DATA!U$11/DATA!M$11</f>
        <v>0.44727272727272727</v>
      </c>
      <c r="D134" s="8">
        <f>DATA!AC$11</f>
        <v>9.5000000000000001E-2</v>
      </c>
      <c r="E134" s="10">
        <f>C134*D134</f>
        <v>4.2490909090909093E-2</v>
      </c>
      <c r="F134" s="10"/>
      <c r="G134" s="10">
        <f>DATA!AY$11</f>
        <v>0.05</v>
      </c>
      <c r="H134" s="5"/>
      <c r="I134" s="29">
        <f>DATA!AS$11</f>
        <v>135</v>
      </c>
      <c r="J134" s="10">
        <f>(I134/I130)^0.2-1</f>
        <v>1.3091446409179808E-2</v>
      </c>
      <c r="K134" s="5"/>
      <c r="L134">
        <f>(I134/I132)^0.25-1</f>
        <v>1.3400116105275695E-2</v>
      </c>
    </row>
    <row r="135" spans="1:12" ht="12.75">
      <c r="A135" s="7"/>
      <c r="B135" s="5"/>
      <c r="C135" s="9"/>
      <c r="D135" s="8"/>
      <c r="E135" s="10"/>
      <c r="F135" s="7"/>
      <c r="G135" s="7"/>
      <c r="H135" s="5"/>
      <c r="I135" s="29"/>
      <c r="J135" s="10"/>
      <c r="K135" s="5"/>
    </row>
    <row r="136" spans="1:12" ht="12.75">
      <c r="A136" s="7"/>
      <c r="B136" s="5"/>
      <c r="C136" s="9"/>
      <c r="D136" s="8"/>
      <c r="E136" s="10"/>
      <c r="F136" s="7"/>
      <c r="G136" s="7"/>
      <c r="H136" s="5"/>
      <c r="I136" s="29"/>
      <c r="J136" s="10"/>
      <c r="K136" s="5"/>
    </row>
    <row r="137" spans="1:12" ht="12.75">
      <c r="A137" s="7"/>
      <c r="B137" s="5"/>
      <c r="C137" s="9"/>
      <c r="D137" s="8"/>
      <c r="E137" s="10"/>
      <c r="F137" s="7"/>
      <c r="G137" s="7"/>
      <c r="H137" s="5"/>
      <c r="I137" s="29"/>
      <c r="J137" s="10"/>
      <c r="K137" s="5"/>
    </row>
    <row r="138" spans="1:12" ht="12.75">
      <c r="A138" s="14" t="s">
        <v>518</v>
      </c>
      <c r="B138" s="5"/>
      <c r="C138" s="15"/>
      <c r="D138" s="16" t="s">
        <v>519</v>
      </c>
      <c r="E138" s="17" t="s">
        <v>148</v>
      </c>
      <c r="F138" s="14"/>
      <c r="G138" s="14"/>
      <c r="H138" s="5"/>
      <c r="I138" s="31" t="s">
        <v>428</v>
      </c>
      <c r="J138" s="18" t="s">
        <v>148</v>
      </c>
      <c r="K138" s="5"/>
    </row>
    <row r="139" spans="1:12" ht="12.75">
      <c r="A139" s="7"/>
      <c r="B139" s="5"/>
      <c r="C139" s="9"/>
      <c r="D139" s="8"/>
      <c r="E139" s="10"/>
      <c r="F139" s="7"/>
      <c r="G139" s="7"/>
      <c r="H139" s="5"/>
      <c r="I139" s="29"/>
      <c r="J139" s="10"/>
      <c r="K139" s="5"/>
    </row>
    <row r="140" spans="1:12" ht="12.75">
      <c r="A140" s="7"/>
      <c r="B140" s="5"/>
      <c r="C140" s="9" t="s">
        <v>429</v>
      </c>
      <c r="D140" s="8" t="s">
        <v>488</v>
      </c>
      <c r="E140" s="10"/>
      <c r="F140" s="7"/>
      <c r="G140" s="7" t="s">
        <v>368</v>
      </c>
      <c r="H140" s="5"/>
      <c r="I140" s="29" t="s">
        <v>369</v>
      </c>
      <c r="J140" s="10" t="s">
        <v>151</v>
      </c>
      <c r="K140" s="5"/>
    </row>
    <row r="141" spans="1:12" ht="12.75">
      <c r="A141" s="19" t="str">
        <f>DATA!A$12</f>
        <v>WEC</v>
      </c>
      <c r="B141" s="5"/>
      <c r="C141" s="15" t="s">
        <v>301</v>
      </c>
      <c r="D141" s="16" t="s">
        <v>302</v>
      </c>
      <c r="E141" s="17" t="s">
        <v>452</v>
      </c>
      <c r="F141" s="14"/>
      <c r="G141" s="14" t="s">
        <v>533</v>
      </c>
      <c r="H141" s="5"/>
      <c r="I141" s="32" t="s">
        <v>367</v>
      </c>
      <c r="J141" s="17" t="s">
        <v>148</v>
      </c>
      <c r="K141" s="5"/>
    </row>
    <row r="142" spans="1:12" ht="12.75">
      <c r="A142" s="7">
        <f>DATA!F$3</f>
        <v>2008</v>
      </c>
      <c r="B142" s="5"/>
      <c r="C142" s="9">
        <f>1-DATA!N$12/DATA!F$12</f>
        <v>0.64473684210526316</v>
      </c>
      <c r="D142" s="8">
        <f>DATA!V$12</f>
        <v>0.107</v>
      </c>
      <c r="E142" s="10">
        <f>C142*D142</f>
        <v>6.8986842105263152E-2</v>
      </c>
      <c r="F142" s="7"/>
      <c r="G142" s="29">
        <f>DATA!AD$12</f>
        <v>14.27</v>
      </c>
      <c r="H142" s="5"/>
      <c r="I142" s="29">
        <f>DATA!AL$12</f>
        <v>233.84</v>
      </c>
      <c r="J142" s="10"/>
      <c r="K142" s="5"/>
    </row>
    <row r="143" spans="1:12" ht="12.75">
      <c r="A143" s="7">
        <f>DATA!G$3</f>
        <v>2009</v>
      </c>
      <c r="B143" s="5"/>
      <c r="C143" s="9">
        <f>1-DATA!O$12/DATA!G$12</f>
        <v>0.57499999999999996</v>
      </c>
      <c r="D143" s="8">
        <f>DATA!W$12</f>
        <v>0.106</v>
      </c>
      <c r="E143" s="10">
        <f>C143*D143</f>
        <v>6.094999999999999E-2</v>
      </c>
      <c r="F143" s="7"/>
      <c r="G143" s="29">
        <f>DATA!AE$12</f>
        <v>15.26</v>
      </c>
      <c r="H143" s="5"/>
      <c r="I143" s="29">
        <f>DATA!AM$12</f>
        <v>233.82</v>
      </c>
      <c r="J143" s="10"/>
      <c r="K143" s="5"/>
    </row>
    <row r="144" spans="1:12" ht="12.75">
      <c r="A144" s="7">
        <f>DATA!H$3</f>
        <v>2010</v>
      </c>
      <c r="B144" s="5"/>
      <c r="C144" s="9">
        <f>1-DATA!P$12/DATA!H$12</f>
        <v>0.58333333333333326</v>
      </c>
      <c r="D144" s="8">
        <f>DATA!X$12</f>
        <v>0.12</v>
      </c>
      <c r="E144" s="10">
        <f>C144*D144</f>
        <v>6.9999999999999993E-2</v>
      </c>
      <c r="F144" s="7"/>
      <c r="G144" s="29">
        <f>DATA!AF$12</f>
        <v>16.260000000000002</v>
      </c>
      <c r="H144" s="5"/>
      <c r="I144" s="29">
        <f>DATA!AN$12</f>
        <v>233.77</v>
      </c>
      <c r="J144" s="10"/>
      <c r="K144" s="5"/>
    </row>
    <row r="145" spans="1:14" ht="12.75">
      <c r="A145" s="7">
        <f>DATA!I$3</f>
        <v>2011</v>
      </c>
      <c r="B145" s="5"/>
      <c r="C145" s="9">
        <f>1-DATA!Q$12/DATA!I$12</f>
        <v>0.52293577981651373</v>
      </c>
      <c r="D145" s="8">
        <f>DATA!Y$12</f>
        <v>0.129</v>
      </c>
      <c r="E145" s="10">
        <f>C145*D145</f>
        <v>6.7458715596330279E-2</v>
      </c>
      <c r="F145" s="7"/>
      <c r="G145" s="29">
        <f>DATA!AG$12</f>
        <v>17.2</v>
      </c>
      <c r="H145" s="5"/>
      <c r="I145" s="29">
        <f>DATA!AO$12</f>
        <v>230.49</v>
      </c>
      <c r="J145" s="10"/>
      <c r="K145" s="5"/>
    </row>
    <row r="146" spans="1:14" ht="12.75">
      <c r="A146" s="7">
        <f>DATA!J$3</f>
        <v>2012</v>
      </c>
      <c r="B146" s="5"/>
      <c r="C146" s="9">
        <f>1-DATA!R$12/DATA!J$12</f>
        <v>0.48936170212765961</v>
      </c>
      <c r="D146" s="8">
        <f>DATA!Z$12</f>
        <v>0.13200000000000001</v>
      </c>
      <c r="E146" s="20">
        <f>C146*D146</f>
        <v>6.4595744680851067E-2</v>
      </c>
      <c r="F146" s="21"/>
      <c r="G146" s="30">
        <f>DATA!AH$12</f>
        <v>18.05</v>
      </c>
      <c r="H146" s="22"/>
      <c r="I146" s="30">
        <f>DATA!AP$12</f>
        <v>229.04</v>
      </c>
      <c r="J146" s="10"/>
      <c r="K146" s="5"/>
      <c r="L146">
        <f>(I146/I143)^0.333-1</f>
        <v>-6.8544910245763591E-3</v>
      </c>
    </row>
    <row r="147" spans="1:14" ht="12.75">
      <c r="A147" s="23" t="s">
        <v>515</v>
      </c>
      <c r="B147" s="5"/>
      <c r="C147" s="9"/>
      <c r="D147" s="8"/>
      <c r="E147" s="10">
        <f>AVERAGE(E142:E146)</f>
        <v>6.6398260476488891E-2</v>
      </c>
      <c r="F147" s="10"/>
      <c r="G147" s="10">
        <f>DATA!AX$12</f>
        <v>7.0000000000000007E-2</v>
      </c>
      <c r="H147" s="5"/>
      <c r="I147" s="29"/>
      <c r="J147" s="10">
        <f>(I146/I142)^0.25-1</f>
        <v>-5.1716954983945795E-3</v>
      </c>
      <c r="K147" s="5"/>
      <c r="L147">
        <f>(I146/I144)^0.5-1</f>
        <v>-1.0168480449177064E-2</v>
      </c>
      <c r="N147" s="73">
        <f>AVERAGE(D144:D146)</f>
        <v>0.127</v>
      </c>
    </row>
    <row r="148" spans="1:14" ht="12.75">
      <c r="A148" s="7">
        <f>DATA!K$3</f>
        <v>2013</v>
      </c>
      <c r="B148" s="5"/>
      <c r="C148" s="9">
        <f>1-DATA!S$12/DATA!K$12</f>
        <v>0.43333333333333324</v>
      </c>
      <c r="D148" s="8">
        <f>DATA!AA$12</f>
        <v>0.13</v>
      </c>
      <c r="E148" s="10">
        <f>C148*D148</f>
        <v>5.6333333333333326E-2</v>
      </c>
      <c r="F148" s="10"/>
      <c r="G148" s="10"/>
      <c r="H148" s="5"/>
      <c r="I148" s="29">
        <f>DATA!AQ$12</f>
        <v>228.5</v>
      </c>
      <c r="J148" s="10">
        <f>(I148/I146)-1</f>
        <v>-2.3576667830945697E-3</v>
      </c>
      <c r="K148" s="5"/>
      <c r="N148">
        <f>D150/N147</f>
        <v>1.1023622047244095</v>
      </c>
    </row>
    <row r="149" spans="1:14" ht="12.75">
      <c r="A149" s="7">
        <f>DATA!L$3</f>
        <v>2014</v>
      </c>
      <c r="B149" s="7"/>
      <c r="C149" s="9">
        <f>1-DATA!T$12/DATA!L$12</f>
        <v>0.39200000000000002</v>
      </c>
      <c r="D149" s="8">
        <f>DATA!AB$12</f>
        <v>0.13</v>
      </c>
      <c r="E149" s="10">
        <f>C149*D149</f>
        <v>5.0960000000000005E-2</v>
      </c>
      <c r="F149" s="7"/>
      <c r="G149" s="10"/>
      <c r="H149" s="7"/>
      <c r="I149" s="29">
        <f>DATA!AR$12</f>
        <v>228.5</v>
      </c>
      <c r="J149" s="10">
        <f>(I149/I146)^0.5-1</f>
        <v>-1.1795290359205568E-3</v>
      </c>
      <c r="K149" s="7"/>
    </row>
    <row r="150" spans="1:14" ht="12.75">
      <c r="A150" s="7" t="str">
        <f>DATA!M$3</f>
        <v>2016-2018</v>
      </c>
      <c r="B150" s="5"/>
      <c r="C150" s="9">
        <f>1-DATA!U$12/DATA!M$12</f>
        <v>0.33333333333333337</v>
      </c>
      <c r="D150" s="8">
        <f>DATA!AC$12</f>
        <v>0.14000000000000001</v>
      </c>
      <c r="E150" s="10">
        <f>C150*D150</f>
        <v>4.6666666666666676E-2</v>
      </c>
      <c r="F150" s="10"/>
      <c r="G150" s="10">
        <f>DATA!AY$12</f>
        <v>3.5000000000000003E-2</v>
      </c>
      <c r="H150" s="5"/>
      <c r="I150" s="29">
        <f>DATA!AS$12</f>
        <v>228.5</v>
      </c>
      <c r="J150" s="10">
        <f>(I150/I146)^0.2-1</f>
        <v>-4.7197867412662742E-4</v>
      </c>
      <c r="K150" s="5"/>
    </row>
    <row r="151" spans="1:14" ht="12.75">
      <c r="A151" s="7"/>
      <c r="B151" s="5"/>
      <c r="C151" s="9"/>
      <c r="D151" s="8"/>
      <c r="E151" s="10"/>
      <c r="F151" s="7"/>
      <c r="G151" s="7"/>
      <c r="H151" s="5"/>
      <c r="I151" s="29"/>
      <c r="J151" s="10"/>
      <c r="K151" s="5"/>
    </row>
    <row r="152" spans="1:14" ht="12.75">
      <c r="A152" s="7"/>
      <c r="B152" s="5"/>
      <c r="C152" s="9"/>
      <c r="D152" s="8"/>
      <c r="E152" s="10"/>
      <c r="F152" s="7"/>
      <c r="G152" s="7"/>
      <c r="H152" s="5"/>
      <c r="I152" s="29"/>
      <c r="J152" s="10"/>
      <c r="K152" s="5"/>
    </row>
    <row r="153" spans="1:14" ht="12.75">
      <c r="A153" s="7"/>
      <c r="B153" s="5"/>
      <c r="C153" s="9"/>
      <c r="D153" s="8"/>
      <c r="E153" s="10"/>
      <c r="F153" s="7"/>
      <c r="G153" s="7"/>
      <c r="H153" s="5"/>
      <c r="I153" s="29"/>
      <c r="J153" s="10"/>
      <c r="K153" s="5"/>
    </row>
    <row r="154" spans="1:14" ht="12.75">
      <c r="A154" s="14" t="s">
        <v>518</v>
      </c>
      <c r="B154" s="5"/>
      <c r="C154" s="15"/>
      <c r="D154" s="16" t="s">
        <v>519</v>
      </c>
      <c r="E154" s="17" t="s">
        <v>148</v>
      </c>
      <c r="F154" s="14"/>
      <c r="G154" s="14"/>
      <c r="H154" s="5"/>
      <c r="I154" s="31" t="s">
        <v>428</v>
      </c>
      <c r="J154" s="18" t="s">
        <v>148</v>
      </c>
      <c r="K154" s="5"/>
    </row>
    <row r="155" spans="1:14" ht="12.75">
      <c r="A155" s="7"/>
      <c r="B155" s="5"/>
      <c r="C155" s="9"/>
      <c r="D155" s="8"/>
      <c r="E155" s="10"/>
      <c r="F155" s="7"/>
      <c r="G155" s="7"/>
      <c r="H155" s="5"/>
      <c r="I155" s="29"/>
      <c r="J155" s="10"/>
      <c r="K155" s="5"/>
    </row>
    <row r="156" spans="1:14" ht="12.75">
      <c r="A156" s="7"/>
      <c r="B156" s="5"/>
      <c r="C156" s="9" t="s">
        <v>429</v>
      </c>
      <c r="D156" s="8" t="s">
        <v>488</v>
      </c>
      <c r="E156" s="10"/>
      <c r="F156" s="7"/>
      <c r="G156" s="7" t="s">
        <v>368</v>
      </c>
      <c r="H156" s="5"/>
      <c r="I156" s="29" t="s">
        <v>369</v>
      </c>
      <c r="J156" s="10" t="s">
        <v>151</v>
      </c>
      <c r="K156" s="5"/>
    </row>
    <row r="157" spans="1:14" ht="12.75">
      <c r="A157" s="19" t="str">
        <f>DATA!A$13</f>
        <v>EIX</v>
      </c>
      <c r="B157" s="5"/>
      <c r="C157" s="15" t="s">
        <v>301</v>
      </c>
      <c r="D157" s="16" t="s">
        <v>302</v>
      </c>
      <c r="E157" s="17" t="s">
        <v>452</v>
      </c>
      <c r="F157" s="14"/>
      <c r="G157" s="14" t="s">
        <v>533</v>
      </c>
      <c r="H157" s="5"/>
      <c r="I157" s="32" t="s">
        <v>367</v>
      </c>
      <c r="J157" s="17" t="s">
        <v>148</v>
      </c>
      <c r="K157" s="5"/>
    </row>
    <row r="158" spans="1:14" ht="12.75">
      <c r="A158" s="7">
        <f>DATA!F$3</f>
        <v>2008</v>
      </c>
      <c r="B158" s="5"/>
      <c r="C158" s="9">
        <f>1-DATA!N$13/DATA!F$13</f>
        <v>0.66576086956521741</v>
      </c>
      <c r="D158" s="8">
        <f>DATA!V$13</f>
        <v>0.128</v>
      </c>
      <c r="E158" s="10">
        <f>C158*D158</f>
        <v>8.5217391304347828E-2</v>
      </c>
      <c r="F158" s="7"/>
      <c r="G158" s="7">
        <f>DATA!AD$13</f>
        <v>29.21</v>
      </c>
      <c r="H158" s="5"/>
      <c r="I158" s="29">
        <f>DATA!AL$13</f>
        <v>325.81</v>
      </c>
      <c r="J158" s="10"/>
      <c r="K158" s="5"/>
    </row>
    <row r="159" spans="1:14" ht="12.75">
      <c r="A159" s="7">
        <f>DATA!G$3</f>
        <v>2009</v>
      </c>
      <c r="B159" s="5"/>
      <c r="C159" s="9">
        <f>1-DATA!O$13/DATA!G$13</f>
        <v>0.61419753086419759</v>
      </c>
      <c r="D159" s="8">
        <f>DATA!W$13</f>
        <v>0.108</v>
      </c>
      <c r="E159" s="10">
        <f>C159*D159</f>
        <v>6.6333333333333341E-2</v>
      </c>
      <c r="F159" s="7"/>
      <c r="G159" s="7">
        <f>DATA!AE$13</f>
        <v>30.2</v>
      </c>
      <c r="H159" s="5"/>
      <c r="I159" s="29">
        <f>DATA!AM$13</f>
        <v>325.81</v>
      </c>
      <c r="J159" s="10"/>
      <c r="K159" s="5"/>
    </row>
    <row r="160" spans="1:14" ht="12.75">
      <c r="A160" s="7">
        <f>DATA!H$3</f>
        <v>2010</v>
      </c>
      <c r="B160" s="5"/>
      <c r="C160" s="9">
        <f>1-DATA!P$13/DATA!H$13</f>
        <v>0.62089552238805967</v>
      </c>
      <c r="D160" s="8">
        <f>DATA!X$13</f>
        <v>0.104</v>
      </c>
      <c r="E160" s="10">
        <f>C160*D160</f>
        <v>6.4573134328358206E-2</v>
      </c>
      <c r="F160" s="7"/>
      <c r="G160" s="7">
        <f>DATA!AF$13</f>
        <v>32.44</v>
      </c>
      <c r="H160" s="5"/>
      <c r="I160" s="29">
        <f>DATA!AN$13</f>
        <v>325.81</v>
      </c>
      <c r="J160" s="10"/>
      <c r="K160" s="5"/>
    </row>
    <row r="161" spans="1:14" ht="12.75">
      <c r="A161" s="7">
        <f>DATA!I$3</f>
        <v>2011</v>
      </c>
      <c r="B161" s="5"/>
      <c r="C161" s="9">
        <f>1-DATA!Q$13/DATA!I$13</f>
        <v>0.60061919504643968</v>
      </c>
      <c r="D161" s="8">
        <f>DATA!Y$13</f>
        <v>0.105</v>
      </c>
      <c r="E161" s="10">
        <f>C161*D161</f>
        <v>6.3065015479876169E-2</v>
      </c>
      <c r="F161" s="7"/>
      <c r="G161" s="7">
        <f>DATA!AG$13</f>
        <v>30.86</v>
      </c>
      <c r="H161" s="5"/>
      <c r="I161" s="29">
        <f>DATA!AO$13</f>
        <v>325.81</v>
      </c>
      <c r="J161" s="10"/>
      <c r="K161" s="5"/>
    </row>
    <row r="162" spans="1:14" ht="12.75">
      <c r="A162" s="7">
        <f>DATA!J$3</f>
        <v>2012</v>
      </c>
      <c r="B162" s="5"/>
      <c r="C162" s="9">
        <f>1-DATA!R$13/DATA!J$13</f>
        <v>0.712087912087912</v>
      </c>
      <c r="D162" s="8">
        <f>DATA!Z$13</f>
        <v>0.159</v>
      </c>
      <c r="E162" s="20">
        <f>C162*D162</f>
        <v>0.113221978021978</v>
      </c>
      <c r="F162" s="21"/>
      <c r="G162" s="21">
        <f>DATA!AH$13</f>
        <v>28.95</v>
      </c>
      <c r="H162" s="22"/>
      <c r="I162" s="30">
        <f>DATA!AP$13</f>
        <v>325.81</v>
      </c>
      <c r="J162" s="10"/>
      <c r="K162" s="5"/>
      <c r="L162">
        <f>(I161/I159)^0.5-1</f>
        <v>0</v>
      </c>
    </row>
    <row r="163" spans="1:14" ht="12.75">
      <c r="A163" s="23" t="s">
        <v>515</v>
      </c>
      <c r="B163" s="5"/>
      <c r="C163" s="9"/>
      <c r="D163" s="8"/>
      <c r="E163" s="10">
        <f>AVERAGE(E158:E162)</f>
        <v>7.848217049357871E-2</v>
      </c>
      <c r="F163" s="10"/>
      <c r="G163" s="10">
        <f>DATA!AX$13</f>
        <v>5.5E-2</v>
      </c>
      <c r="H163" s="5"/>
      <c r="I163" s="29"/>
      <c r="J163" s="10">
        <f>(I162/I158)^0.25-1</f>
        <v>0</v>
      </c>
      <c r="K163" s="5"/>
      <c r="N163" s="73">
        <f>AVERAGE(D160:D162)</f>
        <v>0.12266666666666666</v>
      </c>
    </row>
    <row r="164" spans="1:14" ht="12.75">
      <c r="A164" s="7">
        <f>DATA!K$3</f>
        <v>2013</v>
      </c>
      <c r="B164" s="5"/>
      <c r="C164" s="9">
        <f>1-DATA!S$13/DATA!K$13</f>
        <v>0.61142857142857143</v>
      </c>
      <c r="D164" s="8">
        <f>DATA!AA$13</f>
        <v>0.115</v>
      </c>
      <c r="E164" s="10">
        <f>C164*D164</f>
        <v>7.0314285714285718E-2</v>
      </c>
      <c r="F164" s="10"/>
      <c r="G164" s="10"/>
      <c r="H164" s="5"/>
      <c r="I164" s="29">
        <f>DATA!AQ$13</f>
        <v>325.81</v>
      </c>
      <c r="J164" s="10">
        <f>(I164/I162)-1</f>
        <v>0</v>
      </c>
      <c r="K164" s="5"/>
      <c r="N164">
        <f>D166/N163</f>
        <v>0.89673913043478271</v>
      </c>
    </row>
    <row r="165" spans="1:14" ht="12.75">
      <c r="A165" s="7">
        <f>DATA!L$3</f>
        <v>2014</v>
      </c>
      <c r="B165" s="7"/>
      <c r="C165" s="9">
        <f>1-DATA!T$13/DATA!L$13</f>
        <v>0.60540540540540544</v>
      </c>
      <c r="D165" s="8">
        <f>DATA!AB$13</f>
        <v>0.115</v>
      </c>
      <c r="E165" s="10">
        <f>C165*D165</f>
        <v>6.9621621621621624E-2</v>
      </c>
      <c r="F165" s="7"/>
      <c r="G165" s="10"/>
      <c r="H165" s="7"/>
      <c r="I165" s="29">
        <f>DATA!AR$13</f>
        <v>325.81</v>
      </c>
      <c r="J165" s="10">
        <f>(I165/I162)^0.5-1</f>
        <v>0</v>
      </c>
      <c r="K165" s="7"/>
    </row>
    <row r="166" spans="1:14" ht="12.75">
      <c r="A166" s="7" t="str">
        <f>DATA!M$3</f>
        <v>2016-2018</v>
      </c>
      <c r="B166" s="5"/>
      <c r="C166" s="9">
        <f>1-DATA!U$13/DATA!M$13</f>
        <v>0.57647058823529407</v>
      </c>
      <c r="D166" s="8">
        <f>DATA!AC$13</f>
        <v>0.11</v>
      </c>
      <c r="E166" s="10">
        <f>C166*D166</f>
        <v>6.3411764705882348E-2</v>
      </c>
      <c r="F166" s="10"/>
      <c r="G166" s="10">
        <f>DATA!AY$13</f>
        <v>4.4999999999999998E-2</v>
      </c>
      <c r="H166" s="5"/>
      <c r="I166" s="29">
        <f>DATA!AS$13</f>
        <v>325.81</v>
      </c>
      <c r="J166" s="10">
        <f>(I166/I162)^0.2-1</f>
        <v>0</v>
      </c>
      <c r="K166" s="5"/>
    </row>
    <row r="167" spans="1:14" ht="12.75">
      <c r="A167" s="7"/>
      <c r="B167" s="5"/>
      <c r="C167" s="9"/>
      <c r="D167" s="8"/>
      <c r="E167" s="10"/>
      <c r="F167" s="7"/>
      <c r="G167" s="7"/>
      <c r="H167" s="5"/>
      <c r="I167" s="29"/>
      <c r="J167" s="218" t="s">
        <v>538</v>
      </c>
      <c r="K167" s="5"/>
    </row>
    <row r="168" spans="1:14" ht="12.75">
      <c r="A168" s="7"/>
      <c r="B168" s="5"/>
      <c r="C168" s="9"/>
      <c r="D168" s="8"/>
      <c r="E168" s="10"/>
      <c r="F168" s="7"/>
      <c r="G168" s="7"/>
      <c r="H168" s="5"/>
      <c r="I168" s="29"/>
      <c r="J168" s="221" t="s">
        <v>539</v>
      </c>
      <c r="K168" s="5"/>
    </row>
    <row r="169" spans="1:14" ht="12.75">
      <c r="A169" s="7"/>
      <c r="B169" s="5"/>
      <c r="C169" s="9"/>
      <c r="D169" s="8"/>
      <c r="E169" s="10"/>
      <c r="F169" s="7"/>
      <c r="G169" s="7"/>
      <c r="H169" s="5"/>
      <c r="I169" s="29"/>
      <c r="J169" s="11" t="s">
        <v>351</v>
      </c>
      <c r="K169" s="5"/>
    </row>
    <row r="170" spans="1:14" ht="12.75">
      <c r="A170" s="7"/>
      <c r="B170" s="5"/>
      <c r="C170" s="9"/>
      <c r="D170" s="8"/>
      <c r="E170" s="10"/>
      <c r="F170" s="7"/>
      <c r="G170" s="7"/>
      <c r="H170" s="5"/>
      <c r="I170" s="29"/>
      <c r="J170" s="10"/>
      <c r="K170" s="5"/>
    </row>
    <row r="171" spans="1:14" ht="12.75">
      <c r="A171" s="7"/>
      <c r="B171" s="5"/>
      <c r="C171" s="9"/>
      <c r="D171" s="8"/>
      <c r="E171" s="10"/>
      <c r="F171" s="7"/>
      <c r="G171" s="7"/>
      <c r="H171" s="5"/>
      <c r="I171" s="29"/>
      <c r="J171" s="10"/>
      <c r="K171" s="5"/>
    </row>
    <row r="172" spans="1:14" ht="12.75">
      <c r="A172" s="7"/>
      <c r="B172" s="5"/>
      <c r="C172" s="9"/>
      <c r="D172" s="8"/>
      <c r="E172" s="12"/>
      <c r="F172" s="13" t="str">
        <f>F$6</f>
        <v>PUGET SOUND ENERGY</v>
      </c>
      <c r="G172" s="5"/>
      <c r="H172" s="5"/>
      <c r="I172" s="29"/>
      <c r="J172" s="10"/>
      <c r="K172" s="5"/>
    </row>
    <row r="173" spans="1:14" ht="12.75">
      <c r="A173" s="7"/>
      <c r="B173" s="5"/>
      <c r="C173" s="9"/>
      <c r="D173" s="8"/>
      <c r="E173" s="12"/>
      <c r="F173" s="13" t="s">
        <v>505</v>
      </c>
      <c r="G173" s="5"/>
      <c r="H173" s="5"/>
      <c r="I173" s="29"/>
      <c r="J173" s="10"/>
      <c r="K173" s="5"/>
    </row>
    <row r="174" spans="1:14" ht="12.75">
      <c r="A174" s="7"/>
      <c r="B174" s="5"/>
      <c r="C174" s="9"/>
      <c r="D174" s="8"/>
      <c r="E174" s="10"/>
      <c r="F174" s="7" t="s">
        <v>498</v>
      </c>
      <c r="G174" s="7"/>
      <c r="H174" s="5"/>
      <c r="I174" s="29"/>
      <c r="J174" s="10"/>
      <c r="K174" s="5"/>
    </row>
    <row r="175" spans="1:14" ht="12.75">
      <c r="A175" s="7"/>
      <c r="B175" s="5"/>
      <c r="C175" s="9"/>
      <c r="D175" s="8"/>
      <c r="E175" s="10"/>
      <c r="F175" s="7"/>
      <c r="G175" s="7"/>
      <c r="H175" s="5"/>
      <c r="I175" s="29"/>
      <c r="J175" s="10"/>
      <c r="K175" s="5"/>
    </row>
    <row r="176" spans="1:14" ht="12.75">
      <c r="A176" s="7"/>
      <c r="B176" s="5"/>
      <c r="C176" s="9"/>
      <c r="D176" s="8"/>
      <c r="E176" s="10"/>
      <c r="F176" s="7"/>
      <c r="G176" s="7"/>
      <c r="H176" s="5"/>
      <c r="I176" s="29"/>
      <c r="J176" s="10"/>
      <c r="K176" s="5"/>
    </row>
    <row r="177" spans="1:15" ht="12.75">
      <c r="A177" s="14" t="s">
        <v>518</v>
      </c>
      <c r="B177" s="5"/>
      <c r="C177" s="15"/>
      <c r="D177" s="16" t="s">
        <v>519</v>
      </c>
      <c r="E177" s="17" t="s">
        <v>148</v>
      </c>
      <c r="F177" s="14"/>
      <c r="G177" s="14"/>
      <c r="H177" s="5"/>
      <c r="I177" s="31" t="s">
        <v>428</v>
      </c>
      <c r="J177" s="18" t="s">
        <v>148</v>
      </c>
      <c r="K177" s="5"/>
    </row>
    <row r="178" spans="1:15" ht="12.75">
      <c r="A178" s="7"/>
      <c r="B178" s="5"/>
      <c r="C178" s="9"/>
      <c r="D178" s="8"/>
      <c r="E178" s="10"/>
      <c r="F178" s="7"/>
      <c r="G178" s="7"/>
      <c r="H178" s="5"/>
      <c r="I178" s="29"/>
      <c r="J178" s="10"/>
      <c r="K178" s="5"/>
    </row>
    <row r="179" spans="1:15" ht="12.75">
      <c r="A179" s="7"/>
      <c r="B179" s="5"/>
      <c r="C179" s="9" t="s">
        <v>429</v>
      </c>
      <c r="D179" s="8" t="s">
        <v>488</v>
      </c>
      <c r="E179" s="10"/>
      <c r="F179" s="7"/>
      <c r="G179" s="7" t="s">
        <v>368</v>
      </c>
      <c r="H179" s="5"/>
      <c r="I179" s="29" t="s">
        <v>369</v>
      </c>
      <c r="J179" s="10" t="s">
        <v>151</v>
      </c>
      <c r="K179" s="5"/>
    </row>
    <row r="180" spans="1:15" ht="12.75">
      <c r="A180" s="19" t="str">
        <f>DATA!A$14</f>
        <v>IDA</v>
      </c>
      <c r="B180" s="5"/>
      <c r="C180" s="15" t="s">
        <v>301</v>
      </c>
      <c r="D180" s="16" t="s">
        <v>302</v>
      </c>
      <c r="E180" s="17" t="s">
        <v>452</v>
      </c>
      <c r="F180" s="14"/>
      <c r="G180" s="14" t="s">
        <v>533</v>
      </c>
      <c r="H180" s="5"/>
      <c r="I180" s="32" t="s">
        <v>367</v>
      </c>
      <c r="J180" s="17" t="s">
        <v>148</v>
      </c>
      <c r="K180" s="5"/>
    </row>
    <row r="181" spans="1:15" ht="12.75">
      <c r="A181" s="7">
        <f>DATA!F$3</f>
        <v>2008</v>
      </c>
      <c r="B181" s="5"/>
      <c r="C181" s="9">
        <f>1-DATA!N$14/DATA!F$14</f>
        <v>0.44954128440366981</v>
      </c>
      <c r="D181" s="8">
        <f>DATA!V$14</f>
        <v>7.5999999999999998E-2</v>
      </c>
      <c r="E181" s="10">
        <f>C181*D181</f>
        <v>3.4165137614678903E-2</v>
      </c>
      <c r="F181" s="7"/>
      <c r="G181" s="29">
        <f>DATA!AD$14</f>
        <v>27.76</v>
      </c>
      <c r="H181" s="5"/>
      <c r="I181" s="29">
        <f>DATA!AL$14</f>
        <v>46.92</v>
      </c>
      <c r="J181" s="10"/>
      <c r="K181" s="5"/>
      <c r="O181">
        <v>9</v>
      </c>
    </row>
    <row r="182" spans="1:15" ht="12.75">
      <c r="A182" s="7">
        <f>DATA!G$3</f>
        <v>2009</v>
      </c>
      <c r="B182" s="5"/>
      <c r="C182" s="9">
        <f>1-DATA!O$14/DATA!G$14</f>
        <v>0.54545454545454541</v>
      </c>
      <c r="D182" s="8">
        <f>DATA!W$14</f>
        <v>8.8999999999999996E-2</v>
      </c>
      <c r="E182" s="10">
        <f>C182*D182</f>
        <v>4.8545454545454537E-2</v>
      </c>
      <c r="F182" s="7"/>
      <c r="G182" s="29">
        <f>DATA!AE$14</f>
        <v>29.17</v>
      </c>
      <c r="H182" s="5"/>
      <c r="I182" s="29">
        <f>DATA!AM$14</f>
        <v>47.9</v>
      </c>
      <c r="J182" s="10"/>
      <c r="K182" s="5"/>
      <c r="O182">
        <f>(5.8+7.7+9)/3</f>
        <v>7.5</v>
      </c>
    </row>
    <row r="183" spans="1:15" ht="12.75">
      <c r="A183" s="7">
        <f>DATA!H$3</f>
        <v>2010</v>
      </c>
      <c r="B183" s="5"/>
      <c r="C183" s="9">
        <f>1-DATA!P$14/DATA!H$14</f>
        <v>0.59322033898305082</v>
      </c>
      <c r="D183" s="8">
        <f>DATA!X$14</f>
        <v>9.2999999999999999E-2</v>
      </c>
      <c r="E183" s="10">
        <f>C183*D183</f>
        <v>5.5169491525423726E-2</v>
      </c>
      <c r="F183" s="7"/>
      <c r="G183" s="29">
        <f>DATA!AF$14</f>
        <v>31.01</v>
      </c>
      <c r="H183" s="5"/>
      <c r="I183" s="29">
        <f>DATA!AN$14</f>
        <v>49.41</v>
      </c>
      <c r="J183" s="10"/>
      <c r="K183" s="5"/>
      <c r="O183">
        <f>O181/O182</f>
        <v>1.2</v>
      </c>
    </row>
    <row r="184" spans="1:15" ht="12.75">
      <c r="A184" s="7">
        <f>DATA!I$3</f>
        <v>2011</v>
      </c>
      <c r="B184" s="5"/>
      <c r="C184" s="9">
        <f>1-DATA!Q$14/DATA!I$14</f>
        <v>0.64285714285714279</v>
      </c>
      <c r="D184" s="8">
        <f>DATA!Y$14</f>
        <v>0.10100000000000001</v>
      </c>
      <c r="E184" s="10">
        <f>C184*D184</f>
        <v>6.4928571428571433E-2</v>
      </c>
      <c r="F184" s="7"/>
      <c r="G184" s="29">
        <f>DATA!AG$14</f>
        <v>33.19</v>
      </c>
      <c r="H184" s="5"/>
      <c r="I184" s="29">
        <f>DATA!AO$14</f>
        <v>49.95</v>
      </c>
      <c r="J184" s="10"/>
      <c r="K184" s="5"/>
    </row>
    <row r="185" spans="1:15" ht="12.75">
      <c r="A185" s="7">
        <f>DATA!J$3</f>
        <v>2012</v>
      </c>
      <c r="B185" s="5"/>
      <c r="C185" s="9">
        <f>1-DATA!R$14/DATA!J$14</f>
        <v>0.59347181008902083</v>
      </c>
      <c r="D185" s="8">
        <f>DATA!Z$14</f>
        <v>9.6000000000000002E-2</v>
      </c>
      <c r="E185" s="20">
        <f>C185*D185</f>
        <v>5.6973293768545999E-2</v>
      </c>
      <c r="F185" s="21"/>
      <c r="G185" s="30">
        <f>DATA!AH$14</f>
        <v>35.07</v>
      </c>
      <c r="H185" s="22"/>
      <c r="I185" s="30">
        <f>DATA!AP$14</f>
        <v>50.16</v>
      </c>
      <c r="J185" s="10"/>
      <c r="K185" s="5"/>
    </row>
    <row r="186" spans="1:15" ht="12.75">
      <c r="A186" s="23" t="s">
        <v>515</v>
      </c>
      <c r="B186" s="5"/>
      <c r="C186" s="9"/>
      <c r="D186" s="8"/>
      <c r="E186" s="10">
        <f>AVERAGE(E181:E185)</f>
        <v>5.1956389776534918E-2</v>
      </c>
      <c r="F186" s="10"/>
      <c r="G186" s="10">
        <f>DATA!AX$14</f>
        <v>5.5E-2</v>
      </c>
      <c r="H186" s="5"/>
      <c r="I186" s="29"/>
      <c r="J186" s="10">
        <f>(I185/I181)^0.25-1</f>
        <v>1.6833582653969836E-2</v>
      </c>
      <c r="K186" s="5"/>
    </row>
    <row r="187" spans="1:15" ht="12.75">
      <c r="A187" s="7">
        <f>DATA!K$3</f>
        <v>2013</v>
      </c>
      <c r="B187" s="5"/>
      <c r="C187" s="9">
        <f>1-DATA!S$14/DATA!K$14</f>
        <v>0.52727272727272723</v>
      </c>
      <c r="D187" s="8">
        <f>DATA!AA$14</f>
        <v>0.09</v>
      </c>
      <c r="E187" s="10">
        <f>C187*D187</f>
        <v>4.7454545454545451E-2</v>
      </c>
      <c r="F187" s="10"/>
      <c r="G187" s="10"/>
      <c r="H187" s="5"/>
      <c r="I187" s="29">
        <f>DATA!AQ$14</f>
        <v>50.5</v>
      </c>
      <c r="J187" s="10">
        <f>(I187/I185)-1</f>
        <v>6.7783094098883279E-3</v>
      </c>
      <c r="K187" s="5"/>
    </row>
    <row r="188" spans="1:15" ht="12.75">
      <c r="A188" s="7">
        <f>DATA!L$3</f>
        <v>2014</v>
      </c>
      <c r="B188" s="7"/>
      <c r="C188" s="9">
        <f>1-DATA!T$14/DATA!L$14</f>
        <v>0.50588235294117645</v>
      </c>
      <c r="D188" s="8">
        <f>DATA!AB$14</f>
        <v>8.5000000000000006E-2</v>
      </c>
      <c r="E188" s="10">
        <f>C188*D188</f>
        <v>4.3000000000000003E-2</v>
      </c>
      <c r="F188" s="7"/>
      <c r="G188" s="10"/>
      <c r="H188" s="7"/>
      <c r="I188" s="29">
        <f>DATA!AR$14</f>
        <v>50.5</v>
      </c>
      <c r="J188" s="10">
        <f>(I188/I185)^0.5-1</f>
        <v>3.3834309026077314E-3</v>
      </c>
      <c r="K188" s="7"/>
    </row>
    <row r="189" spans="1:15" ht="12.75">
      <c r="A189" s="7" t="str">
        <f>DATA!M$3</f>
        <v>2016-2018</v>
      </c>
      <c r="B189" s="5"/>
      <c r="C189" s="9">
        <f>1-DATA!U$14/DATA!M$14</f>
        <v>0.47945205479452058</v>
      </c>
      <c r="D189" s="8">
        <f>DATA!AC$14</f>
        <v>8.5000000000000006E-2</v>
      </c>
      <c r="E189" s="10">
        <f>C189*D189</f>
        <v>4.0753424657534253E-2</v>
      </c>
      <c r="F189" s="10"/>
      <c r="G189" s="10">
        <f>DATA!AY$14</f>
        <v>4.4999999999999998E-2</v>
      </c>
      <c r="H189" s="5"/>
      <c r="I189" s="29">
        <f>DATA!AS$14</f>
        <v>51</v>
      </c>
      <c r="J189" s="10">
        <f>(I189/I185)^0.2-1</f>
        <v>3.3270697307661301E-3</v>
      </c>
      <c r="K189" s="5"/>
    </row>
    <row r="190" spans="1:15" ht="12.75">
      <c r="A190" s="7"/>
      <c r="B190" s="5"/>
      <c r="C190" s="9"/>
      <c r="D190" s="8"/>
      <c r="E190" s="10"/>
      <c r="F190" s="7"/>
      <c r="G190" s="7"/>
      <c r="H190" s="5"/>
      <c r="I190" s="29"/>
      <c r="J190" s="10"/>
      <c r="K190" s="5"/>
    </row>
    <row r="191" spans="1:15" ht="12.75">
      <c r="A191" s="7"/>
      <c r="B191" s="5"/>
      <c r="C191" s="9"/>
      <c r="D191" s="8"/>
      <c r="E191" s="10"/>
      <c r="F191" s="7"/>
      <c r="G191" s="7"/>
      <c r="H191" s="5"/>
      <c r="I191" s="29"/>
      <c r="J191" s="10"/>
      <c r="K191" s="5"/>
    </row>
    <row r="192" spans="1:15" ht="12.75">
      <c r="A192" s="7"/>
      <c r="B192" s="5"/>
      <c r="C192" s="9"/>
      <c r="D192" s="8"/>
      <c r="E192" s="10"/>
      <c r="F192" s="7"/>
      <c r="G192" s="7"/>
      <c r="H192" s="5"/>
      <c r="I192" s="29"/>
      <c r="J192" s="10"/>
      <c r="K192" s="5"/>
    </row>
    <row r="193" spans="1:11" ht="12.75">
      <c r="A193" s="14" t="s">
        <v>518</v>
      </c>
      <c r="B193" s="5"/>
      <c r="C193" s="15"/>
      <c r="D193" s="16" t="s">
        <v>519</v>
      </c>
      <c r="E193" s="17" t="s">
        <v>148</v>
      </c>
      <c r="F193" s="14"/>
      <c r="G193" s="14"/>
      <c r="H193" s="5"/>
      <c r="I193" s="31" t="s">
        <v>428</v>
      </c>
      <c r="J193" s="18" t="s">
        <v>148</v>
      </c>
      <c r="K193" s="5"/>
    </row>
    <row r="194" spans="1:11" ht="12.75">
      <c r="A194" s="7"/>
      <c r="B194" s="5"/>
      <c r="C194" s="9"/>
      <c r="D194" s="8"/>
      <c r="E194" s="10"/>
      <c r="F194" s="7"/>
      <c r="G194" s="7"/>
      <c r="H194" s="5"/>
      <c r="I194" s="29"/>
      <c r="J194" s="10"/>
      <c r="K194" s="5"/>
    </row>
    <row r="195" spans="1:11" ht="12.75">
      <c r="A195" s="7"/>
      <c r="B195" s="5"/>
      <c r="C195" s="9" t="s">
        <v>429</v>
      </c>
      <c r="D195" s="8" t="s">
        <v>488</v>
      </c>
      <c r="E195" s="10"/>
      <c r="F195" s="7"/>
      <c r="G195" s="7" t="s">
        <v>368</v>
      </c>
      <c r="H195" s="5"/>
      <c r="I195" s="29" t="s">
        <v>369</v>
      </c>
      <c r="J195" s="10" t="s">
        <v>151</v>
      </c>
      <c r="K195" s="5"/>
    </row>
    <row r="196" spans="1:11" ht="12.75">
      <c r="A196" s="19" t="str">
        <f>DATA!A$15</f>
        <v>NWE</v>
      </c>
      <c r="B196" s="5"/>
      <c r="C196" s="15" t="s">
        <v>301</v>
      </c>
      <c r="D196" s="16" t="s">
        <v>302</v>
      </c>
      <c r="E196" s="17" t="s">
        <v>452</v>
      </c>
      <c r="F196" s="14"/>
      <c r="G196" s="14" t="s">
        <v>533</v>
      </c>
      <c r="H196" s="5"/>
      <c r="I196" s="32" t="s">
        <v>367</v>
      </c>
      <c r="J196" s="17" t="s">
        <v>148</v>
      </c>
      <c r="K196" s="5"/>
    </row>
    <row r="197" spans="1:11" ht="12.75">
      <c r="A197" s="7">
        <f>DATA!F$3</f>
        <v>2008</v>
      </c>
      <c r="B197" s="5"/>
      <c r="C197" s="9">
        <f>1-DATA!N$15/DATA!F$15</f>
        <v>0.25423728813559321</v>
      </c>
      <c r="D197" s="8">
        <f>DATA!V$15</f>
        <v>8.8999999999999996E-2</v>
      </c>
      <c r="E197" s="10">
        <f>C197*D197</f>
        <v>2.2627118644067794E-2</v>
      </c>
      <c r="F197" s="7"/>
      <c r="G197" s="29">
        <f>DATA!AD$15</f>
        <v>21.25</v>
      </c>
      <c r="H197" s="5"/>
      <c r="I197" s="29">
        <f>DATA!AL$15</f>
        <v>35.93</v>
      </c>
      <c r="J197" s="10"/>
      <c r="K197" s="5"/>
    </row>
    <row r="198" spans="1:11" ht="12.75">
      <c r="A198" s="7">
        <f>DATA!G$3</f>
        <v>2009</v>
      </c>
      <c r="B198" s="5"/>
      <c r="C198" s="9">
        <f>1-DATA!O$15/DATA!G$15</f>
        <v>0.3366336633663366</v>
      </c>
      <c r="D198" s="8">
        <f>DATA!W$15</f>
        <v>9.2999999999999999E-2</v>
      </c>
      <c r="E198" s="10">
        <f>C198*D198</f>
        <v>3.1306930693069307E-2</v>
      </c>
      <c r="F198" s="7"/>
      <c r="G198" s="29">
        <f>DATA!AE$15</f>
        <v>21.86</v>
      </c>
      <c r="H198" s="5"/>
      <c r="I198" s="29">
        <f>DATA!AM$15</f>
        <v>36</v>
      </c>
      <c r="J198" s="10"/>
      <c r="K198" s="5"/>
    </row>
    <row r="199" spans="1:11" ht="12.75">
      <c r="A199" s="7">
        <f>DATA!H$3</f>
        <v>2010</v>
      </c>
      <c r="B199" s="5"/>
      <c r="C199" s="9">
        <f>1-DATA!P$15/DATA!H$15</f>
        <v>0.36448598130841126</v>
      </c>
      <c r="D199" s="8">
        <f>DATA!X$15</f>
        <v>9.4E-2</v>
      </c>
      <c r="E199" s="10">
        <f>C199*D199</f>
        <v>3.4261682242990657E-2</v>
      </c>
      <c r="F199" s="7"/>
      <c r="G199" s="29">
        <f>DATA!AF$15</f>
        <v>22.64</v>
      </c>
      <c r="H199" s="5"/>
      <c r="I199" s="29">
        <f>DATA!AN$15</f>
        <v>36.229999999999997</v>
      </c>
      <c r="J199" s="10"/>
      <c r="K199" s="5"/>
    </row>
    <row r="200" spans="1:11" ht="12.75">
      <c r="A200" s="7">
        <f>DATA!I$3</f>
        <v>2011</v>
      </c>
      <c r="B200" s="5"/>
      <c r="C200" s="9">
        <f>1-DATA!Q$15/DATA!I$15</f>
        <v>0.43083003952569165</v>
      </c>
      <c r="D200" s="8">
        <f>DATA!Y$15</f>
        <v>0.108</v>
      </c>
      <c r="E200" s="10">
        <f>C200*D200</f>
        <v>4.6529644268774699E-2</v>
      </c>
      <c r="F200" s="7"/>
      <c r="G200" s="29">
        <f>DATA!AG$15</f>
        <v>23.68</v>
      </c>
      <c r="H200" s="5"/>
      <c r="I200" s="29">
        <f>DATA!AO$15</f>
        <v>36.28</v>
      </c>
      <c r="J200" s="10"/>
      <c r="K200" s="5"/>
    </row>
    <row r="201" spans="1:11" ht="12.75">
      <c r="A201" s="7">
        <f>DATA!J$3</f>
        <v>2012</v>
      </c>
      <c r="B201" s="5"/>
      <c r="C201" s="9">
        <f>1-DATA!R$15/DATA!J$15</f>
        <v>0.34513274336283184</v>
      </c>
      <c r="D201" s="8">
        <f>DATA!Z$15</f>
        <v>0.09</v>
      </c>
      <c r="E201" s="20">
        <f>C201*D201</f>
        <v>3.1061946902654864E-2</v>
      </c>
      <c r="F201" s="21"/>
      <c r="G201" s="30">
        <f>DATA!AH$15</f>
        <v>25.09</v>
      </c>
      <c r="H201" s="22"/>
      <c r="I201" s="30">
        <f>DATA!AP$15</f>
        <v>37.22</v>
      </c>
      <c r="J201" s="10"/>
      <c r="K201" s="5"/>
    </row>
    <row r="202" spans="1:11" ht="12.75">
      <c r="A202" s="23" t="s">
        <v>515</v>
      </c>
      <c r="B202" s="5"/>
      <c r="C202" s="9"/>
      <c r="D202" s="8"/>
      <c r="E202" s="10">
        <f>AVERAGE(E197:E201)</f>
        <v>3.3157464550311468E-2</v>
      </c>
      <c r="F202" s="10"/>
      <c r="G202" s="10">
        <f>DATA!AX$15</f>
        <v>2.5000000000000001E-2</v>
      </c>
      <c r="H202" s="5"/>
      <c r="I202" s="29"/>
      <c r="J202" s="10">
        <f>(I201/I197)^0.25-1</f>
        <v>8.8574092673832094E-3</v>
      </c>
      <c r="K202" s="5"/>
    </row>
    <row r="203" spans="1:11" ht="12.75">
      <c r="A203" s="7">
        <f>DATA!K$3</f>
        <v>2013</v>
      </c>
      <c r="B203" s="5"/>
      <c r="C203" s="9">
        <f>1-DATA!S$15/DATA!K$15</f>
        <v>0.37959183673469388</v>
      </c>
      <c r="D203" s="8">
        <f>DATA!AA$15</f>
        <v>9.5000000000000001E-2</v>
      </c>
      <c r="E203" s="10">
        <f>C203*D203</f>
        <v>3.6061224489795922E-2</v>
      </c>
      <c r="F203" s="10"/>
      <c r="G203" s="10"/>
      <c r="H203" s="5"/>
      <c r="I203" s="29">
        <f>DATA!AQ$15</f>
        <v>38.1</v>
      </c>
      <c r="J203" s="10">
        <f>(I203/I201)-1</f>
        <v>2.364320257925856E-2</v>
      </c>
      <c r="K203" s="5"/>
    </row>
    <row r="204" spans="1:11" ht="12.75">
      <c r="A204" s="7">
        <f>DATA!L$3</f>
        <v>2014</v>
      </c>
      <c r="B204" s="7"/>
      <c r="C204" s="9">
        <f>1-DATA!T$15/DATA!L$15</f>
        <v>0.38823529411764701</v>
      </c>
      <c r="D204" s="8">
        <f>DATA!AB$15</f>
        <v>9.5000000000000001E-2</v>
      </c>
      <c r="E204" s="10">
        <f>C204*D204</f>
        <v>3.6882352941176463E-2</v>
      </c>
      <c r="F204" s="7"/>
      <c r="G204" s="10"/>
      <c r="H204" s="7"/>
      <c r="I204" s="29">
        <f>DATA!AR$15</f>
        <v>39</v>
      </c>
      <c r="J204" s="10">
        <f>(I204/I201)^0.5-1</f>
        <v>2.3632624857024442E-2</v>
      </c>
      <c r="K204" s="7"/>
    </row>
    <row r="205" spans="1:11" ht="12.75">
      <c r="A205" s="7" t="str">
        <f>DATA!M$3</f>
        <v>2016-2018</v>
      </c>
      <c r="B205" s="5"/>
      <c r="C205" s="9">
        <f>1-DATA!U$15/DATA!M$15</f>
        <v>0.34545454545454546</v>
      </c>
      <c r="D205" s="8">
        <f>DATA!AC$15</f>
        <v>9.5000000000000001E-2</v>
      </c>
      <c r="E205" s="10">
        <f>C205*D205</f>
        <v>3.2818181818181816E-2</v>
      </c>
      <c r="F205" s="10"/>
      <c r="G205" s="10">
        <f>DATA!AY$15</f>
        <v>4.4999999999999998E-2</v>
      </c>
      <c r="H205" s="5"/>
      <c r="I205" s="29">
        <f>DATA!AS$15</f>
        <v>39</v>
      </c>
      <c r="J205" s="10">
        <f>(I205/I201)^0.2-1</f>
        <v>9.3868617947419075E-3</v>
      </c>
      <c r="K205" s="5"/>
    </row>
    <row r="206" spans="1:11" ht="12.75">
      <c r="A206" s="7"/>
      <c r="B206" s="5"/>
      <c r="C206" s="9"/>
      <c r="D206" s="8"/>
      <c r="E206" s="10"/>
      <c r="F206" s="7"/>
      <c r="G206" s="7"/>
      <c r="H206" s="5"/>
      <c r="I206" s="29"/>
      <c r="J206" s="10"/>
      <c r="K206" s="5"/>
    </row>
    <row r="207" spans="1:11" ht="12.75">
      <c r="A207" s="23"/>
      <c r="B207" s="5"/>
      <c r="C207" s="9"/>
      <c r="D207" s="8"/>
      <c r="E207" s="10"/>
      <c r="F207" s="7"/>
      <c r="G207" s="7"/>
      <c r="H207" s="5"/>
      <c r="I207" s="29"/>
      <c r="J207" s="10"/>
      <c r="K207" s="5"/>
    </row>
    <row r="208" spans="1:11" ht="12.75">
      <c r="A208" s="7"/>
      <c r="B208" s="5"/>
      <c r="C208" s="9"/>
      <c r="D208" s="8"/>
      <c r="E208" s="10"/>
      <c r="F208" s="7"/>
      <c r="G208" s="7"/>
      <c r="H208" s="5"/>
      <c r="I208" s="29"/>
      <c r="J208" s="10"/>
      <c r="K208" s="5"/>
    </row>
    <row r="209" spans="1:13" ht="12.75">
      <c r="A209" s="14" t="s">
        <v>518</v>
      </c>
      <c r="B209" s="5"/>
      <c r="C209" s="15"/>
      <c r="D209" s="16" t="s">
        <v>519</v>
      </c>
      <c r="E209" s="17" t="s">
        <v>148</v>
      </c>
      <c r="F209" s="14"/>
      <c r="G209" s="14"/>
      <c r="H209" s="5"/>
      <c r="I209" s="31" t="s">
        <v>428</v>
      </c>
      <c r="J209" s="18" t="s">
        <v>148</v>
      </c>
      <c r="K209" s="5"/>
    </row>
    <row r="210" spans="1:13" ht="12.75">
      <c r="A210" s="7"/>
      <c r="B210" s="5"/>
      <c r="C210" s="9"/>
      <c r="D210" s="8"/>
      <c r="E210" s="10"/>
      <c r="F210" s="7"/>
      <c r="G210" s="7"/>
      <c r="H210" s="5"/>
      <c r="I210" s="29"/>
      <c r="J210" s="10"/>
      <c r="K210" s="5"/>
    </row>
    <row r="211" spans="1:13" ht="12.75">
      <c r="A211" s="7"/>
      <c r="B211" s="5"/>
      <c r="C211" s="9" t="s">
        <v>429</v>
      </c>
      <c r="D211" s="8" t="s">
        <v>488</v>
      </c>
      <c r="E211" s="10"/>
      <c r="F211" s="7"/>
      <c r="G211" s="7" t="s">
        <v>368</v>
      </c>
      <c r="H211" s="5"/>
      <c r="I211" s="29" t="s">
        <v>369</v>
      </c>
      <c r="J211" s="10" t="s">
        <v>151</v>
      </c>
      <c r="K211" s="5"/>
    </row>
    <row r="212" spans="1:13" ht="12.75">
      <c r="A212" s="19" t="str">
        <f>DATA!A$16</f>
        <v>PCG</v>
      </c>
      <c r="B212" s="5"/>
      <c r="C212" s="15" t="s">
        <v>301</v>
      </c>
      <c r="D212" s="16" t="s">
        <v>302</v>
      </c>
      <c r="E212" s="17" t="s">
        <v>452</v>
      </c>
      <c r="F212" s="14"/>
      <c r="G212" s="14" t="s">
        <v>533</v>
      </c>
      <c r="H212" s="5"/>
      <c r="I212" s="32" t="s">
        <v>367</v>
      </c>
      <c r="J212" s="17" t="s">
        <v>148</v>
      </c>
      <c r="K212" s="5"/>
    </row>
    <row r="213" spans="1:13" ht="12.75">
      <c r="A213" s="7">
        <f>DATA!F$3</f>
        <v>2008</v>
      </c>
      <c r="B213" s="5"/>
      <c r="C213" s="9">
        <f>1-DATA!N$16/DATA!F$16</f>
        <v>0.51552795031055898</v>
      </c>
      <c r="D213" s="8">
        <f>DATA!V$16</f>
        <v>0.126</v>
      </c>
      <c r="E213" s="10">
        <f>C213*D213</f>
        <v>6.4956521739130427E-2</v>
      </c>
      <c r="F213" s="7"/>
      <c r="G213" s="29">
        <f>DATA!AD$16</f>
        <v>25.97</v>
      </c>
      <c r="H213" s="5"/>
      <c r="I213" s="29">
        <f>DATA!AL$16</f>
        <v>361.06</v>
      </c>
      <c r="J213" s="10"/>
      <c r="K213" s="5"/>
    </row>
    <row r="214" spans="1:13" ht="12.75">
      <c r="A214" s="7">
        <f>DATA!G$3</f>
        <v>2009</v>
      </c>
      <c r="B214" s="5"/>
      <c r="C214" s="9">
        <f>1-DATA!O$16/DATA!G$16</f>
        <v>0.4455445544554455</v>
      </c>
      <c r="D214" s="8">
        <f>DATA!W$16</f>
        <v>0.112</v>
      </c>
      <c r="E214" s="10">
        <f>C214*D214</f>
        <v>4.9900990099009897E-2</v>
      </c>
      <c r="F214" s="7"/>
      <c r="G214" s="29">
        <f>DATA!AE$16</f>
        <v>27.88</v>
      </c>
      <c r="H214" s="5"/>
      <c r="I214" s="29">
        <f>DATA!AM$16</f>
        <v>370.6</v>
      </c>
      <c r="J214" s="10"/>
      <c r="K214" s="5"/>
    </row>
    <row r="215" spans="1:13" ht="12.75">
      <c r="A215" s="7">
        <f>DATA!H$3</f>
        <v>2010</v>
      </c>
      <c r="B215" s="5"/>
      <c r="C215" s="9">
        <f>1-DATA!P$16/DATA!H$16</f>
        <v>0.35460992907801414</v>
      </c>
      <c r="D215" s="8">
        <f>DATA!X$16</f>
        <v>9.7000000000000003E-2</v>
      </c>
      <c r="E215" s="10">
        <f>C215*D215</f>
        <v>3.439716312056737E-2</v>
      </c>
      <c r="F215" s="7"/>
      <c r="G215" s="29">
        <f>DATA!AF$16</f>
        <v>28.55</v>
      </c>
      <c r="H215" s="5"/>
      <c r="I215" s="29">
        <f>DATA!AN$16</f>
        <v>395.23</v>
      </c>
      <c r="J215" s="10"/>
      <c r="K215" s="5"/>
    </row>
    <row r="216" spans="1:13" ht="12.75">
      <c r="A216" s="7">
        <f>DATA!I$3</f>
        <v>2011</v>
      </c>
      <c r="B216" s="5"/>
      <c r="C216" s="9">
        <f>1-DATA!Q$16/DATA!I$16</f>
        <v>0.34532374100719421</v>
      </c>
      <c r="D216" s="8">
        <f>DATA!Y$16</f>
        <v>9.1999999999999998E-2</v>
      </c>
      <c r="E216" s="10">
        <f>C216*D216</f>
        <v>3.1769784172661866E-2</v>
      </c>
      <c r="F216" s="7"/>
      <c r="G216" s="29">
        <f>DATA!AG$16</f>
        <v>29.35</v>
      </c>
      <c r="H216" s="5"/>
      <c r="I216" s="29">
        <f>DATA!AO$16</f>
        <v>412.26</v>
      </c>
      <c r="J216" s="10"/>
      <c r="K216" s="5"/>
    </row>
    <row r="217" spans="1:13" ht="12.75">
      <c r="A217" s="7">
        <f>DATA!J$3</f>
        <v>2012</v>
      </c>
      <c r="B217" s="5"/>
      <c r="C217" s="9">
        <f>1-DATA!R$16/DATA!J$16</f>
        <v>0.12077294685990325</v>
      </c>
      <c r="D217" s="8">
        <f>DATA!Z$16</f>
        <v>6.7000000000000004E-2</v>
      </c>
      <c r="E217" s="20">
        <f>C217*D217</f>
        <v>8.0917874396135188E-3</v>
      </c>
      <c r="F217" s="21"/>
      <c r="G217" s="30">
        <f>DATA!AH$16</f>
        <v>30.35</v>
      </c>
      <c r="H217" s="22"/>
      <c r="I217" s="30">
        <f>DATA!AP$16</f>
        <v>430.72</v>
      </c>
      <c r="J217" s="10"/>
      <c r="K217" s="5"/>
      <c r="M217" s="73">
        <f>AVERAGE(D215:D217)</f>
        <v>8.533333333333333E-2</v>
      </c>
    </row>
    <row r="218" spans="1:13" ht="12.75">
      <c r="A218" s="23" t="s">
        <v>515</v>
      </c>
      <c r="B218" s="5"/>
      <c r="C218" s="9"/>
      <c r="D218" s="8"/>
      <c r="E218" s="10">
        <f>AVERAGE(E213:E217)</f>
        <v>3.7823249314196616E-2</v>
      </c>
      <c r="F218" s="10"/>
      <c r="G218" s="10">
        <f>DATA!AX$16</f>
        <v>0.06</v>
      </c>
      <c r="H218" s="5"/>
      <c r="I218" s="29"/>
      <c r="J218" s="10">
        <f>(I217/I213)^0.25-1</f>
        <v>4.5090536410089976E-2</v>
      </c>
      <c r="K218" s="5"/>
      <c r="M218">
        <f>D221/M217</f>
        <v>1.0546875</v>
      </c>
    </row>
    <row r="219" spans="1:13" ht="12.75">
      <c r="A219" s="7">
        <f>DATA!K$3</f>
        <v>2013</v>
      </c>
      <c r="B219" s="5"/>
      <c r="C219" s="9">
        <f>1-DATA!S$16/DATA!K$16</f>
        <v>6.6666666666666652E-2</v>
      </c>
      <c r="D219" s="8">
        <f>DATA!AA$16</f>
        <v>0.06</v>
      </c>
      <c r="E219" s="10">
        <f>C219*D219</f>
        <v>3.9999999999999992E-3</v>
      </c>
      <c r="F219" s="10"/>
      <c r="G219" s="10"/>
      <c r="H219" s="5"/>
      <c r="I219" s="29">
        <f>DATA!AQ$16</f>
        <v>455</v>
      </c>
      <c r="J219" s="10">
        <f>(I219/I217)-1</f>
        <v>5.6370728083209531E-2</v>
      </c>
      <c r="K219" s="5"/>
    </row>
    <row r="220" spans="1:13" ht="12.75">
      <c r="A220" s="7">
        <f>DATA!L$3</f>
        <v>2014</v>
      </c>
      <c r="B220" s="7"/>
      <c r="C220" s="9">
        <f>1-DATA!T$16/DATA!L$16</f>
        <v>0.24166666666666659</v>
      </c>
      <c r="D220" s="8">
        <f>DATA!AB$16</f>
        <v>7.4999999999999997E-2</v>
      </c>
      <c r="E220" s="10">
        <f>C220*D220</f>
        <v>1.8124999999999992E-2</v>
      </c>
      <c r="F220" s="7"/>
      <c r="G220" s="10"/>
      <c r="H220" s="7"/>
      <c r="I220" s="29">
        <f>DATA!AR$16</f>
        <v>460</v>
      </c>
      <c r="J220" s="10">
        <f>(I220/I217)^0.5-1</f>
        <v>3.3430789952856754E-2</v>
      </c>
      <c r="K220" s="7"/>
    </row>
    <row r="221" spans="1:13" ht="12.75">
      <c r="A221" s="7" t="str">
        <f>DATA!M$3</f>
        <v>2016-2018</v>
      </c>
      <c r="B221" s="5"/>
      <c r="C221" s="9">
        <f>1-DATA!U$16/DATA!M$16</f>
        <v>0.35384615384615381</v>
      </c>
      <c r="D221" s="8">
        <f>DATA!AC$16</f>
        <v>0.09</v>
      </c>
      <c r="E221" s="10">
        <f>C221*D221</f>
        <v>3.1846153846153843E-2</v>
      </c>
      <c r="F221" s="10"/>
      <c r="G221" s="10">
        <f>DATA!AY$16</f>
        <v>0.03</v>
      </c>
      <c r="H221" s="5"/>
      <c r="I221" s="29">
        <f>DATA!AS$16</f>
        <v>475</v>
      </c>
      <c r="J221" s="10">
        <f>(I221/I217)^0.2-1</f>
        <v>1.9764089155180464E-2</v>
      </c>
      <c r="K221" s="5"/>
    </row>
    <row r="222" spans="1:13" ht="12.75">
      <c r="B222" s="5"/>
      <c r="C222" s="9"/>
      <c r="D222" s="8"/>
      <c r="E222" s="10"/>
      <c r="F222" s="7"/>
      <c r="G222" s="7"/>
      <c r="H222" s="5"/>
      <c r="I222" s="29"/>
      <c r="J222" s="218" t="s">
        <v>538</v>
      </c>
      <c r="K222" s="5"/>
    </row>
    <row r="223" spans="1:13" ht="12.75">
      <c r="A223" s="7"/>
      <c r="B223" s="5"/>
      <c r="C223" s="9"/>
      <c r="D223" s="8"/>
      <c r="E223" s="10"/>
      <c r="F223" s="7"/>
      <c r="G223" s="7"/>
      <c r="H223" s="5"/>
      <c r="I223" s="29"/>
      <c r="J223" s="221" t="s">
        <v>539</v>
      </c>
      <c r="K223" s="5"/>
    </row>
    <row r="224" spans="1:13" ht="12.75">
      <c r="A224" s="7"/>
      <c r="B224" s="5"/>
      <c r="C224" s="9"/>
      <c r="D224" s="8"/>
      <c r="E224" s="10"/>
      <c r="F224" s="7"/>
      <c r="G224" s="7"/>
      <c r="H224" s="5"/>
      <c r="I224" s="29"/>
      <c r="J224" s="11" t="s">
        <v>350</v>
      </c>
      <c r="K224" s="5"/>
    </row>
    <row r="225" spans="1:11" ht="12.75">
      <c r="A225" s="7"/>
      <c r="B225" s="5"/>
      <c r="C225" s="9"/>
      <c r="D225" s="8"/>
      <c r="E225" s="10"/>
      <c r="F225" s="7"/>
      <c r="G225" s="7"/>
      <c r="H225" s="5"/>
      <c r="I225" s="29"/>
      <c r="J225" s="10"/>
      <c r="K225" s="5"/>
    </row>
    <row r="226" spans="1:11" ht="12.75">
      <c r="A226" s="7"/>
      <c r="B226" s="5"/>
      <c r="C226" s="9"/>
      <c r="D226" s="8"/>
      <c r="E226" s="10"/>
      <c r="F226" s="7"/>
      <c r="G226" s="7"/>
      <c r="H226" s="5"/>
      <c r="I226" s="29"/>
      <c r="J226" s="10"/>
      <c r="K226" s="5"/>
    </row>
    <row r="227" spans="1:11" ht="12.75">
      <c r="A227" s="7"/>
      <c r="B227" s="5"/>
      <c r="C227" s="9"/>
      <c r="D227" s="8"/>
      <c r="E227" s="12"/>
      <c r="F227" s="13" t="str">
        <f>F$6</f>
        <v>PUGET SOUND ENERGY</v>
      </c>
      <c r="G227" s="5"/>
      <c r="H227" s="5"/>
      <c r="I227" s="29"/>
      <c r="J227" s="10"/>
      <c r="K227" s="5"/>
    </row>
    <row r="228" spans="1:11" ht="12.75">
      <c r="A228" s="7"/>
      <c r="B228" s="5"/>
      <c r="C228" s="9"/>
      <c r="D228" s="8"/>
      <c r="E228" s="12"/>
      <c r="F228" s="13" t="s">
        <v>505</v>
      </c>
      <c r="G228" s="5"/>
      <c r="H228" s="5"/>
      <c r="I228" s="29"/>
      <c r="J228" s="10"/>
      <c r="K228" s="5"/>
    </row>
    <row r="229" spans="1:11" ht="12.75">
      <c r="A229" s="7"/>
      <c r="B229" s="5"/>
      <c r="C229" s="9"/>
      <c r="D229" s="8"/>
      <c r="E229" s="10"/>
      <c r="F229" s="7" t="s">
        <v>498</v>
      </c>
      <c r="G229" s="7"/>
      <c r="H229" s="5"/>
      <c r="I229" s="29"/>
      <c r="J229" s="10"/>
      <c r="K229" s="5"/>
    </row>
    <row r="230" spans="1:11" ht="12.75">
      <c r="A230" s="7"/>
      <c r="B230" s="5"/>
      <c r="C230" s="9"/>
      <c r="D230" s="8"/>
      <c r="E230" s="10"/>
      <c r="F230" s="7"/>
      <c r="G230" s="7"/>
      <c r="H230" s="5"/>
      <c r="I230" s="29"/>
      <c r="J230" s="10"/>
      <c r="K230" s="5"/>
    </row>
    <row r="231" spans="1:11" ht="12.75">
      <c r="A231" s="7"/>
      <c r="B231" s="5"/>
      <c r="C231" s="9"/>
      <c r="D231" s="8"/>
      <c r="E231" s="10"/>
      <c r="F231" s="7"/>
      <c r="G231" s="7"/>
      <c r="H231" s="5"/>
      <c r="I231" s="29"/>
      <c r="J231" s="10"/>
      <c r="K231" s="5"/>
    </row>
    <row r="232" spans="1:11" ht="12.75">
      <c r="A232" s="14" t="s">
        <v>518</v>
      </c>
      <c r="B232" s="5"/>
      <c r="C232" s="15"/>
      <c r="D232" s="16" t="s">
        <v>519</v>
      </c>
      <c r="E232" s="17" t="s">
        <v>148</v>
      </c>
      <c r="F232" s="14"/>
      <c r="G232" s="14"/>
      <c r="H232" s="5"/>
      <c r="I232" s="31" t="s">
        <v>428</v>
      </c>
      <c r="J232" s="18" t="s">
        <v>148</v>
      </c>
      <c r="K232" s="5"/>
    </row>
    <row r="233" spans="1:11" ht="12.75">
      <c r="A233" s="7"/>
      <c r="B233" s="5"/>
      <c r="C233" s="9"/>
      <c r="D233" s="8"/>
      <c r="E233" s="10"/>
      <c r="F233" s="7"/>
      <c r="G233" s="7"/>
      <c r="H233" s="5"/>
      <c r="I233" s="29"/>
      <c r="J233" s="10"/>
      <c r="K233" s="5"/>
    </row>
    <row r="234" spans="1:11" ht="12.75">
      <c r="A234" s="7"/>
      <c r="B234" s="5"/>
      <c r="C234" s="9" t="s">
        <v>429</v>
      </c>
      <c r="D234" s="8" t="s">
        <v>488</v>
      </c>
      <c r="E234" s="10"/>
      <c r="F234" s="7"/>
      <c r="G234" s="7" t="s">
        <v>368</v>
      </c>
      <c r="H234" s="5"/>
      <c r="I234" s="29" t="s">
        <v>369</v>
      </c>
      <c r="J234" s="10" t="s">
        <v>151</v>
      </c>
      <c r="K234" s="5"/>
    </row>
    <row r="235" spans="1:11" ht="12.75">
      <c r="A235" s="19" t="str">
        <f>DATA!A$17</f>
        <v>PNW</v>
      </c>
      <c r="B235" s="5"/>
      <c r="C235" s="15" t="s">
        <v>301</v>
      </c>
      <c r="D235" s="16" t="s">
        <v>302</v>
      </c>
      <c r="E235" s="17" t="s">
        <v>452</v>
      </c>
      <c r="F235" s="14"/>
      <c r="G235" s="14" t="s">
        <v>533</v>
      </c>
      <c r="H235" s="5"/>
      <c r="I235" s="32" t="s">
        <v>367</v>
      </c>
      <c r="J235" s="17" t="s">
        <v>148</v>
      </c>
      <c r="K235" s="5"/>
    </row>
    <row r="236" spans="1:11" ht="12.75">
      <c r="A236" s="7">
        <f>DATA!F$3</f>
        <v>2008</v>
      </c>
      <c r="B236" s="5"/>
      <c r="C236" s="9">
        <f>1-DATA!N$17/DATA!F$17</f>
        <v>9.4339622641509413E-3</v>
      </c>
      <c r="D236" s="8">
        <f>DATA!V$17</f>
        <v>6.2E-2</v>
      </c>
      <c r="E236" s="10">
        <f>C236*D236</f>
        <v>5.849056603773583E-4</v>
      </c>
      <c r="F236" s="7"/>
      <c r="G236" s="29">
        <f>DATA!AD$17</f>
        <v>34.159999999999997</v>
      </c>
      <c r="H236" s="5"/>
      <c r="I236" s="29">
        <f>DATA!AL$17</f>
        <v>100.89</v>
      </c>
      <c r="J236" s="10"/>
      <c r="K236" s="5"/>
    </row>
    <row r="237" spans="1:11" ht="12.75">
      <c r="A237" s="7">
        <f>DATA!G$3</f>
        <v>2009</v>
      </c>
      <c r="B237" s="5"/>
      <c r="C237" s="9">
        <f>1-DATA!O$17/DATA!G$17</f>
        <v>7.0796460176991038E-2</v>
      </c>
      <c r="D237" s="8">
        <f>DATA!W$17</f>
        <v>6.9000000000000006E-2</v>
      </c>
      <c r="E237" s="10">
        <f>C237*D237</f>
        <v>4.8849557522123816E-3</v>
      </c>
      <c r="F237" s="7"/>
      <c r="G237" s="29">
        <f>DATA!AE$17</f>
        <v>32.69</v>
      </c>
      <c r="H237" s="5"/>
      <c r="I237" s="29">
        <f>DATA!AM$17</f>
        <v>101.43</v>
      </c>
      <c r="J237" s="10"/>
      <c r="K237" s="5"/>
    </row>
    <row r="238" spans="1:11" ht="12.75">
      <c r="A238" s="7">
        <f>DATA!H$3</f>
        <v>2010</v>
      </c>
      <c r="B238" s="5"/>
      <c r="C238" s="9">
        <f>1-DATA!P$17/DATA!H$17</f>
        <v>0.31818181818181812</v>
      </c>
      <c r="D238" s="8">
        <f>DATA!X$17</f>
        <v>0.09</v>
      </c>
      <c r="E238" s="10">
        <f>C238*D238</f>
        <v>2.863636363636363E-2</v>
      </c>
      <c r="F238" s="7"/>
      <c r="G238" s="29">
        <f>DATA!AF$17</f>
        <v>33.86</v>
      </c>
      <c r="H238" s="5"/>
      <c r="I238" s="29">
        <f>DATA!AN$17</f>
        <v>108.77</v>
      </c>
      <c r="J238" s="10"/>
      <c r="K238" s="5"/>
    </row>
    <row r="239" spans="1:11" ht="12.75">
      <c r="A239" s="7">
        <f>DATA!I$3</f>
        <v>2011</v>
      </c>
      <c r="B239" s="5"/>
      <c r="C239" s="9">
        <f>1-DATA!Q$17/DATA!I$17</f>
        <v>0.2976588628762542</v>
      </c>
      <c r="D239" s="8">
        <f>DATA!Y$17</f>
        <v>8.5999999999999993E-2</v>
      </c>
      <c r="E239" s="10">
        <f>C239*D239</f>
        <v>2.5598662207357861E-2</v>
      </c>
      <c r="F239" s="7"/>
      <c r="G239" s="29">
        <f>DATA!AG$17</f>
        <v>34.979999999999997</v>
      </c>
      <c r="H239" s="5"/>
      <c r="I239" s="29">
        <f>DATA!AO$17</f>
        <v>109.25</v>
      </c>
      <c r="J239" s="10"/>
      <c r="K239" s="5"/>
    </row>
    <row r="240" spans="1:11" ht="12.75">
      <c r="A240" s="7">
        <f>DATA!J$3</f>
        <v>2012</v>
      </c>
      <c r="B240" s="5"/>
      <c r="C240" s="9">
        <f>1-DATA!R$17/DATA!J$17</f>
        <v>0.39428571428571424</v>
      </c>
      <c r="D240" s="8">
        <f>DATA!Z$17</f>
        <v>9.8000000000000004E-2</v>
      </c>
      <c r="E240" s="20">
        <f>C240*D240</f>
        <v>3.8639999999999994E-2</v>
      </c>
      <c r="F240" s="21"/>
      <c r="G240" s="30">
        <f>DATA!AH$17</f>
        <v>36.200000000000003</v>
      </c>
      <c r="H240" s="22"/>
      <c r="I240" s="30">
        <f>DATA!AP$17</f>
        <v>109.74</v>
      </c>
      <c r="J240" s="10"/>
      <c r="K240" s="5"/>
    </row>
    <row r="241" spans="1:13" ht="12.75">
      <c r="A241" s="23" t="s">
        <v>515</v>
      </c>
      <c r="B241" s="5"/>
      <c r="C241" s="9"/>
      <c r="D241" s="8"/>
      <c r="E241" s="10">
        <f>AVERAGE(E236:E240)</f>
        <v>1.9668977451262247E-2</v>
      </c>
      <c r="F241" s="10"/>
      <c r="G241" s="10">
        <f>DATA!AX$17</f>
        <v>0</v>
      </c>
      <c r="H241" s="5"/>
      <c r="I241" s="29"/>
      <c r="J241" s="10">
        <f>(I240/I236)^0.25-1</f>
        <v>2.1243272140070379E-2</v>
      </c>
      <c r="K241" s="5"/>
    </row>
    <row r="242" spans="1:13" ht="12.75">
      <c r="A242" s="7">
        <f>DATA!K$3</f>
        <v>2013</v>
      </c>
      <c r="B242" s="5"/>
      <c r="C242" s="9">
        <f>1-DATA!S$17/DATA!K$17</f>
        <v>0.37714285714285711</v>
      </c>
      <c r="D242" s="8">
        <f>DATA!AA$17</f>
        <v>9.5000000000000001E-2</v>
      </c>
      <c r="E242" s="10">
        <f>C242*D242</f>
        <v>3.5828571428571425E-2</v>
      </c>
      <c r="F242" s="10"/>
      <c r="G242" s="10"/>
      <c r="H242" s="5"/>
      <c r="I242" s="29">
        <f>DATA!AQ$17</f>
        <v>111</v>
      </c>
      <c r="J242" s="10">
        <f>(I242/I240)-1</f>
        <v>1.1481683980317126E-2</v>
      </c>
      <c r="K242" s="5"/>
    </row>
    <row r="243" spans="1:13" ht="12.75">
      <c r="A243" s="7">
        <f>DATA!L$3</f>
        <v>2014</v>
      </c>
      <c r="B243" s="7"/>
      <c r="C243" s="9">
        <f>1-DATA!T$17/DATA!L$17</f>
        <v>0.37534246575342467</v>
      </c>
      <c r="D243" s="8">
        <f>DATA!AB$17</f>
        <v>9.5000000000000001E-2</v>
      </c>
      <c r="E243" s="10">
        <f>C243*D243</f>
        <v>3.5657534246575341E-2</v>
      </c>
      <c r="F243" s="7"/>
      <c r="G243" s="10"/>
      <c r="H243" s="7"/>
      <c r="I243" s="29">
        <f>DATA!AR$17</f>
        <v>112</v>
      </c>
      <c r="J243" s="10">
        <f>(I243/I240)^0.5-1</f>
        <v>1.0244589979943264E-2</v>
      </c>
      <c r="K243" s="7"/>
    </row>
    <row r="244" spans="1:13" ht="12.75">
      <c r="A244" s="7" t="str">
        <f>DATA!M$3</f>
        <v>2016-2018</v>
      </c>
      <c r="B244" s="5"/>
      <c r="C244" s="9">
        <f>1-DATA!U$17/DATA!M$17</f>
        <v>0.38823529411764701</v>
      </c>
      <c r="D244" s="8">
        <f>DATA!AC$17</f>
        <v>0.1</v>
      </c>
      <c r="E244" s="10">
        <f>C244*D244</f>
        <v>3.8823529411764701E-2</v>
      </c>
      <c r="F244" s="10"/>
      <c r="G244" s="10">
        <f>DATA!AY$17</f>
        <v>3.5000000000000003E-2</v>
      </c>
      <c r="H244" s="5"/>
      <c r="I244" s="29">
        <f>DATA!AS$17</f>
        <v>115</v>
      </c>
      <c r="J244" s="10">
        <f>(I244/I240)^0.2-1</f>
        <v>9.4076153687570052E-3</v>
      </c>
      <c r="K244" s="5"/>
    </row>
    <row r="245" spans="1:13" ht="12.75">
      <c r="A245" s="7"/>
      <c r="B245" s="5"/>
      <c r="C245" s="9"/>
      <c r="D245" s="8"/>
      <c r="E245" s="10"/>
      <c r="F245" s="7"/>
      <c r="G245" s="7"/>
      <c r="H245" s="5"/>
      <c r="I245" s="29"/>
      <c r="J245" s="10"/>
      <c r="K245" s="5"/>
    </row>
    <row r="246" spans="1:13" ht="12.75">
      <c r="A246" s="23"/>
      <c r="B246" s="5"/>
      <c r="C246" s="9"/>
      <c r="D246" s="8"/>
      <c r="E246" s="10"/>
      <c r="F246" s="7"/>
      <c r="G246" s="7"/>
      <c r="H246" s="5"/>
      <c r="I246" s="29"/>
      <c r="J246" s="10"/>
      <c r="K246" s="5"/>
    </row>
    <row r="247" spans="1:13" ht="12.75">
      <c r="A247" s="7"/>
      <c r="B247" s="5"/>
      <c r="C247" s="9"/>
      <c r="D247" s="8"/>
      <c r="E247" s="10"/>
      <c r="F247" s="7"/>
      <c r="G247" s="7"/>
      <c r="H247" s="5"/>
      <c r="I247" s="29"/>
      <c r="J247" s="10"/>
      <c r="K247" s="5"/>
    </row>
    <row r="248" spans="1:13" ht="12.75">
      <c r="A248" s="14" t="s">
        <v>518</v>
      </c>
      <c r="B248" s="5"/>
      <c r="C248" s="15"/>
      <c r="D248" s="16" t="s">
        <v>519</v>
      </c>
      <c r="E248" s="17" t="s">
        <v>148</v>
      </c>
      <c r="F248" s="14"/>
      <c r="G248" s="14"/>
      <c r="H248" s="5"/>
      <c r="I248" s="31" t="s">
        <v>428</v>
      </c>
      <c r="J248" s="18" t="s">
        <v>148</v>
      </c>
      <c r="K248" s="5"/>
    </row>
    <row r="249" spans="1:13" ht="12.75">
      <c r="A249" s="7"/>
      <c r="B249" s="5"/>
      <c r="C249" s="9"/>
      <c r="D249" s="8"/>
      <c r="E249" s="10"/>
      <c r="F249" s="7"/>
      <c r="G249" s="7"/>
      <c r="H249" s="5"/>
      <c r="I249" s="29"/>
      <c r="J249" s="10"/>
      <c r="K249" s="5"/>
    </row>
    <row r="250" spans="1:13" ht="12.75">
      <c r="A250" s="7"/>
      <c r="B250" s="5"/>
      <c r="C250" s="9" t="s">
        <v>429</v>
      </c>
      <c r="D250" s="8" t="s">
        <v>488</v>
      </c>
      <c r="E250" s="10"/>
      <c r="F250" s="7"/>
      <c r="G250" s="7" t="s">
        <v>368</v>
      </c>
      <c r="H250" s="5"/>
      <c r="I250" s="29" t="s">
        <v>369</v>
      </c>
      <c r="J250" s="10" t="s">
        <v>151</v>
      </c>
      <c r="K250" s="5"/>
    </row>
    <row r="251" spans="1:13" ht="12.75">
      <c r="A251" s="19" t="str">
        <f>DATA!A$18</f>
        <v>POR</v>
      </c>
      <c r="B251" s="5"/>
      <c r="C251" s="15" t="s">
        <v>301</v>
      </c>
      <c r="D251" s="16" t="s">
        <v>302</v>
      </c>
      <c r="E251" s="17" t="s">
        <v>452</v>
      </c>
      <c r="F251" s="14"/>
      <c r="G251" s="14" t="s">
        <v>533</v>
      </c>
      <c r="H251" s="5"/>
      <c r="I251" s="32" t="s">
        <v>367</v>
      </c>
      <c r="J251" s="17" t="s">
        <v>148</v>
      </c>
      <c r="K251" s="5"/>
    </row>
    <row r="252" spans="1:13" ht="12.75">
      <c r="A252" s="7">
        <f>DATA!F$3</f>
        <v>2008</v>
      </c>
      <c r="B252" s="5"/>
      <c r="C252" s="9">
        <f>1-DATA!N$18/DATA!F$18</f>
        <v>0.30215827338129497</v>
      </c>
      <c r="D252" s="8">
        <f>DATA!V$18</f>
        <v>6.4000000000000001E-2</v>
      </c>
      <c r="E252" s="10">
        <f>C252*D252</f>
        <v>1.933812949640288E-2</v>
      </c>
      <c r="F252" s="7"/>
      <c r="G252" s="29">
        <f>DATA!AD$18</f>
        <v>21.64</v>
      </c>
      <c r="H252" s="5"/>
      <c r="I252" s="29">
        <f>DATA!AL$18</f>
        <v>62.58</v>
      </c>
      <c r="J252" s="10"/>
      <c r="K252" s="5"/>
    </row>
    <row r="253" spans="1:13" ht="12.75">
      <c r="A253" s="7">
        <f>DATA!G$3</f>
        <v>2009</v>
      </c>
      <c r="B253" s="5"/>
      <c r="C253" s="9">
        <f>1-DATA!O$18/DATA!G$18</f>
        <v>0.22900763358778631</v>
      </c>
      <c r="D253" s="8">
        <f>DATA!W$18</f>
        <v>6.2E-2</v>
      </c>
      <c r="E253" s="10">
        <f>C253*D253</f>
        <v>1.4198473282442751E-2</v>
      </c>
      <c r="F253" s="7"/>
      <c r="G253" s="29">
        <f>DATA!AE$18</f>
        <v>20.5</v>
      </c>
      <c r="H253" s="5"/>
      <c r="I253" s="29">
        <f>DATA!AM$18</f>
        <v>75.209999999999994</v>
      </c>
      <c r="J253" s="10"/>
      <c r="K253" s="5"/>
    </row>
    <row r="254" spans="1:13" ht="12.75">
      <c r="A254" s="7">
        <f>DATA!H$3</f>
        <v>2010</v>
      </c>
      <c r="B254" s="5"/>
      <c r="C254" s="9">
        <f>1-DATA!P$18/DATA!H$18</f>
        <v>0.37349397590361444</v>
      </c>
      <c r="D254" s="8">
        <f>DATA!X$18</f>
        <v>7.9000000000000001E-2</v>
      </c>
      <c r="E254" s="10">
        <f>C254*D254</f>
        <v>2.9506024096385541E-2</v>
      </c>
      <c r="F254" s="7"/>
      <c r="G254" s="29">
        <f>DATA!AF$18</f>
        <v>21.14</v>
      </c>
      <c r="H254" s="5"/>
      <c r="I254" s="29">
        <f>DATA!AN$18</f>
        <v>75.319999999999993</v>
      </c>
      <c r="J254" s="10"/>
      <c r="K254" s="5"/>
    </row>
    <row r="255" spans="1:13" ht="12.75">
      <c r="A255" s="7">
        <f>DATA!I$3</f>
        <v>2011</v>
      </c>
      <c r="B255" s="5"/>
      <c r="C255" s="9">
        <f>1-DATA!Q$18/DATA!I$18</f>
        <v>0.45641025641025634</v>
      </c>
      <c r="D255" s="8">
        <f>DATA!Y$18</f>
        <v>8.7999999999999995E-2</v>
      </c>
      <c r="E255" s="10">
        <f>C255*D255</f>
        <v>4.0164102564102556E-2</v>
      </c>
      <c r="F255" s="7"/>
      <c r="G255" s="29">
        <f>DATA!AG$18</f>
        <v>22.07</v>
      </c>
      <c r="H255" s="5"/>
      <c r="I255" s="29">
        <f>DATA!AO$18</f>
        <v>75.36</v>
      </c>
      <c r="J255" s="10"/>
      <c r="K255" s="5"/>
    </row>
    <row r="256" spans="1:13" ht="12.75">
      <c r="A256" s="7">
        <f>DATA!J$3</f>
        <v>2012</v>
      </c>
      <c r="B256" s="5"/>
      <c r="C256" s="9">
        <f>1-DATA!R$18/DATA!J$18</f>
        <v>0.42245989304812837</v>
      </c>
      <c r="D256" s="8">
        <f>DATA!Z$18</f>
        <v>8.2000000000000003E-2</v>
      </c>
      <c r="E256" s="20">
        <f>C256*D256</f>
        <v>3.4641711229946526E-2</v>
      </c>
      <c r="F256" s="21"/>
      <c r="G256" s="30">
        <f>DATA!AH$18</f>
        <v>22.87</v>
      </c>
      <c r="H256" s="22"/>
      <c r="I256" s="30">
        <f>DATA!AP$18</f>
        <v>75.56</v>
      </c>
      <c r="J256" s="10"/>
      <c r="K256" s="5"/>
      <c r="M256" s="73">
        <f>AVERAGE(D254:D256)</f>
        <v>8.3000000000000004E-2</v>
      </c>
    </row>
    <row r="257" spans="1:13" ht="12.75">
      <c r="A257" s="23" t="s">
        <v>515</v>
      </c>
      <c r="B257" s="5"/>
      <c r="C257" s="9"/>
      <c r="D257" s="8"/>
      <c r="E257" s="10">
        <f>AVERAGE(E252:E256)</f>
        <v>2.7569688133856053E-2</v>
      </c>
      <c r="F257" s="10"/>
      <c r="G257" s="10">
        <f>DATA!AX$18</f>
        <v>0.02</v>
      </c>
      <c r="H257" s="5"/>
      <c r="I257" s="29"/>
      <c r="J257" s="10">
        <f>(I256/I252)^0.25-1</f>
        <v>4.8248133099239698E-2</v>
      </c>
      <c r="K257" s="5"/>
      <c r="M257">
        <f>D260/M256</f>
        <v>0.96385542168674698</v>
      </c>
    </row>
    <row r="258" spans="1:13" ht="12.75">
      <c r="A258" s="7">
        <f>DATA!K$3</f>
        <v>2013</v>
      </c>
      <c r="B258" s="5"/>
      <c r="C258" s="9">
        <f>1-DATA!S$18/DATA!K$18</f>
        <v>0.41578947368421049</v>
      </c>
      <c r="D258" s="8">
        <f>DATA!AA$18</f>
        <v>0.08</v>
      </c>
      <c r="E258" s="10">
        <f>C258*D258</f>
        <v>3.3263157894736842E-2</v>
      </c>
      <c r="F258" s="10"/>
      <c r="G258" s="10"/>
      <c r="H258" s="5"/>
      <c r="I258" s="29">
        <f>DATA!AQ$18</f>
        <v>75.75</v>
      </c>
      <c r="J258" s="10">
        <f>(I258/I256)-1</f>
        <v>2.5145579671783658E-3</v>
      </c>
      <c r="K258" s="5"/>
    </row>
    <row r="259" spans="1:13" ht="12.75">
      <c r="A259" s="7">
        <f>DATA!L$3</f>
        <v>2014</v>
      </c>
      <c r="B259" s="7"/>
      <c r="C259" s="9">
        <f>1-DATA!T$18/DATA!L$18</f>
        <v>0.42500000000000004</v>
      </c>
      <c r="D259" s="8">
        <f>DATA!AB$18</f>
        <v>0.08</v>
      </c>
      <c r="E259" s="10">
        <f>C259*D259</f>
        <v>3.4000000000000002E-2</v>
      </c>
      <c r="F259" s="7"/>
      <c r="G259" s="10"/>
      <c r="H259" s="7"/>
      <c r="I259" s="29">
        <f>DATA!AR$18</f>
        <v>76</v>
      </c>
      <c r="J259" s="10">
        <f>(I259/I256)^0.5-1</f>
        <v>2.9073670441157606E-3</v>
      </c>
      <c r="K259" s="7"/>
    </row>
    <row r="260" spans="1:13" ht="12.75">
      <c r="A260" s="7" t="str">
        <f>DATA!M$3</f>
        <v>2016-2018</v>
      </c>
      <c r="B260" s="5"/>
      <c r="C260" s="9">
        <f>1-DATA!U$18/DATA!M$18</f>
        <v>0.42222222222222217</v>
      </c>
      <c r="D260" s="8">
        <f>DATA!AC$18</f>
        <v>0.08</v>
      </c>
      <c r="E260" s="10">
        <f>C260*D260</f>
        <v>3.3777777777777775E-2</v>
      </c>
      <c r="F260" s="10"/>
      <c r="G260" s="10">
        <f>DATA!AY$18</f>
        <v>3.5000000000000003E-2</v>
      </c>
      <c r="H260" s="5"/>
      <c r="I260" s="29">
        <f>DATA!AS$18</f>
        <v>76.75</v>
      </c>
      <c r="J260" s="10">
        <f>(I260/I256)^0.2-1</f>
        <v>3.1301575107849366E-3</v>
      </c>
      <c r="K260" s="5"/>
    </row>
    <row r="261" spans="1:13" ht="12.75">
      <c r="B261" s="5"/>
      <c r="C261" s="9"/>
      <c r="D261" s="8"/>
      <c r="E261" s="10"/>
      <c r="F261" s="7"/>
      <c r="G261" s="7"/>
      <c r="H261" s="5"/>
      <c r="I261" s="29"/>
      <c r="J261" s="10"/>
      <c r="K261" s="5"/>
    </row>
    <row r="262" spans="1:13" ht="12.75">
      <c r="A262" s="7"/>
      <c r="B262" s="5"/>
      <c r="C262" s="9"/>
      <c r="D262" s="8"/>
      <c r="E262" s="10"/>
      <c r="F262" s="7"/>
      <c r="G262" s="7"/>
      <c r="H262" s="5"/>
      <c r="I262" s="29"/>
      <c r="J262" s="10"/>
      <c r="K262" s="5"/>
    </row>
    <row r="263" spans="1:13" ht="12.75">
      <c r="A263" s="7"/>
      <c r="B263" s="5"/>
      <c r="C263" s="9"/>
      <c r="D263" s="8"/>
      <c r="E263" s="10"/>
      <c r="F263" s="7"/>
      <c r="G263" s="7"/>
      <c r="H263" s="5"/>
      <c r="I263" s="29"/>
      <c r="J263" s="10"/>
      <c r="K263" s="5"/>
    </row>
    <row r="264" spans="1:13" ht="12.75">
      <c r="A264" s="14" t="s">
        <v>518</v>
      </c>
      <c r="B264" s="5"/>
      <c r="C264" s="15"/>
      <c r="D264" s="16" t="s">
        <v>519</v>
      </c>
      <c r="E264" s="17" t="s">
        <v>148</v>
      </c>
      <c r="F264" s="14"/>
      <c r="G264" s="14"/>
      <c r="H264" s="5"/>
      <c r="I264" s="31" t="s">
        <v>428</v>
      </c>
      <c r="J264" s="18" t="s">
        <v>148</v>
      </c>
      <c r="K264" s="5"/>
    </row>
    <row r="265" spans="1:13" ht="12.75">
      <c r="A265" s="7"/>
      <c r="B265" s="5"/>
      <c r="C265" s="9"/>
      <c r="D265" s="8"/>
      <c r="E265" s="10"/>
      <c r="F265" s="7"/>
      <c r="G265" s="7"/>
      <c r="H265" s="5"/>
      <c r="I265" s="29"/>
      <c r="J265" s="10"/>
      <c r="K265" s="5"/>
    </row>
    <row r="266" spans="1:13" ht="12.75">
      <c r="A266" s="7"/>
      <c r="B266" s="5"/>
      <c r="C266" s="9" t="s">
        <v>429</v>
      </c>
      <c r="D266" s="8" t="s">
        <v>488</v>
      </c>
      <c r="E266" s="10"/>
      <c r="F266" s="7"/>
      <c r="G266" s="7" t="s">
        <v>368</v>
      </c>
      <c r="H266" s="5"/>
      <c r="I266" s="29" t="s">
        <v>369</v>
      </c>
      <c r="J266" s="10" t="s">
        <v>151</v>
      </c>
      <c r="K266" s="5"/>
    </row>
    <row r="267" spans="1:13" ht="12.75">
      <c r="A267" s="19" t="str">
        <f>DATA!A$19</f>
        <v>XEL</v>
      </c>
      <c r="B267" s="5"/>
      <c r="C267" s="15" t="s">
        <v>301</v>
      </c>
      <c r="D267" s="16" t="s">
        <v>302</v>
      </c>
      <c r="E267" s="17" t="s">
        <v>452</v>
      </c>
      <c r="F267" s="14"/>
      <c r="G267" s="14" t="s">
        <v>533</v>
      </c>
      <c r="H267" s="5"/>
      <c r="I267" s="32" t="s">
        <v>367</v>
      </c>
      <c r="J267" s="17" t="s">
        <v>148</v>
      </c>
      <c r="K267" s="5"/>
    </row>
    <row r="268" spans="1:13" ht="12.75">
      <c r="A268" s="7">
        <f>DATA!F$3</f>
        <v>2008</v>
      </c>
      <c r="B268" s="5"/>
      <c r="C268" s="9">
        <f>1-DATA!N$19/DATA!F$19</f>
        <v>0.35616438356164382</v>
      </c>
      <c r="D268" s="8">
        <f>DATA!V$19</f>
        <v>9.1999999999999998E-2</v>
      </c>
      <c r="E268" s="10">
        <f>C268*D268</f>
        <v>3.2767123287671229E-2</v>
      </c>
      <c r="F268" s="7"/>
      <c r="G268" s="7">
        <f>DATA!AD$19</f>
        <v>15.35</v>
      </c>
      <c r="H268" s="5"/>
      <c r="I268" s="29">
        <f>DATA!AL$19</f>
        <v>453.79</v>
      </c>
      <c r="J268" s="10"/>
      <c r="K268" s="5"/>
    </row>
    <row r="269" spans="1:13" ht="12.75">
      <c r="A269" s="7">
        <f>DATA!G$3</f>
        <v>2009</v>
      </c>
      <c r="B269" s="5"/>
      <c r="C269" s="9">
        <f>1-DATA!O$19/DATA!G$19</f>
        <v>0.34899328859060408</v>
      </c>
      <c r="D269" s="8">
        <f>DATA!W$19</f>
        <v>9.4E-2</v>
      </c>
      <c r="E269" s="10">
        <f>C269*D269</f>
        <v>3.2805369127516783E-2</v>
      </c>
      <c r="F269" s="7"/>
      <c r="G269" s="7">
        <f>DATA!AE$19</f>
        <v>15.92</v>
      </c>
      <c r="H269" s="5"/>
      <c r="I269" s="29">
        <f>DATA!AM$19</f>
        <v>457.51</v>
      </c>
      <c r="J269" s="10"/>
      <c r="K269" s="5"/>
    </row>
    <row r="270" spans="1:13" ht="12.75">
      <c r="A270" s="7">
        <f>DATA!H$3</f>
        <v>2010</v>
      </c>
      <c r="B270" s="5"/>
      <c r="C270" s="9">
        <f>1-DATA!P$19/DATA!H$19</f>
        <v>0.35897435897435903</v>
      </c>
      <c r="D270" s="8">
        <f>DATA!X$19</f>
        <v>8.8999999999999996E-2</v>
      </c>
      <c r="E270" s="10">
        <f>C270*D270</f>
        <v>3.1948717948717953E-2</v>
      </c>
      <c r="F270" s="7"/>
      <c r="G270" s="7">
        <f>DATA!AF$19</f>
        <v>16.760000000000002</v>
      </c>
      <c r="H270" s="5"/>
      <c r="I270" s="29">
        <f>DATA!AN$19</f>
        <v>482.33</v>
      </c>
      <c r="J270" s="10"/>
      <c r="K270" s="5"/>
    </row>
    <row r="271" spans="1:13" ht="12.75">
      <c r="A271" s="7">
        <f>DATA!I$3</f>
        <v>2011</v>
      </c>
      <c r="B271" s="5"/>
      <c r="C271" s="9">
        <f>1-DATA!Q$19/DATA!I$19</f>
        <v>0.40116279069767435</v>
      </c>
      <c r="D271" s="8">
        <f>DATA!Y$19</f>
        <v>9.9000000000000005E-2</v>
      </c>
      <c r="E271" s="10">
        <f>C271*D271</f>
        <v>3.9715116279069762E-2</v>
      </c>
      <c r="F271" s="7"/>
      <c r="G271" s="7">
        <f>DATA!AG$19</f>
        <v>17.440000000000001</v>
      </c>
      <c r="H271" s="5"/>
      <c r="I271" s="29">
        <f>DATA!AO$19</f>
        <v>486.49</v>
      </c>
      <c r="J271" s="10"/>
      <c r="K271" s="5"/>
    </row>
    <row r="272" spans="1:13" ht="12.75">
      <c r="A272" s="7">
        <f>DATA!J$3</f>
        <v>2012</v>
      </c>
      <c r="B272" s="5"/>
      <c r="C272" s="9">
        <f>1-DATA!R$19/DATA!J$19</f>
        <v>0.42162162162162165</v>
      </c>
      <c r="D272" s="8">
        <f>DATA!Z$19</f>
        <v>0.10199999999999999</v>
      </c>
      <c r="E272" s="20">
        <f>C272*D272</f>
        <v>4.3005405405405407E-2</v>
      </c>
      <c r="F272" s="21"/>
      <c r="G272" s="21">
        <f>DATA!AH$19</f>
        <v>18.190000000000001</v>
      </c>
      <c r="H272" s="22"/>
      <c r="I272" s="30">
        <f>DATA!AP$19</f>
        <v>487.96</v>
      </c>
      <c r="J272" s="10"/>
      <c r="K272" s="5"/>
    </row>
    <row r="273" spans="1:12" ht="12.75">
      <c r="A273" s="23" t="s">
        <v>515</v>
      </c>
      <c r="B273" s="5"/>
      <c r="C273" s="9"/>
      <c r="D273" s="8"/>
      <c r="E273" s="10">
        <f>AVERAGE(E268:E272)</f>
        <v>3.6048346409676225E-2</v>
      </c>
      <c r="F273" s="10"/>
      <c r="G273" s="10">
        <f>DATA!AX$19</f>
        <v>4.4999999999999998E-2</v>
      </c>
      <c r="H273" s="5"/>
      <c r="I273" s="29"/>
      <c r="J273" s="10">
        <f>(I272/I268)^0.25-1</f>
        <v>1.8315432080463934E-2</v>
      </c>
      <c r="K273" s="5"/>
    </row>
    <row r="274" spans="1:12" ht="12.75">
      <c r="A274" s="7">
        <f>DATA!K$3</f>
        <v>2013</v>
      </c>
      <c r="B274" s="5"/>
      <c r="C274" s="9">
        <f>1-DATA!S$19/DATA!K$19</f>
        <v>0.41578947368421049</v>
      </c>
      <c r="D274" s="8">
        <f>DATA!AA$19</f>
        <v>0.1</v>
      </c>
      <c r="E274" s="10">
        <f>C274*D274</f>
        <v>4.1578947368421049E-2</v>
      </c>
      <c r="F274" s="10"/>
      <c r="G274" s="10"/>
      <c r="H274" s="5"/>
      <c r="I274" s="29">
        <f>DATA!AQ$19</f>
        <v>497</v>
      </c>
      <c r="J274" s="10">
        <f>(I274/I272)-1</f>
        <v>1.8526108697434207E-2</v>
      </c>
      <c r="K274" s="5"/>
      <c r="L274">
        <f>(I276/I274)^0.25</f>
        <v>1.0084437589628943</v>
      </c>
    </row>
    <row r="275" spans="1:12" ht="12.75">
      <c r="A275" s="7">
        <f>DATA!L$3</f>
        <v>2014</v>
      </c>
      <c r="B275" s="7"/>
      <c r="C275" s="9">
        <f>1-DATA!T$19/DATA!L$19</f>
        <v>0.41025641025641024</v>
      </c>
      <c r="D275" s="8">
        <f>DATA!AB$19</f>
        <v>9.5000000000000001E-2</v>
      </c>
      <c r="E275" s="10">
        <f>C275*D275</f>
        <v>3.8974358974358976E-2</v>
      </c>
      <c r="F275" s="7"/>
      <c r="G275" s="10"/>
      <c r="H275" s="7"/>
      <c r="I275" s="29">
        <f>DATA!AR$19</f>
        <v>506.5</v>
      </c>
      <c r="J275" s="10">
        <f>(I275/I272)^0.5-1</f>
        <v>1.8820355909813014E-2</v>
      </c>
      <c r="K275" s="7"/>
    </row>
    <row r="276" spans="1:12" ht="12.75">
      <c r="A276" s="7" t="str">
        <f>DATA!M$3</f>
        <v>2016-2018</v>
      </c>
      <c r="B276" s="5"/>
      <c r="C276" s="9">
        <f>1-DATA!U$19/DATA!M$19</f>
        <v>0.39999999999999991</v>
      </c>
      <c r="D276" s="8">
        <f>DATA!AC$19</f>
        <v>0.1</v>
      </c>
      <c r="E276" s="10">
        <f>C276*D276</f>
        <v>3.9999999999999994E-2</v>
      </c>
      <c r="F276" s="10"/>
      <c r="G276" s="10">
        <f>DATA!AY$19</f>
        <v>4.4999999999999998E-2</v>
      </c>
      <c r="H276" s="5"/>
      <c r="I276" s="29">
        <f>DATA!AS$19</f>
        <v>514</v>
      </c>
      <c r="J276" s="10">
        <f>(I276/I272)^0.2-1</f>
        <v>1.0452212739189948E-2</v>
      </c>
      <c r="K276" s="5"/>
    </row>
    <row r="277" spans="1:12" ht="12.75">
      <c r="A277" s="181" t="s">
        <v>323</v>
      </c>
      <c r="B277" s="5"/>
      <c r="C277" s="9"/>
      <c r="D277" s="8"/>
      <c r="E277" s="10"/>
      <c r="F277" s="7"/>
      <c r="G277" s="7"/>
      <c r="H277" s="5"/>
      <c r="I277" s="29"/>
      <c r="J277" s="11"/>
      <c r="K277" s="5"/>
    </row>
    <row r="278" spans="1:12" ht="12.75">
      <c r="A278" s="7"/>
      <c r="B278" s="5"/>
      <c r="C278" s="9"/>
      <c r="D278" s="8"/>
      <c r="E278" s="10"/>
      <c r="F278" s="7"/>
      <c r="G278" s="7"/>
      <c r="H278" s="5"/>
      <c r="I278" s="29"/>
      <c r="J278" s="10" t="s">
        <v>349</v>
      </c>
      <c r="K278" s="5"/>
    </row>
    <row r="279" spans="1:12" ht="12.75">
      <c r="A279" s="7"/>
      <c r="B279" s="5"/>
      <c r="C279" s="9"/>
      <c r="D279" s="8"/>
      <c r="E279" s="10"/>
      <c r="F279" s="7"/>
      <c r="G279" s="7"/>
      <c r="H279" s="5"/>
      <c r="I279" s="29"/>
      <c r="J279" s="10" t="s">
        <v>507</v>
      </c>
      <c r="K279" s="5"/>
    </row>
    <row r="280" spans="1:12" ht="12.75">
      <c r="A280" s="7"/>
      <c r="B280" s="5"/>
      <c r="C280" s="9"/>
      <c r="D280" s="8"/>
      <c r="E280" s="10"/>
      <c r="F280" s="7"/>
      <c r="G280" s="7"/>
      <c r="H280" s="5"/>
      <c r="I280" s="29"/>
      <c r="J280" s="10"/>
      <c r="K280" s="5"/>
    </row>
    <row r="281" spans="1:12" ht="12.75">
      <c r="A281" s="7"/>
      <c r="B281" s="5"/>
      <c r="C281" s="9"/>
      <c r="D281" s="8"/>
      <c r="E281" s="10"/>
      <c r="F281" s="7"/>
      <c r="G281" s="7"/>
      <c r="H281" s="5"/>
      <c r="I281" s="29"/>
      <c r="J281" s="10"/>
      <c r="K281" s="5"/>
    </row>
    <row r="282" spans="1:12" ht="12.75">
      <c r="A282" s="7"/>
      <c r="B282" s="5"/>
      <c r="C282" s="9"/>
      <c r="D282" s="8"/>
      <c r="E282" s="12"/>
      <c r="F282" s="13" t="str">
        <f>F$6</f>
        <v>PUGET SOUND ENERGY</v>
      </c>
      <c r="G282" s="5"/>
      <c r="H282" s="5"/>
      <c r="I282" s="29"/>
      <c r="J282" s="10"/>
      <c r="K282" s="5"/>
    </row>
    <row r="283" spans="1:12" ht="12.75">
      <c r="A283" s="7"/>
      <c r="B283" s="5"/>
      <c r="C283" s="9"/>
      <c r="D283" s="8"/>
      <c r="E283" s="12"/>
      <c r="F283" s="13" t="s">
        <v>505</v>
      </c>
      <c r="G283" s="5"/>
      <c r="H283" s="5"/>
      <c r="I283" s="29"/>
      <c r="J283" s="10"/>
      <c r="K283" s="5"/>
    </row>
    <row r="284" spans="1:12" ht="12.75">
      <c r="A284" s="7"/>
      <c r="B284" s="5"/>
      <c r="C284" s="9"/>
      <c r="D284" s="8"/>
      <c r="E284" s="10"/>
      <c r="F284" s="7"/>
      <c r="G284" s="7"/>
      <c r="H284" s="5"/>
      <c r="I284" s="29"/>
      <c r="J284" s="10"/>
      <c r="K284" s="5"/>
    </row>
    <row r="285" spans="1:12" ht="12.75">
      <c r="A285" s="7"/>
      <c r="B285" s="5"/>
      <c r="C285" s="9"/>
      <c r="D285" s="8"/>
      <c r="E285" s="10"/>
      <c r="F285" s="7"/>
      <c r="G285" s="7"/>
      <c r="H285" s="5"/>
      <c r="I285" s="29"/>
      <c r="J285" s="10"/>
      <c r="K285" s="5"/>
    </row>
    <row r="286" spans="1:12" ht="12.75">
      <c r="A286" s="7"/>
      <c r="B286" s="5"/>
      <c r="C286" s="9"/>
      <c r="D286" s="8"/>
      <c r="E286" s="10"/>
      <c r="F286" s="7"/>
      <c r="G286" s="7"/>
      <c r="H286" s="5"/>
      <c r="I286" s="29"/>
      <c r="J286" s="10"/>
      <c r="K286" s="5"/>
    </row>
    <row r="287" spans="1:12" ht="12.75">
      <c r="A287" s="14" t="s">
        <v>518</v>
      </c>
      <c r="B287" s="5"/>
      <c r="C287" s="15"/>
      <c r="D287" s="16" t="s">
        <v>519</v>
      </c>
      <c r="E287" s="17" t="s">
        <v>148</v>
      </c>
      <c r="F287" s="14"/>
      <c r="G287" s="14"/>
      <c r="H287" s="5"/>
      <c r="I287" s="31" t="s">
        <v>428</v>
      </c>
      <c r="J287" s="18" t="s">
        <v>148</v>
      </c>
      <c r="K287" s="5"/>
    </row>
    <row r="288" spans="1:12" ht="12.75">
      <c r="A288" s="7"/>
      <c r="B288" s="5"/>
      <c r="C288" s="9"/>
      <c r="D288" s="8"/>
      <c r="E288" s="10"/>
      <c r="F288" s="7"/>
      <c r="G288" s="7"/>
      <c r="H288" s="5"/>
      <c r="I288" s="29"/>
      <c r="J288" s="10"/>
      <c r="K288" s="5"/>
    </row>
    <row r="289" spans="1:11" ht="12.75">
      <c r="A289" s="7"/>
      <c r="B289" s="5"/>
      <c r="C289" s="9" t="s">
        <v>429</v>
      </c>
      <c r="D289" s="8" t="s">
        <v>488</v>
      </c>
      <c r="E289" s="10"/>
      <c r="F289" s="7"/>
      <c r="G289" s="7" t="s">
        <v>368</v>
      </c>
      <c r="H289" s="5"/>
      <c r="I289" s="29" t="s">
        <v>369</v>
      </c>
      <c r="J289" s="10" t="s">
        <v>151</v>
      </c>
      <c r="K289" s="5"/>
    </row>
    <row r="290" spans="1:11" ht="12.75">
      <c r="A290" s="19">
        <f>DATA!A$20</f>
        <v>0</v>
      </c>
      <c r="B290" s="5"/>
      <c r="C290" s="15" t="s">
        <v>301</v>
      </c>
      <c r="D290" s="16" t="s">
        <v>302</v>
      </c>
      <c r="E290" s="17" t="s">
        <v>452</v>
      </c>
      <c r="F290" s="14"/>
      <c r="G290" s="14" t="s">
        <v>533</v>
      </c>
      <c r="H290" s="5"/>
      <c r="I290" s="32" t="s">
        <v>367</v>
      </c>
      <c r="J290" s="17" t="s">
        <v>148</v>
      </c>
      <c r="K290" s="5"/>
    </row>
    <row r="291" spans="1:11" ht="12.75">
      <c r="A291" s="7">
        <v>1996</v>
      </c>
      <c r="B291" s="5"/>
      <c r="C291" s="9" t="e">
        <f>1-DATA!N$20/DATA!F$20</f>
        <v>#DIV/0!</v>
      </c>
      <c r="D291" s="8">
        <f>DATA!V$20</f>
        <v>0</v>
      </c>
      <c r="E291" s="10" t="e">
        <f>C291*D291</f>
        <v>#DIV/0!</v>
      </c>
      <c r="F291" s="7"/>
      <c r="G291" s="29">
        <f>DATA!AD$20</f>
        <v>0</v>
      </c>
      <c r="H291" s="5"/>
      <c r="I291" s="29">
        <f>DATA!AL$20</f>
        <v>0</v>
      </c>
      <c r="J291" s="10"/>
      <c r="K291" s="5"/>
    </row>
    <row r="292" spans="1:11" ht="12.75">
      <c r="A292" s="7">
        <v>1997</v>
      </c>
      <c r="B292" s="5"/>
      <c r="C292" s="9" t="e">
        <f>1-DATA!O$20/DATA!G$20</f>
        <v>#DIV/0!</v>
      </c>
      <c r="D292" s="8">
        <f>DATA!W$20</f>
        <v>0</v>
      </c>
      <c r="E292" s="10" t="e">
        <f>C292*D292</f>
        <v>#DIV/0!</v>
      </c>
      <c r="F292" s="7"/>
      <c r="G292" s="29">
        <f>DATA!AE$20</f>
        <v>0</v>
      </c>
      <c r="H292" s="5"/>
      <c r="I292" s="29">
        <f>DATA!AM$20</f>
        <v>0</v>
      </c>
      <c r="J292" s="10"/>
      <c r="K292" s="5"/>
    </row>
    <row r="293" spans="1:11" ht="12.75">
      <c r="A293" s="7">
        <v>1998</v>
      </c>
      <c r="B293" s="5"/>
      <c r="C293" s="9" t="e">
        <f>1-DATA!P$20/DATA!H$20</f>
        <v>#DIV/0!</v>
      </c>
      <c r="D293" s="8">
        <f>DATA!X$20</f>
        <v>0</v>
      </c>
      <c r="E293" s="10" t="e">
        <f>C293*D293</f>
        <v>#DIV/0!</v>
      </c>
      <c r="F293" s="7"/>
      <c r="G293" s="29">
        <f>DATA!AF$20</f>
        <v>0</v>
      </c>
      <c r="H293" s="5"/>
      <c r="I293" s="29">
        <f>DATA!AN$20</f>
        <v>0</v>
      </c>
      <c r="J293" s="10"/>
      <c r="K293" s="5"/>
    </row>
    <row r="294" spans="1:11" ht="12.75">
      <c r="A294" s="7">
        <v>1999</v>
      </c>
      <c r="B294" s="5"/>
      <c r="C294" s="9" t="e">
        <f>1-DATA!Q$20/DATA!I$20</f>
        <v>#DIV/0!</v>
      </c>
      <c r="D294" s="8">
        <f>DATA!Y$20</f>
        <v>0</v>
      </c>
      <c r="E294" s="10" t="e">
        <f>C294*D294</f>
        <v>#DIV/0!</v>
      </c>
      <c r="F294" s="7"/>
      <c r="G294" s="29">
        <f>DATA!AG$20</f>
        <v>0</v>
      </c>
      <c r="H294" s="5"/>
      <c r="I294" s="29">
        <f>DATA!AO$20</f>
        <v>0</v>
      </c>
      <c r="J294" s="10"/>
      <c r="K294" s="5"/>
    </row>
    <row r="295" spans="1:11" ht="12.75">
      <c r="A295" s="7">
        <v>2000</v>
      </c>
      <c r="B295" s="5"/>
      <c r="C295" s="9" t="e">
        <f>1-DATA!R$20/DATA!J$20</f>
        <v>#DIV/0!</v>
      </c>
      <c r="D295" s="8">
        <f>DATA!Z$20</f>
        <v>0</v>
      </c>
      <c r="E295" s="20" t="e">
        <f>C295*D295</f>
        <v>#DIV/0!</v>
      </c>
      <c r="F295" s="21"/>
      <c r="G295" s="30">
        <f>DATA!AH$20</f>
        <v>0</v>
      </c>
      <c r="H295" s="22"/>
      <c r="I295" s="30">
        <f>DATA!AP$20</f>
        <v>0</v>
      </c>
      <c r="J295" s="10"/>
      <c r="K295" s="5"/>
    </row>
    <row r="296" spans="1:11" ht="12.75">
      <c r="A296" s="23" t="s">
        <v>515</v>
      </c>
      <c r="B296" s="5"/>
      <c r="C296" s="9"/>
      <c r="D296" s="8"/>
      <c r="E296" s="10" t="e">
        <f>AVERAGE(E291:E295)</f>
        <v>#DIV/0!</v>
      </c>
      <c r="F296" s="10"/>
      <c r="G296" s="10">
        <f>DATA!AX$20</f>
        <v>0</v>
      </c>
      <c r="H296" s="5"/>
      <c r="I296" s="29"/>
      <c r="J296" s="10" t="e">
        <f>(I295/I291)^0.25-1</f>
        <v>#DIV/0!</v>
      </c>
      <c r="K296" s="5"/>
    </row>
    <row r="297" spans="1:11" ht="12.75">
      <c r="A297" s="7">
        <v>2001</v>
      </c>
      <c r="B297" s="5"/>
      <c r="C297" s="9" t="e">
        <f>1-DATA!S$20/DATA!K$20</f>
        <v>#DIV/0!</v>
      </c>
      <c r="D297" s="8">
        <f>DATA!AA$20</f>
        <v>0</v>
      </c>
      <c r="E297" s="10" t="e">
        <f>C297*D297</f>
        <v>#DIV/0!</v>
      </c>
      <c r="F297" s="10"/>
      <c r="G297" s="10"/>
      <c r="H297" s="5"/>
      <c r="I297" s="29">
        <f>DATA!AQ$20</f>
        <v>0</v>
      </c>
      <c r="J297" s="10" t="e">
        <f>(I297/I295)-1</f>
        <v>#DIV/0!</v>
      </c>
      <c r="K297" s="5"/>
    </row>
    <row r="298" spans="1:11" ht="12.75">
      <c r="A298" s="7">
        <v>2002</v>
      </c>
      <c r="B298" s="7"/>
      <c r="C298" s="9" t="e">
        <f>1-DATA!T$20/DATA!L$20</f>
        <v>#DIV/0!</v>
      </c>
      <c r="D298" s="8">
        <f>DATA!AB$20</f>
        <v>0</v>
      </c>
      <c r="E298" s="10" t="e">
        <f>C298*D298</f>
        <v>#DIV/0!</v>
      </c>
      <c r="F298" s="7"/>
      <c r="G298" s="10"/>
      <c r="H298" s="7"/>
      <c r="I298" s="29">
        <f>DATA!AR$20</f>
        <v>0</v>
      </c>
      <c r="J298" s="10" t="e">
        <f>(I298/I295)^0.5-1</f>
        <v>#DIV/0!</v>
      </c>
      <c r="K298" s="7"/>
    </row>
    <row r="299" spans="1:11" ht="12.75">
      <c r="A299" s="7" t="s">
        <v>226</v>
      </c>
      <c r="B299" s="5"/>
      <c r="C299" s="9" t="e">
        <f>1-DATA!U$20/DATA!M$20</f>
        <v>#DIV/0!</v>
      </c>
      <c r="D299" s="8">
        <f>DATA!AC$20</f>
        <v>0</v>
      </c>
      <c r="E299" s="10" t="e">
        <f>C299*D299</f>
        <v>#DIV/0!</v>
      </c>
      <c r="F299" s="10"/>
      <c r="G299" s="10">
        <f>DATA!AY$20</f>
        <v>0</v>
      </c>
      <c r="H299" s="5"/>
      <c r="I299" s="29">
        <f>DATA!AS$20</f>
        <v>0</v>
      </c>
      <c r="J299" s="10" t="e">
        <f>(I299/I295)^0.2-1</f>
        <v>#DIV/0!</v>
      </c>
      <c r="K299" s="5"/>
    </row>
    <row r="300" spans="1:11" ht="12.75">
      <c r="A300" s="7"/>
      <c r="B300" s="5"/>
      <c r="C300" s="9"/>
      <c r="D300" s="8"/>
      <c r="E300" s="10"/>
      <c r="F300" s="7"/>
      <c r="G300" s="7"/>
      <c r="H300" s="5"/>
      <c r="I300" s="29"/>
      <c r="J300" s="10"/>
      <c r="K300" s="5"/>
    </row>
    <row r="301" spans="1:11" ht="12.75">
      <c r="B301" s="5"/>
      <c r="C301" s="9"/>
      <c r="D301" s="8"/>
      <c r="E301" s="10"/>
      <c r="F301" s="7"/>
      <c r="G301" s="7"/>
      <c r="H301" s="5"/>
      <c r="I301" s="29"/>
      <c r="J301" s="10"/>
      <c r="K301" s="5"/>
    </row>
    <row r="302" spans="1:11" ht="12.75">
      <c r="A302" s="7"/>
      <c r="B302" s="5"/>
      <c r="C302" s="9"/>
      <c r="D302" s="8"/>
      <c r="E302" s="10"/>
      <c r="F302" s="7"/>
      <c r="G302" s="7"/>
      <c r="H302" s="5"/>
      <c r="I302" s="29"/>
      <c r="J302" s="10"/>
      <c r="K302" s="5"/>
    </row>
    <row r="303" spans="1:11" ht="12.75">
      <c r="A303" s="14" t="s">
        <v>518</v>
      </c>
      <c r="B303" s="5"/>
      <c r="C303" s="15"/>
      <c r="D303" s="16" t="s">
        <v>519</v>
      </c>
      <c r="E303" s="17" t="s">
        <v>148</v>
      </c>
      <c r="F303" s="14"/>
      <c r="G303" s="14"/>
      <c r="H303" s="5"/>
      <c r="I303" s="31" t="s">
        <v>428</v>
      </c>
      <c r="J303" s="18" t="s">
        <v>148</v>
      </c>
      <c r="K303" s="5"/>
    </row>
    <row r="304" spans="1:11" ht="12.75">
      <c r="A304" s="7"/>
      <c r="B304" s="5"/>
      <c r="C304" s="9"/>
      <c r="D304" s="8"/>
      <c r="E304" s="10"/>
      <c r="F304" s="7"/>
      <c r="G304" s="7"/>
      <c r="H304" s="5"/>
      <c r="I304" s="29"/>
      <c r="J304" s="10"/>
      <c r="K304" s="5"/>
    </row>
    <row r="305" spans="1:11" ht="12.75">
      <c r="A305" s="7"/>
      <c r="B305" s="5"/>
      <c r="C305" s="9" t="s">
        <v>429</v>
      </c>
      <c r="D305" s="8" t="s">
        <v>488</v>
      </c>
      <c r="E305" s="10"/>
      <c r="F305" s="7"/>
      <c r="G305" s="7" t="s">
        <v>368</v>
      </c>
      <c r="H305" s="5"/>
      <c r="I305" s="29" t="s">
        <v>369</v>
      </c>
      <c r="J305" s="10" t="s">
        <v>151</v>
      </c>
      <c r="K305" s="5"/>
    </row>
    <row r="306" spans="1:11" ht="12.75">
      <c r="A306" s="19">
        <f>DATA!A$25</f>
        <v>0</v>
      </c>
      <c r="B306" s="5"/>
      <c r="C306" s="15" t="s">
        <v>301</v>
      </c>
      <c r="D306" s="16" t="s">
        <v>302</v>
      </c>
      <c r="E306" s="17" t="s">
        <v>452</v>
      </c>
      <c r="F306" s="14"/>
      <c r="G306" s="14" t="s">
        <v>533</v>
      </c>
      <c r="H306" s="5"/>
      <c r="I306" s="32" t="s">
        <v>367</v>
      </c>
      <c r="J306" s="17" t="s">
        <v>148</v>
      </c>
      <c r="K306" s="5"/>
    </row>
    <row r="307" spans="1:11" ht="12.75">
      <c r="A307" s="7">
        <f>DATA!F$3</f>
        <v>2008</v>
      </c>
      <c r="B307" s="5"/>
      <c r="C307" s="9">
        <f>1-DATA!N$25/DATA!F$25</f>
        <v>1</v>
      </c>
      <c r="D307" s="8">
        <f>DATA!V$25</f>
        <v>0</v>
      </c>
      <c r="E307" s="10">
        <f>C307*D307</f>
        <v>0</v>
      </c>
      <c r="F307" s="7"/>
      <c r="G307" s="29">
        <f>DATA!AD$25</f>
        <v>0</v>
      </c>
      <c r="H307" s="5"/>
      <c r="I307" s="29">
        <f>DATA!AL$25</f>
        <v>0</v>
      </c>
      <c r="J307" s="10"/>
      <c r="K307" s="5"/>
    </row>
    <row r="308" spans="1:11" ht="12.75">
      <c r="A308" s="7">
        <f>DATA!G$3</f>
        <v>2009</v>
      </c>
      <c r="B308" s="5"/>
      <c r="C308" s="9" t="e">
        <f>1-DATA!O$25/DATA!G$25</f>
        <v>#VALUE!</v>
      </c>
      <c r="D308" s="8">
        <f>DATA!W$25</f>
        <v>0</v>
      </c>
      <c r="E308" s="10" t="e">
        <f>C308*D308</f>
        <v>#VALUE!</v>
      </c>
      <c r="F308" s="7"/>
      <c r="G308" s="29">
        <f>DATA!AE$25</f>
        <v>0</v>
      </c>
      <c r="H308" s="5"/>
      <c r="I308" s="29">
        <f>DATA!AM$25</f>
        <v>0</v>
      </c>
      <c r="J308" s="10"/>
      <c r="K308" s="5"/>
    </row>
    <row r="309" spans="1:11" ht="12.75">
      <c r="A309" s="7">
        <f>DATA!H$3</f>
        <v>2010</v>
      </c>
      <c r="B309" s="5"/>
      <c r="C309" s="9" t="e">
        <f>1-DATA!P$25/DATA!H$24</f>
        <v>#VALUE!</v>
      </c>
      <c r="D309" s="8">
        <f>DATA!X$25</f>
        <v>0</v>
      </c>
      <c r="E309" s="10" t="e">
        <f>C309*D309</f>
        <v>#VALUE!</v>
      </c>
      <c r="F309" s="7"/>
      <c r="G309" s="29">
        <f>DATA!AF$25</f>
        <v>0</v>
      </c>
      <c r="H309" s="5"/>
      <c r="I309" s="29">
        <f>DATA!AN$25</f>
        <v>0</v>
      </c>
      <c r="J309" s="10"/>
      <c r="K309" s="5"/>
    </row>
    <row r="310" spans="1:11" ht="12.75">
      <c r="A310" s="7">
        <f>DATA!I$3</f>
        <v>2011</v>
      </c>
      <c r="B310" s="5"/>
      <c r="C310" s="9" t="e">
        <f>1-DATA!Q$25/DATA!I$25</f>
        <v>#DIV/0!</v>
      </c>
      <c r="D310" s="8">
        <f>DATA!Y$25</f>
        <v>0</v>
      </c>
      <c r="E310" s="10" t="e">
        <f>C310*D310</f>
        <v>#DIV/0!</v>
      </c>
      <c r="F310" s="7"/>
      <c r="G310" s="29">
        <f>DATA!AG$25</f>
        <v>0</v>
      </c>
      <c r="H310" s="5"/>
      <c r="I310" s="29">
        <f>DATA!AO$25</f>
        <v>0</v>
      </c>
      <c r="J310" s="10"/>
      <c r="K310" s="5"/>
    </row>
    <row r="311" spans="1:11" ht="12.75">
      <c r="A311" s="7">
        <f>DATA!J$3</f>
        <v>2012</v>
      </c>
      <c r="B311" s="5"/>
      <c r="C311" s="9" t="e">
        <f>1-DATA!R$25/DATA!J$25</f>
        <v>#DIV/0!</v>
      </c>
      <c r="D311" s="8">
        <f>DATA!Z$25</f>
        <v>0</v>
      </c>
      <c r="E311" s="20" t="e">
        <f>C311*D311</f>
        <v>#DIV/0!</v>
      </c>
      <c r="F311" s="21"/>
      <c r="G311" s="30">
        <f>DATA!AH$25</f>
        <v>0</v>
      </c>
      <c r="H311" s="22"/>
      <c r="I311" s="30">
        <f>DATA!AP$25</f>
        <v>0</v>
      </c>
      <c r="J311" s="10"/>
      <c r="K311" s="5"/>
    </row>
    <row r="312" spans="1:11" ht="12.75">
      <c r="A312" s="23" t="s">
        <v>515</v>
      </c>
      <c r="B312" s="5"/>
      <c r="C312" s="9"/>
      <c r="D312" s="8"/>
      <c r="E312" s="10" t="e">
        <f>AVERAGE(E307:E311)</f>
        <v>#VALUE!</v>
      </c>
      <c r="F312" s="10"/>
      <c r="G312" s="10">
        <f>DATA!AX$25</f>
        <v>0</v>
      </c>
      <c r="H312" s="5"/>
      <c r="I312" s="29"/>
      <c r="J312" s="10" t="e">
        <f>(I311/I307)^0.25-1</f>
        <v>#DIV/0!</v>
      </c>
      <c r="K312" s="5"/>
    </row>
    <row r="313" spans="1:11" ht="12.75">
      <c r="A313" s="7">
        <f>DATA!K$3</f>
        <v>2013</v>
      </c>
      <c r="B313" s="5"/>
      <c r="C313" s="9" t="e">
        <f>1-DATA!S$25/DATA!K$25</f>
        <v>#VALUE!</v>
      </c>
      <c r="D313" s="8">
        <f>DATA!AA$25</f>
        <v>0</v>
      </c>
      <c r="E313" s="10" t="e">
        <f>C313*D313</f>
        <v>#VALUE!</v>
      </c>
      <c r="F313" s="10"/>
      <c r="G313" s="10"/>
      <c r="H313" s="5"/>
      <c r="I313" s="29">
        <f>DATA!AQ$25</f>
        <v>0</v>
      </c>
      <c r="J313" s="10" t="e">
        <f>(I313/I311)-1</f>
        <v>#DIV/0!</v>
      </c>
      <c r="K313" s="5"/>
    </row>
    <row r="314" spans="1:11" ht="12.75">
      <c r="A314" s="7">
        <f>DATA!L$3</f>
        <v>2014</v>
      </c>
      <c r="B314" s="7"/>
      <c r="C314" s="9" t="e">
        <f>1-DATA!T$25/DATA!L$25</f>
        <v>#DIV/0!</v>
      </c>
      <c r="D314" s="8">
        <f>DATA!AB$25</f>
        <v>0</v>
      </c>
      <c r="E314" s="10" t="e">
        <f>C314*D314</f>
        <v>#DIV/0!</v>
      </c>
      <c r="F314" s="7"/>
      <c r="G314" s="10"/>
      <c r="H314" s="7"/>
      <c r="I314" s="29">
        <f>DATA!AR$25</f>
        <v>0</v>
      </c>
      <c r="J314" s="10" t="e">
        <f>(I314/I311)^0.5-1</f>
        <v>#DIV/0!</v>
      </c>
      <c r="K314" s="7"/>
    </row>
    <row r="315" spans="1:11" ht="12.75">
      <c r="A315" s="7" t="str">
        <f>DATA!M$3</f>
        <v>2016-2018</v>
      </c>
      <c r="B315" s="5"/>
      <c r="C315" s="9" t="e">
        <f>1-DATA!U$25/DATA!M$25</f>
        <v>#DIV/0!</v>
      </c>
      <c r="D315" s="8">
        <f>DATA!AC$25</f>
        <v>0</v>
      </c>
      <c r="E315" s="10" t="e">
        <f>C315*D315</f>
        <v>#DIV/0!</v>
      </c>
      <c r="F315" s="10"/>
      <c r="G315" s="10">
        <f>DATA!AY$25</f>
        <v>0</v>
      </c>
      <c r="H315" s="5"/>
      <c r="I315" s="29">
        <f>DATA!AS$25</f>
        <v>0</v>
      </c>
      <c r="J315" s="10" t="e">
        <f>(I315/I311)^0.2-1</f>
        <v>#DIV/0!</v>
      </c>
      <c r="K315" s="5"/>
    </row>
  </sheetData>
  <phoneticPr fontId="16" type="noConversion"/>
  <pageMargins left="1.1000000000000001" right="0.75" top="0.5" bottom="0.73" header="0.5" footer="0.5"/>
  <pageSetup scale="96" orientation="portrait" horizontalDpi="4294967292" verticalDpi="4294967292"/>
  <headerFooter>
    <oddFooter>&amp;R_x000D_</oddFooter>
  </headerFooter>
  <rowBreaks count="4" manualBreakCount="4">
    <brk id="56" max="10" man="1"/>
    <brk id="111" max="10" man="1"/>
    <brk id="166" max="10" man="1"/>
    <brk id="221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workbookViewId="0">
      <selection activeCell="I28" sqref="I28"/>
    </sheetView>
  </sheetViews>
  <sheetFormatPr defaultColWidth="11.42578125" defaultRowHeight="12"/>
  <cols>
    <col min="1" max="1" width="14" customWidth="1"/>
    <col min="4" max="4" width="6.140625" customWidth="1"/>
    <col min="5" max="5" width="1.28515625" customWidth="1"/>
    <col min="6" max="7" width="1.85546875" customWidth="1"/>
    <col min="8" max="8" width="2.7109375" customWidth="1"/>
    <col min="9" max="9" width="4.42578125" customWidth="1"/>
    <col min="10" max="10" width="2.140625" customWidth="1"/>
    <col min="12" max="12" width="12.42578125" customWidth="1"/>
  </cols>
  <sheetData>
    <row r="1" spans="1:14" ht="12.75">
      <c r="A1" s="7"/>
      <c r="B1" s="10"/>
      <c r="C1" s="7"/>
      <c r="D1" s="10"/>
      <c r="E1" s="10"/>
      <c r="F1" s="7"/>
      <c r="G1" s="7"/>
      <c r="H1" s="7"/>
      <c r="I1" s="7"/>
      <c r="J1" s="7"/>
      <c r="K1" s="7"/>
      <c r="L1" s="218" t="s">
        <v>538</v>
      </c>
    </row>
    <row r="2" spans="1:14" ht="12.75">
      <c r="A2" s="7"/>
      <c r="B2" s="10"/>
      <c r="C2" s="7"/>
      <c r="D2" s="11"/>
      <c r="E2" s="11"/>
      <c r="F2" s="23"/>
      <c r="G2" s="23"/>
      <c r="H2" s="23"/>
      <c r="I2" s="23"/>
      <c r="J2" s="23"/>
      <c r="K2" s="7"/>
      <c r="L2" s="223" t="s">
        <v>540</v>
      </c>
    </row>
    <row r="3" spans="1:14" ht="12.75">
      <c r="A3" s="7"/>
      <c r="B3" s="10"/>
      <c r="C3" s="7"/>
      <c r="D3" s="11"/>
      <c r="E3" s="11"/>
      <c r="F3" s="23"/>
      <c r="G3" s="23"/>
      <c r="H3" s="23"/>
      <c r="I3" s="23"/>
      <c r="J3" s="23"/>
      <c r="K3" s="7"/>
      <c r="L3" s="38" t="s">
        <v>489</v>
      </c>
    </row>
    <row r="4" spans="1:14" ht="12.75">
      <c r="A4" s="7"/>
      <c r="B4" s="10"/>
      <c r="C4" s="7"/>
      <c r="D4" s="35"/>
      <c r="E4" s="35"/>
      <c r="F4" s="13" t="str">
        <f>DATA!A1</f>
        <v>PUGET SOUND ENERGY</v>
      </c>
      <c r="G4" s="34"/>
      <c r="H4" s="5"/>
      <c r="I4" s="5"/>
      <c r="J4" s="5"/>
      <c r="K4" s="7"/>
      <c r="L4" s="10"/>
    </row>
    <row r="5" spans="1:14" ht="12.75">
      <c r="A5" s="7"/>
      <c r="B5" s="10"/>
      <c r="C5" s="7"/>
      <c r="D5" s="35"/>
      <c r="E5" s="35"/>
      <c r="F5" s="13"/>
      <c r="G5" s="34"/>
      <c r="H5" s="5"/>
      <c r="I5" s="5"/>
      <c r="J5" s="5"/>
      <c r="K5" s="7"/>
      <c r="L5" s="10"/>
    </row>
    <row r="6" spans="1:14" ht="12.75">
      <c r="A6" s="7"/>
      <c r="B6" s="10"/>
      <c r="C6" s="7"/>
      <c r="D6" s="35"/>
      <c r="E6" s="35"/>
      <c r="F6" s="13" t="s">
        <v>490</v>
      </c>
      <c r="G6" s="34"/>
      <c r="H6" s="5"/>
      <c r="I6" s="5"/>
      <c r="J6" s="5"/>
      <c r="K6" s="7"/>
      <c r="L6" s="10"/>
    </row>
    <row r="7" spans="1:14" ht="12.75">
      <c r="A7" s="7"/>
      <c r="B7" s="10"/>
      <c r="C7" s="7"/>
      <c r="D7" s="11"/>
      <c r="E7" s="11"/>
      <c r="F7" s="7" t="s">
        <v>498</v>
      </c>
      <c r="G7" s="23"/>
      <c r="H7" s="23"/>
      <c r="I7" s="23"/>
      <c r="J7" s="23"/>
      <c r="K7" s="7"/>
      <c r="L7" s="10"/>
    </row>
    <row r="8" spans="1:14" ht="12.75">
      <c r="A8" s="7"/>
      <c r="B8" s="10"/>
      <c r="C8" s="7"/>
      <c r="D8" s="11"/>
      <c r="E8" s="11"/>
      <c r="F8" s="23"/>
      <c r="G8" s="23"/>
      <c r="H8" s="23"/>
      <c r="I8" s="23"/>
      <c r="J8" s="23"/>
      <c r="K8" s="7"/>
      <c r="L8" s="10"/>
    </row>
    <row r="9" spans="1:14" ht="12.75">
      <c r="A9" s="21" t="s">
        <v>518</v>
      </c>
      <c r="B9" s="20" t="s">
        <v>491</v>
      </c>
      <c r="C9" s="7" t="s">
        <v>492</v>
      </c>
      <c r="D9" s="36"/>
      <c r="E9" s="36"/>
      <c r="F9" s="20" t="s">
        <v>371</v>
      </c>
      <c r="G9" s="23"/>
      <c r="H9" s="23"/>
      <c r="I9" s="23"/>
      <c r="J9" s="23"/>
      <c r="K9" s="7" t="s">
        <v>306</v>
      </c>
      <c r="L9" s="20" t="s">
        <v>307</v>
      </c>
    </row>
    <row r="10" spans="1:14" ht="12.75">
      <c r="A10" s="7"/>
      <c r="B10" s="10"/>
      <c r="C10" s="7"/>
      <c r="D10" s="11"/>
      <c r="E10" s="11"/>
      <c r="F10" s="23"/>
      <c r="G10" s="23"/>
      <c r="H10" s="23"/>
      <c r="I10" s="23"/>
      <c r="J10" s="23"/>
      <c r="K10" s="7"/>
      <c r="L10" s="10"/>
    </row>
    <row r="11" spans="1:14" ht="20.100000000000001" customHeight="1">
      <c r="A11" s="7" t="str">
        <f>DATA!A5</f>
        <v>SO</v>
      </c>
      <c r="B11" s="106">
        <v>4.2500000000000003E-2</v>
      </c>
      <c r="C11" s="7" t="s">
        <v>492</v>
      </c>
      <c r="D11" s="107">
        <v>1.4999999999999999E-2</v>
      </c>
      <c r="E11" s="11" t="s">
        <v>372</v>
      </c>
      <c r="F11" s="66">
        <v>1</v>
      </c>
      <c r="G11" s="7" t="s">
        <v>516</v>
      </c>
      <c r="H11" s="23" t="s">
        <v>388</v>
      </c>
      <c r="I11" s="37">
        <f>DATA!B5/DATA!AI5</f>
        <v>2.0613026819923372</v>
      </c>
      <c r="J11" s="37" t="s">
        <v>389</v>
      </c>
      <c r="K11" s="7" t="s">
        <v>306</v>
      </c>
      <c r="L11" s="10">
        <f>B11+D11*(1-(1/I11))</f>
        <v>5.0223048327137552E-2</v>
      </c>
      <c r="N11" s="52">
        <f>L11-B11</f>
        <v>7.7230483271375494E-3</v>
      </c>
    </row>
    <row r="12" spans="1:14" ht="20.100000000000001" customHeight="1">
      <c r="A12" s="7" t="str">
        <f>DATA!A6</f>
        <v>ALE</v>
      </c>
      <c r="B12" s="106">
        <v>4.4999999999999998E-2</v>
      </c>
      <c r="C12" s="7" t="s">
        <v>492</v>
      </c>
      <c r="D12" s="107">
        <v>0.03</v>
      </c>
      <c r="E12" s="11" t="s">
        <v>372</v>
      </c>
      <c r="F12" s="66">
        <v>1</v>
      </c>
      <c r="G12" s="7" t="s">
        <v>516</v>
      </c>
      <c r="H12" s="23" t="s">
        <v>388</v>
      </c>
      <c r="I12" s="37">
        <f>DATA!B6/DATA!AI6</f>
        <v>1.5521518987341769</v>
      </c>
      <c r="J12" s="37" t="s">
        <v>389</v>
      </c>
      <c r="K12" s="7" t="s">
        <v>306</v>
      </c>
      <c r="L12" s="10">
        <f t="shared" ref="L12:L21" si="0">B12+D12*(1-(1/I12))</f>
        <v>5.5671994780623055E-2</v>
      </c>
      <c r="N12" s="52">
        <f t="shared" ref="N12:N25" si="1">L12-B12</f>
        <v>1.0671994780623056E-2</v>
      </c>
    </row>
    <row r="13" spans="1:14" ht="20.100000000000001" customHeight="1">
      <c r="A13" s="7" t="str">
        <f>DATA!A7</f>
        <v>LNT</v>
      </c>
      <c r="B13" s="106">
        <v>4.4999999999999998E-2</v>
      </c>
      <c r="C13" s="7" t="s">
        <v>492</v>
      </c>
      <c r="D13" s="107">
        <v>5.0000000000000001E-3</v>
      </c>
      <c r="E13" s="11" t="s">
        <v>372</v>
      </c>
      <c r="F13" s="66">
        <v>1</v>
      </c>
      <c r="G13" s="7" t="s">
        <v>516</v>
      </c>
      <c r="H13" s="23" t="s">
        <v>388</v>
      </c>
      <c r="I13" s="37">
        <f>DATA!B7/DATA!AI7</f>
        <v>1.730781609195402</v>
      </c>
      <c r="J13" s="37" t="s">
        <v>389</v>
      </c>
      <c r="K13" s="7" t="s">
        <v>306</v>
      </c>
      <c r="L13" s="10">
        <f t="shared" si="0"/>
        <v>4.7111131772237642E-2</v>
      </c>
      <c r="N13" s="52">
        <f t="shared" si="1"/>
        <v>2.1111317722376441E-3</v>
      </c>
    </row>
    <row r="14" spans="1:14" ht="20.100000000000001" customHeight="1">
      <c r="A14" s="7" t="str">
        <f>DATA!A8</f>
        <v>AEP</v>
      </c>
      <c r="B14" s="106">
        <v>0.04</v>
      </c>
      <c r="C14" s="7" t="s">
        <v>492</v>
      </c>
      <c r="D14" s="107">
        <v>1.4999999999999999E-2</v>
      </c>
      <c r="E14" s="11" t="s">
        <v>372</v>
      </c>
      <c r="F14" s="66">
        <v>1</v>
      </c>
      <c r="G14" s="7" t="s">
        <v>516</v>
      </c>
      <c r="H14" s="23" t="s">
        <v>388</v>
      </c>
      <c r="I14" s="37">
        <f>DATA!B8/DATA!AI8</f>
        <v>1.4370506912442396</v>
      </c>
      <c r="J14" s="37" t="s">
        <v>389</v>
      </c>
      <c r="K14" s="7" t="s">
        <v>306</v>
      </c>
      <c r="L14" s="10">
        <f t="shared" si="0"/>
        <v>4.4561954848640326E-2</v>
      </c>
      <c r="N14" s="52">
        <f t="shared" si="1"/>
        <v>4.5619548486403247E-3</v>
      </c>
    </row>
    <row r="15" spans="1:14" ht="20.100000000000001" customHeight="1">
      <c r="A15" s="7" t="str">
        <f>DATA!A9</f>
        <v>CNL</v>
      </c>
      <c r="B15" s="106">
        <v>0.06</v>
      </c>
      <c r="C15" s="7" t="s">
        <v>492</v>
      </c>
      <c r="D15" s="107">
        <v>2.5000000000000001E-3</v>
      </c>
      <c r="E15" s="11" t="s">
        <v>372</v>
      </c>
      <c r="F15" s="66">
        <v>1</v>
      </c>
      <c r="G15" s="7" t="s">
        <v>516</v>
      </c>
      <c r="H15" s="23" t="s">
        <v>388</v>
      </c>
      <c r="I15" s="37">
        <f>DATA!B9/DATA!AI9</f>
        <v>1.7806318504190841</v>
      </c>
      <c r="J15" s="37" t="s">
        <v>389</v>
      </c>
      <c r="K15" s="7" t="s">
        <v>306</v>
      </c>
      <c r="L15" s="10">
        <f t="shared" si="0"/>
        <v>6.1096003997450896E-2</v>
      </c>
      <c r="N15" s="52">
        <f t="shared" si="1"/>
        <v>1.0960039974508978E-3</v>
      </c>
    </row>
    <row r="16" spans="1:14" ht="20.100000000000001" customHeight="1">
      <c r="A16" s="7" t="str">
        <f>DATA!A10</f>
        <v>ETR</v>
      </c>
      <c r="B16" s="106">
        <v>0.04</v>
      </c>
      <c r="C16" s="7" t="s">
        <v>492</v>
      </c>
      <c r="D16" s="107">
        <v>0</v>
      </c>
      <c r="E16" s="11" t="s">
        <v>372</v>
      </c>
      <c r="F16" s="66">
        <v>1</v>
      </c>
      <c r="G16" s="7" t="s">
        <v>516</v>
      </c>
      <c r="H16" s="23" t="s">
        <v>388</v>
      </c>
      <c r="I16" s="37">
        <f>DATA!B10/DATA!AI10</f>
        <v>1.2947583176396733</v>
      </c>
      <c r="J16" s="37" t="s">
        <v>389</v>
      </c>
      <c r="K16" s="7" t="s">
        <v>306</v>
      </c>
      <c r="L16" s="10">
        <f t="shared" si="0"/>
        <v>0.04</v>
      </c>
      <c r="N16" s="52">
        <f t="shared" si="1"/>
        <v>0</v>
      </c>
    </row>
    <row r="17" spans="1:14" ht="20.100000000000001" customHeight="1">
      <c r="A17" s="7" t="str">
        <f>DATA!A11</f>
        <v>WR</v>
      </c>
      <c r="B17" s="106">
        <v>4.4999999999999998E-2</v>
      </c>
      <c r="C17" s="7" t="s">
        <v>492</v>
      </c>
      <c r="D17" s="107">
        <v>0.02</v>
      </c>
      <c r="E17" s="11" t="s">
        <v>372</v>
      </c>
      <c r="F17" s="66">
        <v>1</v>
      </c>
      <c r="G17" s="7" t="s">
        <v>516</v>
      </c>
      <c r="H17" s="23" t="s">
        <v>388</v>
      </c>
      <c r="I17" s="37">
        <f>DATA!B11/DATA!AI11</f>
        <v>1.28528</v>
      </c>
      <c r="J17" s="37" t="s">
        <v>389</v>
      </c>
      <c r="K17" s="7" t="s">
        <v>306</v>
      </c>
      <c r="L17" s="10">
        <f t="shared" si="0"/>
        <v>4.9439188348064232E-2</v>
      </c>
      <c r="N17" s="52">
        <f t="shared" si="1"/>
        <v>4.4391883480642338E-3</v>
      </c>
    </row>
    <row r="18" spans="1:14" ht="20.100000000000001" customHeight="1">
      <c r="A18" s="7" t="str">
        <f>DATA!A12</f>
        <v>WEC</v>
      </c>
      <c r="B18" s="106">
        <v>5.2499999999999998E-2</v>
      </c>
      <c r="C18" s="7" t="s">
        <v>492</v>
      </c>
      <c r="D18" s="107">
        <v>0</v>
      </c>
      <c r="E18" s="11" t="s">
        <v>372</v>
      </c>
      <c r="F18" s="66">
        <v>1</v>
      </c>
      <c r="G18" s="7" t="s">
        <v>516</v>
      </c>
      <c r="H18" s="23" t="s">
        <v>388</v>
      </c>
      <c r="I18" s="37">
        <f>DATA!B12/DATA!AI12</f>
        <v>2.2276648841354723</v>
      </c>
      <c r="J18" s="37" t="s">
        <v>389</v>
      </c>
      <c r="K18" s="7" t="s">
        <v>306</v>
      </c>
      <c r="L18" s="10">
        <f t="shared" si="0"/>
        <v>5.2499999999999998E-2</v>
      </c>
      <c r="N18" s="52">
        <f t="shared" si="1"/>
        <v>0</v>
      </c>
    </row>
    <row r="19" spans="1:14" ht="20.100000000000001" customHeight="1">
      <c r="A19" s="7" t="str">
        <f>DATA!A13</f>
        <v>EIX</v>
      </c>
      <c r="B19" s="106">
        <v>0.06</v>
      </c>
      <c r="C19" s="7" t="s">
        <v>492</v>
      </c>
      <c r="D19" s="107">
        <v>0</v>
      </c>
      <c r="E19" s="11" t="s">
        <v>372</v>
      </c>
      <c r="F19" s="66">
        <v>1</v>
      </c>
      <c r="G19" s="7" t="s">
        <v>516</v>
      </c>
      <c r="H19" s="23" t="s">
        <v>388</v>
      </c>
      <c r="I19" s="37">
        <f>DATA!B13/DATA!AI13</f>
        <v>1.5271497584541065</v>
      </c>
      <c r="J19" s="37" t="s">
        <v>389</v>
      </c>
      <c r="K19" s="7" t="s">
        <v>306</v>
      </c>
      <c r="L19" s="10">
        <f t="shared" si="0"/>
        <v>0.06</v>
      </c>
      <c r="N19" s="52">
        <f t="shared" si="1"/>
        <v>0</v>
      </c>
    </row>
    <row r="20" spans="1:14" ht="20.100000000000001" customHeight="1">
      <c r="A20" s="7" t="str">
        <f>DATA!A14</f>
        <v>IDA</v>
      </c>
      <c r="B20" s="106">
        <v>4.3999999999999997E-2</v>
      </c>
      <c r="C20" s="7" t="s">
        <v>492</v>
      </c>
      <c r="D20" s="107">
        <v>7.4999999999999997E-3</v>
      </c>
      <c r="E20" s="11" t="s">
        <v>372</v>
      </c>
      <c r="F20" s="66">
        <v>1</v>
      </c>
      <c r="G20" s="7" t="s">
        <v>516</v>
      </c>
      <c r="H20" s="23" t="s">
        <v>388</v>
      </c>
      <c r="I20" s="37">
        <f>DATA!B14/DATA!AI14</f>
        <v>1.3202371181030552</v>
      </c>
      <c r="J20" s="37" t="s">
        <v>389</v>
      </c>
      <c r="K20" s="7" t="s">
        <v>306</v>
      </c>
      <c r="L20" s="10">
        <f t="shared" si="0"/>
        <v>4.581920228786162E-2</v>
      </c>
      <c r="N20" s="52">
        <f t="shared" si="1"/>
        <v>1.8192022878616224E-3</v>
      </c>
    </row>
    <row r="21" spans="1:14" ht="20.100000000000001" customHeight="1">
      <c r="A21" s="7" t="str">
        <f>DATA!A15</f>
        <v>NWE</v>
      </c>
      <c r="B21" s="106">
        <v>0.04</v>
      </c>
      <c r="C21" s="7" t="s">
        <v>492</v>
      </c>
      <c r="D21" s="107">
        <v>0.01</v>
      </c>
      <c r="E21" s="11" t="s">
        <v>372</v>
      </c>
      <c r="F21" s="66">
        <v>1</v>
      </c>
      <c r="G21" s="7" t="s">
        <v>516</v>
      </c>
      <c r="H21" s="23" t="s">
        <v>388</v>
      </c>
      <c r="I21" s="37">
        <f>DATA!B15/DATA!AI15</f>
        <v>1.5557575757575757</v>
      </c>
      <c r="J21" s="37" t="s">
        <v>389</v>
      </c>
      <c r="K21" s="7" t="s">
        <v>306</v>
      </c>
      <c r="L21" s="10">
        <f t="shared" si="0"/>
        <v>4.3572263342423062E-2</v>
      </c>
      <c r="N21" s="52">
        <f t="shared" si="1"/>
        <v>3.5722633424230613E-3</v>
      </c>
    </row>
    <row r="22" spans="1:14" ht="20.100000000000001" customHeight="1">
      <c r="A22" s="94" t="str">
        <f>DATA!A16</f>
        <v>PCG</v>
      </c>
      <c r="B22" s="106">
        <v>3.5000000000000003E-2</v>
      </c>
      <c r="C22" s="94" t="s">
        <v>492</v>
      </c>
      <c r="D22" s="107">
        <v>2.5000000000000001E-2</v>
      </c>
      <c r="E22" s="11" t="s">
        <v>372</v>
      </c>
      <c r="F22" s="66">
        <v>1</v>
      </c>
      <c r="G22" s="94" t="s">
        <v>516</v>
      </c>
      <c r="H22" s="23" t="s">
        <v>388</v>
      </c>
      <c r="I22" s="37">
        <f>DATA!B16/DATA!AI16</f>
        <v>1.4564749733759319</v>
      </c>
      <c r="J22" s="37" t="s">
        <v>389</v>
      </c>
      <c r="K22" s="94" t="s">
        <v>306</v>
      </c>
      <c r="L22" s="10">
        <f t="shared" ref="L22:L25" si="2">B22+D22*(1-(1/I22))</f>
        <v>4.2835269773257391E-2</v>
      </c>
      <c r="N22" s="52">
        <f t="shared" si="1"/>
        <v>7.8352697732573875E-3</v>
      </c>
    </row>
    <row r="23" spans="1:14" ht="20.100000000000001" customHeight="1">
      <c r="A23" s="94" t="str">
        <f>DATA!A17</f>
        <v>PNW</v>
      </c>
      <c r="B23" s="106">
        <v>0.04</v>
      </c>
      <c r="C23" s="94" t="s">
        <v>492</v>
      </c>
      <c r="D23" s="107">
        <v>1.4999999999999999E-2</v>
      </c>
      <c r="E23" s="11" t="s">
        <v>372</v>
      </c>
      <c r="F23" s="66">
        <v>1</v>
      </c>
      <c r="G23" s="94" t="s">
        <v>516</v>
      </c>
      <c r="H23" s="23" t="s">
        <v>388</v>
      </c>
      <c r="I23" s="37">
        <f>DATA!B17/DATA!AI17</f>
        <v>1.5661744966442954</v>
      </c>
      <c r="J23" s="37" t="s">
        <v>389</v>
      </c>
      <c r="K23" s="94" t="s">
        <v>306</v>
      </c>
      <c r="L23" s="10">
        <f t="shared" si="2"/>
        <v>4.5422523140212549E-2</v>
      </c>
      <c r="N23" s="52">
        <f t="shared" si="1"/>
        <v>5.4225231402125484E-3</v>
      </c>
    </row>
    <row r="24" spans="1:14" ht="20.100000000000001" customHeight="1">
      <c r="A24" s="94" t="str">
        <f>DATA!A18</f>
        <v>POR</v>
      </c>
      <c r="B24" s="106">
        <v>3.7499999999999999E-2</v>
      </c>
      <c r="C24" s="94" t="s">
        <v>492</v>
      </c>
      <c r="D24" s="107">
        <v>0.01</v>
      </c>
      <c r="E24" s="11" t="s">
        <v>372</v>
      </c>
      <c r="F24" s="66">
        <v>1</v>
      </c>
      <c r="G24" s="94" t="s">
        <v>516</v>
      </c>
      <c r="H24" s="23" t="s">
        <v>388</v>
      </c>
      <c r="I24" s="37">
        <f>DATA!B18/DATA!AI18</f>
        <v>1.3159322033898304</v>
      </c>
      <c r="J24" s="37" t="s">
        <v>389</v>
      </c>
      <c r="K24" s="94" t="s">
        <v>306</v>
      </c>
      <c r="L24" s="10">
        <f t="shared" si="2"/>
        <v>3.990082431736218E-2</v>
      </c>
      <c r="N24" s="52">
        <f t="shared" si="1"/>
        <v>2.400824317362181E-3</v>
      </c>
    </row>
    <row r="25" spans="1:14" ht="20.100000000000001" customHeight="1">
      <c r="A25" s="94" t="str">
        <f>DATA!A19</f>
        <v>XEL</v>
      </c>
      <c r="B25" s="106">
        <v>4.7500000000000001E-2</v>
      </c>
      <c r="C25" s="94" t="s">
        <v>492</v>
      </c>
      <c r="D25" s="107">
        <v>1.2500000000000001E-2</v>
      </c>
      <c r="E25" s="11" t="s">
        <v>372</v>
      </c>
      <c r="F25" s="66">
        <v>1</v>
      </c>
      <c r="G25" s="94" t="s">
        <v>516</v>
      </c>
      <c r="H25" s="23" t="s">
        <v>388</v>
      </c>
      <c r="I25" s="37">
        <f>DATA!B19/DATA!AI19</f>
        <v>1.5271527777777778</v>
      </c>
      <c r="J25" s="37" t="s">
        <v>389</v>
      </c>
      <c r="K25" s="94" t="s">
        <v>306</v>
      </c>
      <c r="L25" s="10">
        <f t="shared" si="2"/>
        <v>5.1814833340912192E-2</v>
      </c>
      <c r="N25" s="52">
        <f t="shared" si="1"/>
        <v>4.3148333409121914E-3</v>
      </c>
    </row>
    <row r="26" spans="1:14" ht="20.100000000000001" customHeight="1">
      <c r="A26" s="79"/>
      <c r="B26" s="10"/>
      <c r="C26" s="79"/>
      <c r="D26" s="11"/>
      <c r="E26" s="11"/>
      <c r="F26" s="66"/>
      <c r="G26" s="79"/>
      <c r="H26" s="23"/>
      <c r="I26" s="37"/>
      <c r="J26" s="37"/>
      <c r="K26" s="79"/>
      <c r="L26" s="10"/>
    </row>
    <row r="27" spans="1:14" ht="12.75">
      <c r="A27" s="7"/>
      <c r="C27" s="7"/>
      <c r="G27" s="38" t="s">
        <v>308</v>
      </c>
      <c r="H27" s="11" t="s">
        <v>306</v>
      </c>
      <c r="I27" s="37">
        <f>AVERAGE(I11:I25)</f>
        <v>1.575900055790864</v>
      </c>
      <c r="J27" s="23"/>
      <c r="K27" s="7"/>
      <c r="L27" s="10"/>
      <c r="N27" s="52"/>
    </row>
    <row r="28" spans="1:14" ht="12.75">
      <c r="A28" s="7"/>
      <c r="C28" s="7"/>
      <c r="D28" s="11"/>
      <c r="E28" s="11"/>
      <c r="F28" s="23"/>
      <c r="G28" s="23"/>
      <c r="H28" s="23"/>
      <c r="I28" s="23"/>
      <c r="J28" s="23"/>
      <c r="K28" s="7"/>
      <c r="L28" s="10"/>
    </row>
    <row r="29" spans="1:14" ht="12.75">
      <c r="A29" s="7"/>
      <c r="C29" s="38" t="str">
        <f t="shared" ref="C29:C39" si="3">A11</f>
        <v>SO</v>
      </c>
      <c r="D29" s="7" t="s">
        <v>306</v>
      </c>
      <c r="E29" s="23" t="str">
        <f>DATA!A27</f>
        <v>Southern Company</v>
      </c>
      <c r="F29" s="23"/>
      <c r="G29" s="23"/>
      <c r="H29" s="23"/>
      <c r="I29" s="23"/>
      <c r="J29" s="23"/>
      <c r="K29" s="7"/>
      <c r="L29" s="10"/>
    </row>
    <row r="30" spans="1:14" ht="12.75">
      <c r="A30" s="7"/>
      <c r="C30" s="38" t="str">
        <f t="shared" si="3"/>
        <v>ALE</v>
      </c>
      <c r="D30" s="7" t="s">
        <v>306</v>
      </c>
      <c r="E30" s="23" t="str">
        <f>DATA!A28</f>
        <v>ALLETE</v>
      </c>
      <c r="F30" s="23"/>
      <c r="G30" s="23"/>
      <c r="H30" s="23"/>
      <c r="I30" s="23"/>
      <c r="J30" s="23"/>
      <c r="K30" s="7"/>
      <c r="L30" s="10"/>
    </row>
    <row r="31" spans="1:14" ht="12.75">
      <c r="A31" s="7"/>
      <c r="C31" s="38" t="str">
        <f t="shared" si="3"/>
        <v>LNT</v>
      </c>
      <c r="D31" s="7" t="s">
        <v>306</v>
      </c>
      <c r="E31" s="23" t="str">
        <f>DATA!A29</f>
        <v>Alliant Energy</v>
      </c>
      <c r="F31" s="23"/>
      <c r="G31" s="23"/>
      <c r="H31" s="23"/>
      <c r="I31" s="23"/>
      <c r="J31" s="23"/>
      <c r="K31" s="7"/>
      <c r="L31" s="10"/>
    </row>
    <row r="32" spans="1:14" ht="12.75">
      <c r="A32" s="7"/>
      <c r="C32" s="38" t="str">
        <f t="shared" si="3"/>
        <v>AEP</v>
      </c>
      <c r="D32" s="7" t="s">
        <v>306</v>
      </c>
      <c r="E32" s="23" t="str">
        <f>DATA!A30</f>
        <v>American Electric Power</v>
      </c>
      <c r="F32" s="23"/>
      <c r="G32" s="23"/>
      <c r="H32" s="23"/>
      <c r="I32" s="23"/>
      <c r="J32" s="23"/>
      <c r="K32" s="7"/>
      <c r="L32" s="10"/>
    </row>
    <row r="33" spans="1:12" ht="12.75">
      <c r="A33" s="7"/>
      <c r="C33" s="38" t="str">
        <f t="shared" si="3"/>
        <v>CNL</v>
      </c>
      <c r="D33" s="7" t="s">
        <v>306</v>
      </c>
      <c r="E33" s="23" t="str">
        <f>DATA!A31</f>
        <v>Cleco Corporation</v>
      </c>
      <c r="F33" s="23"/>
      <c r="G33" s="23"/>
      <c r="H33" s="23"/>
      <c r="I33" s="23"/>
      <c r="J33" s="23"/>
      <c r="K33" s="7"/>
      <c r="L33" s="10"/>
    </row>
    <row r="34" spans="1:12" ht="12.75">
      <c r="A34" s="7"/>
      <c r="C34" s="38" t="str">
        <f t="shared" si="3"/>
        <v>ETR</v>
      </c>
      <c r="D34" s="7" t="s">
        <v>306</v>
      </c>
      <c r="E34" s="23" t="str">
        <f>DATA!A32</f>
        <v>Entergy Corp.</v>
      </c>
      <c r="F34" s="23"/>
      <c r="G34" s="23"/>
      <c r="H34" s="23"/>
      <c r="I34" s="23"/>
      <c r="J34" s="23"/>
      <c r="K34" s="7"/>
      <c r="L34" s="10"/>
    </row>
    <row r="35" spans="1:12" ht="12.75">
      <c r="A35" s="7"/>
      <c r="C35" s="38" t="str">
        <f t="shared" si="3"/>
        <v>WR</v>
      </c>
      <c r="D35" s="7" t="s">
        <v>306</v>
      </c>
      <c r="E35" s="23" t="str">
        <f>DATA!A33</f>
        <v>Westar Energy</v>
      </c>
      <c r="F35" s="23"/>
      <c r="G35" s="23"/>
      <c r="H35" s="23"/>
      <c r="I35" s="23"/>
      <c r="J35" s="23"/>
      <c r="K35" s="7"/>
      <c r="L35" s="10"/>
    </row>
    <row r="36" spans="1:12" ht="12.75">
      <c r="A36" s="7"/>
      <c r="C36" s="38" t="str">
        <f t="shared" si="3"/>
        <v>WEC</v>
      </c>
      <c r="D36" s="7" t="s">
        <v>306</v>
      </c>
      <c r="E36" s="23" t="str">
        <f>DATA!A34</f>
        <v>Wisconsin Energy</v>
      </c>
      <c r="F36" s="23"/>
      <c r="G36" s="23"/>
      <c r="H36" s="23"/>
      <c r="I36" s="23"/>
      <c r="J36" s="23"/>
      <c r="K36" s="7"/>
      <c r="L36" s="10"/>
    </row>
    <row r="37" spans="1:12" ht="12.75">
      <c r="A37" s="7"/>
      <c r="C37" s="38" t="str">
        <f t="shared" si="3"/>
        <v>EIX</v>
      </c>
      <c r="D37" s="7" t="s">
        <v>306</v>
      </c>
      <c r="E37" s="23" t="str">
        <f>DATA!A35</f>
        <v>Edison International</v>
      </c>
      <c r="F37" s="23"/>
      <c r="G37" s="23"/>
      <c r="H37" s="23"/>
      <c r="I37" s="23"/>
      <c r="J37" s="23"/>
      <c r="K37" s="7"/>
      <c r="L37" s="10"/>
    </row>
    <row r="38" spans="1:12" ht="12.75">
      <c r="A38" s="7"/>
      <c r="C38" s="38" t="str">
        <f t="shared" si="3"/>
        <v>IDA</v>
      </c>
      <c r="D38" s="7" t="s">
        <v>306</v>
      </c>
      <c r="E38" s="23" t="str">
        <f>DATA!A36</f>
        <v>IDACORP</v>
      </c>
      <c r="F38" s="23"/>
      <c r="G38" s="23"/>
      <c r="H38" s="23"/>
      <c r="I38" s="23"/>
      <c r="J38" s="23"/>
      <c r="K38" s="7"/>
      <c r="L38" s="10"/>
    </row>
    <row r="39" spans="1:12" ht="12.75">
      <c r="A39" s="7"/>
      <c r="C39" s="38" t="str">
        <f t="shared" si="3"/>
        <v>NWE</v>
      </c>
      <c r="D39" s="7" t="s">
        <v>306</v>
      </c>
      <c r="E39" s="23" t="str">
        <f>DATA!A37</f>
        <v>Northwestern Corp.</v>
      </c>
      <c r="F39" s="23"/>
      <c r="G39" s="23"/>
      <c r="H39" s="23"/>
      <c r="I39" s="23"/>
      <c r="J39" s="23"/>
      <c r="K39" s="7"/>
      <c r="L39" s="10"/>
    </row>
    <row r="40" spans="1:12" ht="12.75">
      <c r="A40" s="94"/>
      <c r="C40" s="38" t="str">
        <f t="shared" ref="C40:C42" si="4">A22</f>
        <v>PCG</v>
      </c>
      <c r="D40" s="94" t="s">
        <v>306</v>
      </c>
      <c r="E40" s="23" t="str">
        <f>DATA!A38</f>
        <v>PG&amp;E Corp.</v>
      </c>
      <c r="F40" s="23"/>
      <c r="G40" s="23"/>
      <c r="H40" s="23"/>
      <c r="I40" s="23"/>
      <c r="J40" s="23"/>
      <c r="K40" s="94"/>
      <c r="L40" s="10"/>
    </row>
    <row r="41" spans="1:12" ht="12.75">
      <c r="A41" s="94"/>
      <c r="C41" s="38" t="str">
        <f t="shared" si="4"/>
        <v>PNW</v>
      </c>
      <c r="D41" s="94" t="s">
        <v>306</v>
      </c>
      <c r="E41" s="23" t="str">
        <f>DATA!A39</f>
        <v>Pinnacle West Capital</v>
      </c>
      <c r="F41" s="23"/>
      <c r="G41" s="23"/>
      <c r="H41" s="23"/>
      <c r="I41" s="23"/>
      <c r="J41" s="23"/>
      <c r="K41" s="94"/>
      <c r="L41" s="10"/>
    </row>
    <row r="42" spans="1:12" ht="12.75">
      <c r="A42" s="94"/>
      <c r="C42" s="38" t="str">
        <f t="shared" si="4"/>
        <v>POR</v>
      </c>
      <c r="D42" s="94" t="s">
        <v>306</v>
      </c>
      <c r="E42" s="23" t="str">
        <f>DATA!A40</f>
        <v>Portland General</v>
      </c>
      <c r="F42" s="23"/>
      <c r="G42" s="23"/>
      <c r="H42" s="23"/>
      <c r="I42" s="23"/>
      <c r="J42" s="23"/>
      <c r="K42" s="94"/>
      <c r="L42" s="10"/>
    </row>
    <row r="43" spans="1:12" ht="12.75">
      <c r="A43" s="94"/>
      <c r="C43" s="38"/>
      <c r="D43" s="94"/>
      <c r="E43" s="23"/>
      <c r="F43" s="23"/>
      <c r="G43" s="23"/>
      <c r="H43" s="23"/>
      <c r="I43" s="23"/>
      <c r="J43" s="23"/>
      <c r="K43" s="94"/>
      <c r="L43" s="10"/>
    </row>
    <row r="44" spans="1:12" ht="12.75">
      <c r="A44" s="5"/>
      <c r="E44" s="23"/>
      <c r="F44" s="23"/>
      <c r="G44" s="23"/>
      <c r="H44" s="23"/>
      <c r="I44" s="23"/>
      <c r="J44" s="23"/>
      <c r="K44" s="10"/>
      <c r="L44" s="5"/>
    </row>
    <row r="45" spans="1:12" ht="12.75">
      <c r="A45" s="23" t="s">
        <v>449</v>
      </c>
      <c r="B45" s="10"/>
      <c r="E45" s="23"/>
      <c r="F45" s="23"/>
      <c r="G45" s="23"/>
      <c r="H45" s="23"/>
      <c r="I45" s="23"/>
      <c r="J45" s="23"/>
      <c r="K45" s="7"/>
      <c r="L45" s="10"/>
    </row>
    <row r="46" spans="1:12" ht="12.75">
      <c r="A46" s="7"/>
      <c r="B46" s="10"/>
      <c r="E46" s="23"/>
      <c r="F46" s="23"/>
      <c r="G46" s="23"/>
      <c r="H46" s="23"/>
      <c r="I46" s="23"/>
      <c r="J46" s="23"/>
      <c r="K46" s="7"/>
      <c r="L46" s="10"/>
    </row>
    <row r="47" spans="1:12" ht="12.75">
      <c r="B47" s="10"/>
      <c r="E47" s="23"/>
      <c r="F47" s="23"/>
      <c r="G47" s="23"/>
      <c r="H47" s="23"/>
      <c r="I47" s="23"/>
      <c r="J47" s="23"/>
      <c r="K47" s="7"/>
      <c r="L47" s="10"/>
    </row>
    <row r="48" spans="1:12" ht="12.75">
      <c r="A48" s="7"/>
      <c r="B48" s="10"/>
      <c r="E48" s="11"/>
      <c r="F48" s="23"/>
      <c r="G48" s="23"/>
      <c r="H48" s="23"/>
      <c r="I48" s="23"/>
      <c r="J48" s="23"/>
      <c r="K48" s="7"/>
      <c r="L48" s="10"/>
    </row>
    <row r="49" spans="2:12" ht="12.75">
      <c r="B49" s="10"/>
      <c r="E49" s="11"/>
      <c r="F49" s="23"/>
      <c r="G49" s="23"/>
      <c r="H49" s="23"/>
      <c r="I49" s="23"/>
      <c r="J49" s="23"/>
      <c r="K49" s="7"/>
      <c r="L49" s="10"/>
    </row>
  </sheetData>
  <phoneticPr fontId="16" type="noConversion"/>
  <pageMargins left="0.96" right="0.75" top="1" bottom="1" header="0.5" footer="0.5"/>
  <pageSetup scale="9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8"/>
  <sheetViews>
    <sheetView workbookViewId="0">
      <selection activeCell="M1" sqref="A1:M33"/>
    </sheetView>
  </sheetViews>
  <sheetFormatPr defaultColWidth="11.42578125" defaultRowHeight="12"/>
  <cols>
    <col min="1" max="1" width="10" customWidth="1"/>
    <col min="2" max="2" width="7.28515625" customWidth="1"/>
    <col min="3" max="3" width="6.85546875" customWidth="1"/>
    <col min="4" max="5" width="7" customWidth="1"/>
    <col min="6" max="6" width="8.28515625" customWidth="1"/>
    <col min="7" max="7" width="6.7109375" customWidth="1"/>
    <col min="8" max="8" width="6.85546875" customWidth="1"/>
    <col min="9" max="9" width="6.28515625" customWidth="1"/>
    <col min="10" max="10" width="7.85546875" customWidth="1"/>
    <col min="11" max="11" width="7.28515625" customWidth="1"/>
    <col min="12" max="13" width="7.7109375" customWidth="1"/>
  </cols>
  <sheetData>
    <row r="1" spans="1:17" ht="12.75">
      <c r="A1" s="7"/>
      <c r="B1" s="10"/>
      <c r="C1" s="10"/>
      <c r="D1" s="10"/>
      <c r="E1" s="10"/>
      <c r="F1" s="10"/>
      <c r="G1" s="10"/>
      <c r="H1" s="10"/>
      <c r="I1" s="10"/>
      <c r="J1" s="10"/>
      <c r="K1" s="10"/>
      <c r="L1" s="218" t="s">
        <v>538</v>
      </c>
      <c r="M1" s="12"/>
      <c r="N1" s="12"/>
    </row>
    <row r="2" spans="1:17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222" t="s">
        <v>540</v>
      </c>
      <c r="M2" s="12"/>
      <c r="N2" s="12"/>
    </row>
    <row r="3" spans="1:17" ht="12.75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38" t="s">
        <v>434</v>
      </c>
      <c r="M3" s="12"/>
      <c r="N3" s="12"/>
    </row>
    <row r="4" spans="1:17" ht="12.75">
      <c r="A4" s="7"/>
      <c r="B4" s="10"/>
      <c r="C4" s="12"/>
      <c r="D4" s="5"/>
      <c r="E4" s="10"/>
      <c r="F4" s="10"/>
      <c r="G4" s="39" t="str">
        <f>DATA!A1</f>
        <v>PUGET SOUND ENERGY</v>
      </c>
      <c r="I4" s="5"/>
      <c r="J4" s="10"/>
      <c r="K4" s="10"/>
      <c r="L4" s="10"/>
      <c r="M4" s="12"/>
      <c r="N4" s="12"/>
    </row>
    <row r="5" spans="1:17" ht="12.75">
      <c r="A5" s="7"/>
      <c r="B5" s="10"/>
      <c r="C5" s="12"/>
      <c r="D5" s="5"/>
      <c r="E5" s="10"/>
      <c r="F5" s="10"/>
      <c r="G5" s="39"/>
      <c r="I5" s="5"/>
      <c r="J5" s="10"/>
      <c r="K5" s="10"/>
      <c r="L5" s="10"/>
      <c r="M5" s="12"/>
      <c r="N5" s="12"/>
    </row>
    <row r="6" spans="1:17" ht="12.75">
      <c r="A6" s="7"/>
      <c r="B6" s="10"/>
      <c r="C6" s="12"/>
      <c r="D6" s="5"/>
      <c r="E6" s="10"/>
      <c r="F6" s="10"/>
      <c r="G6" s="39" t="s">
        <v>370</v>
      </c>
      <c r="I6" s="5"/>
      <c r="J6" s="10"/>
      <c r="K6" s="10"/>
      <c r="L6" s="10"/>
      <c r="M6" s="12"/>
      <c r="N6" s="12"/>
    </row>
    <row r="7" spans="1:17" ht="12.75">
      <c r="A7" s="7"/>
      <c r="B7" s="10"/>
      <c r="C7" s="10"/>
      <c r="D7" s="10"/>
      <c r="E7" s="10"/>
      <c r="F7" s="10"/>
      <c r="G7" s="10" t="s">
        <v>498</v>
      </c>
      <c r="H7" s="10"/>
      <c r="I7" s="10"/>
      <c r="J7" s="10"/>
      <c r="K7" s="10"/>
      <c r="L7" s="10"/>
      <c r="M7" s="12"/>
      <c r="N7" s="12"/>
    </row>
    <row r="8" spans="1:17" ht="12.75">
      <c r="A8" s="7"/>
      <c r="B8" s="10"/>
      <c r="C8" s="10"/>
      <c r="D8" s="10"/>
      <c r="E8" s="10"/>
      <c r="F8" s="10"/>
      <c r="G8" s="10"/>
      <c r="H8" s="10"/>
      <c r="I8" s="10"/>
      <c r="J8" s="10" t="s">
        <v>499</v>
      </c>
      <c r="K8" s="10"/>
      <c r="L8" s="10"/>
      <c r="M8" s="12"/>
      <c r="N8" s="12"/>
    </row>
    <row r="9" spans="1:17" ht="12.75">
      <c r="A9" s="7"/>
      <c r="B9" s="10" t="s">
        <v>456</v>
      </c>
      <c r="C9" s="17"/>
      <c r="D9" s="17" t="s">
        <v>450</v>
      </c>
      <c r="E9" s="17"/>
      <c r="F9" s="10" t="s">
        <v>499</v>
      </c>
      <c r="G9" s="17"/>
      <c r="H9" s="17" t="s">
        <v>145</v>
      </c>
      <c r="I9" s="17"/>
      <c r="J9" s="10" t="s">
        <v>502</v>
      </c>
      <c r="K9" s="17"/>
      <c r="L9" s="17" t="s">
        <v>500</v>
      </c>
      <c r="M9" s="40"/>
      <c r="N9" s="5"/>
    </row>
    <row r="10" spans="1:17" ht="12.75">
      <c r="A10" s="21" t="s">
        <v>518</v>
      </c>
      <c r="B10" s="20" t="s">
        <v>457</v>
      </c>
      <c r="C10" s="20" t="s">
        <v>494</v>
      </c>
      <c r="D10" s="20" t="s">
        <v>495</v>
      </c>
      <c r="E10" s="20" t="s">
        <v>435</v>
      </c>
      <c r="F10" s="20" t="s">
        <v>494</v>
      </c>
      <c r="G10" s="20" t="s">
        <v>494</v>
      </c>
      <c r="H10" s="20" t="s">
        <v>495</v>
      </c>
      <c r="I10" s="20" t="s">
        <v>435</v>
      </c>
      <c r="J10" s="20" t="s">
        <v>503</v>
      </c>
      <c r="K10" s="20" t="s">
        <v>494</v>
      </c>
      <c r="L10" s="20" t="s">
        <v>495</v>
      </c>
      <c r="M10" s="20" t="s">
        <v>435</v>
      </c>
      <c r="N10" s="5"/>
    </row>
    <row r="11" spans="1:17" ht="20.100000000000001" customHeight="1">
      <c r="A11" s="7" t="str">
        <f>DATA!A5</f>
        <v>SO</v>
      </c>
      <c r="B11" s="41">
        <f>'SGH-6,p1'!L11</f>
        <v>5.0223048327137552E-2</v>
      </c>
      <c r="C11" s="10">
        <f>DATA!AU5</f>
        <v>4.4999999999999998E-2</v>
      </c>
      <c r="D11" s="10">
        <f>DATA!AW5</f>
        <v>0.04</v>
      </c>
      <c r="E11" s="10">
        <f>DATA!AY5</f>
        <v>4.4999999999999998E-2</v>
      </c>
      <c r="F11" s="42">
        <f>DATA!BA5</f>
        <v>4.8399999999999999E-2</v>
      </c>
      <c r="G11" s="10">
        <f>DATA!AT5</f>
        <v>0.03</v>
      </c>
      <c r="H11" s="10">
        <f>DATA!AV5</f>
        <v>0.04</v>
      </c>
      <c r="I11" s="10">
        <f>DATA!AX5</f>
        <v>5.5E-2</v>
      </c>
      <c r="J11" s="41">
        <f t="shared" ref="J11:J21" si="0">AVERAGE(C11,D11,E11,G11,H11,I11,F11)</f>
        <v>4.3342857142857141E-2</v>
      </c>
      <c r="K11" s="10">
        <f>(DATA!$K5/DATA!$F5)^0.2-1</f>
        <v>4.0950396969256841E-2</v>
      </c>
      <c r="L11" s="10">
        <f>(DATA!$S5/DATA!$N5)^0.2-1</f>
        <v>4.0036680048701312E-2</v>
      </c>
      <c r="M11" s="10">
        <f>(DATA!$AI5/DATA!$AD5)^0.2-1</f>
        <v>4.9528602997105153E-2</v>
      </c>
      <c r="Q11" s="52"/>
    </row>
    <row r="12" spans="1:17" ht="20.100000000000001" customHeight="1">
      <c r="A12" s="7" t="str">
        <f>DATA!A6</f>
        <v>ALE</v>
      </c>
      <c r="B12" s="42">
        <f>'SGH-6,p1'!L12</f>
        <v>5.5671994780623055E-2</v>
      </c>
      <c r="C12" s="10">
        <f>DATA!AU6</f>
        <v>7.0000000000000007E-2</v>
      </c>
      <c r="D12" s="10">
        <f>DATA!AW6</f>
        <v>3.5000000000000003E-2</v>
      </c>
      <c r="E12" s="10">
        <f>DATA!AY6</f>
        <v>0.04</v>
      </c>
      <c r="F12" s="42">
        <f>DATA!BA6</f>
        <v>0.06</v>
      </c>
      <c r="G12" s="10">
        <f>DATA!AT6</f>
        <v>-2.5000000000000001E-2</v>
      </c>
      <c r="H12" s="10">
        <f>DATA!AV6</f>
        <v>4.4999999999999998E-2</v>
      </c>
      <c r="I12" s="10">
        <f>DATA!AX6</f>
        <v>5.5E-2</v>
      </c>
      <c r="J12" s="42">
        <f t="shared" si="0"/>
        <v>0.04</v>
      </c>
      <c r="K12" s="10">
        <f>(DATA!$K6/DATA!$F6)^0.2-1</f>
        <v>-5.0145794597948878E-3</v>
      </c>
      <c r="L12" s="10">
        <f>(DATA!$S6/DATA!$N6)^0.2-1</f>
        <v>2.010536305016597E-2</v>
      </c>
      <c r="M12" s="10">
        <f>(DATA!$AI6/DATA!$AD6)^0.2-1</f>
        <v>4.4896616972878167E-2</v>
      </c>
      <c r="Q12" s="52"/>
    </row>
    <row r="13" spans="1:17" ht="20.100000000000001" customHeight="1">
      <c r="A13" s="7" t="str">
        <f>DATA!A7</f>
        <v>LNT</v>
      </c>
      <c r="B13" s="42">
        <f>'SGH-6,p1'!L13</f>
        <v>4.7111131772237642E-2</v>
      </c>
      <c r="C13" s="10">
        <f>DATA!AU7</f>
        <v>0.05</v>
      </c>
      <c r="D13" s="10">
        <f>DATA!AW7</f>
        <v>4.4999999999999998E-2</v>
      </c>
      <c r="E13" s="10">
        <f>DATA!AY7</f>
        <v>0.04</v>
      </c>
      <c r="F13" s="42">
        <f>DATA!BA7</f>
        <v>5.8700000000000002E-2</v>
      </c>
      <c r="G13" s="10">
        <f>DATA!AT7</f>
        <v>0.04</v>
      </c>
      <c r="H13" s="10">
        <f>DATA!AV7</f>
        <v>0.08</v>
      </c>
      <c r="I13" s="10">
        <f>DATA!AX7</f>
        <v>3.5000000000000003E-2</v>
      </c>
      <c r="J13" s="42">
        <f t="shared" si="0"/>
        <v>4.9814285714285714E-2</v>
      </c>
      <c r="K13" s="10">
        <f>(DATA!$K7/DATA!$F7)^0.2-1</f>
        <v>5.374625619567297E-2</v>
      </c>
      <c r="L13" s="10">
        <f>(DATA!$S7/DATA!$N7)^0.2-1</f>
        <v>6.0732713038533337E-2</v>
      </c>
      <c r="M13" s="10">
        <f>(DATA!$AI7/DATA!$AD7)^0.2-1</f>
        <v>2.5575009418160377E-2</v>
      </c>
      <c r="Q13" s="52"/>
    </row>
    <row r="14" spans="1:17" ht="20.100000000000001" customHeight="1">
      <c r="A14" s="7" t="str">
        <f>DATA!A8</f>
        <v>AEP</v>
      </c>
      <c r="B14" s="42">
        <f>'SGH-6,p1'!L14</f>
        <v>4.4561954848640326E-2</v>
      </c>
      <c r="C14" s="10">
        <f>DATA!AU8</f>
        <v>4.4999999999999998E-2</v>
      </c>
      <c r="D14" s="10">
        <f>DATA!AW8</f>
        <v>0.04</v>
      </c>
      <c r="E14" s="10">
        <f>DATA!AY8</f>
        <v>0.04</v>
      </c>
      <c r="F14" s="42">
        <f>DATA!BA8</f>
        <v>3.6400000000000002E-2</v>
      </c>
      <c r="G14" s="10">
        <f>DATA!AT8</f>
        <v>0.01</v>
      </c>
      <c r="H14" s="10">
        <f>DATA!AV8</f>
        <v>0.04</v>
      </c>
      <c r="I14" s="10">
        <f>DATA!AX8</f>
        <v>4.4999999999999998E-2</v>
      </c>
      <c r="J14" s="42">
        <f t="shared" si="0"/>
        <v>3.6628571428571434E-2</v>
      </c>
      <c r="K14" s="10">
        <f>(DATA!$K8/DATA!$F8)^0.2-1</f>
        <v>7.2519135032298454E-3</v>
      </c>
      <c r="L14" s="10">
        <f>(DATA!$S8/DATA!$N8)^0.2-1</f>
        <v>3.4169145380273935E-2</v>
      </c>
      <c r="M14" s="10">
        <f>(DATA!$AI8/DATA!$AD8)^0.2-1</f>
        <v>4.3325991574115319E-2</v>
      </c>
      <c r="Q14" s="52"/>
    </row>
    <row r="15" spans="1:17" ht="20.100000000000001" customHeight="1">
      <c r="A15" s="7" t="str">
        <f>DATA!A9</f>
        <v>CNL</v>
      </c>
      <c r="B15" s="42">
        <f>'SGH-6,p1'!L15</f>
        <v>6.1096003997450896E-2</v>
      </c>
      <c r="C15" s="10">
        <f>DATA!AU9</f>
        <v>5.5E-2</v>
      </c>
      <c r="D15" s="10">
        <f>DATA!AW9</f>
        <v>0.1</v>
      </c>
      <c r="E15" s="10">
        <f>DATA!AY9</f>
        <v>0.05</v>
      </c>
      <c r="F15" s="42">
        <f>DATA!BA9</f>
        <v>0.08</v>
      </c>
      <c r="G15" s="10">
        <f>DATA!AT9</f>
        <v>0.13</v>
      </c>
      <c r="H15" s="10">
        <f>DATA!AV9</f>
        <v>4.4999999999999998E-2</v>
      </c>
      <c r="I15" s="10">
        <f>DATA!AX9</f>
        <v>0.09</v>
      </c>
      <c r="J15" s="42">
        <f t="shared" si="0"/>
        <v>7.8571428571428556E-2</v>
      </c>
      <c r="K15" s="10">
        <f>(DATA!$K9/DATA!$F9)^0.2-1</f>
        <v>8.0185187303563499E-2</v>
      </c>
      <c r="L15" s="10">
        <f>(DATA!$S9/DATA!$N9)^0.2-1</f>
        <v>9.7030508754273104E-2</v>
      </c>
      <c r="M15" s="10">
        <f>(DATA!$AI9/DATA!$AD9)^0.2-1</f>
        <v>7.9302461525472712E-2</v>
      </c>
      <c r="Q15" s="52"/>
    </row>
    <row r="16" spans="1:17" ht="20.100000000000001" customHeight="1">
      <c r="A16" s="7" t="str">
        <f>DATA!A10</f>
        <v>ETR</v>
      </c>
      <c r="B16" s="42">
        <f>'SGH-6,p1'!L16</f>
        <v>0.04</v>
      </c>
      <c r="C16" s="10">
        <f>DATA!AU10</f>
        <v>-3.5000000000000003E-2</v>
      </c>
      <c r="D16" s="10">
        <f>DATA!AW10</f>
        <v>5.0000000000000001E-3</v>
      </c>
      <c r="E16" s="10">
        <f>DATA!AY10</f>
        <v>0.03</v>
      </c>
      <c r="F16" s="42">
        <f>DATA!BA10</f>
        <v>0</v>
      </c>
      <c r="G16" s="10">
        <f>DATA!AT10</f>
        <v>5.5E-2</v>
      </c>
      <c r="H16" s="10">
        <f>DATA!AV10</f>
        <v>7.4999999999999997E-2</v>
      </c>
      <c r="I16" s="10">
        <f>DATA!AX10</f>
        <v>0.05</v>
      </c>
      <c r="J16" s="42">
        <f t="shared" si="0"/>
        <v>2.5714285714285714E-2</v>
      </c>
      <c r="K16" s="10">
        <f>(DATA!$K10/DATA!$F10)^0.2-1</f>
        <v>-5.188638304604587E-2</v>
      </c>
      <c r="L16" s="10">
        <f>(DATA!$S10/DATA!$N10)^0.2-1</f>
        <v>2.0477340645342901E-2</v>
      </c>
      <c r="M16" s="10">
        <f>(DATA!$AI10/DATA!$AD10)^0.2-1</f>
        <v>4.766974364908827E-2</v>
      </c>
      <c r="Q16" s="52"/>
    </row>
    <row r="17" spans="1:17" ht="20.100000000000001" customHeight="1">
      <c r="A17" s="7" t="str">
        <f>DATA!A11</f>
        <v>WR</v>
      </c>
      <c r="B17" s="42">
        <f>'SGH-6,p1'!L17</f>
        <v>4.9439188348064232E-2</v>
      </c>
      <c r="C17" s="10">
        <f>DATA!AU11</f>
        <v>0.06</v>
      </c>
      <c r="D17" s="10">
        <f>DATA!AW11</f>
        <v>0.03</v>
      </c>
      <c r="E17" s="10">
        <f>DATA!AY11</f>
        <v>0.05</v>
      </c>
      <c r="F17" s="42">
        <f>DATA!BA11</f>
        <v>4.8000000000000001E-2</v>
      </c>
      <c r="G17" s="10">
        <f>DATA!AT11</f>
        <v>1.4999999999999999E-2</v>
      </c>
      <c r="H17" s="10">
        <f>DATA!AV11</f>
        <v>0.05</v>
      </c>
      <c r="I17" s="10">
        <f>DATA!AX11</f>
        <v>4.4999999999999998E-2</v>
      </c>
      <c r="J17" s="42">
        <f t="shared" si="0"/>
        <v>4.2571428571428573E-2</v>
      </c>
      <c r="K17" s="10">
        <f>(DATA!$K11/DATA!$F11)^0.2-1</f>
        <v>0.11424897818433144</v>
      </c>
      <c r="L17" s="10">
        <f>(DATA!$S11/DATA!$N11)^0.2-1</f>
        <v>3.2324379535307868E-2</v>
      </c>
      <c r="M17" s="10">
        <f>(DATA!$AI11/DATA!$AD11)^0.2-1</f>
        <v>4.3767498412543571E-2</v>
      </c>
      <c r="Q17" s="52"/>
    </row>
    <row r="18" spans="1:17" ht="20.100000000000001" customHeight="1">
      <c r="A18" s="7" t="str">
        <f>DATA!A12</f>
        <v>WEC</v>
      </c>
      <c r="B18" s="42">
        <f>'SGH-6,p1'!L18</f>
        <v>5.2499999999999998E-2</v>
      </c>
      <c r="C18" s="10">
        <f>DATA!AU12</f>
        <v>5.5E-2</v>
      </c>
      <c r="D18" s="10">
        <f>DATA!AW12</f>
        <v>0.12</v>
      </c>
      <c r="E18" s="10">
        <f>DATA!AY12</f>
        <v>3.5000000000000003E-2</v>
      </c>
      <c r="F18" s="42">
        <f>DATA!BA12</f>
        <v>5.5500000000000001E-2</v>
      </c>
      <c r="G18" s="10">
        <f>DATA!AT12</f>
        <v>0.1</v>
      </c>
      <c r="H18" s="10">
        <f>DATA!AV12</f>
        <v>0.17</v>
      </c>
      <c r="I18" s="10">
        <f>DATA!AX12</f>
        <v>7.0000000000000007E-2</v>
      </c>
      <c r="J18" s="42">
        <f t="shared" si="0"/>
        <v>8.6500000000000007E-2</v>
      </c>
      <c r="K18" s="10">
        <f>(DATA!$K12/DATA!$F12)^0.2-1</f>
        <v>9.5654257747853855E-2</v>
      </c>
      <c r="L18" s="10">
        <f>(DATA!$S12/DATA!$N12)^0.2-1</f>
        <v>0.20289862847400841</v>
      </c>
      <c r="M18" s="10">
        <f>(DATA!$AI12/DATA!$AD12)^0.2-1</f>
        <v>5.5561463731955918E-2</v>
      </c>
      <c r="Q18" s="52"/>
    </row>
    <row r="19" spans="1:17" ht="20.100000000000001" customHeight="1">
      <c r="A19" s="7" t="str">
        <f>DATA!A13</f>
        <v>EIX</v>
      </c>
      <c r="B19" s="42">
        <f>'SGH-6,p1'!L19</f>
        <v>0.06</v>
      </c>
      <c r="C19" s="10">
        <f>DATA!AU13</f>
        <v>2.5000000000000001E-2</v>
      </c>
      <c r="D19" s="10">
        <f>DATA!AW13</f>
        <v>5.5E-2</v>
      </c>
      <c r="E19" s="10">
        <f>DATA!AY13</f>
        <v>4.4999999999999998E-2</v>
      </c>
      <c r="F19" s="42">
        <f>DATA!BA13</f>
        <v>-1.89E-2</v>
      </c>
      <c r="G19" s="10">
        <f>DATA!AT13</f>
        <v>2.5000000000000001E-2</v>
      </c>
      <c r="H19" s="10">
        <f>DATA!AV13</f>
        <v>0.03</v>
      </c>
      <c r="I19" s="10">
        <f>DATA!AX13</f>
        <v>5.5E-2</v>
      </c>
      <c r="J19" s="42">
        <f t="shared" si="0"/>
        <v>3.087142857142857E-2</v>
      </c>
      <c r="K19" s="10">
        <f>(DATA!$K13/DATA!$F13)^0.2-1</f>
        <v>-9.9798244691778892E-3</v>
      </c>
      <c r="L19" s="10">
        <f>(DATA!$S13/DATA!$N13)^0.2-1</f>
        <v>2.0297351685825582E-2</v>
      </c>
      <c r="M19" s="10">
        <f>(DATA!$AI13/DATA!$AD13)^0.2-1</f>
        <v>1.229247739726258E-2</v>
      </c>
      <c r="Q19" s="52"/>
    </row>
    <row r="20" spans="1:17" ht="20.100000000000001" customHeight="1">
      <c r="A20" s="7" t="str">
        <f>DATA!A14</f>
        <v>IDA</v>
      </c>
      <c r="B20" s="42">
        <f>'SGH-6,p1'!L20</f>
        <v>4.581920228786162E-2</v>
      </c>
      <c r="C20" s="10">
        <f>DATA!AU14</f>
        <v>0.02</v>
      </c>
      <c r="D20" s="10">
        <f>DATA!AW14</f>
        <v>7.0000000000000007E-2</v>
      </c>
      <c r="E20" s="10">
        <f>DATA!AY14</f>
        <v>4.4999999999999998E-2</v>
      </c>
      <c r="F20" s="42">
        <f>DATA!BA14</f>
        <v>0.04</v>
      </c>
      <c r="G20" s="10">
        <f>DATA!AT14</f>
        <v>0.1</v>
      </c>
      <c r="H20" s="10">
        <f>DATA!AV14</f>
        <v>0.01</v>
      </c>
      <c r="I20" s="10">
        <f>DATA!AX14</f>
        <v>5.5E-2</v>
      </c>
      <c r="J20" s="42">
        <f t="shared" si="0"/>
        <v>4.8571428571428578E-2</v>
      </c>
      <c r="K20" s="10">
        <f>(DATA!$K14/DATA!$F14)^0.2-1</f>
        <v>8.645436537245299E-2</v>
      </c>
      <c r="L20" s="10">
        <f>(DATA!$S14/DATA!$N14)^0.2-1</f>
        <v>5.387395206178347E-2</v>
      </c>
      <c r="M20" s="10">
        <f>(DATA!$AI14/DATA!$AD14)^0.2-1</f>
        <v>5.6558586701940028E-2</v>
      </c>
      <c r="Q20" s="52"/>
    </row>
    <row r="21" spans="1:17" s="109" customFormat="1" ht="20.100000000000001" customHeight="1">
      <c r="A21" s="95" t="str">
        <f>DATA!A15</f>
        <v>NWE</v>
      </c>
      <c r="B21" s="108">
        <f>'SGH-6,p1'!L21</f>
        <v>4.3572263342423062E-2</v>
      </c>
      <c r="C21" s="106">
        <f>DATA!AU15</f>
        <v>0.03</v>
      </c>
      <c r="D21" s="106">
        <f>DATA!AW15</f>
        <v>0.04</v>
      </c>
      <c r="E21" s="106">
        <f>DATA!AY15</f>
        <v>4.4999999999999998E-2</v>
      </c>
      <c r="F21" s="108">
        <f>DATA!BA15</f>
        <v>0.05</v>
      </c>
      <c r="G21" s="106">
        <f>DATA!AT15</f>
        <v>0.09</v>
      </c>
      <c r="H21" s="106">
        <f>DATA!AV15</f>
        <v>0.04</v>
      </c>
      <c r="I21" s="106">
        <f>DATA!AX15</f>
        <v>2.5000000000000001E-2</v>
      </c>
      <c r="J21" s="108">
        <f t="shared" si="0"/>
        <v>4.5714285714285714E-2</v>
      </c>
      <c r="K21" s="106">
        <f>(DATA!$K15/DATA!$F15)^0.2-1</f>
        <v>6.7182177284467848E-2</v>
      </c>
      <c r="L21" s="106">
        <f>(DATA!$S15/DATA!$N15)^0.2-1</f>
        <v>2.8617553510468241E-2</v>
      </c>
      <c r="M21" s="106">
        <f>(DATA!$AI15/DATA!$AD15)^0.2-1</f>
        <v>4.4357039608164506E-2</v>
      </c>
      <c r="O21"/>
      <c r="P21"/>
      <c r="Q21" s="111"/>
    </row>
    <row r="22" spans="1:17" s="109" customFormat="1" ht="20.100000000000001" customHeight="1">
      <c r="A22" s="95" t="str">
        <f>DATA!A16</f>
        <v>PCG</v>
      </c>
      <c r="B22" s="108">
        <f>'SGH-6,p1'!L22</f>
        <v>4.2835269773257391E-2</v>
      </c>
      <c r="C22" s="106">
        <f>DATA!AU16</f>
        <v>0.04</v>
      </c>
      <c r="D22" s="106">
        <f>DATA!AW16</f>
        <v>2.5000000000000001E-2</v>
      </c>
      <c r="E22" s="106">
        <f>DATA!AY16</f>
        <v>0.03</v>
      </c>
      <c r="F22" s="108">
        <f>DATA!BA16</f>
        <v>3.1199999999999999E-2</v>
      </c>
      <c r="G22" s="106">
        <f>DATA!AT16</f>
        <v>-5.0000000000000001E-3</v>
      </c>
      <c r="H22" s="106">
        <f>DATA!AV16</f>
        <v>6.5000000000000002E-2</v>
      </c>
      <c r="I22" s="106">
        <f>DATA!AX16</f>
        <v>0.06</v>
      </c>
      <c r="J22" s="108">
        <f t="shared" ref="J22:J25" si="1">AVERAGE(C22,D22,E22,G22,H22,I22,F22)</f>
        <v>3.5171428571428569E-2</v>
      </c>
      <c r="K22" s="106">
        <f>(DATA!$K16/DATA!$F16)^0.2-1</f>
        <v>-9.5443397558052645E-2</v>
      </c>
      <c r="L22" s="106">
        <f>(DATA!$S16/DATA!$N16)^0.2-1</f>
        <v>3.1310306477545069E-2</v>
      </c>
      <c r="M22" s="106">
        <f>(DATA!$AI16/DATA!$AD16)^0.2-1</f>
        <v>3.8040928763453552E-2</v>
      </c>
      <c r="O22"/>
      <c r="P22"/>
      <c r="Q22" s="111"/>
    </row>
    <row r="23" spans="1:17" s="109" customFormat="1" ht="20.100000000000001" customHeight="1">
      <c r="A23" s="95" t="str">
        <f>DATA!A17</f>
        <v>PNW</v>
      </c>
      <c r="B23" s="108">
        <f>'SGH-6,p1'!L23</f>
        <v>4.5422523140212549E-2</v>
      </c>
      <c r="C23" s="106">
        <f>DATA!AU17</f>
        <v>0.05</v>
      </c>
      <c r="D23" s="106">
        <f>DATA!AW17</f>
        <v>0.02</v>
      </c>
      <c r="E23" s="106">
        <f>DATA!AY17</f>
        <v>3.5000000000000003E-2</v>
      </c>
      <c r="F23" s="108">
        <f>DATA!BA17</f>
        <v>7.2499999999999995E-2</v>
      </c>
      <c r="G23" s="106">
        <f>DATA!AT17</f>
        <v>2.5000000000000001E-2</v>
      </c>
      <c r="H23" s="106">
        <f>DATA!AV17</f>
        <v>2.5000000000000001E-2</v>
      </c>
      <c r="I23" s="106">
        <f>DATA!AX17</f>
        <v>0</v>
      </c>
      <c r="J23" s="108">
        <f t="shared" si="1"/>
        <v>3.2499999999999994E-2</v>
      </c>
      <c r="K23" s="106">
        <f>(DATA!$K17/DATA!$F17)^0.2-1</f>
        <v>0.10546866465628391</v>
      </c>
      <c r="L23" s="106">
        <f>(DATA!$S17/DATA!$N17)^0.2-1</f>
        <v>7.5055327776321068E-3</v>
      </c>
      <c r="M23" s="106">
        <f>(DATA!$AI17/DATA!$AD17)^0.2-1</f>
        <v>1.7470164128682519E-2</v>
      </c>
      <c r="O23"/>
      <c r="P23"/>
      <c r="Q23" s="111"/>
    </row>
    <row r="24" spans="1:17" s="109" customFormat="1" ht="20.100000000000001" customHeight="1">
      <c r="A24" s="95" t="str">
        <f>DATA!A18</f>
        <v>POR</v>
      </c>
      <c r="B24" s="108">
        <f>'SGH-6,p1'!L24</f>
        <v>3.990082431736218E-2</v>
      </c>
      <c r="C24" s="106">
        <f>DATA!AU18</f>
        <v>3.5000000000000003E-2</v>
      </c>
      <c r="D24" s="106">
        <f>DATA!AW18</f>
        <v>3.5000000000000003E-2</v>
      </c>
      <c r="E24" s="106">
        <f>DATA!AY18</f>
        <v>3.5000000000000003E-2</v>
      </c>
      <c r="F24" s="108">
        <f>DATA!BA18</f>
        <v>4.7699999999999999E-2</v>
      </c>
      <c r="G24" s="106">
        <f>DATA!AT18</f>
        <v>0.04</v>
      </c>
      <c r="H24" s="106">
        <f>DATA!AV18</f>
        <v>0.14499999999999999</v>
      </c>
      <c r="I24" s="106">
        <f>DATA!AX18</f>
        <v>0.02</v>
      </c>
      <c r="J24" s="108">
        <f t="shared" si="1"/>
        <v>5.1100000000000013E-2</v>
      </c>
      <c r="K24" s="106">
        <f>(DATA!$K18/DATA!$F18)^0.2-1</f>
        <v>6.4505133515259105E-2</v>
      </c>
      <c r="L24" s="106">
        <f>(DATA!$S18/DATA!$N18)^0.2-1</f>
        <v>2.7330658501865557E-2</v>
      </c>
      <c r="M24" s="106">
        <f>(DATA!$AI18/DATA!$AD18)^0.2-1</f>
        <v>1.7491873540826486E-2</v>
      </c>
      <c r="O24"/>
      <c r="P24"/>
      <c r="Q24" s="111"/>
    </row>
    <row r="25" spans="1:17" s="109" customFormat="1" ht="20.100000000000001" customHeight="1">
      <c r="A25" s="95" t="str">
        <f>DATA!A19</f>
        <v>XEL</v>
      </c>
      <c r="B25" s="43">
        <f>'SGH-6,p1'!L25</f>
        <v>5.1814833340912192E-2</v>
      </c>
      <c r="C25" s="20">
        <f>DATA!AU19</f>
        <v>4.4999999999999998E-2</v>
      </c>
      <c r="D25" s="20">
        <f>DATA!AW19</f>
        <v>4.4999999999999998E-2</v>
      </c>
      <c r="E25" s="20">
        <f>DATA!AY19</f>
        <v>4.4999999999999998E-2</v>
      </c>
      <c r="F25" s="43">
        <f>DATA!BA19</f>
        <v>5.11E-2</v>
      </c>
      <c r="G25" s="20">
        <f>DATA!AT19</f>
        <v>5.5E-2</v>
      </c>
      <c r="H25" s="20">
        <f>DATA!AV19</f>
        <v>0.03</v>
      </c>
      <c r="I25" s="20">
        <f>DATA!AX19</f>
        <v>4.4999999999999998E-2</v>
      </c>
      <c r="J25" s="43">
        <f t="shared" si="1"/>
        <v>4.5157142857142854E-2</v>
      </c>
      <c r="K25" s="20">
        <f>(DATA!$K19/DATA!$F19)^0.2-1</f>
        <v>5.4095960497761553E-2</v>
      </c>
      <c r="L25" s="20">
        <f>(DATA!$S19/DATA!$N19)^0.2-1</f>
        <v>3.3805944396723131E-2</v>
      </c>
      <c r="M25" s="20">
        <f>(DATA!$AI19/DATA!$AD19)^0.2-1</f>
        <v>4.5775756784066424E-2</v>
      </c>
      <c r="O25"/>
      <c r="P25"/>
      <c r="Q25" s="111"/>
    </row>
    <row r="26" spans="1:17" ht="20.100000000000001" customHeight="1">
      <c r="A26" s="5"/>
      <c r="B26" s="44"/>
      <c r="C26" s="46">
        <f>AVERAGE(C11:C25)</f>
        <v>3.9333333333333338E-2</v>
      </c>
      <c r="D26" s="17">
        <f>AVERAGE(D11:D25)</f>
        <v>4.7000000000000014E-2</v>
      </c>
      <c r="E26" s="53">
        <f>AVERAGE(E11:E25)</f>
        <v>4.066666666666667E-2</v>
      </c>
      <c r="F26" s="44"/>
      <c r="G26" s="46">
        <f>AVERAGE(G11:G25)</f>
        <v>4.5666666666666668E-2</v>
      </c>
      <c r="H26" s="17">
        <f>AVERAGE(H11:H25)</f>
        <v>5.9333333333333349E-2</v>
      </c>
      <c r="I26" s="53">
        <f>AVERAGE(I11:I25)</f>
        <v>4.7000000000000014E-2</v>
      </c>
      <c r="J26" s="42"/>
      <c r="K26" s="46">
        <f>AVERAGE(K11:K25)</f>
        <v>4.0494607113137501E-2</v>
      </c>
      <c r="L26" s="17">
        <f>AVERAGE(L11:L25)</f>
        <v>4.7367737222563336E-2</v>
      </c>
      <c r="M26" s="17">
        <f>AVERAGE(M11:M25)</f>
        <v>4.1440947680381042E-2</v>
      </c>
    </row>
    <row r="27" spans="1:17" ht="20.100000000000001" customHeight="1">
      <c r="A27" s="7" t="s">
        <v>501</v>
      </c>
      <c r="B27" s="45">
        <f>AVERAGE(B11:B25)</f>
        <v>4.8664549218412172E-2</v>
      </c>
      <c r="C27" s="5"/>
      <c r="D27" s="10">
        <f>(C26+D26+E26)/3</f>
        <v>4.2333333333333334E-2</v>
      </c>
      <c r="E27" s="5"/>
      <c r="F27" s="45">
        <f>AVERAGE(F11:F25)</f>
        <v>4.4039999999999996E-2</v>
      </c>
      <c r="G27" s="5"/>
      <c r="H27" s="10">
        <f>(G26+H26+I26)/3</f>
        <v>5.0666666666666672E-2</v>
      </c>
      <c r="I27" s="5"/>
      <c r="J27" s="45">
        <f>AVERAGE(J11:J25)</f>
        <v>4.6148571428571428E-2</v>
      </c>
      <c r="K27" s="5"/>
      <c r="L27" s="10">
        <f>(K26+L26+M26)/3</f>
        <v>4.310109733869396E-2</v>
      </c>
      <c r="M27" s="5"/>
    </row>
    <row r="30" spans="1:17" ht="12.75">
      <c r="A30" s="5"/>
      <c r="C30" s="5"/>
      <c r="D30" s="12"/>
      <c r="G30" s="52"/>
      <c r="H30" s="52"/>
      <c r="I30" s="52"/>
    </row>
    <row r="31" spans="1:17" ht="12.75">
      <c r="B31" s="112" t="s">
        <v>422</v>
      </c>
      <c r="C31" s="96" t="s">
        <v>81</v>
      </c>
      <c r="D31" s="12"/>
    </row>
    <row r="32" spans="1:17" ht="12.75">
      <c r="B32" s="87"/>
      <c r="C32" s="96" t="s">
        <v>82</v>
      </c>
      <c r="M32" s="52"/>
    </row>
    <row r="33" spans="2:18" ht="12.75">
      <c r="B33" s="87"/>
      <c r="C33" s="96" t="s">
        <v>421</v>
      </c>
    </row>
    <row r="34" spans="2:18" s="12" customFormat="1" ht="12.75">
      <c r="N34"/>
      <c r="P34"/>
      <c r="Q34"/>
      <c r="R34"/>
    </row>
    <row r="35" spans="2:18" s="5" customFormat="1" ht="12.75">
      <c r="C35"/>
      <c r="D35"/>
      <c r="E35"/>
      <c r="H35" s="12"/>
      <c r="L35" s="12"/>
      <c r="N35"/>
      <c r="P35"/>
      <c r="Q35"/>
      <c r="R35"/>
    </row>
    <row r="36" spans="2:18">
      <c r="L36" s="52">
        <f>AVERAGE(C17:E17)</f>
        <v>4.6666666666666669E-2</v>
      </c>
    </row>
    <row r="38" spans="2:18">
      <c r="H38" s="52"/>
    </row>
  </sheetData>
  <phoneticPr fontId="16" type="noConversion"/>
  <pageMargins left="0.75" right="0.75" top="1" bottom="1" header="0.5" footer="0.5"/>
  <pageSetup scale="8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E32" sqref="E32"/>
    </sheetView>
  </sheetViews>
  <sheetFormatPr defaultColWidth="11.42578125" defaultRowHeight="12"/>
  <cols>
    <col min="1" max="1" width="15.28515625" customWidth="1"/>
    <col min="2" max="2" width="17.140625" customWidth="1"/>
    <col min="3" max="3" width="2.85546875" customWidth="1"/>
    <col min="4" max="4" width="19.7109375" customWidth="1"/>
    <col min="5" max="5" width="19.42578125" customWidth="1"/>
  </cols>
  <sheetData>
    <row r="1" spans="1:5" ht="12.75">
      <c r="A1" s="7"/>
      <c r="B1" s="7"/>
      <c r="C1" s="7"/>
      <c r="D1" s="7"/>
      <c r="E1" s="218" t="s">
        <v>538</v>
      </c>
    </row>
    <row r="2" spans="1:5" ht="12.75">
      <c r="A2" s="7"/>
      <c r="B2" s="7"/>
      <c r="C2" s="7"/>
      <c r="D2" s="7"/>
      <c r="E2" s="221" t="s">
        <v>541</v>
      </c>
    </row>
    <row r="3" spans="1:5" ht="12.75">
      <c r="A3" s="7"/>
      <c r="B3" s="7"/>
      <c r="C3" s="7"/>
      <c r="D3" s="7"/>
      <c r="E3" s="221" t="s">
        <v>537</v>
      </c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13" t="str">
        <f>DATA!A1</f>
        <v>PUGET SOUND ENERGY</v>
      </c>
      <c r="D5" s="7"/>
      <c r="E5" s="7"/>
    </row>
    <row r="6" spans="1:5" ht="12.75">
      <c r="A6" s="7"/>
      <c r="B6" s="7"/>
      <c r="C6" s="13"/>
      <c r="D6" s="7"/>
      <c r="E6" s="7"/>
    </row>
    <row r="7" spans="1:5" ht="12.75">
      <c r="A7" s="7"/>
      <c r="B7" s="7"/>
      <c r="C7" s="13" t="s">
        <v>310</v>
      </c>
      <c r="D7" s="7"/>
      <c r="E7" s="7"/>
    </row>
    <row r="8" spans="1:5" ht="12.75">
      <c r="A8" s="7"/>
      <c r="B8" s="7"/>
      <c r="C8" s="7" t="s">
        <v>498</v>
      </c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/>
      <c r="B10" s="94" t="s">
        <v>74</v>
      </c>
      <c r="C10" s="7"/>
      <c r="D10" s="94" t="s">
        <v>224</v>
      </c>
      <c r="E10" s="7" t="s">
        <v>493</v>
      </c>
    </row>
    <row r="11" spans="1:5" ht="12.75">
      <c r="A11" s="21" t="s">
        <v>518</v>
      </c>
      <c r="B11" s="21" t="str">
        <f>DATA!B2</f>
        <v>5/10/13-6/21/13</v>
      </c>
      <c r="C11" s="21"/>
      <c r="D11" s="21" t="s">
        <v>75</v>
      </c>
      <c r="E11" s="21" t="s">
        <v>311</v>
      </c>
    </row>
    <row r="12" spans="1:5" ht="12.75">
      <c r="A12" s="7"/>
      <c r="B12" s="7" t="s">
        <v>312</v>
      </c>
      <c r="C12" s="7"/>
      <c r="D12" s="7" t="s">
        <v>312</v>
      </c>
      <c r="E12" s="7"/>
    </row>
    <row r="13" spans="1:5" ht="12.75">
      <c r="A13" s="7"/>
      <c r="B13" s="7"/>
      <c r="C13" s="7"/>
      <c r="D13" s="7"/>
      <c r="E13" s="7"/>
    </row>
    <row r="14" spans="1:5" ht="21.75" customHeight="1">
      <c r="A14" s="7" t="str">
        <f>DATA!A5</f>
        <v>SO</v>
      </c>
      <c r="B14" s="47">
        <f>DATA!B5</f>
        <v>44.833333333333336</v>
      </c>
      <c r="D14" s="47">
        <f>DATA!E5</f>
        <v>2.0499999999999998</v>
      </c>
      <c r="E14" s="10">
        <f t="shared" ref="E14:E24" si="0">D14/B14</f>
        <v>4.5724907063197019E-2</v>
      </c>
    </row>
    <row r="15" spans="1:5" ht="21.75" customHeight="1">
      <c r="A15" s="7" t="str">
        <f>DATA!A6</f>
        <v>ALE</v>
      </c>
      <c r="B15" s="47">
        <f>DATA!B6</f>
        <v>49.047999999999995</v>
      </c>
      <c r="D15" s="47">
        <f>DATA!E6</f>
        <v>1.93</v>
      </c>
      <c r="E15" s="10">
        <f t="shared" si="0"/>
        <v>3.9349208938183007E-2</v>
      </c>
    </row>
    <row r="16" spans="1:5" ht="21.75" customHeight="1">
      <c r="A16" s="7" t="str">
        <f>DATA!A7</f>
        <v>LNT</v>
      </c>
      <c r="B16" s="47">
        <f>DATA!B7</f>
        <v>50.192666666666661</v>
      </c>
      <c r="D16" s="47">
        <f>DATA!E7</f>
        <v>1.92</v>
      </c>
      <c r="E16" s="10">
        <f t="shared" si="0"/>
        <v>3.825259998140499E-2</v>
      </c>
    </row>
    <row r="17" spans="1:5" ht="21.75" customHeight="1">
      <c r="A17" s="7" t="str">
        <f>DATA!A8</f>
        <v>AEP</v>
      </c>
      <c r="B17" s="47">
        <f>DATA!B8</f>
        <v>46.775999999999996</v>
      </c>
      <c r="D17" s="47">
        <f>DATA!E8</f>
        <v>2</v>
      </c>
      <c r="E17" s="10">
        <f t="shared" si="0"/>
        <v>4.2756969386009924E-2</v>
      </c>
    </row>
    <row r="18" spans="1:5" ht="21.75" customHeight="1">
      <c r="A18" s="7" t="str">
        <f>DATA!A9</f>
        <v>CNL</v>
      </c>
      <c r="B18" s="47">
        <f>DATA!B9</f>
        <v>46.029333333333327</v>
      </c>
      <c r="D18" s="47">
        <f>DATA!E9</f>
        <v>1.5</v>
      </c>
      <c r="E18" s="10">
        <f t="shared" si="0"/>
        <v>3.2587914952783736E-2</v>
      </c>
    </row>
    <row r="19" spans="1:5" ht="21.75" customHeight="1">
      <c r="A19" s="7" t="str">
        <f>DATA!A10</f>
        <v>ETR</v>
      </c>
      <c r="B19" s="47">
        <f>DATA!B10</f>
        <v>68.751666666666651</v>
      </c>
      <c r="C19" s="7"/>
      <c r="D19" s="47">
        <f>DATA!E10</f>
        <v>3.32</v>
      </c>
      <c r="E19" s="10">
        <f t="shared" si="0"/>
        <v>4.8289738430583512E-2</v>
      </c>
    </row>
    <row r="20" spans="1:5" ht="21.75" customHeight="1">
      <c r="A20" s="7" t="str">
        <f>DATA!A11</f>
        <v>WR</v>
      </c>
      <c r="B20" s="47">
        <f>DATA!B11</f>
        <v>32.131999999999998</v>
      </c>
      <c r="C20" s="7"/>
      <c r="D20" s="47">
        <f>DATA!E11</f>
        <v>1.37</v>
      </c>
      <c r="E20" s="10">
        <f t="shared" si="0"/>
        <v>4.2636623926304004E-2</v>
      </c>
    </row>
    <row r="21" spans="1:5" ht="21.75" customHeight="1">
      <c r="A21" s="7" t="str">
        <f>DATA!A12</f>
        <v>WEC</v>
      </c>
      <c r="B21" s="47">
        <f>DATA!B12</f>
        <v>41.657333333333327</v>
      </c>
      <c r="C21" s="7"/>
      <c r="D21" s="47">
        <f>DATA!E12</f>
        <v>1.44</v>
      </c>
      <c r="E21" s="10">
        <f t="shared" si="0"/>
        <v>3.4567743174471088E-2</v>
      </c>
    </row>
    <row r="22" spans="1:5" ht="21.75" customHeight="1">
      <c r="A22" s="7" t="str">
        <f>DATA!A13</f>
        <v>EIX</v>
      </c>
      <c r="B22" s="47">
        <f>DATA!B13</f>
        <v>47.418000000000006</v>
      </c>
      <c r="C22" s="7"/>
      <c r="D22" s="47">
        <f>DATA!E13</f>
        <v>1.38</v>
      </c>
      <c r="E22" s="10">
        <f t="shared" si="0"/>
        <v>2.9102872326964437E-2</v>
      </c>
    </row>
    <row r="23" spans="1:5" ht="21.75" customHeight="1">
      <c r="A23" s="7" t="str">
        <f>DATA!A14</f>
        <v>IDA</v>
      </c>
      <c r="B23" s="47">
        <f>DATA!B14</f>
        <v>48.254666666666665</v>
      </c>
      <c r="C23" s="7"/>
      <c r="D23" s="47">
        <f>DATA!E14</f>
        <v>1.52</v>
      </c>
      <c r="E23" s="10">
        <f t="shared" si="0"/>
        <v>3.149954408554613E-2</v>
      </c>
    </row>
    <row r="24" spans="1:5" ht="21.75" customHeight="1">
      <c r="A24" s="7" t="str">
        <f>DATA!A15</f>
        <v>NWE</v>
      </c>
      <c r="B24" s="47">
        <f>DATA!B15</f>
        <v>41.071999999999996</v>
      </c>
      <c r="C24" s="7"/>
      <c r="D24" s="47">
        <f>DATA!E15</f>
        <v>1.53</v>
      </c>
      <c r="E24" s="106">
        <f t="shared" si="0"/>
        <v>3.7251655629139076E-2</v>
      </c>
    </row>
    <row r="25" spans="1:5" ht="21.75" customHeight="1">
      <c r="A25" s="94" t="str">
        <f>DATA!A16</f>
        <v>PCG</v>
      </c>
      <c r="B25" s="47">
        <f>DATA!B16</f>
        <v>45.587666666666671</v>
      </c>
      <c r="C25" s="94"/>
      <c r="D25" s="47">
        <f>DATA!E16</f>
        <v>1.82</v>
      </c>
      <c r="E25" s="106">
        <f t="shared" ref="E25:E28" si="1">D25/B25</f>
        <v>3.9923078610442878E-2</v>
      </c>
    </row>
    <row r="26" spans="1:5" ht="21.75" customHeight="1">
      <c r="A26" s="94" t="str">
        <f>DATA!A17</f>
        <v>PNW</v>
      </c>
      <c r="B26" s="47">
        <f>DATA!B17</f>
        <v>58.34</v>
      </c>
      <c r="C26" s="94"/>
      <c r="D26" s="47">
        <f>DATA!E17</f>
        <v>2.2200000000000002</v>
      </c>
      <c r="E26" s="106">
        <f t="shared" si="1"/>
        <v>3.805279396640384E-2</v>
      </c>
    </row>
    <row r="27" spans="1:5" ht="21.75" customHeight="1">
      <c r="A27" s="94" t="str">
        <f>DATA!A18</f>
        <v>POR</v>
      </c>
      <c r="B27" s="47">
        <f>DATA!B18</f>
        <v>31.055999999999997</v>
      </c>
      <c r="C27" s="94"/>
      <c r="D27" s="47">
        <f>DATA!E18</f>
        <v>1.1200000000000001</v>
      </c>
      <c r="E27" s="106">
        <f t="shared" si="1"/>
        <v>3.60638845955693E-2</v>
      </c>
    </row>
    <row r="28" spans="1:5" ht="21.75" customHeight="1">
      <c r="A28" s="94" t="str">
        <f>DATA!A19</f>
        <v>XEL</v>
      </c>
      <c r="B28" s="47">
        <f>DATA!B19</f>
        <v>29.321333333333332</v>
      </c>
      <c r="C28" s="94"/>
      <c r="D28" s="47">
        <f>DATA!E19</f>
        <v>1.1200000000000001</v>
      </c>
      <c r="E28" s="20">
        <f t="shared" si="1"/>
        <v>3.8197444409076443E-2</v>
      </c>
    </row>
    <row r="29" spans="1:5" ht="21.75" customHeight="1">
      <c r="A29" s="94"/>
      <c r="B29" s="47"/>
      <c r="C29" s="94"/>
      <c r="D29" s="47"/>
      <c r="E29" s="106"/>
    </row>
    <row r="30" spans="1:5" ht="12.75">
      <c r="A30" s="7"/>
      <c r="B30" s="47"/>
      <c r="C30" s="7"/>
    </row>
    <row r="31" spans="1:5" ht="12.75">
      <c r="A31" s="7"/>
      <c r="B31" s="7"/>
      <c r="C31" s="7"/>
      <c r="D31" s="48" t="s">
        <v>476</v>
      </c>
      <c r="E31" s="39">
        <f>AVERAGE(E14:E28)</f>
        <v>3.8283798631738621E-2</v>
      </c>
    </row>
    <row r="32" spans="1:5" ht="12.75">
      <c r="A32" s="7"/>
      <c r="B32" s="7"/>
      <c r="C32" s="7"/>
      <c r="D32" s="7"/>
      <c r="E32" s="7"/>
    </row>
    <row r="33" spans="1:5" ht="12.75">
      <c r="A33" s="7"/>
      <c r="B33" s="7"/>
      <c r="C33" s="7"/>
    </row>
    <row r="34" spans="1:5" ht="12.75">
      <c r="A34" s="5"/>
      <c r="B34" s="7"/>
      <c r="C34" s="7"/>
      <c r="D34" s="7"/>
      <c r="E34" s="7"/>
    </row>
    <row r="35" spans="1:5" ht="12.75">
      <c r="A35" s="105" t="s">
        <v>73</v>
      </c>
      <c r="B35" s="7"/>
      <c r="C35" s="7"/>
      <c r="D35" s="7"/>
      <c r="E35" s="7"/>
    </row>
    <row r="36" spans="1:5" ht="12.75">
      <c r="A36" s="97" t="s">
        <v>79</v>
      </c>
      <c r="B36" s="58"/>
      <c r="C36" s="58"/>
      <c r="D36" s="58"/>
      <c r="E36" s="58"/>
    </row>
    <row r="39" spans="1:5" ht="12.75">
      <c r="A39" s="83"/>
    </row>
  </sheetData>
  <phoneticPr fontId="16"/>
  <pageMargins left="1.29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23" sqref="F23"/>
    </sheetView>
  </sheetViews>
  <sheetFormatPr defaultColWidth="11.42578125" defaultRowHeight="12"/>
  <cols>
    <col min="1" max="2" width="18.85546875" customWidth="1"/>
    <col min="3" max="3" width="3.42578125" customWidth="1"/>
    <col min="4" max="5" width="18.85546875" customWidth="1"/>
  </cols>
  <sheetData>
    <row r="1" spans="1:5" ht="12.75">
      <c r="A1" s="7"/>
      <c r="B1" s="10"/>
      <c r="C1" s="10"/>
      <c r="D1" s="10"/>
      <c r="E1" s="218" t="s">
        <v>538</v>
      </c>
    </row>
    <row r="2" spans="1:5" ht="12.75">
      <c r="A2" s="7"/>
      <c r="B2" s="10"/>
      <c r="C2" s="10"/>
      <c r="D2" s="10"/>
      <c r="E2" s="223" t="s">
        <v>543</v>
      </c>
    </row>
    <row r="3" spans="1:5" ht="12.75">
      <c r="A3" s="7"/>
      <c r="B3" s="10"/>
      <c r="C3" s="10"/>
      <c r="D3" s="10"/>
      <c r="E3" s="223" t="s">
        <v>537</v>
      </c>
    </row>
    <row r="4" spans="1:5" ht="12.75">
      <c r="A4" s="7"/>
      <c r="B4" s="10"/>
      <c r="C4" s="10"/>
      <c r="D4" s="10"/>
      <c r="E4" s="10"/>
    </row>
    <row r="5" spans="1:5" ht="12.75">
      <c r="A5" s="7"/>
      <c r="B5" s="10"/>
      <c r="C5" s="39" t="str">
        <f>DATA!A1</f>
        <v>PUGET SOUND ENERGY</v>
      </c>
      <c r="D5" s="10"/>
      <c r="E5" s="10"/>
    </row>
    <row r="6" spans="1:5" ht="12.75">
      <c r="A6" s="7"/>
      <c r="B6" s="10"/>
      <c r="C6" s="39"/>
      <c r="D6" s="10"/>
      <c r="E6" s="10"/>
    </row>
    <row r="7" spans="1:5" ht="12.75">
      <c r="A7" s="7"/>
      <c r="B7" s="10"/>
      <c r="C7" s="39" t="s">
        <v>150</v>
      </c>
      <c r="D7" s="10"/>
      <c r="E7" s="10"/>
    </row>
    <row r="8" spans="1:5" ht="12.75">
      <c r="A8" s="7"/>
      <c r="B8" s="10"/>
      <c r="C8" s="10" t="s">
        <v>498</v>
      </c>
      <c r="D8" s="10"/>
      <c r="E8" s="10"/>
    </row>
    <row r="9" spans="1:5" ht="12.75">
      <c r="A9" s="7"/>
      <c r="B9" s="10"/>
      <c r="C9" s="10"/>
      <c r="D9" s="10"/>
      <c r="E9" s="10"/>
    </row>
    <row r="10" spans="1:5" ht="12.75">
      <c r="A10" s="7"/>
      <c r="B10" s="10" t="s">
        <v>440</v>
      </c>
      <c r="C10" s="10"/>
      <c r="D10" s="10" t="s">
        <v>441</v>
      </c>
      <c r="E10" s="10" t="s">
        <v>442</v>
      </c>
    </row>
    <row r="11" spans="1:5" ht="12.75">
      <c r="A11" s="21" t="s">
        <v>518</v>
      </c>
      <c r="B11" s="20" t="s">
        <v>541</v>
      </c>
      <c r="C11" s="20"/>
      <c r="D11" s="20" t="s">
        <v>540</v>
      </c>
      <c r="E11" s="20" t="s">
        <v>517</v>
      </c>
    </row>
    <row r="12" spans="1:5" ht="12.75">
      <c r="A12" s="7"/>
      <c r="B12" s="10"/>
      <c r="C12" s="10"/>
      <c r="D12" s="10"/>
      <c r="E12" s="10"/>
    </row>
    <row r="13" spans="1:5" ht="12.75">
      <c r="A13" s="7"/>
      <c r="B13" s="10"/>
      <c r="C13" s="10"/>
      <c r="D13" s="10"/>
      <c r="E13" s="10"/>
    </row>
    <row r="14" spans="1:5" ht="21.75" customHeight="1">
      <c r="A14" s="7" t="str">
        <f>DATA!A5</f>
        <v>SO</v>
      </c>
      <c r="B14" s="10">
        <f>'SGH-8'!E14</f>
        <v>4.5724907063197019E-2</v>
      </c>
      <c r="C14" s="10"/>
      <c r="D14" s="10">
        <f>'SGH-6,p1'!L11</f>
        <v>5.0223048327137552E-2</v>
      </c>
      <c r="E14" s="10">
        <f t="shared" ref="E14:E24" si="0">B14+D14</f>
        <v>9.5947955390334572E-2</v>
      </c>
    </row>
    <row r="15" spans="1:5" ht="21.75" customHeight="1">
      <c r="A15" s="7" t="str">
        <f>DATA!A6</f>
        <v>ALE</v>
      </c>
      <c r="B15" s="10">
        <f>'SGH-8'!E15</f>
        <v>3.9349208938183007E-2</v>
      </c>
      <c r="C15" s="10"/>
      <c r="D15" s="10">
        <f>'SGH-6,p1'!L12</f>
        <v>5.5671994780623055E-2</v>
      </c>
      <c r="E15" s="10">
        <f t="shared" si="0"/>
        <v>9.5021203718806069E-2</v>
      </c>
    </row>
    <row r="16" spans="1:5" ht="21.75" customHeight="1">
      <c r="A16" s="7" t="str">
        <f>DATA!A7</f>
        <v>LNT</v>
      </c>
      <c r="B16" s="10">
        <f>'SGH-8'!E16</f>
        <v>3.825259998140499E-2</v>
      </c>
      <c r="C16" s="10"/>
      <c r="D16" s="10">
        <f>'SGH-6,p1'!L13</f>
        <v>4.7111131772237642E-2</v>
      </c>
      <c r="E16" s="10">
        <f t="shared" si="0"/>
        <v>8.5363731753642633E-2</v>
      </c>
    </row>
    <row r="17" spans="1:7" ht="21.75" customHeight="1">
      <c r="A17" s="7" t="str">
        <f>DATA!A8</f>
        <v>AEP</v>
      </c>
      <c r="B17" s="10">
        <f>'SGH-8'!E17</f>
        <v>4.2756969386009924E-2</v>
      </c>
      <c r="C17" s="10"/>
      <c r="D17" s="10">
        <f>'SGH-6,p1'!L14</f>
        <v>4.4561954848640326E-2</v>
      </c>
      <c r="E17" s="10">
        <f t="shared" si="0"/>
        <v>8.731892423465025E-2</v>
      </c>
    </row>
    <row r="18" spans="1:7" ht="21.75" customHeight="1">
      <c r="A18" s="7" t="str">
        <f>DATA!A9</f>
        <v>CNL</v>
      </c>
      <c r="B18" s="10">
        <f>'SGH-8'!E18</f>
        <v>3.2587914952783736E-2</v>
      </c>
      <c r="C18" s="10"/>
      <c r="D18" s="10">
        <f>'SGH-6,p1'!L15</f>
        <v>6.1096003997450896E-2</v>
      </c>
      <c r="E18" s="10">
        <f t="shared" si="0"/>
        <v>9.3683918950234632E-2</v>
      </c>
    </row>
    <row r="19" spans="1:7" ht="21.75" customHeight="1">
      <c r="A19" s="7" t="str">
        <f>DATA!A10</f>
        <v>ETR</v>
      </c>
      <c r="B19" s="10">
        <f>'SGH-8'!E19</f>
        <v>4.8289738430583512E-2</v>
      </c>
      <c r="C19" s="10"/>
      <c r="D19" s="10">
        <f>'SGH-6,p1'!L16</f>
        <v>0.04</v>
      </c>
      <c r="E19" s="10">
        <f t="shared" si="0"/>
        <v>8.828973843058352E-2</v>
      </c>
    </row>
    <row r="20" spans="1:7" ht="21.75" customHeight="1">
      <c r="A20" s="7" t="str">
        <f>DATA!A11</f>
        <v>WR</v>
      </c>
      <c r="B20" s="10">
        <f>'SGH-8'!E20</f>
        <v>4.2636623926304004E-2</v>
      </c>
      <c r="C20" s="10"/>
      <c r="D20" s="10">
        <f>'SGH-6,p1'!L17</f>
        <v>4.9439188348064232E-2</v>
      </c>
      <c r="E20" s="10">
        <f t="shared" si="0"/>
        <v>9.2075812274368229E-2</v>
      </c>
    </row>
    <row r="21" spans="1:7" ht="21.75" customHeight="1">
      <c r="A21" s="7" t="str">
        <f>DATA!A12</f>
        <v>WEC</v>
      </c>
      <c r="B21" s="10">
        <f>'SGH-8'!E21</f>
        <v>3.4567743174471088E-2</v>
      </c>
      <c r="C21" s="10"/>
      <c r="D21" s="10">
        <f>'SGH-6,p1'!L18</f>
        <v>5.2499999999999998E-2</v>
      </c>
      <c r="E21" s="10">
        <f t="shared" si="0"/>
        <v>8.7067743174471079E-2</v>
      </c>
    </row>
    <row r="22" spans="1:7" ht="21.75" customHeight="1">
      <c r="A22" s="7" t="str">
        <f>DATA!A13</f>
        <v>EIX</v>
      </c>
      <c r="B22" s="10">
        <f>'SGH-8'!E22</f>
        <v>2.9102872326964437E-2</v>
      </c>
      <c r="C22" s="10"/>
      <c r="D22" s="10">
        <f>'SGH-6,p1'!L19</f>
        <v>0.06</v>
      </c>
      <c r="E22" s="10">
        <f t="shared" si="0"/>
        <v>8.9102872326964427E-2</v>
      </c>
    </row>
    <row r="23" spans="1:7" ht="21.75" customHeight="1">
      <c r="A23" s="7" t="str">
        <f>DATA!A14</f>
        <v>IDA</v>
      </c>
      <c r="B23" s="10">
        <f>'SGH-8'!E23</f>
        <v>3.149954408554613E-2</v>
      </c>
      <c r="C23" s="10"/>
      <c r="D23" s="10">
        <f>'SGH-6,p1'!L20</f>
        <v>4.581920228786162E-2</v>
      </c>
      <c r="E23" s="10">
        <f t="shared" si="0"/>
        <v>7.7318746373407743E-2</v>
      </c>
    </row>
    <row r="24" spans="1:7" ht="21.75" customHeight="1">
      <c r="A24" s="7" t="str">
        <f>DATA!A15</f>
        <v>NWE</v>
      </c>
      <c r="B24" s="10">
        <f>'SGH-8'!E24</f>
        <v>3.7251655629139076E-2</v>
      </c>
      <c r="C24" s="10"/>
      <c r="D24" s="10">
        <f>'SGH-6,p1'!L21</f>
        <v>4.3572263342423062E-2</v>
      </c>
      <c r="E24" s="106">
        <f t="shared" si="0"/>
        <v>8.0823918971562131E-2</v>
      </c>
    </row>
    <row r="25" spans="1:7" ht="21.75" customHeight="1">
      <c r="A25" s="94" t="str">
        <f>DATA!A16</f>
        <v>PCG</v>
      </c>
      <c r="B25" s="10">
        <f>'SGH-8'!E25</f>
        <v>3.9923078610442878E-2</v>
      </c>
      <c r="C25" s="10"/>
      <c r="D25" s="10">
        <f>'SGH-6,p1'!L22</f>
        <v>4.2835269773257391E-2</v>
      </c>
      <c r="E25" s="106">
        <f t="shared" ref="E25:E28" si="1">B25+D25</f>
        <v>8.2758348383700275E-2</v>
      </c>
    </row>
    <row r="26" spans="1:7" ht="21.75" customHeight="1">
      <c r="A26" s="94" t="str">
        <f>DATA!A17</f>
        <v>PNW</v>
      </c>
      <c r="B26" s="10">
        <f>'SGH-8'!E26</f>
        <v>3.805279396640384E-2</v>
      </c>
      <c r="C26" s="10"/>
      <c r="D26" s="10">
        <f>'SGH-6,p1'!L23</f>
        <v>4.5422523140212549E-2</v>
      </c>
      <c r="E26" s="106">
        <f t="shared" si="1"/>
        <v>8.347531710661639E-2</v>
      </c>
    </row>
    <row r="27" spans="1:7" ht="21.75" customHeight="1">
      <c r="A27" s="94" t="str">
        <f>DATA!A18</f>
        <v>POR</v>
      </c>
      <c r="B27" s="10">
        <f>'SGH-8'!E27</f>
        <v>3.60638845955693E-2</v>
      </c>
      <c r="C27" s="10"/>
      <c r="D27" s="10">
        <f>'SGH-6,p1'!L24</f>
        <v>3.990082431736218E-2</v>
      </c>
      <c r="E27" s="106">
        <f t="shared" si="1"/>
        <v>7.5964708912931472E-2</v>
      </c>
    </row>
    <row r="28" spans="1:7" ht="21.75" customHeight="1">
      <c r="A28" s="94" t="str">
        <f>DATA!A19</f>
        <v>XEL</v>
      </c>
      <c r="B28" s="10">
        <f>'SGH-8'!E28</f>
        <v>3.8197444409076443E-2</v>
      </c>
      <c r="C28" s="10"/>
      <c r="D28" s="10">
        <f>'SGH-6,p1'!L25</f>
        <v>5.1814833340912192E-2</v>
      </c>
      <c r="E28" s="20">
        <f t="shared" si="1"/>
        <v>9.0012277749988628E-2</v>
      </c>
    </row>
    <row r="29" spans="1:7" ht="12.75">
      <c r="A29" s="7"/>
      <c r="B29" s="10"/>
      <c r="C29" s="10"/>
      <c r="D29" s="10"/>
      <c r="E29" s="10"/>
    </row>
    <row r="30" spans="1:7" ht="12.75">
      <c r="A30" s="7"/>
      <c r="B30" s="10"/>
      <c r="C30" s="10"/>
      <c r="D30" s="38" t="s">
        <v>514</v>
      </c>
      <c r="E30" s="39">
        <f>AVERAGE(E14:E28)</f>
        <v>8.6948347850150792E-2</v>
      </c>
      <c r="G30" s="52"/>
    </row>
    <row r="31" spans="1:7" ht="12.75">
      <c r="A31" s="7"/>
      <c r="B31" s="10"/>
      <c r="C31" s="10"/>
      <c r="D31" s="10"/>
      <c r="E31" s="39"/>
    </row>
    <row r="32" spans="1:7" ht="12.75">
      <c r="A32" s="7"/>
      <c r="B32" s="10"/>
      <c r="C32" s="10"/>
      <c r="D32" s="38" t="s">
        <v>313</v>
      </c>
      <c r="E32" s="39">
        <f>STDEV(E14:E24)</f>
        <v>5.788694066157664E-3</v>
      </c>
    </row>
  </sheetData>
  <phoneticPr fontId="16" type="noConversion"/>
  <pageMargins left="0.97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2014-12-03T08:00:00+00:00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FAD77DF-7633-4DFA-A871-67120AA0CC12}"/>
</file>

<file path=customXml/itemProps2.xml><?xml version="1.0" encoding="utf-8"?>
<ds:datastoreItem xmlns:ds="http://schemas.openxmlformats.org/officeDocument/2006/customXml" ds:itemID="{C75749F1-9569-417F-AC21-5D7F1264E492}"/>
</file>

<file path=customXml/itemProps3.xml><?xml version="1.0" encoding="utf-8"?>
<ds:datastoreItem xmlns:ds="http://schemas.openxmlformats.org/officeDocument/2006/customXml" ds:itemID="{B6984667-FA4A-48E7-8E30-89BF6F942DB0}"/>
</file>

<file path=customXml/itemProps4.xml><?xml version="1.0" encoding="utf-8"?>
<ds:datastoreItem xmlns:ds="http://schemas.openxmlformats.org/officeDocument/2006/customXml" ds:itemID="{1233154E-0E12-4D93-B668-0ABFC5B144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Earnings</vt:lpstr>
      <vt:lpstr>$perShare</vt:lpstr>
      <vt:lpstr>DATA</vt:lpstr>
      <vt:lpstr>SGH-4</vt:lpstr>
      <vt:lpstr>SGH-5</vt:lpstr>
      <vt:lpstr>SGH-6,p1</vt:lpstr>
      <vt:lpstr>SGH-6,p2</vt:lpstr>
      <vt:lpstr>SGH-8</vt:lpstr>
      <vt:lpstr>SGH-9</vt:lpstr>
      <vt:lpstr>SGH-10</vt:lpstr>
      <vt:lpstr>SGH-11</vt:lpstr>
      <vt:lpstr>SGH-13</vt:lpstr>
      <vt:lpstr>SGH-14,p1</vt:lpstr>
      <vt:lpstr>SGH-14,p2</vt:lpstr>
      <vt:lpstr>SGH-15</vt:lpstr>
      <vt:lpstr>SGH-17</vt:lpstr>
      <vt:lpstr>'SGH-10'!_Print_Area</vt:lpstr>
      <vt:lpstr>'SGH-11'!Print_Area</vt:lpstr>
      <vt:lpstr>'SGH-13'!Print_Area</vt:lpstr>
      <vt:lpstr>'SGH-14,p1'!Print_Area</vt:lpstr>
      <vt:lpstr>'SGH-14,p2'!Print_Area</vt:lpstr>
      <vt:lpstr>'SGH-15'!Print_Area</vt:lpstr>
      <vt:lpstr>'SGH-4'!Print_Area</vt:lpstr>
      <vt:lpstr>'SGH-5'!Print_Area</vt:lpstr>
      <vt:lpstr>'SGH-6,p1'!Print_Area</vt:lpstr>
      <vt:lpstr>'SGH-6,p2'!Print_Area</vt:lpstr>
      <vt:lpstr>'SGH-8'!Print_Area</vt:lpstr>
      <vt:lpstr>'SGH-9'!Print_Area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G. Hill</dc:creator>
  <cp:lastModifiedBy>Lea Daeschel</cp:lastModifiedBy>
  <cp:lastPrinted>2014-11-24T16:27:30Z</cp:lastPrinted>
  <dcterms:created xsi:type="dcterms:W3CDTF">1999-05-05T16:36:35Z</dcterms:created>
  <dcterms:modified xsi:type="dcterms:W3CDTF">2014-11-25T18:39:35Z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