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.parvinen\Documents\"/>
    </mc:Choice>
  </mc:AlternateContent>
  <bookViews>
    <workbookView xWindow="0" yWindow="0" windowWidth="11490" windowHeight="7500" xr2:uid="{00000000-000D-0000-FFFF-FFFF00000000}"/>
  </bookViews>
  <sheets>
    <sheet name="Total" sheetId="2" r:id="rId1"/>
  </sheets>
  <externalReferences>
    <externalReference r:id="rId2"/>
  </externalReferences>
  <definedNames>
    <definedName name="_xlnm.Print_Area" localSheetId="0">Total!$A$1:$R$40</definedName>
  </definedNames>
  <calcPr calcId="171027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2" l="1"/>
  <c r="N54" i="2"/>
  <c r="M54" i="2"/>
  <c r="L54" i="2"/>
  <c r="K54" i="2"/>
  <c r="J54" i="2"/>
  <c r="I54" i="2"/>
  <c r="H54" i="2"/>
  <c r="G54" i="2"/>
  <c r="F54" i="2"/>
  <c r="E54" i="2"/>
  <c r="O53" i="2"/>
  <c r="N53" i="2"/>
  <c r="M53" i="2"/>
  <c r="L53" i="2"/>
  <c r="K53" i="2"/>
  <c r="J53" i="2"/>
  <c r="I53" i="2"/>
  <c r="H53" i="2"/>
  <c r="G53" i="2"/>
  <c r="F53" i="2"/>
  <c r="E53" i="2"/>
  <c r="O52" i="2"/>
  <c r="N52" i="2"/>
  <c r="M52" i="2"/>
  <c r="L52" i="2"/>
  <c r="K52" i="2"/>
  <c r="J52" i="2"/>
  <c r="I52" i="2"/>
  <c r="H52" i="2"/>
  <c r="G52" i="2"/>
  <c r="F52" i="2"/>
  <c r="E52" i="2"/>
  <c r="O51" i="2"/>
  <c r="N51" i="2"/>
  <c r="M51" i="2"/>
  <c r="L51" i="2"/>
  <c r="K51" i="2"/>
  <c r="J51" i="2"/>
  <c r="I51" i="2"/>
  <c r="H51" i="2"/>
  <c r="G51" i="2"/>
  <c r="F51" i="2"/>
  <c r="E51" i="2"/>
  <c r="O50" i="2"/>
  <c r="N50" i="2"/>
  <c r="M50" i="2"/>
  <c r="L50" i="2"/>
  <c r="K50" i="2"/>
  <c r="J50" i="2"/>
  <c r="I50" i="2"/>
  <c r="H50" i="2"/>
  <c r="G50" i="2"/>
  <c r="F50" i="2"/>
  <c r="E50" i="2"/>
  <c r="D54" i="2"/>
  <c r="D53" i="2"/>
  <c r="D52" i="2"/>
  <c r="D51" i="2"/>
  <c r="D50" i="2"/>
  <c r="Q26" i="2"/>
  <c r="Q25" i="2"/>
  <c r="Q24" i="2"/>
  <c r="Q23" i="2"/>
  <c r="Q22" i="2"/>
  <c r="P48" i="2"/>
  <c r="P47" i="2"/>
  <c r="Q47" i="2" s="1"/>
  <c r="Q46" i="2"/>
  <c r="P46" i="2"/>
  <c r="P45" i="2"/>
  <c r="Q45" i="2" s="1"/>
  <c r="Q44" i="2"/>
  <c r="P44" i="2"/>
  <c r="Q43" i="2"/>
  <c r="P43" i="2"/>
  <c r="O44" i="2"/>
  <c r="N44" i="2"/>
  <c r="M44" i="2"/>
  <c r="L44" i="2"/>
  <c r="K44" i="2"/>
  <c r="J44" i="2"/>
  <c r="I44" i="2"/>
  <c r="H44" i="2"/>
  <c r="G44" i="2"/>
  <c r="F44" i="2"/>
  <c r="E44" i="2"/>
  <c r="D44" i="2"/>
  <c r="O47" i="2"/>
  <c r="N47" i="2"/>
  <c r="M47" i="2"/>
  <c r="L47" i="2"/>
  <c r="K47" i="2"/>
  <c r="J47" i="2"/>
  <c r="I47" i="2"/>
  <c r="H47" i="2"/>
  <c r="G47" i="2"/>
  <c r="F47" i="2"/>
  <c r="E47" i="2"/>
  <c r="O46" i="2"/>
  <c r="N46" i="2"/>
  <c r="M46" i="2"/>
  <c r="L46" i="2"/>
  <c r="K46" i="2"/>
  <c r="J46" i="2"/>
  <c r="I46" i="2"/>
  <c r="H46" i="2"/>
  <c r="G46" i="2"/>
  <c r="F46" i="2"/>
  <c r="E46" i="2"/>
  <c r="O45" i="2"/>
  <c r="N45" i="2"/>
  <c r="M45" i="2"/>
  <c r="L45" i="2"/>
  <c r="K45" i="2"/>
  <c r="J45" i="2"/>
  <c r="I45" i="2"/>
  <c r="H45" i="2"/>
  <c r="G45" i="2"/>
  <c r="F45" i="2"/>
  <c r="E45" i="2"/>
  <c r="O43" i="2"/>
  <c r="N43" i="2"/>
  <c r="M43" i="2"/>
  <c r="L43" i="2"/>
  <c r="K43" i="2"/>
  <c r="J43" i="2"/>
  <c r="I43" i="2"/>
  <c r="H43" i="2"/>
  <c r="G43" i="2"/>
  <c r="F43" i="2"/>
  <c r="E43" i="2"/>
  <c r="D47" i="2"/>
  <c r="D46" i="2"/>
  <c r="D45" i="2"/>
  <c r="D43" i="2"/>
  <c r="C48" i="2"/>
  <c r="C47" i="2"/>
  <c r="C46" i="2"/>
  <c r="C45" i="2"/>
  <c r="C44" i="2"/>
  <c r="C43" i="2"/>
  <c r="B47" i="2"/>
  <c r="B46" i="2"/>
  <c r="B45" i="2"/>
  <c r="B44" i="2"/>
  <c r="B43" i="2"/>
  <c r="O25" i="2" l="1"/>
  <c r="N25" i="2"/>
  <c r="M25" i="2"/>
  <c r="L25" i="2"/>
  <c r="K25" i="2"/>
  <c r="J25" i="2"/>
  <c r="I25" i="2"/>
  <c r="H25" i="2"/>
  <c r="G25" i="2"/>
  <c r="F25" i="2"/>
  <c r="E25" i="2"/>
  <c r="D25" i="2"/>
  <c r="P23" i="2" l="1"/>
  <c r="P24" i="2"/>
  <c r="P25" i="2"/>
  <c r="P26" i="2"/>
  <c r="P22" i="2"/>
  <c r="P9" i="2" l="1"/>
  <c r="P8" i="2"/>
  <c r="P7" i="2"/>
  <c r="P2" i="2"/>
  <c r="O5" i="2" l="1"/>
  <c r="O4" i="2"/>
  <c r="O3" i="2"/>
  <c r="O15" i="2" s="1"/>
  <c r="N4" i="2"/>
  <c r="N3" i="2"/>
  <c r="M5" i="2"/>
  <c r="M4" i="2"/>
  <c r="M3" i="2"/>
  <c r="L4" i="2"/>
  <c r="K5" i="2"/>
  <c r="K4" i="2"/>
  <c r="K3" i="2"/>
  <c r="J4" i="2"/>
  <c r="J3" i="2"/>
  <c r="I5" i="2"/>
  <c r="I4" i="2"/>
  <c r="I3" i="2"/>
  <c r="H4" i="2"/>
  <c r="H3" i="2"/>
  <c r="G4" i="2"/>
  <c r="G3" i="2"/>
  <c r="F6" i="2"/>
  <c r="P6" i="2" s="1"/>
  <c r="F5" i="2"/>
  <c r="P5" i="2" s="1"/>
  <c r="F4" i="2"/>
  <c r="F3" i="2"/>
  <c r="E3" i="2"/>
  <c r="E4" i="2"/>
  <c r="D4" i="2"/>
  <c r="P3" i="2" l="1"/>
  <c r="P4" i="2"/>
  <c r="O19" i="2"/>
  <c r="N19" i="2"/>
  <c r="M19" i="2"/>
  <c r="L19" i="2"/>
  <c r="K19" i="2"/>
  <c r="J19" i="2"/>
  <c r="I19" i="2"/>
  <c r="H19" i="2"/>
  <c r="G19" i="2"/>
  <c r="F19" i="2"/>
  <c r="E19" i="2"/>
  <c r="O18" i="2"/>
  <c r="N18" i="2"/>
  <c r="M18" i="2"/>
  <c r="L18" i="2"/>
  <c r="K18" i="2"/>
  <c r="J18" i="2"/>
  <c r="I18" i="2"/>
  <c r="H18" i="2"/>
  <c r="G18" i="2"/>
  <c r="E18" i="2"/>
  <c r="O17" i="2"/>
  <c r="N17" i="2"/>
  <c r="L17" i="2"/>
  <c r="K17" i="2"/>
  <c r="J17" i="2"/>
  <c r="H17" i="2"/>
  <c r="G17" i="2"/>
  <c r="F17" i="2"/>
  <c r="E17" i="2"/>
  <c r="M16" i="2"/>
  <c r="J16" i="2"/>
  <c r="E16" i="2"/>
  <c r="L15" i="2"/>
  <c r="I15" i="2"/>
  <c r="H15" i="2"/>
  <c r="D19" i="2"/>
  <c r="D18" i="2"/>
  <c r="D17" i="2"/>
  <c r="D15" i="2"/>
  <c r="O16" i="2"/>
  <c r="N16" i="2"/>
  <c r="N15" i="2"/>
  <c r="M17" i="2"/>
  <c r="M15" i="2"/>
  <c r="L16" i="2"/>
  <c r="K16" i="2"/>
  <c r="K15" i="2"/>
  <c r="J15" i="2"/>
  <c r="I17" i="2"/>
  <c r="I16" i="2"/>
  <c r="H16" i="2"/>
  <c r="G16" i="2"/>
  <c r="G15" i="2"/>
  <c r="F18" i="2"/>
  <c r="F16" i="2"/>
  <c r="F15" i="2"/>
  <c r="E15" i="2"/>
  <c r="D16" i="2"/>
  <c r="P15" i="2" l="1"/>
  <c r="P10" i="2"/>
  <c r="R5" i="2"/>
  <c r="P17" i="2"/>
  <c r="P18" i="2" l="1"/>
  <c r="P16" i="2"/>
  <c r="P19" i="2" l="1"/>
  <c r="P20" i="2" s="1"/>
  <c r="R3" i="2" l="1"/>
  <c r="R4" i="2"/>
  <c r="R6" i="2"/>
  <c r="R7" i="2"/>
  <c r="R8" i="2"/>
  <c r="R9" i="2"/>
  <c r="P11" i="2"/>
  <c r="R2" i="2"/>
  <c r="P12" i="2"/>
</calcChain>
</file>

<file path=xl/sharedStrings.xml><?xml version="1.0" encoding="utf-8"?>
<sst xmlns="http://schemas.openxmlformats.org/spreadsheetml/2006/main" count="63" uniqueCount="51">
  <si>
    <t>Schedule 503 Residential Liu Weather Normalization Adjustments</t>
  </si>
  <si>
    <t>Schedule 502</t>
  </si>
  <si>
    <t>Schedule 503</t>
  </si>
  <si>
    <t>Schedule 504</t>
  </si>
  <si>
    <t>Schedule 505</t>
  </si>
  <si>
    <t>Schedule 511</t>
  </si>
  <si>
    <t>Schedule 512</t>
  </si>
  <si>
    <t>Schedule 570</t>
  </si>
  <si>
    <t>Schedule 577</t>
  </si>
  <si>
    <t>Schedule 504 Residential Liu Weather Normalization Adjustments</t>
  </si>
  <si>
    <t>Rate Schedules</t>
  </si>
  <si>
    <t>503 Total</t>
  </si>
  <si>
    <t>504 Total</t>
  </si>
  <si>
    <t>511 Total</t>
  </si>
  <si>
    <t>570 Total</t>
  </si>
  <si>
    <t>Bills</t>
  </si>
  <si>
    <t>Actual Usage</t>
  </si>
  <si>
    <t>505 Total</t>
  </si>
  <si>
    <t>Total</t>
  </si>
  <si>
    <t>503 plus 502</t>
  </si>
  <si>
    <t>504 plus 512</t>
  </si>
  <si>
    <t>570 plus 577</t>
  </si>
  <si>
    <t>MaryAlice Workpaper</t>
  </si>
  <si>
    <t>Difference</t>
  </si>
  <si>
    <t>Schedule 502 Customers</t>
  </si>
  <si>
    <t>Schedule 503 Customers</t>
  </si>
  <si>
    <t>Schedule 504 Customers</t>
  </si>
  <si>
    <t>Schedule 505 Customers</t>
  </si>
  <si>
    <t>Schedule 511 Firm Commercial Customers</t>
  </si>
  <si>
    <t>Schedule 511 Firm Industrial Customers</t>
  </si>
  <si>
    <t>Schedule 512 Customers</t>
  </si>
  <si>
    <t>Schedule 570 Customers</t>
  </si>
  <si>
    <t>Schedule 577 Customers</t>
  </si>
  <si>
    <t>Revenue from "Interim Tax Refund Rate.xlsx"</t>
  </si>
  <si>
    <t>Average Rate</t>
  </si>
  <si>
    <t>Monthly Revenue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</si>
  <si>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</si>
  <si>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</si>
  <si>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</si>
  <si>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</si>
  <si>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</si>
  <si>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</si>
  <si>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</si>
  <si>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</si>
  <si>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</si>
  <si>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</si>
  <si>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</si>
  <si>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</si>
  <si>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Check Total</t>
  </si>
  <si>
    <t>Average Monthly Bills</t>
  </si>
  <si>
    <t>Decoupling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</si>
</sst>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7" formatCode="_(* #,##0.00000_);_(* \(#,##0.00000\);_(* &quot;-&quot;???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7030A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0" borderId="0"/>
    <xf numFmtId="0" fontId="20" fillId="0" borderId="0">
      <alignment vertical="top"/>
    </xf>
    <xf numFmtId="0" fontId="18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" fillId="0" borderId="0"/>
    <xf numFmtId="0" fontId="1" fillId="0" borderId="0"/>
    <xf numFmtId="0" fontId="19" fillId="0" borderId="0"/>
  </cellStyleXfs>
  <cellXfs count="27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165" fontId="0" fillId="0" borderId="0" xfId="0" applyNumberFormat="1" applyBorder="1"/>
    <xf numFmtId="0" fontId="0" fillId="0" borderId="0" xfId="0" applyBorder="1" applyAlignment="1">
      <alignment wrapText="1"/>
    </xf>
    <xf numFmtId="44" fontId="0" fillId="0" borderId="0" xfId="2" applyFont="1"/>
    <xf numFmtId="0" fontId="0" fillId="0" borderId="0" xfId="0" applyNumberFormat="1"/>
    <xf numFmtId="0" fontId="0" fillId="0" borderId="0" xfId="0"/>
    <xf numFmtId="1" fontId="0" fillId="0" borderId="0" xfId="0" applyNumberFormat="1"/>
    <xf numFmtId="0" fontId="0" fillId="0" borderId="0" xfId="0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164" fontId="21" fillId="0" borderId="0" xfId="1" applyNumberFormat="1" applyFont="1"/>
    <xf numFmtId="164" fontId="21" fillId="0" borderId="0" xfId="0" applyNumberFormat="1" applyFont="1"/>
    <xf numFmtId="164" fontId="15" fillId="33" borderId="0" xfId="0" applyNumberFormat="1" applyFont="1" applyFill="1"/>
    <xf numFmtId="0" fontId="0" fillId="0" borderId="0" xfId="0" applyAlignment="1">
      <alignment horizontal="center" vertical="center"/>
    </xf>
    <xf numFmtId="0" fontId="0" fillId="34" borderId="0" xfId="0" applyFill="1" applyBorder="1"/>
    <xf numFmtId="0" fontId="0" fillId="34" borderId="0" xfId="0" applyFill="1"/>
    <xf numFmtId="0" fontId="0" fillId="0" borderId="0" xfId="0" applyFill="1" applyBorder="1"/>
    <xf numFmtId="43" fontId="0" fillId="0" borderId="0" xfId="0" applyNumberFormat="1" applyBorder="1"/>
    <xf numFmtId="43" fontId="0" fillId="0" borderId="0" xfId="0" applyNumberFormat="1"/>
    <xf numFmtId="43" fontId="0" fillId="0" borderId="0" xfId="1" applyNumberFormat="1" applyFont="1"/>
    <xf numFmtId="7" fontId="0" fillId="0" borderId="0" xfId="0" applyNumberFormat="1" applyBorder="1"/>
    <xf numFmtId="7" fontId="0" fillId="0" borderId="0" xfId="0" applyNumberFormat="1"/>
    <xf numFmtId="167" fontId="0" fillId="0" borderId="0" xfId="0" applyNumberFormat="1" applyBorder="1"/>
  </cellXfs>
  <cellStyles count="49">
    <cellStyle name="20% - Accent1" xfId="20" builtinId="30" customBuiltin="1"/>
    <cellStyle name="20% - Accent2" xfId="23" builtinId="34" customBuiltin="1"/>
    <cellStyle name="20% - Accent3" xfId="26" builtinId="38" customBuiltin="1"/>
    <cellStyle name="20% - Accent4" xfId="29" builtinId="42" customBuiltin="1"/>
    <cellStyle name="20% - Accent5" xfId="32" builtinId="46" customBuiltin="1"/>
    <cellStyle name="20% - Accent6" xfId="35" builtinId="50" customBuiltin="1"/>
    <cellStyle name="40% - Accent1" xfId="21" builtinId="31" customBuiltin="1"/>
    <cellStyle name="40% - Accent2" xfId="24" builtinId="35" customBuiltin="1"/>
    <cellStyle name="40% - Accent3" xfId="27" builtinId="39" customBuiltin="1"/>
    <cellStyle name="40% - Accent4" xfId="30" builtinId="43" customBuiltin="1"/>
    <cellStyle name="40% - Accent5" xfId="33" builtinId="47" customBuiltin="1"/>
    <cellStyle name="40% - Accent6" xfId="36" builtinId="51" customBuiltin="1"/>
    <cellStyle name="60% - Accent1 2" xfId="40" xr:uid="{00000000-0005-0000-0000-00000C000000}"/>
    <cellStyle name="60% - Accent2 2" xfId="41" xr:uid="{00000000-0005-0000-0000-00000D000000}"/>
    <cellStyle name="60% - Accent3 2" xfId="42" xr:uid="{00000000-0005-0000-0000-00000E000000}"/>
    <cellStyle name="60% - Accent4 2" xfId="43" xr:uid="{00000000-0005-0000-0000-00000F000000}"/>
    <cellStyle name="60% - Accent5 2" xfId="44" xr:uid="{00000000-0005-0000-0000-000010000000}"/>
    <cellStyle name="60% - Accent6 2" xfId="45" xr:uid="{00000000-0005-0000-0000-000011000000}"/>
    <cellStyle name="Accent1" xfId="19" builtinId="29" customBuiltin="1"/>
    <cellStyle name="Accent2" xfId="22" builtinId="33" customBuiltin="1"/>
    <cellStyle name="Accent3" xfId="25" builtinId="37" customBuiltin="1"/>
    <cellStyle name="Accent4" xfId="28" builtinId="41" customBuiltin="1"/>
    <cellStyle name="Accent5" xfId="31" builtinId="45" customBuiltin="1"/>
    <cellStyle name="Accent6" xfId="34" builtinId="49" customBuiltin="1"/>
    <cellStyle name="Bad" xfId="9" builtinId="27" customBuiltin="1"/>
    <cellStyle name="Calculation" xfId="12" builtinId="22" customBuiltin="1"/>
    <cellStyle name="Check Cell" xfId="14" builtinId="23" customBuiltin="1"/>
    <cellStyle name="Comma" xfId="1" builtinId="3"/>
    <cellStyle name="Currency" xfId="2" builtinId="4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0" builtinId="20" customBuiltin="1"/>
    <cellStyle name="Linked Cell" xfId="13" builtinId="24" customBuiltin="1"/>
    <cellStyle name="Neutral 2" xfId="39" xr:uid="{00000000-0005-0000-0000-000025000000}"/>
    <cellStyle name="Normal" xfId="0" builtinId="0"/>
    <cellStyle name="Normal 13" xfId="37" xr:uid="{00000000-0005-0000-0000-000027000000}"/>
    <cellStyle name="Normal 154" xfId="48" xr:uid="{00000000-0005-0000-0000-000028000000}"/>
    <cellStyle name="Normal 2 3 3" xfId="38" xr:uid="{00000000-0005-0000-0000-000029000000}"/>
    <cellStyle name="Normal 4" xfId="46" xr:uid="{00000000-0005-0000-0000-00002A000000}"/>
    <cellStyle name="Normal 5" xfId="47" xr:uid="{00000000-0005-0000-0000-00002B000000}"/>
    <cellStyle name="Note" xfId="16" builtinId="10" customBuiltin="1"/>
    <cellStyle name="Output" xfId="11" builtinId="21" customBuiltin="1"/>
    <cellStyle name="Title" xfId="3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terim%20Tax%20Rate%20Refund%20R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Rates ===&gt;"/>
      <sheetName val="MCC-2"/>
      <sheetName val="MCC-3"/>
      <sheetName val="MCC-4 Res Monthly Impact"/>
      <sheetName val="MCC-5 Bill Impact"/>
      <sheetName val="EDIT Rates ===&gt;"/>
      <sheetName val="EDIT Spread"/>
      <sheetName val="EDIT Rates"/>
      <sheetName val="Credit Split"/>
      <sheetName val="Res Monthly Impact"/>
      <sheetName val="Bill Impact"/>
      <sheetName val="Workpapers =&gt;"/>
      <sheetName val="Revenue Spread"/>
      <sheetName val="Revenue Proof"/>
      <sheetName val="MCR-2 Sum. of Rev by Rate Schd"/>
      <sheetName val="663 Average Monthly Impact"/>
      <sheetName val="Staff's Weather Normal. ===&gt;"/>
      <sheetName val="WN"/>
      <sheetName val="Therm Summary"/>
      <sheetName val="Total Ther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K20">
            <v>32930104.23</v>
          </cell>
        </row>
        <row r="29">
          <cell r="K29">
            <v>19394160.199999999</v>
          </cell>
        </row>
        <row r="38">
          <cell r="K38">
            <v>271638.84999999998</v>
          </cell>
        </row>
        <row r="39">
          <cell r="K39">
            <v>718168.68</v>
          </cell>
        </row>
        <row r="40">
          <cell r="K40">
            <v>604398.64</v>
          </cell>
        </row>
        <row r="51">
          <cell r="K51">
            <v>1031069.87</v>
          </cell>
        </row>
        <row r="52">
          <cell r="K52">
            <v>315463.45</v>
          </cell>
        </row>
        <row r="53">
          <cell r="K53">
            <v>6110.85</v>
          </cell>
        </row>
        <row r="71">
          <cell r="K71">
            <v>140917.09</v>
          </cell>
        </row>
        <row r="72">
          <cell r="K72">
            <v>46399.73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5"/>
  <sheetViews>
    <sheetView tabSelected="1" view="pageBreakPreview" topLeftCell="A35" zoomScaleNormal="100" zoomScaleSheetLayoutView="100" workbookViewId="0">
      <selection activeCell="R54" sqref="A1:R54"/>
    </sheetView>
  </sheetViews>
  <sheetFormatPr defaultRowHeight="15" x14ac:dyDescent="0.25"/>
  <cols>
    <col min="1" max="1" width="22.85546875" customWidth="1"/>
    <col min="2" max="2" width="42.140625" style="9" bestFit="1" customWidth="1"/>
    <col min="3" max="3" width="12.7109375" style="9" bestFit="1" customWidth="1"/>
    <col min="4" max="9" width="13.28515625" bestFit="1" customWidth="1"/>
    <col min="10" max="12" width="11.5703125" bestFit="1" customWidth="1"/>
    <col min="13" max="15" width="13.28515625" bestFit="1" customWidth="1"/>
    <col min="16" max="16" width="14.28515625" bestFit="1" customWidth="1"/>
    <col min="17" max="17" width="19.140625" bestFit="1" customWidth="1"/>
    <col min="18" max="18" width="23.42578125" customWidth="1"/>
  </cols>
  <sheetData>
    <row r="1" spans="1:18" x14ac:dyDescent="0.25">
      <c r="A1" t="s">
        <v>10</v>
      </c>
      <c r="D1" s="5">
        <v>42370</v>
      </c>
      <c r="E1" s="5">
        <v>42401</v>
      </c>
      <c r="F1" s="5">
        <v>42430</v>
      </c>
      <c r="G1" s="5">
        <v>42461</v>
      </c>
      <c r="H1" s="5">
        <v>42491</v>
      </c>
      <c r="I1" s="5">
        <v>42522</v>
      </c>
      <c r="J1" s="5">
        <v>42552</v>
      </c>
      <c r="K1" s="5">
        <v>42583</v>
      </c>
      <c r="L1" s="5">
        <v>42614</v>
      </c>
      <c r="M1" s="5">
        <v>42644</v>
      </c>
      <c r="N1" s="5">
        <v>42675</v>
      </c>
      <c r="O1" s="5">
        <v>42705</v>
      </c>
      <c r="P1" t="s">
        <v>18</v>
      </c>
      <c r="Q1" s="12" t="s">
        <v>22</v>
      </c>
      <c r="R1" s="13" t="s">
        <v>23</v>
      </c>
    </row>
    <row r="2" spans="1:18" x14ac:dyDescent="0.25">
      <c r="A2" s="4" t="s">
        <v>1</v>
      </c>
      <c r="B2" s="4"/>
      <c r="C2" s="4"/>
      <c r="D2" s="1">
        <v>76163</v>
      </c>
      <c r="E2" s="1">
        <v>60161</v>
      </c>
      <c r="F2" s="1">
        <v>55570</v>
      </c>
      <c r="G2" s="1">
        <v>32755</v>
      </c>
      <c r="H2" s="1">
        <v>14429</v>
      </c>
      <c r="I2" s="1">
        <v>8747</v>
      </c>
      <c r="J2" s="1">
        <v>5666</v>
      </c>
      <c r="K2" s="1">
        <v>3237</v>
      </c>
      <c r="L2" s="1">
        <v>4336</v>
      </c>
      <c r="M2" s="1">
        <v>11608</v>
      </c>
      <c r="N2" s="1">
        <v>27354</v>
      </c>
      <c r="O2" s="1">
        <v>70211</v>
      </c>
      <c r="P2" s="2">
        <f t="shared" ref="P2:P9" si="0">SUM(D2:O2)</f>
        <v>370237</v>
      </c>
      <c r="Q2" s="14">
        <v>370237</v>
      </c>
      <c r="R2" s="15">
        <f>Q2-P2</f>
        <v>0</v>
      </c>
    </row>
    <row r="3" spans="1:18" x14ac:dyDescent="0.25">
      <c r="A3" s="4" t="s">
        <v>2</v>
      </c>
      <c r="B3" s="4"/>
      <c r="C3" s="4"/>
      <c r="D3" s="1">
        <v>21711764</v>
      </c>
      <c r="E3" s="1">
        <f>15684500</f>
        <v>15684500</v>
      </c>
      <c r="F3" s="1">
        <f>14201128</f>
        <v>14201128</v>
      </c>
      <c r="G3" s="1">
        <f>9172674</f>
        <v>9172674</v>
      </c>
      <c r="H3" s="1">
        <f>4923353</f>
        <v>4923353</v>
      </c>
      <c r="I3" s="1">
        <f>4121613</f>
        <v>4121613</v>
      </c>
      <c r="J3" s="1">
        <f>3158348</f>
        <v>3158348</v>
      </c>
      <c r="K3" s="1">
        <f>2690413</f>
        <v>2690413</v>
      </c>
      <c r="L3" s="1">
        <v>2957023</v>
      </c>
      <c r="M3" s="1">
        <f>4458948</f>
        <v>4458948</v>
      </c>
      <c r="N3" s="1">
        <f>7432970</f>
        <v>7432970</v>
      </c>
      <c r="O3" s="1">
        <f>15953568</f>
        <v>15953568</v>
      </c>
      <c r="P3" s="2">
        <f t="shared" si="0"/>
        <v>106466302</v>
      </c>
      <c r="Q3" s="14">
        <v>106466302</v>
      </c>
      <c r="R3" s="15">
        <f>Q3-P3</f>
        <v>0</v>
      </c>
    </row>
    <row r="4" spans="1:18" x14ac:dyDescent="0.25">
      <c r="A4" s="4" t="s">
        <v>3</v>
      </c>
      <c r="B4" s="4"/>
      <c r="C4" s="4"/>
      <c r="D4" s="1">
        <f>14692267</f>
        <v>14692267</v>
      </c>
      <c r="E4" s="1">
        <f>10866333</f>
        <v>10866333</v>
      </c>
      <c r="F4" s="1">
        <f>9503073</f>
        <v>9503073</v>
      </c>
      <c r="G4" s="1">
        <f>6408987</f>
        <v>6408987</v>
      </c>
      <c r="H4" s="1">
        <f>3769766</f>
        <v>3769766</v>
      </c>
      <c r="I4" s="1">
        <f>3375680</f>
        <v>3375680</v>
      </c>
      <c r="J4" s="1">
        <f>2865943</f>
        <v>2865943</v>
      </c>
      <c r="K4" s="1">
        <f>2614687</f>
        <v>2614687</v>
      </c>
      <c r="L4" s="1">
        <f>2845294</f>
        <v>2845294</v>
      </c>
      <c r="M4" s="1">
        <f>3539270</f>
        <v>3539270</v>
      </c>
      <c r="N4" s="1">
        <f>4983203</f>
        <v>4983203</v>
      </c>
      <c r="O4" s="1">
        <f>10153064</f>
        <v>10153064</v>
      </c>
      <c r="P4" s="2">
        <f t="shared" si="0"/>
        <v>75617567</v>
      </c>
      <c r="Q4" s="14">
        <v>75617567</v>
      </c>
      <c r="R4" s="15">
        <f t="shared" ref="R4:R9" si="1">Q4-P4</f>
        <v>0</v>
      </c>
    </row>
    <row r="5" spans="1:18" x14ac:dyDescent="0.25">
      <c r="A5" s="4" t="s">
        <v>4</v>
      </c>
      <c r="B5" s="4"/>
      <c r="C5" s="4"/>
      <c r="D5" s="1">
        <v>1486653</v>
      </c>
      <c r="E5" s="1">
        <v>1262521</v>
      </c>
      <c r="F5" s="1">
        <f>1187268</f>
        <v>1187268</v>
      </c>
      <c r="G5" s="1">
        <v>862655</v>
      </c>
      <c r="H5" s="1">
        <v>627270</v>
      </c>
      <c r="I5" s="1">
        <f>565516</f>
        <v>565516</v>
      </c>
      <c r="J5" s="1">
        <v>455040</v>
      </c>
      <c r="K5" s="1">
        <f>481672</f>
        <v>481672</v>
      </c>
      <c r="L5" s="1">
        <v>625724</v>
      </c>
      <c r="M5" s="1">
        <f>1066033</f>
        <v>1066033</v>
      </c>
      <c r="N5" s="1">
        <v>919109</v>
      </c>
      <c r="O5" s="1">
        <f>1284342</f>
        <v>1284342</v>
      </c>
      <c r="P5" s="2">
        <f t="shared" si="0"/>
        <v>10823803</v>
      </c>
      <c r="Q5" s="14">
        <v>10823803</v>
      </c>
      <c r="R5" s="15">
        <f t="shared" si="1"/>
        <v>0</v>
      </c>
    </row>
    <row r="6" spans="1:18" x14ac:dyDescent="0.25">
      <c r="A6" s="4" t="s">
        <v>5</v>
      </c>
      <c r="B6" s="4"/>
      <c r="C6" s="4"/>
      <c r="D6" s="1">
        <v>1456764</v>
      </c>
      <c r="E6" s="1">
        <v>1174353</v>
      </c>
      <c r="F6" s="1">
        <f>1455768</f>
        <v>1455768</v>
      </c>
      <c r="G6" s="1">
        <v>901375</v>
      </c>
      <c r="H6" s="1">
        <v>549991</v>
      </c>
      <c r="I6" s="1">
        <v>600196</v>
      </c>
      <c r="J6" s="1">
        <v>395793</v>
      </c>
      <c r="K6" s="1">
        <v>560123</v>
      </c>
      <c r="L6" s="1">
        <v>525003</v>
      </c>
      <c r="M6" s="1">
        <v>596257</v>
      </c>
      <c r="N6" s="1">
        <v>801671</v>
      </c>
      <c r="O6" s="1">
        <v>1298304</v>
      </c>
      <c r="P6" s="2">
        <f t="shared" si="0"/>
        <v>10315598</v>
      </c>
      <c r="Q6" s="14">
        <v>10315598</v>
      </c>
      <c r="R6" s="15">
        <f t="shared" si="1"/>
        <v>0</v>
      </c>
    </row>
    <row r="7" spans="1:18" x14ac:dyDescent="0.25">
      <c r="A7" s="4" t="s">
        <v>6</v>
      </c>
      <c r="B7" s="4"/>
      <c r="C7" s="4"/>
      <c r="D7" s="1">
        <v>3522</v>
      </c>
      <c r="E7" s="1">
        <v>4033</v>
      </c>
      <c r="F7" s="1">
        <v>4305</v>
      </c>
      <c r="G7" s="1">
        <v>3634</v>
      </c>
      <c r="H7" s="1">
        <v>3972</v>
      </c>
      <c r="I7" s="1">
        <v>4436</v>
      </c>
      <c r="J7" s="1">
        <v>3742</v>
      </c>
      <c r="K7" s="1">
        <v>4066</v>
      </c>
      <c r="L7" s="1">
        <v>4268</v>
      </c>
      <c r="M7" s="1">
        <v>3723</v>
      </c>
      <c r="N7" s="1">
        <v>3716</v>
      </c>
      <c r="O7" s="1">
        <v>3963</v>
      </c>
      <c r="P7" s="2">
        <f t="shared" si="0"/>
        <v>47380</v>
      </c>
      <c r="Q7" s="14">
        <v>47380</v>
      </c>
      <c r="R7" s="15">
        <f t="shared" si="1"/>
        <v>0</v>
      </c>
    </row>
    <row r="8" spans="1:18" x14ac:dyDescent="0.25">
      <c r="A8" s="4" t="s">
        <v>7</v>
      </c>
      <c r="B8" s="4"/>
      <c r="C8" s="4"/>
      <c r="D8" s="1">
        <v>466492</v>
      </c>
      <c r="E8" s="1">
        <v>468478</v>
      </c>
      <c r="F8" s="1">
        <v>383347</v>
      </c>
      <c r="G8" s="1">
        <v>381973</v>
      </c>
      <c r="H8" s="1">
        <v>275907</v>
      </c>
      <c r="I8" s="1">
        <v>227947</v>
      </c>
      <c r="J8" s="1">
        <v>185652</v>
      </c>
      <c r="K8" s="1">
        <v>219936</v>
      </c>
      <c r="L8" s="1">
        <v>171032</v>
      </c>
      <c r="M8" s="1">
        <v>222997</v>
      </c>
      <c r="N8" s="1">
        <v>314906</v>
      </c>
      <c r="O8" s="1">
        <v>361884</v>
      </c>
      <c r="P8" s="2">
        <f t="shared" si="0"/>
        <v>3680551</v>
      </c>
      <c r="Q8" s="14">
        <v>3680551.3459285335</v>
      </c>
      <c r="R8" s="15">
        <f t="shared" si="1"/>
        <v>0.34592853346839547</v>
      </c>
    </row>
    <row r="9" spans="1:18" x14ac:dyDescent="0.25">
      <c r="A9" s="4" t="s">
        <v>8</v>
      </c>
      <c r="B9" s="4"/>
      <c r="C9" s="4"/>
      <c r="D9" s="1">
        <v>21030</v>
      </c>
      <c r="E9" s="1">
        <v>21533</v>
      </c>
      <c r="F9" s="1">
        <v>17873</v>
      </c>
      <c r="G9" s="1">
        <v>17338</v>
      </c>
      <c r="H9" s="1">
        <v>11893</v>
      </c>
      <c r="I9" s="1">
        <v>11310</v>
      </c>
      <c r="J9" s="1">
        <v>9463</v>
      </c>
      <c r="K9" s="1">
        <v>8961</v>
      </c>
      <c r="L9" s="1">
        <v>8507</v>
      </c>
      <c r="M9" s="1">
        <v>10001</v>
      </c>
      <c r="N9" s="1">
        <v>14215</v>
      </c>
      <c r="O9" s="1">
        <v>16260</v>
      </c>
      <c r="P9" s="2">
        <f t="shared" si="0"/>
        <v>168384</v>
      </c>
      <c r="Q9" s="14">
        <v>168384</v>
      </c>
      <c r="R9" s="15">
        <f t="shared" si="1"/>
        <v>0</v>
      </c>
    </row>
    <row r="10" spans="1:18" s="9" customFormat="1" x14ac:dyDescent="0.25">
      <c r="A10" s="4"/>
      <c r="B10" s="4"/>
      <c r="C10" s="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6">
        <f>SUM(P2:P9)</f>
        <v>207489822</v>
      </c>
    </row>
    <row r="11" spans="1:18" ht="30" x14ac:dyDescent="0.25">
      <c r="A11" s="6" t="s">
        <v>0</v>
      </c>
      <c r="B11" s="6"/>
      <c r="C11" s="6"/>
      <c r="D11" s="1">
        <v>1261706.9257075</v>
      </c>
      <c r="E11" s="1">
        <v>2998467.7819034997</v>
      </c>
      <c r="F11" s="1">
        <v>2177667.1297070002</v>
      </c>
      <c r="G11" s="1">
        <v>2886938.4288059999</v>
      </c>
      <c r="H11" s="1">
        <v>1223989.78162</v>
      </c>
      <c r="I11" s="1">
        <v>86066.559562499999</v>
      </c>
      <c r="J11" s="1">
        <v>0</v>
      </c>
      <c r="K11" s="1">
        <v>0</v>
      </c>
      <c r="L11" s="1">
        <v>69569.862095999997</v>
      </c>
      <c r="M11" s="1">
        <v>1387938.5099714999</v>
      </c>
      <c r="N11" s="1">
        <v>4875663.478843499</v>
      </c>
      <c r="O11" s="1">
        <v>-2760238.5652495003</v>
      </c>
      <c r="P11" s="1">
        <f t="shared" ref="P11:P12" si="2">SUM(D11:O11)</f>
        <v>14207769.892968001</v>
      </c>
    </row>
    <row r="12" spans="1:18" ht="30" x14ac:dyDescent="0.25">
      <c r="A12" s="6" t="s">
        <v>9</v>
      </c>
      <c r="B12" s="6"/>
      <c r="C12" s="6"/>
      <c r="D12" s="1">
        <v>814906.22032424994</v>
      </c>
      <c r="E12" s="1">
        <v>1891776.8901200001</v>
      </c>
      <c r="F12" s="1">
        <v>1160898.3273825001</v>
      </c>
      <c r="G12" s="1">
        <v>1425920.497089</v>
      </c>
      <c r="H12" s="1">
        <v>509817.90088699997</v>
      </c>
      <c r="I12" s="1">
        <v>34787.4412275</v>
      </c>
      <c r="J12" s="1">
        <v>0</v>
      </c>
      <c r="K12" s="1">
        <v>0</v>
      </c>
      <c r="L12" s="1">
        <v>217275.24275999999</v>
      </c>
      <c r="M12" s="1">
        <v>861909.98681350006</v>
      </c>
      <c r="N12" s="1">
        <v>2700335.3844320001</v>
      </c>
      <c r="O12" s="1">
        <v>-1477544.2256860002</v>
      </c>
      <c r="P12" s="1">
        <f t="shared" si="2"/>
        <v>8140083.6653497498</v>
      </c>
    </row>
    <row r="14" spans="1:18" x14ac:dyDescent="0.25">
      <c r="A14" t="s">
        <v>16</v>
      </c>
      <c r="D14" s="3">
        <v>42370</v>
      </c>
      <c r="E14" s="3">
        <v>42401</v>
      </c>
      <c r="F14" s="3">
        <v>42430</v>
      </c>
      <c r="G14" s="3">
        <v>42461</v>
      </c>
      <c r="H14" s="3">
        <v>42491</v>
      </c>
      <c r="I14" s="3">
        <v>42522</v>
      </c>
      <c r="J14" s="3">
        <v>42552</v>
      </c>
      <c r="K14" s="3">
        <v>42583</v>
      </c>
      <c r="L14" s="3">
        <v>42614</v>
      </c>
      <c r="M14" s="3">
        <v>42644</v>
      </c>
      <c r="N14" s="3">
        <v>42675</v>
      </c>
      <c r="O14" s="3">
        <v>42705</v>
      </c>
      <c r="P14" t="s">
        <v>18</v>
      </c>
    </row>
    <row r="15" spans="1:18" x14ac:dyDescent="0.25">
      <c r="A15" t="s">
        <v>11</v>
      </c>
      <c r="D15" s="2">
        <f>+D2+D3+D11</f>
        <v>23049633.9257075</v>
      </c>
      <c r="E15" s="2">
        <f t="shared" ref="E15:N15" si="3">+E2+E3+E11</f>
        <v>18743128.781903498</v>
      </c>
      <c r="F15" s="2">
        <f t="shared" si="3"/>
        <v>16434365.129707001</v>
      </c>
      <c r="G15" s="2">
        <f t="shared" si="3"/>
        <v>12092367.428805999</v>
      </c>
      <c r="H15" s="2">
        <f t="shared" si="3"/>
        <v>6161771.7816199996</v>
      </c>
      <c r="I15" s="2">
        <f t="shared" si="3"/>
        <v>4216426.5595624996</v>
      </c>
      <c r="J15" s="2">
        <f t="shared" si="3"/>
        <v>3164014</v>
      </c>
      <c r="K15" s="2">
        <f t="shared" si="3"/>
        <v>2693650</v>
      </c>
      <c r="L15" s="2">
        <f t="shared" si="3"/>
        <v>3030928.862096</v>
      </c>
      <c r="M15" s="2">
        <f t="shared" si="3"/>
        <v>5858494.5099714994</v>
      </c>
      <c r="N15" s="2">
        <f t="shared" si="3"/>
        <v>12335987.478843499</v>
      </c>
      <c r="O15" s="2">
        <f>+O2+O3+O11</f>
        <v>13263540.434750499</v>
      </c>
      <c r="P15" s="2">
        <f>SUM(D15:O15)</f>
        <v>121044308.89296798</v>
      </c>
      <c r="Q15" s="2"/>
    </row>
    <row r="16" spans="1:18" x14ac:dyDescent="0.25">
      <c r="A16" t="s">
        <v>12</v>
      </c>
      <c r="D16" s="2">
        <f>+D4+D7+D12</f>
        <v>15510695.22032425</v>
      </c>
      <c r="E16" s="2">
        <f t="shared" ref="E16:O16" si="4">+E4+E7+E12</f>
        <v>12762142.89012</v>
      </c>
      <c r="F16" s="2">
        <f t="shared" si="4"/>
        <v>10668276.327382499</v>
      </c>
      <c r="G16" s="2">
        <f t="shared" si="4"/>
        <v>7838541.4970890004</v>
      </c>
      <c r="H16" s="2">
        <f t="shared" si="4"/>
        <v>4283555.9008870004</v>
      </c>
      <c r="I16" s="2">
        <f t="shared" si="4"/>
        <v>3414903.4412274999</v>
      </c>
      <c r="J16" s="2">
        <f t="shared" si="4"/>
        <v>2869685</v>
      </c>
      <c r="K16" s="2">
        <f t="shared" si="4"/>
        <v>2618753</v>
      </c>
      <c r="L16" s="2">
        <f t="shared" si="4"/>
        <v>3066837.2427599998</v>
      </c>
      <c r="M16" s="2">
        <f t="shared" si="4"/>
        <v>4404902.9868135005</v>
      </c>
      <c r="N16" s="2">
        <f t="shared" si="4"/>
        <v>7687254.3844320001</v>
      </c>
      <c r="O16" s="2">
        <f t="shared" si="4"/>
        <v>8679482.7743139993</v>
      </c>
      <c r="P16" s="2">
        <f>SUM(D16:O16)</f>
        <v>83805030.665349752</v>
      </c>
      <c r="Q16" s="2"/>
    </row>
    <row r="17" spans="1:18" s="9" customFormat="1" x14ac:dyDescent="0.25">
      <c r="A17" s="9" t="s">
        <v>17</v>
      </c>
      <c r="D17" s="2">
        <f>+D5</f>
        <v>1486653</v>
      </c>
      <c r="E17" s="2">
        <f t="shared" ref="E17:O17" si="5">+E5</f>
        <v>1262521</v>
      </c>
      <c r="F17" s="2">
        <f t="shared" si="5"/>
        <v>1187268</v>
      </c>
      <c r="G17" s="2">
        <f t="shared" si="5"/>
        <v>862655</v>
      </c>
      <c r="H17" s="2">
        <f t="shared" si="5"/>
        <v>627270</v>
      </c>
      <c r="I17" s="2">
        <f t="shared" si="5"/>
        <v>565516</v>
      </c>
      <c r="J17" s="2">
        <f t="shared" si="5"/>
        <v>455040</v>
      </c>
      <c r="K17" s="2">
        <f t="shared" si="5"/>
        <v>481672</v>
      </c>
      <c r="L17" s="2">
        <f t="shared" si="5"/>
        <v>625724</v>
      </c>
      <c r="M17" s="2">
        <f t="shared" si="5"/>
        <v>1066033</v>
      </c>
      <c r="N17" s="2">
        <f t="shared" si="5"/>
        <v>919109</v>
      </c>
      <c r="O17" s="2">
        <f t="shared" si="5"/>
        <v>1284342</v>
      </c>
      <c r="P17" s="2">
        <f>SUM(D17:O17)</f>
        <v>10823803</v>
      </c>
      <c r="Q17" s="2"/>
    </row>
    <row r="18" spans="1:18" x14ac:dyDescent="0.25">
      <c r="A18" t="s">
        <v>13</v>
      </c>
      <c r="D18" s="2">
        <f>+D6</f>
        <v>1456764</v>
      </c>
      <c r="E18" s="2">
        <f t="shared" ref="E18:O18" si="6">+E6</f>
        <v>1174353</v>
      </c>
      <c r="F18" s="2">
        <f t="shared" si="6"/>
        <v>1455768</v>
      </c>
      <c r="G18" s="2">
        <f t="shared" si="6"/>
        <v>901375</v>
      </c>
      <c r="H18" s="2">
        <f t="shared" si="6"/>
        <v>549991</v>
      </c>
      <c r="I18" s="2">
        <f t="shared" si="6"/>
        <v>600196</v>
      </c>
      <c r="J18" s="2">
        <f t="shared" si="6"/>
        <v>395793</v>
      </c>
      <c r="K18" s="2">
        <f t="shared" si="6"/>
        <v>560123</v>
      </c>
      <c r="L18" s="2">
        <f t="shared" si="6"/>
        <v>525003</v>
      </c>
      <c r="M18" s="2">
        <f t="shared" si="6"/>
        <v>596257</v>
      </c>
      <c r="N18" s="2">
        <f t="shared" si="6"/>
        <v>801671</v>
      </c>
      <c r="O18" s="2">
        <f t="shared" si="6"/>
        <v>1298304</v>
      </c>
      <c r="P18" s="2">
        <f>SUM(D18:O18)</f>
        <v>10315598</v>
      </c>
      <c r="Q18" s="2"/>
    </row>
    <row r="19" spans="1:18" x14ac:dyDescent="0.25">
      <c r="A19" t="s">
        <v>14</v>
      </c>
      <c r="D19" s="2">
        <f>+D8+D9</f>
        <v>487522</v>
      </c>
      <c r="E19" s="2">
        <f t="shared" ref="E19:O19" si="7">+E8+E9</f>
        <v>490011</v>
      </c>
      <c r="F19" s="2">
        <f t="shared" si="7"/>
        <v>401220</v>
      </c>
      <c r="G19" s="2">
        <f t="shared" si="7"/>
        <v>399311</v>
      </c>
      <c r="H19" s="2">
        <f t="shared" si="7"/>
        <v>287800</v>
      </c>
      <c r="I19" s="2">
        <f t="shared" si="7"/>
        <v>239257</v>
      </c>
      <c r="J19" s="2">
        <f t="shared" si="7"/>
        <v>195115</v>
      </c>
      <c r="K19" s="2">
        <f t="shared" si="7"/>
        <v>228897</v>
      </c>
      <c r="L19" s="2">
        <f t="shared" si="7"/>
        <v>179539</v>
      </c>
      <c r="M19" s="2">
        <f t="shared" si="7"/>
        <v>232998</v>
      </c>
      <c r="N19" s="2">
        <f t="shared" si="7"/>
        <v>329121</v>
      </c>
      <c r="O19" s="2">
        <f t="shared" si="7"/>
        <v>378144</v>
      </c>
      <c r="P19" s="2">
        <f>SUM(D19:O19)</f>
        <v>3848935</v>
      </c>
      <c r="Q19" s="2"/>
    </row>
    <row r="20" spans="1:18" x14ac:dyDescent="0.25">
      <c r="P20" s="16">
        <f>SUM(P15:P19)</f>
        <v>229837675.55831772</v>
      </c>
    </row>
    <row r="21" spans="1:18" s="9" customFormat="1" x14ac:dyDescent="0.25">
      <c r="A21" s="9" t="s">
        <v>15</v>
      </c>
      <c r="P21" s="17" t="s">
        <v>18</v>
      </c>
      <c r="Q21" s="12" t="s">
        <v>49</v>
      </c>
      <c r="R21" s="13"/>
    </row>
    <row r="22" spans="1:18" s="9" customFormat="1" x14ac:dyDescent="0.25">
      <c r="A22" s="9" t="s">
        <v>19</v>
      </c>
      <c r="D22" s="2">
        <v>182433</v>
      </c>
      <c r="E22" s="2">
        <v>183221</v>
      </c>
      <c r="F22" s="2">
        <v>183878</v>
      </c>
      <c r="G22" s="2">
        <v>183963</v>
      </c>
      <c r="H22" s="2">
        <v>183647</v>
      </c>
      <c r="I22" s="2">
        <v>184007</v>
      </c>
      <c r="J22" s="2">
        <v>183562</v>
      </c>
      <c r="K22" s="2">
        <v>184137</v>
      </c>
      <c r="L22" s="2">
        <v>183651</v>
      </c>
      <c r="M22" s="2">
        <v>183499</v>
      </c>
      <c r="N22" s="2">
        <v>184168</v>
      </c>
      <c r="O22" s="2">
        <v>185102</v>
      </c>
      <c r="P22" s="2">
        <f>SUM(D22:O22)</f>
        <v>2205268</v>
      </c>
      <c r="Q22" s="14">
        <f>+P22/12</f>
        <v>183772.33333333334</v>
      </c>
      <c r="R22" s="15"/>
    </row>
    <row r="23" spans="1:18" s="9" customFormat="1" x14ac:dyDescent="0.25">
      <c r="A23" s="9" t="s">
        <v>20</v>
      </c>
      <c r="D23" s="2">
        <v>25676</v>
      </c>
      <c r="E23" s="2">
        <v>25723</v>
      </c>
      <c r="F23" s="2">
        <v>25728</v>
      </c>
      <c r="G23" s="2">
        <v>25677</v>
      </c>
      <c r="H23" s="2">
        <v>25614</v>
      </c>
      <c r="I23" s="2">
        <v>25571</v>
      </c>
      <c r="J23" s="2">
        <v>25463</v>
      </c>
      <c r="K23" s="2">
        <v>25483</v>
      </c>
      <c r="L23" s="2">
        <v>25424</v>
      </c>
      <c r="M23" s="2">
        <v>25453</v>
      </c>
      <c r="N23" s="2">
        <v>25621</v>
      </c>
      <c r="O23" s="2">
        <v>25778</v>
      </c>
      <c r="P23" s="2">
        <f t="shared" ref="P23:P26" si="8">SUM(D23:O23)</f>
        <v>307211</v>
      </c>
      <c r="Q23" s="14">
        <f t="shared" ref="Q23:Q26" si="9">+P23/12</f>
        <v>25600.916666666668</v>
      </c>
      <c r="R23" s="15"/>
    </row>
    <row r="24" spans="1:18" s="9" customFormat="1" x14ac:dyDescent="0.25">
      <c r="A24" s="11">
        <v>505</v>
      </c>
      <c r="B24" s="11"/>
      <c r="C24" s="11"/>
      <c r="D24" s="9">
        <v>448</v>
      </c>
      <c r="E24" s="9">
        <v>454</v>
      </c>
      <c r="F24" s="9">
        <v>452</v>
      </c>
      <c r="G24" s="9">
        <v>452</v>
      </c>
      <c r="H24" s="9">
        <v>453</v>
      </c>
      <c r="I24" s="9">
        <v>452</v>
      </c>
      <c r="J24" s="9">
        <v>451</v>
      </c>
      <c r="K24" s="9">
        <v>453</v>
      </c>
      <c r="L24" s="9">
        <v>311</v>
      </c>
      <c r="M24" s="10">
        <v>443.8</v>
      </c>
      <c r="N24" s="9">
        <v>449</v>
      </c>
      <c r="O24" s="9">
        <v>455</v>
      </c>
      <c r="P24" s="2">
        <f t="shared" si="8"/>
        <v>5273.8</v>
      </c>
      <c r="Q24" s="14">
        <f t="shared" si="9"/>
        <v>439.48333333333335</v>
      </c>
      <c r="R24" s="15"/>
    </row>
    <row r="25" spans="1:18" s="9" customFormat="1" x14ac:dyDescent="0.25">
      <c r="A25" s="11">
        <v>511</v>
      </c>
      <c r="B25" s="11"/>
      <c r="C25" s="11"/>
      <c r="D25" s="9">
        <f>12+70</f>
        <v>82</v>
      </c>
      <c r="E25" s="9">
        <f>11+70</f>
        <v>81</v>
      </c>
      <c r="F25" s="9">
        <f>13+84</f>
        <v>97</v>
      </c>
      <c r="G25" s="9">
        <f>12+75</f>
        <v>87</v>
      </c>
      <c r="H25" s="9">
        <f>11+75</f>
        <v>86</v>
      </c>
      <c r="I25" s="9">
        <f>13+75</f>
        <v>88</v>
      </c>
      <c r="J25" s="9">
        <f>11+73</f>
        <v>84</v>
      </c>
      <c r="K25" s="9">
        <f>13+74</f>
        <v>87</v>
      </c>
      <c r="L25" s="10">
        <f>20+109</f>
        <v>129</v>
      </c>
      <c r="M25" s="9">
        <f>12+75</f>
        <v>87</v>
      </c>
      <c r="N25" s="9">
        <f>13+75</f>
        <v>88</v>
      </c>
      <c r="O25" s="9">
        <f>13+76</f>
        <v>89</v>
      </c>
      <c r="P25" s="2">
        <f t="shared" si="8"/>
        <v>1085</v>
      </c>
      <c r="Q25" s="14">
        <f t="shared" si="9"/>
        <v>90.416666666666671</v>
      </c>
      <c r="R25" s="15"/>
    </row>
    <row r="26" spans="1:18" s="9" customFormat="1" x14ac:dyDescent="0.25">
      <c r="A26" s="9" t="s">
        <v>21</v>
      </c>
      <c r="D26" s="9">
        <v>11</v>
      </c>
      <c r="E26" s="9">
        <v>10</v>
      </c>
      <c r="F26" s="9">
        <v>10</v>
      </c>
      <c r="G26" s="9">
        <v>10</v>
      </c>
      <c r="H26" s="9">
        <v>10</v>
      </c>
      <c r="I26" s="9">
        <v>10</v>
      </c>
      <c r="J26" s="9">
        <v>10</v>
      </c>
      <c r="K26" s="9">
        <v>10</v>
      </c>
      <c r="L26" s="9">
        <v>10</v>
      </c>
      <c r="M26" s="9">
        <v>10</v>
      </c>
      <c r="N26" s="9">
        <v>10</v>
      </c>
      <c r="O26" s="9">
        <v>10</v>
      </c>
      <c r="P26" s="2">
        <f t="shared" si="8"/>
        <v>121</v>
      </c>
      <c r="Q26" s="14">
        <f t="shared" si="9"/>
        <v>10.083333333333334</v>
      </c>
      <c r="R26" s="15"/>
    </row>
    <row r="27" spans="1:18" s="9" customFormat="1" x14ac:dyDescent="0.25"/>
    <row r="29" spans="1:18" x14ac:dyDescent="0.25"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8" x14ac:dyDescent="0.25">
      <c r="A30" s="4"/>
      <c r="B30" s="4"/>
      <c r="C30" s="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R30" s="7"/>
    </row>
    <row r="31" spans="1:18" x14ac:dyDescent="0.25">
      <c r="A31" s="18" t="s">
        <v>24</v>
      </c>
      <c r="B31" s="18"/>
      <c r="C31" s="18"/>
      <c r="D31" s="19">
        <v>626</v>
      </c>
      <c r="E31" s="19">
        <v>613</v>
      </c>
      <c r="F31" s="19">
        <v>597</v>
      </c>
      <c r="G31" s="19">
        <v>582</v>
      </c>
      <c r="H31" s="19">
        <v>577</v>
      </c>
      <c r="I31" s="19">
        <v>511</v>
      </c>
      <c r="J31" s="19">
        <v>487</v>
      </c>
      <c r="K31" s="19">
        <v>507</v>
      </c>
      <c r="L31" s="19">
        <v>527</v>
      </c>
      <c r="M31" s="19">
        <v>571</v>
      </c>
      <c r="N31" s="19">
        <v>610</v>
      </c>
      <c r="O31" s="19">
        <v>625</v>
      </c>
    </row>
    <row r="32" spans="1:18" x14ac:dyDescent="0.25">
      <c r="A32" s="18" t="s">
        <v>25</v>
      </c>
      <c r="B32" s="18"/>
      <c r="C32" s="18"/>
      <c r="D32" s="19">
        <v>180817</v>
      </c>
      <c r="E32" s="19">
        <v>180962</v>
      </c>
      <c r="F32" s="19">
        <v>180947</v>
      </c>
      <c r="G32" s="19">
        <v>180719</v>
      </c>
      <c r="H32" s="19">
        <v>180554</v>
      </c>
      <c r="I32" s="19">
        <v>180418</v>
      </c>
      <c r="J32" s="19">
        <v>180477</v>
      </c>
      <c r="K32" s="19">
        <v>180252</v>
      </c>
      <c r="L32" s="19">
        <v>180561</v>
      </c>
      <c r="M32" s="19">
        <v>181689</v>
      </c>
      <c r="N32" s="19">
        <v>182454</v>
      </c>
      <c r="O32" s="19">
        <v>183190</v>
      </c>
    </row>
    <row r="33" spans="1:18" x14ac:dyDescent="0.25">
      <c r="A33" s="18" t="s">
        <v>26</v>
      </c>
      <c r="B33" s="18"/>
      <c r="C33" s="18"/>
      <c r="D33" s="19">
        <v>25561</v>
      </c>
      <c r="E33" s="19">
        <v>25542</v>
      </c>
      <c r="F33" s="19">
        <v>25503</v>
      </c>
      <c r="G33" s="19">
        <v>25442</v>
      </c>
      <c r="H33" s="19">
        <v>25369</v>
      </c>
      <c r="I33" s="19">
        <v>25334</v>
      </c>
      <c r="J33" s="19">
        <v>25302</v>
      </c>
      <c r="K33" s="19">
        <v>25274</v>
      </c>
      <c r="L33" s="19">
        <v>25279</v>
      </c>
      <c r="M33" s="19">
        <v>25473</v>
      </c>
      <c r="N33" s="19">
        <v>25612</v>
      </c>
      <c r="O33" s="19">
        <v>25822</v>
      </c>
      <c r="R33" s="7"/>
    </row>
    <row r="34" spans="1:18" x14ac:dyDescent="0.25">
      <c r="A34" s="18" t="s">
        <v>27</v>
      </c>
      <c r="B34" s="18"/>
      <c r="C34" s="18"/>
      <c r="D34" s="19">
        <v>450</v>
      </c>
      <c r="E34" s="19">
        <v>451</v>
      </c>
      <c r="F34" s="19">
        <v>451</v>
      </c>
      <c r="G34" s="19">
        <v>452</v>
      </c>
      <c r="H34" s="19">
        <v>452</v>
      </c>
      <c r="I34" s="19">
        <v>450</v>
      </c>
      <c r="J34" s="19">
        <v>450</v>
      </c>
      <c r="K34" s="19">
        <v>450</v>
      </c>
      <c r="L34" s="19">
        <v>449</v>
      </c>
      <c r="M34" s="19">
        <v>449</v>
      </c>
      <c r="N34" s="19">
        <v>451</v>
      </c>
      <c r="O34" s="19">
        <v>453</v>
      </c>
    </row>
    <row r="35" spans="1:18" x14ac:dyDescent="0.25">
      <c r="A35" s="18" t="s">
        <v>28</v>
      </c>
      <c r="B35" s="18"/>
      <c r="C35" s="18"/>
      <c r="D35" s="19">
        <v>70</v>
      </c>
      <c r="E35" s="19">
        <v>71</v>
      </c>
      <c r="F35" s="19">
        <v>76</v>
      </c>
      <c r="G35" s="19">
        <v>75</v>
      </c>
      <c r="H35" s="19">
        <v>75</v>
      </c>
      <c r="I35" s="19">
        <v>73</v>
      </c>
      <c r="J35" s="19">
        <v>74</v>
      </c>
      <c r="K35" s="19">
        <v>73</v>
      </c>
      <c r="L35" s="19">
        <v>74</v>
      </c>
      <c r="M35" s="19">
        <v>74</v>
      </c>
      <c r="N35" s="19">
        <v>75</v>
      </c>
      <c r="O35" s="19">
        <v>73</v>
      </c>
    </row>
    <row r="36" spans="1:18" x14ac:dyDescent="0.25">
      <c r="A36" s="18" t="s">
        <v>29</v>
      </c>
      <c r="B36" s="18"/>
      <c r="C36" s="18"/>
      <c r="D36" s="19">
        <v>12</v>
      </c>
      <c r="E36" s="19">
        <v>12</v>
      </c>
      <c r="F36" s="19">
        <v>12</v>
      </c>
      <c r="G36" s="19">
        <v>12</v>
      </c>
      <c r="H36" s="19">
        <v>12</v>
      </c>
      <c r="I36" s="19">
        <v>12</v>
      </c>
      <c r="J36" s="19">
        <v>12</v>
      </c>
      <c r="K36" s="19">
        <v>12</v>
      </c>
      <c r="L36" s="19">
        <v>12</v>
      </c>
      <c r="M36" s="19">
        <v>12</v>
      </c>
      <c r="N36" s="19">
        <v>13</v>
      </c>
      <c r="O36" s="19">
        <v>14</v>
      </c>
      <c r="R36" s="7"/>
    </row>
    <row r="37" spans="1:18" x14ac:dyDescent="0.25">
      <c r="A37" s="18" t="s">
        <v>30</v>
      </c>
      <c r="B37" s="18"/>
      <c r="C37" s="18"/>
      <c r="D37" s="19">
        <v>1</v>
      </c>
      <c r="E37" s="19">
        <v>1</v>
      </c>
      <c r="F37" s="19">
        <v>1</v>
      </c>
      <c r="G37" s="19">
        <v>1</v>
      </c>
      <c r="H37" s="19">
        <v>1</v>
      </c>
      <c r="I37" s="19">
        <v>1</v>
      </c>
      <c r="J37" s="19">
        <v>1</v>
      </c>
      <c r="K37" s="19">
        <v>1</v>
      </c>
      <c r="L37" s="19">
        <v>1</v>
      </c>
      <c r="M37" s="19">
        <v>1</v>
      </c>
      <c r="N37" s="19">
        <v>1</v>
      </c>
      <c r="O37" s="19">
        <v>1</v>
      </c>
    </row>
    <row r="38" spans="1:18" x14ac:dyDescent="0.25">
      <c r="A38" s="18" t="s">
        <v>31</v>
      </c>
      <c r="B38" s="18"/>
      <c r="C38" s="18"/>
      <c r="D38" s="19">
        <v>8</v>
      </c>
      <c r="E38" s="19">
        <v>8</v>
      </c>
      <c r="F38" s="19">
        <v>8</v>
      </c>
      <c r="G38" s="19">
        <v>8</v>
      </c>
      <c r="H38" s="19">
        <v>8</v>
      </c>
      <c r="I38" s="19">
        <v>8</v>
      </c>
      <c r="J38" s="19">
        <v>8</v>
      </c>
      <c r="K38" s="19">
        <v>8</v>
      </c>
      <c r="L38" s="19">
        <v>8</v>
      </c>
      <c r="M38" s="19">
        <v>8</v>
      </c>
      <c r="N38" s="19">
        <v>8</v>
      </c>
      <c r="O38" s="19">
        <v>8</v>
      </c>
    </row>
    <row r="39" spans="1:18" x14ac:dyDescent="0.25">
      <c r="A39" s="18" t="s">
        <v>32</v>
      </c>
      <c r="B39" s="18"/>
      <c r="C39" s="18"/>
      <c r="D39" s="19">
        <v>2</v>
      </c>
      <c r="E39" s="19">
        <v>2</v>
      </c>
      <c r="F39" s="19">
        <v>2</v>
      </c>
      <c r="G39" s="19">
        <v>2</v>
      </c>
      <c r="H39" s="19">
        <v>2</v>
      </c>
      <c r="I39" s="19">
        <v>2</v>
      </c>
      <c r="J39" s="19">
        <v>2</v>
      </c>
      <c r="K39" s="19">
        <v>2</v>
      </c>
      <c r="L39" s="19">
        <v>2</v>
      </c>
      <c r="M39" s="19">
        <v>2</v>
      </c>
      <c r="N39" s="19">
        <v>2</v>
      </c>
      <c r="O39" s="19">
        <v>2</v>
      </c>
      <c r="R39" s="7"/>
    </row>
    <row r="40" spans="1:18" x14ac:dyDescent="0.25">
      <c r="A40" s="4"/>
      <c r="B40" s="4"/>
      <c r="C40" s="4"/>
      <c r="E40" s="9"/>
      <c r="F40" s="9"/>
      <c r="G40" s="9"/>
      <c r="H40" s="9"/>
      <c r="I40" s="9"/>
      <c r="J40" s="9"/>
      <c r="K40" s="9"/>
      <c r="L40" s="2"/>
      <c r="M40" s="9"/>
      <c r="N40" s="9"/>
      <c r="O40" s="9"/>
      <c r="R40" s="7"/>
    </row>
    <row r="41" spans="1:18" x14ac:dyDescent="0.25">
      <c r="D41" t="s">
        <v>35</v>
      </c>
    </row>
    <row r="42" spans="1:18" x14ac:dyDescent="0.25">
      <c r="A42" s="4"/>
      <c r="B42" s="4" t="s">
        <v>33</v>
      </c>
      <c r="C42" s="4" t="s">
        <v>34</v>
      </c>
      <c r="D42" s="1" t="s">
        <v>36</v>
      </c>
      <c r="E42" s="1" t="s">
        <v>37</v>
      </c>
      <c r="F42" s="1" t="s">
        <v>38</v>
      </c>
      <c r="G42" s="1" t="s">
        <v>39</v>
      </c>
      <c r="H42" s="1" t="s">
        <v>40</v>
      </c>
      <c r="I42" s="1" t="s">
        <v>41</v>
      </c>
      <c r="J42" s="1" t="s">
        <v>42</v>
      </c>
      <c r="K42" s="1" t="s">
        <v>43</v>
      </c>
      <c r="L42" s="1" t="s">
        <v>44</v>
      </c>
      <c r="M42" s="1" t="s">
        <v>45</v>
      </c>
      <c r="N42" s="1" t="s">
        <v>46</v>
      </c>
      <c r="O42" s="1" t="s">
        <v>47</v>
      </c>
      <c r="P42" s="1" t="s">
        <v>48</v>
      </c>
      <c r="R42" s="7"/>
    </row>
    <row r="43" spans="1:18" x14ac:dyDescent="0.25">
      <c r="A43" s="4" t="s">
        <v>2</v>
      </c>
      <c r="B43" s="24">
        <f>+'[1]EDIT Rates'!$K$20</f>
        <v>32930104.23</v>
      </c>
      <c r="C43" s="26">
        <f>+B43/P15</f>
        <v>0.27204999996421197</v>
      </c>
      <c r="D43" s="22">
        <f>+$C$43*D15</f>
        <v>6270652.9086638242</v>
      </c>
      <c r="E43" s="22">
        <f t="shared" ref="E43:O43" si="10">+$C$43*E15</f>
        <v>5099068.1844460666</v>
      </c>
      <c r="F43" s="22">
        <f t="shared" si="10"/>
        <v>4470969.0329486364</v>
      </c>
      <c r="G43" s="22">
        <f t="shared" si="10"/>
        <v>3289728.55857391</v>
      </c>
      <c r="H43" s="22">
        <f t="shared" si="10"/>
        <v>1676310.0129692033</v>
      </c>
      <c r="I43" s="22">
        <f t="shared" si="10"/>
        <v>1147078.8453780804</v>
      </c>
      <c r="J43" s="22">
        <f t="shared" si="10"/>
        <v>860770.0085867662</v>
      </c>
      <c r="K43" s="22">
        <f t="shared" si="10"/>
        <v>732807.48240359954</v>
      </c>
      <c r="L43" s="22">
        <f t="shared" si="10"/>
        <v>824564.19682474586</v>
      </c>
      <c r="M43" s="22">
        <f t="shared" si="10"/>
        <v>1593803.4312280824</v>
      </c>
      <c r="N43" s="22">
        <f t="shared" si="10"/>
        <v>3356005.3931778935</v>
      </c>
      <c r="O43" s="22">
        <f t="shared" si="10"/>
        <v>3608346.1747991974</v>
      </c>
      <c r="P43" s="22">
        <f>SUM(D43:O43)</f>
        <v>32930104.229999997</v>
      </c>
      <c r="Q43" s="22">
        <f>+P43-B43</f>
        <v>0</v>
      </c>
      <c r="R43" s="7"/>
    </row>
    <row r="44" spans="1:18" x14ac:dyDescent="0.25">
      <c r="A44" t="s">
        <v>3</v>
      </c>
      <c r="B44" s="25">
        <f>+'[1]EDIT Rates'!$K$29</f>
        <v>19394160.199999999</v>
      </c>
      <c r="C44" s="26">
        <f t="shared" ref="C44:C49" si="11">+B44/P16</f>
        <v>0.2314200000408658</v>
      </c>
      <c r="D44" s="22">
        <f>+$C$44*D16</f>
        <v>3589485.0885212948</v>
      </c>
      <c r="E44" s="22">
        <f t="shared" ref="E44:O44" si="12">+$C$44*E16</f>
        <v>2953415.1081531052</v>
      </c>
      <c r="F44" s="22">
        <f t="shared" si="12"/>
        <v>2468852.5081188255</v>
      </c>
      <c r="G44" s="22">
        <f t="shared" si="12"/>
        <v>1813995.2735766647</v>
      </c>
      <c r="H44" s="22">
        <f t="shared" si="12"/>
        <v>991300.50675832061</v>
      </c>
      <c r="I44" s="22">
        <f t="shared" si="12"/>
        <v>790276.95450842078</v>
      </c>
      <c r="J44" s="22">
        <f t="shared" si="12"/>
        <v>664102.50281727198</v>
      </c>
      <c r="K44" s="22">
        <f t="shared" si="12"/>
        <v>606031.81936701748</v>
      </c>
      <c r="L44" s="22">
        <f t="shared" si="12"/>
        <v>709727.47484484792</v>
      </c>
      <c r="M44" s="22">
        <f t="shared" si="12"/>
        <v>1019382.6493883901</v>
      </c>
      <c r="N44" s="22">
        <f t="shared" si="12"/>
        <v>1778984.4099593991</v>
      </c>
      <c r="O44" s="22">
        <f t="shared" si="12"/>
        <v>2008605.9039864398</v>
      </c>
      <c r="P44" s="22">
        <f t="shared" ref="P44:P47" si="13">SUM(D44:O44)</f>
        <v>19394160.199999999</v>
      </c>
      <c r="Q44" s="22">
        <f t="shared" ref="Q44:Q47" si="14">+P44-B44</f>
        <v>0</v>
      </c>
    </row>
    <row r="45" spans="1:18" x14ac:dyDescent="0.25">
      <c r="A45" s="4" t="s">
        <v>4</v>
      </c>
      <c r="B45" s="24">
        <f>+'[1]EDIT Rates'!$K$38+'[1]EDIT Rates'!$K$39+'[1]EDIT Rates'!$K$40</f>
        <v>1594206.17</v>
      </c>
      <c r="C45" s="26">
        <f t="shared" si="11"/>
        <v>0.14728706444490905</v>
      </c>
      <c r="D45" s="23">
        <f>+$C$45*D17</f>
        <v>218964.75621821737</v>
      </c>
      <c r="E45" s="23">
        <f t="shared" ref="E45:O45" si="15">+$C$45*E17</f>
        <v>185953.01189005101</v>
      </c>
      <c r="F45" s="23">
        <f t="shared" si="15"/>
        <v>174869.21842937826</v>
      </c>
      <c r="G45" s="23">
        <f t="shared" si="15"/>
        <v>127057.92257872301</v>
      </c>
      <c r="H45" s="23">
        <f t="shared" si="15"/>
        <v>92388.756914358106</v>
      </c>
      <c r="I45" s="23">
        <f t="shared" si="15"/>
        <v>83293.191536627186</v>
      </c>
      <c r="J45" s="23">
        <f t="shared" si="15"/>
        <v>67021.505805011417</v>
      </c>
      <c r="K45" s="23">
        <f t="shared" si="15"/>
        <v>70944.054905308236</v>
      </c>
      <c r="L45" s="23">
        <f t="shared" si="15"/>
        <v>92161.051112726273</v>
      </c>
      <c r="M45" s="23">
        <f t="shared" si="15"/>
        <v>157012.87117139972</v>
      </c>
      <c r="N45" s="23">
        <f t="shared" si="15"/>
        <v>135372.8665148959</v>
      </c>
      <c r="O45" s="23">
        <f t="shared" si="15"/>
        <v>189166.96292330339</v>
      </c>
      <c r="P45" s="22">
        <f t="shared" si="13"/>
        <v>1594206.17</v>
      </c>
      <c r="Q45" s="22">
        <f t="shared" si="14"/>
        <v>0</v>
      </c>
      <c r="R45" s="7"/>
    </row>
    <row r="46" spans="1:18" x14ac:dyDescent="0.25">
      <c r="A46" s="20" t="s">
        <v>5</v>
      </c>
      <c r="B46" s="24">
        <f>+'[1]EDIT Rates'!$K$51+'[1]EDIT Rates'!$K$52+'[1]EDIT Rates'!$K$53</f>
        <v>1352644.1700000002</v>
      </c>
      <c r="C46" s="26">
        <f t="shared" si="11"/>
        <v>0.13112610340185807</v>
      </c>
      <c r="D46" s="22">
        <f>+$C$46*D18</f>
        <v>191019.78689610437</v>
      </c>
      <c r="E46" s="22">
        <f t="shared" ref="E46:O46" si="16">+$C$46*E18</f>
        <v>153988.33290828223</v>
      </c>
      <c r="F46" s="22">
        <f t="shared" si="16"/>
        <v>190889.18529711611</v>
      </c>
      <c r="G46" s="22">
        <f t="shared" si="16"/>
        <v>118193.79145384982</v>
      </c>
      <c r="H46" s="22">
        <f t="shared" si="16"/>
        <v>72118.176736091322</v>
      </c>
      <c r="I46" s="22">
        <f t="shared" si="16"/>
        <v>78701.362757381605</v>
      </c>
      <c r="J46" s="22">
        <f t="shared" si="16"/>
        <v>51898.793843731612</v>
      </c>
      <c r="K46" s="22">
        <f t="shared" si="16"/>
        <v>73446.746415758942</v>
      </c>
      <c r="L46" s="22">
        <f t="shared" si="16"/>
        <v>68841.597664285699</v>
      </c>
      <c r="M46" s="22">
        <f t="shared" si="16"/>
        <v>78184.857036081681</v>
      </c>
      <c r="N46" s="22">
        <f t="shared" si="16"/>
        <v>105119.99444027097</v>
      </c>
      <c r="O46" s="22">
        <f t="shared" si="16"/>
        <v>170241.54455104592</v>
      </c>
      <c r="P46" s="22">
        <f t="shared" si="13"/>
        <v>1352644.1700000002</v>
      </c>
      <c r="Q46" s="22">
        <f t="shared" si="14"/>
        <v>0</v>
      </c>
      <c r="R46" s="7"/>
    </row>
    <row r="47" spans="1:18" x14ac:dyDescent="0.25">
      <c r="A47" s="20" t="s">
        <v>7</v>
      </c>
      <c r="B47" s="25">
        <f>+'[1]EDIT Rates'!$K$71+'[1]EDIT Rates'!$K$72</f>
        <v>187316.82</v>
      </c>
      <c r="C47" s="26">
        <f t="shared" si="11"/>
        <v>4.8667181960724205E-2</v>
      </c>
      <c r="D47" s="22">
        <f>+$C$47*D19</f>
        <v>23726.321883856184</v>
      </c>
      <c r="E47" s="22">
        <f t="shared" ref="E47:O47" si="17">+$C$47*E19</f>
        <v>23847.45449975643</v>
      </c>
      <c r="F47" s="22">
        <f t="shared" si="17"/>
        <v>19526.246746281766</v>
      </c>
      <c r="G47" s="22">
        <f t="shared" si="17"/>
        <v>19433.341095918742</v>
      </c>
      <c r="H47" s="22">
        <f t="shared" si="17"/>
        <v>14006.414968296427</v>
      </c>
      <c r="I47" s="22">
        <f t="shared" si="17"/>
        <v>11643.963954376992</v>
      </c>
      <c r="J47" s="22">
        <f t="shared" si="17"/>
        <v>9495.6972082667035</v>
      </c>
      <c r="K47" s="22">
        <f t="shared" si="17"/>
        <v>11139.771949263888</v>
      </c>
      <c r="L47" s="22">
        <f t="shared" si="17"/>
        <v>8737.6571820464633</v>
      </c>
      <c r="M47" s="22">
        <f t="shared" si="17"/>
        <v>11339.356062484818</v>
      </c>
      <c r="N47" s="22">
        <f t="shared" si="17"/>
        <v>16017.39159409551</v>
      </c>
      <c r="O47" s="22">
        <f t="shared" si="17"/>
        <v>18403.202855356092</v>
      </c>
      <c r="P47" s="22">
        <f t="shared" si="13"/>
        <v>187316.82000000004</v>
      </c>
      <c r="Q47" s="22">
        <f t="shared" si="14"/>
        <v>0</v>
      </c>
    </row>
    <row r="48" spans="1:18" x14ac:dyDescent="0.25">
      <c r="A48" s="20"/>
      <c r="B48" s="4"/>
      <c r="C48" s="21">
        <f t="shared" si="11"/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2">
        <f>SUM(P43:P47)</f>
        <v>55458431.589999996</v>
      </c>
      <c r="R48" s="7"/>
    </row>
    <row r="49" spans="1:18" x14ac:dyDescent="0.25">
      <c r="A49" s="20" t="s">
        <v>50</v>
      </c>
      <c r="B49" s="4"/>
      <c r="C49" s="21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8" x14ac:dyDescent="0.25">
      <c r="A50" s="4" t="s">
        <v>2</v>
      </c>
      <c r="D50" s="22">
        <f>+D43/$Q22</f>
        <v>34.121854987224175</v>
      </c>
      <c r="E50" s="22">
        <f t="shared" ref="E50:O50" si="18">+E43/$Q22</f>
        <v>27.746658552771272</v>
      </c>
      <c r="F50" s="22">
        <f t="shared" si="18"/>
        <v>24.328847285401881</v>
      </c>
      <c r="G50" s="22">
        <f t="shared" si="18"/>
        <v>17.9011089368217</v>
      </c>
      <c r="H50" s="22">
        <f t="shared" si="18"/>
        <v>9.1216669155995724</v>
      </c>
      <c r="I50" s="22">
        <f t="shared" si="18"/>
        <v>6.241847314946285</v>
      </c>
      <c r="J50" s="22">
        <f t="shared" si="18"/>
        <v>4.6838933422337758</v>
      </c>
      <c r="K50" s="22">
        <f t="shared" si="18"/>
        <v>3.9875832728009448</v>
      </c>
      <c r="L50" s="22">
        <f t="shared" si="18"/>
        <v>4.4868788564006508</v>
      </c>
      <c r="M50" s="22">
        <f t="shared" si="18"/>
        <v>8.6727060723399543</v>
      </c>
      <c r="N50" s="22">
        <f t="shared" si="18"/>
        <v>18.261755359500395</v>
      </c>
      <c r="O50" s="22">
        <f t="shared" si="18"/>
        <v>19.634871633556724</v>
      </c>
    </row>
    <row r="51" spans="1:18" x14ac:dyDescent="0.25">
      <c r="A51" s="9" t="s">
        <v>3</v>
      </c>
      <c r="B51" s="4"/>
      <c r="C51" s="4"/>
      <c r="D51" s="22">
        <f t="shared" ref="D51:O54" si="19">+D44/$Q23</f>
        <v>140.20924075718492</v>
      </c>
      <c r="E51" s="22">
        <f t="shared" ref="E51:O51" si="20">+E44/$Q23</f>
        <v>115.36364680248188</v>
      </c>
      <c r="F51" s="22">
        <f t="shared" si="20"/>
        <v>96.436097982903945</v>
      </c>
      <c r="G51" s="22">
        <f t="shared" si="20"/>
        <v>70.856653189241186</v>
      </c>
      <c r="H51" s="22">
        <f t="shared" si="20"/>
        <v>38.721289540738603</v>
      </c>
      <c r="I51" s="22">
        <f t="shared" si="20"/>
        <v>30.869088197040629</v>
      </c>
      <c r="J51" s="22">
        <f t="shared" si="20"/>
        <v>25.940575154559124</v>
      </c>
      <c r="K51" s="22">
        <f t="shared" si="20"/>
        <v>23.672270304136926</v>
      </c>
      <c r="L51" s="22">
        <f t="shared" si="20"/>
        <v>27.722736810004118</v>
      </c>
      <c r="M51" s="22">
        <f t="shared" si="20"/>
        <v>39.818208959512127</v>
      </c>
      <c r="N51" s="22">
        <f t="shared" si="20"/>
        <v>69.489090297915084</v>
      </c>
      <c r="O51" s="22">
        <f t="shared" si="20"/>
        <v>78.458358743135094</v>
      </c>
      <c r="Q51" s="9"/>
      <c r="R51" s="7"/>
    </row>
    <row r="52" spans="1:18" x14ac:dyDescent="0.25">
      <c r="A52" s="4" t="s">
        <v>4</v>
      </c>
      <c r="B52" s="4"/>
      <c r="C52" s="4"/>
      <c r="D52" s="22">
        <f t="shared" si="19"/>
        <v>498.23221863146279</v>
      </c>
      <c r="E52" s="22">
        <f t="shared" ref="E52:O52" si="21">+E45/$Q24</f>
        <v>423.11732388043009</v>
      </c>
      <c r="F52" s="22">
        <f t="shared" si="21"/>
        <v>397.89726973956903</v>
      </c>
      <c r="G52" s="22">
        <f t="shared" si="21"/>
        <v>289.10748813847243</v>
      </c>
      <c r="H52" s="22">
        <f t="shared" si="21"/>
        <v>210.22129829957473</v>
      </c>
      <c r="I52" s="22">
        <f t="shared" si="21"/>
        <v>189.52525663459483</v>
      </c>
      <c r="J52" s="22">
        <f t="shared" si="21"/>
        <v>152.50067686680134</v>
      </c>
      <c r="K52" s="22">
        <f t="shared" si="21"/>
        <v>161.42604172772931</v>
      </c>
      <c r="L52" s="22">
        <f t="shared" si="21"/>
        <v>209.7031767137008</v>
      </c>
      <c r="M52" s="22">
        <f t="shared" si="21"/>
        <v>357.26695249285081</v>
      </c>
      <c r="N52" s="22">
        <f t="shared" si="21"/>
        <v>308.02730444437611</v>
      </c>
      <c r="O52" s="22">
        <f t="shared" si="21"/>
        <v>430.43034530692114</v>
      </c>
      <c r="Q52" s="9"/>
      <c r="R52" s="7"/>
    </row>
    <row r="53" spans="1:18" x14ac:dyDescent="0.25">
      <c r="A53" s="20" t="s">
        <v>5</v>
      </c>
      <c r="D53" s="22">
        <f t="shared" si="19"/>
        <v>2112.6612375606014</v>
      </c>
      <c r="E53" s="22">
        <f t="shared" ref="E53:O53" si="22">+E46/$Q25</f>
        <v>1703.0967694925223</v>
      </c>
      <c r="F53" s="22">
        <f t="shared" si="22"/>
        <v>2111.2167959128046</v>
      </c>
      <c r="G53" s="22">
        <f t="shared" si="22"/>
        <v>1307.2124400425785</v>
      </c>
      <c r="H53" s="22">
        <f t="shared" si="22"/>
        <v>797.62038786460448</v>
      </c>
      <c r="I53" s="22">
        <f t="shared" si="22"/>
        <v>870.42981851481954</v>
      </c>
      <c r="J53" s="22">
        <f t="shared" si="22"/>
        <v>573.99587661269982</v>
      </c>
      <c r="K53" s="22">
        <f t="shared" si="22"/>
        <v>812.3142460729099</v>
      </c>
      <c r="L53" s="22">
        <f t="shared" si="22"/>
        <v>761.38172531928876</v>
      </c>
      <c r="M53" s="22">
        <f t="shared" si="22"/>
        <v>864.71731284145631</v>
      </c>
      <c r="N53" s="22">
        <f t="shared" si="22"/>
        <v>1162.6174500306465</v>
      </c>
      <c r="O53" s="22">
        <f t="shared" si="22"/>
        <v>1882.8557922696323</v>
      </c>
    </row>
    <row r="54" spans="1:18" x14ac:dyDescent="0.25">
      <c r="A54" s="20" t="s">
        <v>7</v>
      </c>
      <c r="B54" s="4"/>
      <c r="C54" s="4"/>
      <c r="D54" s="22">
        <f t="shared" si="19"/>
        <v>2353.0236579030925</v>
      </c>
      <c r="E54" s="22">
        <f t="shared" ref="E54:O54" si="23">+E47/$Q26</f>
        <v>2365.0368098931995</v>
      </c>
      <c r="F54" s="22">
        <f t="shared" si="23"/>
        <v>1936.4872806229848</v>
      </c>
      <c r="G54" s="22">
        <f t="shared" si="23"/>
        <v>1927.2734971159082</v>
      </c>
      <c r="H54" s="22">
        <f t="shared" si="23"/>
        <v>1389.065947269067</v>
      </c>
      <c r="I54" s="22">
        <f t="shared" si="23"/>
        <v>1154.7732847316024</v>
      </c>
      <c r="J54" s="22">
        <f t="shared" si="23"/>
        <v>941.72203718347464</v>
      </c>
      <c r="K54" s="22">
        <f t="shared" si="23"/>
        <v>1104.7707718278236</v>
      </c>
      <c r="L54" s="22">
        <f t="shared" si="23"/>
        <v>866.54451392196324</v>
      </c>
      <c r="M54" s="22">
        <f t="shared" si="23"/>
        <v>1124.5642376018</v>
      </c>
      <c r="N54" s="22">
        <f t="shared" si="23"/>
        <v>1588.5016456954224</v>
      </c>
      <c r="O54" s="22">
        <f t="shared" si="23"/>
        <v>1825.1110269774636</v>
      </c>
      <c r="Q54" s="9"/>
      <c r="R54" s="7"/>
    </row>
    <row r="55" spans="1:18" x14ac:dyDescent="0.25">
      <c r="A55" s="4"/>
      <c r="B55" s="4"/>
      <c r="C55" s="4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Q55" s="9"/>
      <c r="R55" s="7"/>
    </row>
  </sheetData>
  <pageMargins left="0.7" right="0.7" top="0.75" bottom="0.75" header="0.3" footer="0.3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06095F44BB694BA20BDD0C7793D36E" ma:contentTypeVersion="104" ma:contentTypeDescription="" ma:contentTypeScope="" ma:versionID="667730db47c609ab1b975ceb3b493d2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SignificantOrder xmlns="dc463f71-b30c-4ab2-9473-d307f9d35888">false</SignificantOrder>
    <Date1 xmlns="dc463f71-b30c-4ab2-9473-d307f9d35888">2018-07-25T07:00:00+00:00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170929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5E259A90-6236-4F38-8572-896C030E8997}"/>
</file>

<file path=customXml/itemProps2.xml><?xml version="1.0" encoding="utf-8"?>
<ds:datastoreItem xmlns:ds="http://schemas.openxmlformats.org/officeDocument/2006/customXml" ds:itemID="{8E70C539-C70F-498B-A490-9FC742C09912}"/>
</file>

<file path=customXml/itemProps3.xml><?xml version="1.0" encoding="utf-8"?>
<ds:datastoreItem xmlns:ds="http://schemas.openxmlformats.org/officeDocument/2006/customXml" ds:itemID="{1F34F98B-9B8C-4AE0-9152-6B49A52E6537}"/>
</file>

<file path=customXml/itemProps4.xml><?xml version="1.0" encoding="utf-8"?>
<ds:datastoreItem xmlns:ds="http://schemas.openxmlformats.org/officeDocument/2006/customXml" ds:itemID="{166EC672-1241-4D3E-AA6B-10476087A3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Robertson, Brian</dc:creator>
  <cp:lastModifiedBy>Cascade Natural Gas</cp:lastModifiedBy>
  <cp:lastPrinted>2018-07-25T15:59:16Z</cp:lastPrinted>
  <dcterms:created xsi:type="dcterms:W3CDTF">2018-05-04T15:31:39Z</dcterms:created>
  <dcterms:modified xsi:type="dcterms:W3CDTF">2018-07-25T16:07:03Z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0x0101006E56B4D1795A2E4DB2F0B01679ED314A008206095F44BB694BA20BDD0C7793D36E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