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Filed 1-25-2022\"/>
    </mc:Choice>
  </mc:AlternateContent>
  <xr:revisionPtr revIDLastSave="0" documentId="13_ncr:1_{9A0CA3D6-2A24-4CA9-B2E2-8F424ED65D12}" xr6:coauthVersionLast="47" xr6:coauthVersionMax="47" xr10:uidLastSave="{00000000-0000-0000-0000-000000000000}"/>
  <bookViews>
    <workbookView xWindow="-120" yWindow="-120" windowWidth="29040" windowHeight="15840" xr2:uid="{99597874-1EA4-4DF8-8C10-9E59B4EE0815}"/>
  </bookViews>
  <sheets>
    <sheet name="COVID-19" sheetId="1" r:id="rId1"/>
    <sheet name="Assistance Program 12-21" sheetId="2" r:id="rId2"/>
  </sheets>
  <definedNames>
    <definedName name="_xlnm.Print_Area" localSheetId="0">'COVID-19'!$A$1:$W$36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2" l="1"/>
  <c r="H54" i="2"/>
  <c r="E54" i="2"/>
  <c r="J52" i="2"/>
  <c r="I52" i="2"/>
  <c r="J50" i="2"/>
  <c r="I50" i="2"/>
  <c r="J49" i="2"/>
  <c r="I49" i="2"/>
  <c r="J38" i="2"/>
  <c r="I38" i="2"/>
  <c r="J37" i="2"/>
  <c r="I37" i="2"/>
  <c r="J28" i="2"/>
  <c r="I28" i="2"/>
  <c r="G15" i="2"/>
  <c r="F15" i="2"/>
  <c r="D15" i="2"/>
  <c r="C15" i="2"/>
  <c r="G12" i="2"/>
  <c r="F12" i="2"/>
  <c r="D12" i="2"/>
  <c r="C12" i="2"/>
  <c r="G10" i="2"/>
  <c r="F10" i="2"/>
  <c r="D10" i="2"/>
  <c r="C10" i="2"/>
  <c r="G9" i="2"/>
  <c r="F9" i="2"/>
  <c r="D9" i="2"/>
  <c r="C9" i="2"/>
  <c r="G8" i="2"/>
  <c r="G45" i="2" s="1"/>
  <c r="G54" i="2" s="1"/>
  <c r="F8" i="2"/>
  <c r="F61" i="2" s="1"/>
  <c r="Z8" i="1" s="1"/>
  <c r="D8" i="2"/>
  <c r="D45" i="2" s="1"/>
  <c r="D54" i="2" s="1"/>
  <c r="C8" i="2"/>
  <c r="C61" i="2" s="1"/>
  <c r="J6" i="2"/>
  <c r="J45" i="2" s="1"/>
  <c r="J54" i="2" s="1"/>
  <c r="I6" i="2"/>
  <c r="J5" i="2"/>
  <c r="I5" i="2"/>
  <c r="I45" i="2" s="1"/>
  <c r="I54" i="2" s="1"/>
  <c r="I58" i="2" s="1"/>
  <c r="V33" i="1"/>
  <c r="Z11" i="1" s="1"/>
  <c r="U26" i="1"/>
  <c r="T26" i="1"/>
  <c r="S26" i="1"/>
  <c r="R26" i="1"/>
  <c r="Q26" i="1"/>
  <c r="P26" i="1"/>
  <c r="O26" i="1"/>
  <c r="N26" i="1"/>
  <c r="N30" i="1" s="1"/>
  <c r="M26" i="1"/>
  <c r="L26" i="1"/>
  <c r="K26" i="1"/>
  <c r="J26" i="1"/>
  <c r="H26" i="1"/>
  <c r="G26" i="1"/>
  <c r="E26" i="1"/>
  <c r="V25" i="1"/>
  <c r="V24" i="1"/>
  <c r="V23" i="1"/>
  <c r="V22" i="1"/>
  <c r="V21" i="1"/>
  <c r="F20" i="1"/>
  <c r="V20" i="1" s="1"/>
  <c r="I19" i="1"/>
  <c r="I26" i="1" s="1"/>
  <c r="U16" i="1"/>
  <c r="T16" i="1"/>
  <c r="T30" i="1" s="1"/>
  <c r="S16" i="1"/>
  <c r="R16" i="1"/>
  <c r="Q16" i="1"/>
  <c r="P16" i="1"/>
  <c r="O16" i="1"/>
  <c r="N16" i="1"/>
  <c r="M16" i="1"/>
  <c r="K16" i="1"/>
  <c r="J16" i="1"/>
  <c r="I16" i="1"/>
  <c r="H16" i="1"/>
  <c r="E16" i="1"/>
  <c r="L15" i="1"/>
  <c r="V14" i="1"/>
  <c r="L13" i="1"/>
  <c r="V13" i="1" s="1"/>
  <c r="V12" i="1"/>
  <c r="V11" i="1"/>
  <c r="V10" i="1"/>
  <c r="G9" i="1"/>
  <c r="G16" i="1" s="1"/>
  <c r="F9" i="1"/>
  <c r="F16" i="1" s="1"/>
  <c r="L8" i="1"/>
  <c r="V8" i="1" s="1"/>
  <c r="V7" i="1"/>
  <c r="L6" i="1"/>
  <c r="V6" i="1" s="1"/>
  <c r="V5" i="1"/>
  <c r="T4" i="1"/>
  <c r="S4" i="1"/>
  <c r="R4" i="1"/>
  <c r="K30" i="1" l="1"/>
  <c r="M30" i="1"/>
  <c r="O30" i="1"/>
  <c r="V19" i="1"/>
  <c r="Z15" i="1" s="1"/>
  <c r="G30" i="1"/>
  <c r="E30" i="1"/>
  <c r="Z10" i="1"/>
  <c r="R30" i="1"/>
  <c r="J30" i="1"/>
  <c r="S30" i="1"/>
  <c r="P30" i="1"/>
  <c r="Z13" i="1"/>
  <c r="H30" i="1"/>
  <c r="Q30" i="1"/>
  <c r="L16" i="1"/>
  <c r="L30" i="1" s="1"/>
  <c r="Z16" i="1"/>
  <c r="I30" i="1"/>
  <c r="V9" i="1"/>
  <c r="F45" i="2"/>
  <c r="F54" i="2" s="1"/>
  <c r="F58" i="2" s="1"/>
  <c r="V15" i="1"/>
  <c r="Z9" i="1" s="1"/>
  <c r="F26" i="1"/>
  <c r="F30" i="1" s="1"/>
  <c r="C45" i="2"/>
  <c r="C54" i="2" s="1"/>
  <c r="C58" i="2" s="1"/>
  <c r="V26" i="1" l="1"/>
  <c r="Z12" i="1"/>
  <c r="Z17" i="1" s="1"/>
  <c r="V16" i="1"/>
  <c r="V30" i="1" s="1"/>
</calcChain>
</file>

<file path=xl/sharedStrings.xml><?xml version="1.0" encoding="utf-8"?>
<sst xmlns="http://schemas.openxmlformats.org/spreadsheetml/2006/main" count="59" uniqueCount="48">
  <si>
    <t>Total</t>
  </si>
  <si>
    <t>4767000 - Credit &amp; Collections</t>
  </si>
  <si>
    <t>OR</t>
  </si>
  <si>
    <t xml:space="preserve">Assistance Program </t>
  </si>
  <si>
    <t>Past Due Interest</t>
  </si>
  <si>
    <t>Bad Debts - True-up Jan-21</t>
  </si>
  <si>
    <t>Other Direct Costs</t>
  </si>
  <si>
    <t>Bad Debts - True-up Dec-20</t>
  </si>
  <si>
    <t>Reconnect Fees/Late Payment Fees</t>
  </si>
  <si>
    <t>Interest - Past Due Bal</t>
  </si>
  <si>
    <t>Total 186</t>
  </si>
  <si>
    <t>Interest - Past Due Bal corrects Oct-21</t>
  </si>
  <si>
    <t>Interest - Past Due Bal Apr-20-May-21</t>
  </si>
  <si>
    <t>Other Direct Benefits</t>
  </si>
  <si>
    <t xml:space="preserve">Cares Act Benefit </t>
  </si>
  <si>
    <t>Total 253</t>
  </si>
  <si>
    <t>Savings - Care Act Credit</t>
  </si>
  <si>
    <t xml:space="preserve"> Waived LPC not booked</t>
  </si>
  <si>
    <t>Washington - Covid-19 Costs &amp; Savings</t>
  </si>
  <si>
    <t>47WA.1860.20489</t>
  </si>
  <si>
    <t>O&amp;M Work Order - Costs</t>
  </si>
  <si>
    <t>Washington COVID-19 Deferral Summary as of 12/31/2021</t>
  </si>
  <si>
    <t>WA</t>
  </si>
  <si>
    <t>O&amp;M Work Order - Not Recoverable Mar-Apr-20</t>
  </si>
  <si>
    <t>4767000 - Credit &amp; Collections May-20-May-21</t>
  </si>
  <si>
    <t>Bad Debts - Costs</t>
  </si>
  <si>
    <t>Bad Debts - Not Recoverable Mar-Apr-20</t>
  </si>
  <si>
    <t>Total WA Costs</t>
  </si>
  <si>
    <t>47WA.2530.01290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</si>
  <si>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</si>
  <si>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</si>
  <si>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</si>
  <si>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</si>
  <si>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</si>
  <si>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Mar-Apr-20</t>
  </si>
  <si>
    <t>Total WA Savings</t>
  </si>
  <si>
    <t>Total WA Booked</t>
  </si>
  <si>
    <t>Big Heart Grant Running Total</t>
  </si>
  <si>
    <t xml:space="preserve"> </t>
  </si>
  <si>
    <t>Week Ending</t>
  </si>
  <si>
    <t>Pledges</t>
  </si>
  <si>
    <t>Count</t>
  </si>
  <si>
    <t>Since 4/1/21</t>
  </si>
  <si>
    <t>Auto Grants</t>
  </si>
  <si>
    <t>Grand Total</t>
  </si>
  <si>
    <t>BH Funds</t>
  </si>
  <si>
    <t>% Distributed</t>
  </si>
  <si>
    <t>Total Ending Balance 12.31.2021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</si>
</sst>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0" xfId="1" applyFont="1" applyBorder="1"/>
    <xf numFmtId="164" fontId="0" fillId="0" borderId="0" xfId="1" applyNumberFormat="1" applyFont="1" applyBorder="1"/>
    <xf numFmtId="17" fontId="4" fillId="2" borderId="0" xfId="2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3" fontId="0" fillId="0" borderId="1" xfId="1" applyFont="1" applyBorder="1"/>
    <xf numFmtId="164" fontId="0" fillId="0" borderId="1" xfId="1" applyNumberFormat="1" applyFont="1" applyBorder="1"/>
    <xf numFmtId="17" fontId="4" fillId="2" borderId="2" xfId="2" applyNumberFormat="1" applyFont="1" applyFill="1" applyBorder="1" applyAlignment="1">
      <alignment horizontal="center" vertical="center"/>
    </xf>
    <xf numFmtId="17" fontId="4" fillId="3" borderId="2" xfId="2" applyNumberFormat="1" applyFont="1" applyFill="1" applyBorder="1" applyAlignment="1">
      <alignment horizontal="center" vertical="center"/>
    </xf>
    <xf numFmtId="43" fontId="0" fillId="0" borderId="2" xfId="1" applyFont="1" applyBorder="1"/>
    <xf numFmtId="43" fontId="0" fillId="0" borderId="0" xfId="1" applyFont="1" applyFill="1"/>
    <xf numFmtId="43" fontId="0" fillId="0" borderId="0" xfId="0" applyNumberFormat="1"/>
    <xf numFmtId="43" fontId="5" fillId="0" borderId="8" xfId="1" applyFont="1" applyBorder="1"/>
    <xf numFmtId="164" fontId="5" fillId="0" borderId="9" xfId="1" applyNumberFormat="1" applyFont="1" applyBorder="1" applyAlignment="1">
      <alignment horizontal="center"/>
    </xf>
    <xf numFmtId="43" fontId="5" fillId="0" borderId="0" xfId="1" applyFont="1"/>
    <xf numFmtId="164" fontId="5" fillId="0" borderId="2" xfId="1" applyNumberFormat="1" applyFont="1" applyBorder="1"/>
    <xf numFmtId="43" fontId="0" fillId="0" borderId="0" xfId="1" applyFont="1" applyFill="1" applyBorder="1"/>
    <xf numFmtId="43" fontId="3" fillId="0" borderId="11" xfId="1" applyFont="1" applyBorder="1" applyAlignment="1">
      <alignment horizontal="left" indent="1"/>
    </xf>
    <xf numFmtId="164" fontId="5" fillId="0" borderId="4" xfId="1" applyNumberFormat="1" applyFont="1" applyBorder="1"/>
    <xf numFmtId="43" fontId="3" fillId="0" borderId="0" xfId="1" applyFont="1" applyBorder="1" applyAlignment="1">
      <alignment horizontal="left" indent="1"/>
    </xf>
    <xf numFmtId="43" fontId="0" fillId="0" borderId="1" xfId="1" applyFont="1" applyFill="1" applyBorder="1"/>
    <xf numFmtId="43" fontId="0" fillId="0" borderId="12" xfId="1" applyFont="1" applyFill="1" applyBorder="1"/>
    <xf numFmtId="43" fontId="5" fillId="0" borderId="0" xfId="1" applyFont="1" applyBorder="1"/>
    <xf numFmtId="0" fontId="0" fillId="0" borderId="11" xfId="0" applyBorder="1"/>
    <xf numFmtId="0" fontId="0" fillId="0" borderId="0" xfId="0" applyAlignment="1">
      <alignment horizontal="left"/>
    </xf>
    <xf numFmtId="43" fontId="3" fillId="0" borderId="13" xfId="1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17" xfId="0" applyBorder="1"/>
    <xf numFmtId="43" fontId="0" fillId="0" borderId="18" xfId="1" applyFont="1" applyBorder="1"/>
    <xf numFmtId="43" fontId="0" fillId="0" borderId="18" xfId="0" applyNumberFormat="1" applyBorder="1"/>
    <xf numFmtId="0" fontId="5" fillId="0" borderId="0" xfId="0" applyFont="1"/>
    <xf numFmtId="0" fontId="5" fillId="0" borderId="11" xfId="0" applyFont="1" applyBorder="1"/>
    <xf numFmtId="0" fontId="0" fillId="0" borderId="5" xfId="0" applyBorder="1"/>
    <xf numFmtId="43" fontId="0" fillId="3" borderId="16" xfId="0" applyNumberFormat="1" applyFill="1" applyBorder="1"/>
    <xf numFmtId="0" fontId="5" fillId="0" borderId="2" xfId="0" applyFont="1" applyBorder="1"/>
    <xf numFmtId="43" fontId="5" fillId="0" borderId="2" xfId="1" applyFont="1" applyBorder="1"/>
    <xf numFmtId="0" fontId="5" fillId="0" borderId="7" xfId="0" applyFont="1" applyBorder="1"/>
    <xf numFmtId="164" fontId="5" fillId="0" borderId="2" xfId="1" applyNumberFormat="1" applyFont="1" applyBorder="1" applyAlignment="1">
      <alignment horizontal="center"/>
    </xf>
    <xf numFmtId="43" fontId="5" fillId="0" borderId="7" xfId="1" applyFont="1" applyBorder="1"/>
    <xf numFmtId="0" fontId="0" fillId="0" borderId="1" xfId="0" applyBorder="1" applyAlignment="1">
      <alignment horizontal="left"/>
    </xf>
    <xf numFmtId="43" fontId="0" fillId="0" borderId="3" xfId="0" applyNumberFormat="1" applyBorder="1"/>
    <xf numFmtId="0" fontId="0" fillId="0" borderId="0" xfId="0" applyAlignment="1">
      <alignment horizontal="center"/>
    </xf>
    <xf numFmtId="43" fontId="5" fillId="0" borderId="14" xfId="1" applyFont="1" applyBorder="1"/>
    <xf numFmtId="43" fontId="5" fillId="0" borderId="1" xfId="1" applyFont="1" applyBorder="1"/>
    <xf numFmtId="164" fontId="5" fillId="0" borderId="15" xfId="1" applyNumberFormat="1" applyFont="1" applyBorder="1"/>
    <xf numFmtId="0" fontId="5" fillId="0" borderId="12" xfId="0" applyFont="1" applyBorder="1"/>
    <xf numFmtId="43" fontId="0" fillId="5" borderId="0" xfId="1" applyFont="1" applyFill="1"/>
    <xf numFmtId="43" fontId="0" fillId="3" borderId="7" xfId="0" applyNumberFormat="1" applyFill="1" applyBorder="1"/>
    <xf numFmtId="0" fontId="0" fillId="0" borderId="1" xfId="0" applyBorder="1"/>
    <xf numFmtId="43" fontId="0" fillId="0" borderId="11" xfId="0" applyNumberFormat="1" applyBorder="1"/>
    <xf numFmtId="43" fontId="0" fillId="3" borderId="10" xfId="0" applyNumberFormat="1" applyFill="1" applyBorder="1"/>
    <xf numFmtId="0" fontId="0" fillId="0" borderId="0" xfId="0" applyAlignment="1">
      <alignment horizontal="left" indent="3"/>
    </xf>
    <xf numFmtId="43" fontId="0" fillId="3" borderId="0" xfId="0" applyNumberFormat="1" applyFill="1"/>
    <xf numFmtId="0" fontId="0" fillId="0" borderId="1" xfId="0" applyBorder="1" applyAlignment="1">
      <alignment horizontal="center"/>
    </xf>
    <xf numFmtId="43" fontId="0" fillId="3" borderId="1" xfId="0" applyNumberFormat="1" applyFill="1" applyBorder="1"/>
    <xf numFmtId="43" fontId="6" fillId="0" borderId="1" xfId="0" applyNumberFormat="1" applyFont="1" applyBorder="1"/>
    <xf numFmtId="0" fontId="0" fillId="0" borderId="18" xfId="0" applyBorder="1"/>
    <xf numFmtId="43" fontId="0" fillId="0" borderId="18" xfId="1" applyFont="1" applyFill="1" applyBorder="1"/>
    <xf numFmtId="43" fontId="0" fillId="3" borderId="19" xfId="0" applyNumberFormat="1" applyFill="1" applyBorder="1"/>
    <xf numFmtId="0" fontId="7" fillId="0" borderId="0" xfId="0" applyFont="1" applyAlignment="1">
      <alignment horizontal="left" indent="2"/>
    </xf>
    <xf numFmtId="0" fontId="7" fillId="0" borderId="0" xfId="0" applyFont="1"/>
    <xf numFmtId="165" fontId="8" fillId="0" borderId="0" xfId="3" applyNumberFormat="1" applyFont="1" applyAlignment="1">
      <alignment horizontal="left"/>
    </xf>
    <xf numFmtId="44" fontId="7" fillId="0" borderId="0" xfId="3" applyNumberFormat="1"/>
    <xf numFmtId="3" fontId="7" fillId="0" borderId="0" xfId="3" applyNumberFormat="1" applyAlignment="1">
      <alignment horizontal="center"/>
    </xf>
    <xf numFmtId="1" fontId="7" fillId="0" borderId="0" xfId="3" applyNumberFormat="1"/>
    <xf numFmtId="0" fontId="7" fillId="0" borderId="0" xfId="3"/>
    <xf numFmtId="165" fontId="8" fillId="0" borderId="0" xfId="3" applyNumberFormat="1" applyFont="1" applyAlignment="1">
      <alignment horizontal="center"/>
    </xf>
    <xf numFmtId="44" fontId="8" fillId="0" borderId="0" xfId="3" applyNumberFormat="1" applyFont="1" applyAlignment="1">
      <alignment horizontal="centerContinuous"/>
    </xf>
    <xf numFmtId="3" fontId="8" fillId="0" borderId="0" xfId="3" applyNumberFormat="1" applyFont="1" applyAlignment="1">
      <alignment horizontal="centerContinuous"/>
    </xf>
    <xf numFmtId="1" fontId="8" fillId="0" borderId="0" xfId="3" applyNumberFormat="1" applyFont="1" applyAlignment="1">
      <alignment horizontal="center"/>
    </xf>
    <xf numFmtId="3" fontId="7" fillId="0" borderId="0" xfId="3" applyNumberFormat="1" applyAlignment="1">
      <alignment horizontal="centerContinuous"/>
    </xf>
    <xf numFmtId="0" fontId="7" fillId="0" borderId="0" xfId="3" applyAlignment="1">
      <alignment horizontal="center"/>
    </xf>
    <xf numFmtId="0" fontId="8" fillId="0" borderId="0" xfId="3" applyFont="1" applyAlignment="1">
      <alignment horizontal="centerContinuous"/>
    </xf>
    <xf numFmtId="3" fontId="8" fillId="0" borderId="0" xfId="3" applyNumberFormat="1" applyFont="1" applyAlignment="1">
      <alignment horizontal="center"/>
    </xf>
    <xf numFmtId="44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165" fontId="7" fillId="0" borderId="0" xfId="3" applyNumberFormat="1" applyAlignment="1">
      <alignment horizontal="center"/>
    </xf>
    <xf numFmtId="44" fontId="7" fillId="0" borderId="21" xfId="3" applyNumberFormat="1" applyBorder="1"/>
    <xf numFmtId="3" fontId="7" fillId="0" borderId="21" xfId="3" applyNumberFormat="1" applyBorder="1" applyAlignment="1">
      <alignment horizontal="center"/>
    </xf>
    <xf numFmtId="1" fontId="7" fillId="0" borderId="21" xfId="3" applyNumberFormat="1" applyBorder="1" applyAlignment="1">
      <alignment horizontal="center"/>
    </xf>
    <xf numFmtId="9" fontId="0" fillId="0" borderId="0" xfId="4" applyFont="1"/>
    <xf numFmtId="44" fontId="7" fillId="0" borderId="0" xfId="3" applyNumberFormat="1" applyAlignment="1">
      <alignment horizontal="center"/>
    </xf>
    <xf numFmtId="1" fontId="7" fillId="0" borderId="0" xfId="3" applyNumberFormat="1" applyAlignment="1">
      <alignment horizontal="center"/>
    </xf>
    <xf numFmtId="44" fontId="7" fillId="5" borderId="0" xfId="3" applyNumberFormat="1" applyFill="1"/>
    <xf numFmtId="1" fontId="7" fillId="5" borderId="0" xfId="3" applyNumberFormat="1" applyFill="1"/>
    <xf numFmtId="0" fontId="0" fillId="0" borderId="0" xfId="0" applyAlignment="1">
      <alignment horizontal="left" indent="1"/>
    </xf>
    <xf numFmtId="0" fontId="0" fillId="0" borderId="11" xfId="0" applyBorder="1" applyAlignment="1">
      <alignment horizontal="left" indent="3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indent="3"/>
    </xf>
    <xf numFmtId="0" fontId="0" fillId="0" borderId="1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3" fillId="4" borderId="6" xfId="1" applyFont="1" applyFill="1" applyBorder="1" applyAlignment="1">
      <alignment horizontal="center" vertical="center"/>
    </xf>
    <xf numFmtId="43" fontId="3" fillId="4" borderId="2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2" applyFont="1" applyFill="1" applyAlignment="1">
      <alignment horizontal="left" vertical="center"/>
    </xf>
  </cellXfs>
  <cellStyles count="5">
    <cellStyle name="Comma" xfId="1" builtinId="3"/>
    <cellStyle name="Normal" xfId="0" builtinId="0"/>
    <cellStyle name="Normal 14" xfId="2" xr:uid="{D2A622E7-9D3E-41A5-8FE0-3AD3CC6BCE8B}"/>
    <cellStyle name="Normal 3" xfId="3" xr:uid="{6F4846CF-7752-4C17-9BF0-51585C4E47FD}"/>
    <cellStyle name="Percent 3" xfId="4" xr:uid="{E14B901B-884C-4EF6-A298-55F363FACD10}"/>
  </cellStyles>
  <dxfs count="0"/>
  <tableStyles count="1" defaultTableStyle="TableStyleMedium2" defaultPivotStyle="PivotStyleLight16">
    <tableStyle name="Invisible" pivot="0" table="0" count="0" xr9:uid="{44AEAE03-0DEF-4BAC-997A-949BFA3173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BBED7E-DA5E-4505-81D3-A651FEF85BAD}"/>
            </a:ext>
          </a:extLst>
        </xdr:cNvPr>
        <xdr:cNvSpPr txBox="1"/>
      </xdr:nvSpPr>
      <xdr:spPr>
        <a:xfrm>
          <a:off x="9873265" y="175864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69B1-0B8C-48FA-9251-F39CFAEBA7E6}">
  <dimension ref="B2:AB36"/>
  <sheetViews>
    <sheetView showGridLines="0" tabSelected="1" zoomScale="85" zoomScaleNormal="85" zoomScaleSheetLayoutView="175" workbookViewId="0"/>
  </sheetViews>
  <sheetFormatPr defaultRowHeight="14.25" x14ac:dyDescent="0.2"/>
  <cols>
    <col min="1" max="1" width="1.125" customWidth="1"/>
    <col min="2" max="2" width="2" customWidth="1"/>
    <col min="3" max="3" width="3.875" customWidth="1"/>
    <col min="4" max="4" width="34.75" customWidth="1"/>
    <col min="5" max="5" width="11.875" bestFit="1" customWidth="1"/>
    <col min="6" max="6" width="12.25" customWidth="1"/>
    <col min="7" max="8" width="11.75" bestFit="1" customWidth="1"/>
    <col min="9" max="9" width="12.25" bestFit="1" customWidth="1"/>
    <col min="10" max="11" width="11.5" customWidth="1"/>
    <col min="12" max="15" width="12.625" customWidth="1"/>
    <col min="16" max="17" width="12.625" hidden="1" customWidth="1"/>
    <col min="18" max="20" width="12.625" customWidth="1"/>
    <col min="21" max="21" width="1" customWidth="1"/>
    <col min="22" max="22" width="13.375" bestFit="1" customWidth="1"/>
    <col min="23" max="23" width="8.25" style="1" customWidth="1"/>
    <col min="24" max="24" width="1.5" style="1" customWidth="1"/>
    <col min="25" max="25" width="45.75" style="1" customWidth="1"/>
    <col min="26" max="26" width="12.625" style="2" bestFit="1" customWidth="1"/>
    <col min="27" max="27" width="1.5" customWidth="1"/>
    <col min="28" max="28" width="2" customWidth="1"/>
  </cols>
  <sheetData>
    <row r="2" spans="2:28" ht="15.75" x14ac:dyDescent="0.2">
      <c r="C2" s="98" t="s">
        <v>18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X2" s="3"/>
      <c r="Y2" s="3"/>
      <c r="Z2" s="4"/>
    </row>
    <row r="3" spans="2:28" ht="15" x14ac:dyDescent="0.2">
      <c r="D3" s="6"/>
      <c r="E3" s="5">
        <v>43952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3"/>
      <c r="X3" s="7"/>
      <c r="Y3" s="7"/>
      <c r="Z3" s="8"/>
    </row>
    <row r="4" spans="2:28" ht="15.75" thickBot="1" x14ac:dyDescent="0.25">
      <c r="B4" s="99" t="s">
        <v>19</v>
      </c>
      <c r="C4" s="99"/>
      <c r="D4" s="99"/>
      <c r="E4" s="5">
        <v>44156</v>
      </c>
      <c r="F4" s="5">
        <v>44186</v>
      </c>
      <c r="G4" s="5">
        <v>44197</v>
      </c>
      <c r="H4" s="5">
        <v>44228</v>
      </c>
      <c r="I4" s="5">
        <v>44256</v>
      </c>
      <c r="J4" s="5">
        <v>44287</v>
      </c>
      <c r="K4" s="5">
        <v>44317</v>
      </c>
      <c r="L4" s="5">
        <v>44348</v>
      </c>
      <c r="M4" s="5">
        <v>44378</v>
      </c>
      <c r="N4" s="5">
        <v>44409</v>
      </c>
      <c r="O4" s="5">
        <v>44440</v>
      </c>
      <c r="P4" s="9">
        <v>44470</v>
      </c>
      <c r="Q4" s="5">
        <v>44521</v>
      </c>
      <c r="R4" s="5" t="e">
        <f>+#REF!</f>
        <v>#REF!</v>
      </c>
      <c r="S4" s="5" t="e">
        <f>+#REF!</f>
        <v>#REF!</v>
      </c>
      <c r="T4" s="5" t="e">
        <f>+#REF!</f>
        <v>#REF!</v>
      </c>
      <c r="U4" s="10"/>
      <c r="V4" s="9" t="s">
        <v>0</v>
      </c>
      <c r="W4" s="11"/>
      <c r="X4" s="34"/>
      <c r="Y4" s="34"/>
      <c r="Z4" s="34"/>
      <c r="AA4" s="35"/>
      <c r="AB4" s="36"/>
    </row>
    <row r="5" spans="2:28" ht="15.75" customHeight="1" thickBot="1" x14ac:dyDescent="0.25">
      <c r="C5" s="95" t="s">
        <v>20</v>
      </c>
      <c r="D5" s="95"/>
      <c r="E5" s="12">
        <v>64076.89</v>
      </c>
      <c r="F5" s="12">
        <v>3023.96</v>
      </c>
      <c r="G5" s="12">
        <v>1120.47</v>
      </c>
      <c r="H5" s="12">
        <v>1596.99</v>
      </c>
      <c r="I5" s="12">
        <v>1889.89</v>
      </c>
      <c r="J5" s="12">
        <v>793.26</v>
      </c>
      <c r="K5" s="12">
        <v>732.38</v>
      </c>
      <c r="L5" s="12">
        <v>20735.18</v>
      </c>
      <c r="M5" s="12">
        <v>1611.76</v>
      </c>
      <c r="N5" s="12">
        <v>15855.71</v>
      </c>
      <c r="O5" s="12">
        <v>2330.2399999999998</v>
      </c>
      <c r="P5" s="12"/>
      <c r="Q5" s="12"/>
      <c r="R5" s="12">
        <v>4638.7700000000004</v>
      </c>
      <c r="S5" s="12">
        <v>1058.1099999999999</v>
      </c>
      <c r="T5" s="12">
        <v>771.89</v>
      </c>
      <c r="U5" s="37"/>
      <c r="V5" s="13">
        <f>SUM(E5:T5)</f>
        <v>120235.50000000003</v>
      </c>
      <c r="W5" s="11"/>
      <c r="X5" s="16"/>
      <c r="Y5" s="96" t="s">
        <v>21</v>
      </c>
      <c r="Z5" s="97"/>
      <c r="AA5" s="38"/>
    </row>
    <row r="6" spans="2:28" ht="15.75" customHeight="1" x14ac:dyDescent="0.2">
      <c r="C6" s="95" t="s">
        <v>1</v>
      </c>
      <c r="D6" s="95"/>
      <c r="E6" s="26"/>
      <c r="F6" s="26"/>
      <c r="G6" s="12"/>
      <c r="H6" s="12"/>
      <c r="I6" s="12"/>
      <c r="J6" s="12"/>
      <c r="K6" s="12"/>
      <c r="L6" s="12">
        <f>25049.67</f>
        <v>25049.67</v>
      </c>
      <c r="M6" s="12">
        <v>29351.72</v>
      </c>
      <c r="N6" s="12">
        <v>25225.040000000001</v>
      </c>
      <c r="O6" s="12">
        <v>25408.93</v>
      </c>
      <c r="P6" s="12"/>
      <c r="Q6" s="12"/>
      <c r="R6" s="12">
        <v>25999.73</v>
      </c>
      <c r="S6" s="12">
        <v>24940.06</v>
      </c>
      <c r="T6" s="12">
        <v>25829.45</v>
      </c>
      <c r="U6" s="37"/>
      <c r="V6" s="13">
        <f>SUM(E6:T6)</f>
        <v>181804.6</v>
      </c>
      <c r="W6" s="11"/>
      <c r="X6" s="39"/>
      <c r="Y6" s="14"/>
      <c r="Z6" s="15" t="s">
        <v>22</v>
      </c>
      <c r="AA6" s="40"/>
    </row>
    <row r="7" spans="2:28" ht="15.75" customHeight="1" x14ac:dyDescent="0.2">
      <c r="C7" s="95" t="s">
        <v>23</v>
      </c>
      <c r="D7" s="95"/>
      <c r="E7" s="26"/>
      <c r="F7" s="26"/>
      <c r="G7" s="12"/>
      <c r="H7" s="12"/>
      <c r="I7" s="12"/>
      <c r="J7" s="12"/>
      <c r="K7" s="12"/>
      <c r="L7" s="12">
        <v>-20394.830000000002</v>
      </c>
      <c r="M7" s="12"/>
      <c r="N7" s="12"/>
      <c r="O7" s="12"/>
      <c r="P7" s="12"/>
      <c r="Q7" s="12"/>
      <c r="R7" s="12"/>
      <c r="S7" s="12"/>
      <c r="T7" s="12"/>
      <c r="U7" s="37"/>
      <c r="V7" s="13">
        <f>SUM(E7:T7)</f>
        <v>-20394.830000000002</v>
      </c>
      <c r="W7" s="11"/>
      <c r="X7" s="39"/>
      <c r="Y7" s="24"/>
      <c r="Z7" s="41"/>
      <c r="AA7" s="38"/>
    </row>
    <row r="8" spans="2:28" ht="15.75" customHeight="1" x14ac:dyDescent="0.2">
      <c r="C8" s="95" t="s">
        <v>24</v>
      </c>
      <c r="D8" s="95"/>
      <c r="E8" s="26"/>
      <c r="F8" s="26"/>
      <c r="G8" s="12"/>
      <c r="H8" s="12"/>
      <c r="I8" s="12"/>
      <c r="J8" s="12"/>
      <c r="K8" s="12"/>
      <c r="L8" s="12">
        <f>314488.43</f>
        <v>314488.43</v>
      </c>
      <c r="M8" s="12"/>
      <c r="N8" s="12"/>
      <c r="O8" s="12"/>
      <c r="P8" s="12"/>
      <c r="Q8" s="12"/>
      <c r="R8" s="12"/>
      <c r="S8" s="12"/>
      <c r="T8" s="12"/>
      <c r="U8" s="37"/>
      <c r="V8" s="13">
        <f t="shared" ref="V8:V15" si="0">SUM(E8:T8)</f>
        <v>314488.43</v>
      </c>
      <c r="W8" s="11"/>
      <c r="X8" s="42"/>
      <c r="Y8" s="16" t="s">
        <v>3</v>
      </c>
      <c r="Z8" s="17">
        <f>+'Assistance Program 12-21'!F61</f>
        <v>2536886.91</v>
      </c>
      <c r="AA8" s="38"/>
    </row>
    <row r="9" spans="2:28" ht="15.75" customHeight="1" x14ac:dyDescent="0.2">
      <c r="C9" s="95" t="s">
        <v>25</v>
      </c>
      <c r="D9" s="95"/>
      <c r="E9" s="12">
        <v>95087.75</v>
      </c>
      <c r="F9" s="12">
        <f>225943.22-F5-J11</f>
        <v>215508.29</v>
      </c>
      <c r="G9" s="12">
        <f>4122.11-G5-I10</f>
        <v>-4356.18</v>
      </c>
      <c r="H9" s="12">
        <v>55165.84</v>
      </c>
      <c r="I9" s="12">
        <v>-41970.52</v>
      </c>
      <c r="J9" s="12">
        <v>-76832.52</v>
      </c>
      <c r="K9" s="12">
        <v>32913.49</v>
      </c>
      <c r="L9" s="12">
        <v>206292.17</v>
      </c>
      <c r="M9" s="12">
        <v>-89920.36</v>
      </c>
      <c r="N9" s="12">
        <v>7792.44</v>
      </c>
      <c r="O9" s="12">
        <v>-83970.18</v>
      </c>
      <c r="P9" s="12"/>
      <c r="Q9" s="12"/>
      <c r="R9" s="12">
        <v>-86758.71</v>
      </c>
      <c r="S9" s="12">
        <v>-171853.01</v>
      </c>
      <c r="T9" s="12">
        <v>-113847</v>
      </c>
      <c r="U9" s="37"/>
      <c r="V9" s="13">
        <f t="shared" si="0"/>
        <v>-56748.499999999942</v>
      </c>
      <c r="X9" s="42"/>
      <c r="Y9" s="16" t="s">
        <v>4</v>
      </c>
      <c r="Z9" s="17">
        <f>+V13+V15+V14</f>
        <v>139138.38999999998</v>
      </c>
      <c r="AA9" s="38"/>
    </row>
    <row r="10" spans="2:28" ht="15.75" customHeight="1" x14ac:dyDescent="0.2">
      <c r="C10" s="95" t="s">
        <v>5</v>
      </c>
      <c r="D10" s="95"/>
      <c r="E10" s="26"/>
      <c r="F10" s="26"/>
      <c r="G10" s="12"/>
      <c r="H10" s="12"/>
      <c r="I10" s="12">
        <v>7357.82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37"/>
      <c r="V10" s="13">
        <f t="shared" si="0"/>
        <v>7357.82</v>
      </c>
      <c r="X10" s="42"/>
      <c r="Y10" s="16" t="s">
        <v>6</v>
      </c>
      <c r="Z10" s="17">
        <f>+V5+V7+V6</f>
        <v>281645.27</v>
      </c>
      <c r="AA10" s="38"/>
    </row>
    <row r="11" spans="2:28" ht="15.75" customHeight="1" x14ac:dyDescent="0.2">
      <c r="C11" s="95" t="s">
        <v>7</v>
      </c>
      <c r="D11" s="95"/>
      <c r="E11" s="26"/>
      <c r="F11" s="26"/>
      <c r="G11" s="12"/>
      <c r="H11" s="12"/>
      <c r="I11" s="12"/>
      <c r="J11" s="12">
        <v>7410.97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37"/>
      <c r="V11" s="13">
        <f t="shared" si="0"/>
        <v>7410.97</v>
      </c>
      <c r="X11" s="42"/>
      <c r="Y11" s="16" t="s">
        <v>8</v>
      </c>
      <c r="Z11" s="17">
        <f>+V33</f>
        <v>2256031.7600000002</v>
      </c>
      <c r="AA11" s="38"/>
    </row>
    <row r="12" spans="2:28" ht="15.75" customHeight="1" x14ac:dyDescent="0.25">
      <c r="C12" s="95" t="s">
        <v>26</v>
      </c>
      <c r="D12" s="95"/>
      <c r="E12" s="26"/>
      <c r="F12" s="26"/>
      <c r="G12" s="12"/>
      <c r="H12" s="12"/>
      <c r="I12" s="12"/>
      <c r="J12" s="12"/>
      <c r="K12" s="12"/>
      <c r="L12" s="12">
        <v>-47814.73</v>
      </c>
      <c r="M12" s="12"/>
      <c r="N12" s="12"/>
      <c r="O12" s="12"/>
      <c r="P12" s="12"/>
      <c r="Q12" s="12"/>
      <c r="R12" s="12"/>
      <c r="S12" s="12"/>
      <c r="T12" s="12"/>
      <c r="U12" s="37"/>
      <c r="V12" s="13">
        <f t="shared" si="0"/>
        <v>-47814.73</v>
      </c>
      <c r="X12" s="42"/>
      <c r="Y12" s="19" t="s">
        <v>10</v>
      </c>
      <c r="Z12" s="20">
        <f>SUM(Z8:Z11)</f>
        <v>5213702.33</v>
      </c>
      <c r="AA12" s="38"/>
    </row>
    <row r="13" spans="2:28" ht="15.75" customHeight="1" x14ac:dyDescent="0.2">
      <c r="C13" s="95" t="s">
        <v>9</v>
      </c>
      <c r="D13" s="95"/>
      <c r="E13" s="26"/>
      <c r="F13" s="26"/>
      <c r="G13" s="12"/>
      <c r="H13" s="12"/>
      <c r="I13" s="12"/>
      <c r="J13" s="12"/>
      <c r="K13" s="12"/>
      <c r="L13" s="18">
        <f>7261.85</f>
        <v>7261.85</v>
      </c>
      <c r="M13" s="18">
        <v>6846.45</v>
      </c>
      <c r="N13" s="18">
        <v>6066.44</v>
      </c>
      <c r="O13" s="18">
        <v>5547.32</v>
      </c>
      <c r="P13" s="18"/>
      <c r="Q13" s="18"/>
      <c r="R13" s="18">
        <v>4674.8900000000003</v>
      </c>
      <c r="S13" s="18">
        <v>4860.26</v>
      </c>
      <c r="T13" s="18">
        <v>6047.54</v>
      </c>
      <c r="U13" s="37"/>
      <c r="V13" s="13">
        <f t="shared" si="0"/>
        <v>41304.75</v>
      </c>
      <c r="X13" s="42"/>
      <c r="Y13" s="16" t="s">
        <v>13</v>
      </c>
      <c r="Z13" s="17">
        <f>SUM(V20:V25)</f>
        <v>-1002565.0699999996</v>
      </c>
      <c r="AA13" s="38"/>
    </row>
    <row r="14" spans="2:28" ht="15.75" customHeight="1" x14ac:dyDescent="0.2">
      <c r="C14" s="95" t="s">
        <v>11</v>
      </c>
      <c r="D14" s="95"/>
      <c r="E14" s="26"/>
      <c r="F14" s="26"/>
      <c r="G14" s="12"/>
      <c r="H14" s="12"/>
      <c r="I14" s="12"/>
      <c r="J14" s="12"/>
      <c r="K14" s="12"/>
      <c r="L14" s="18"/>
      <c r="M14" s="18"/>
      <c r="N14" s="18"/>
      <c r="O14" s="18"/>
      <c r="P14" s="18"/>
      <c r="Q14" s="18"/>
      <c r="R14" s="18"/>
      <c r="S14" s="18"/>
      <c r="T14" s="18">
        <v>301.66000000000003</v>
      </c>
      <c r="U14" s="37"/>
      <c r="V14" s="13">
        <f t="shared" si="0"/>
        <v>301.66000000000003</v>
      </c>
      <c r="X14" s="42"/>
      <c r="Y14" s="16"/>
      <c r="Z14" s="17"/>
      <c r="AA14" s="38"/>
    </row>
    <row r="15" spans="2:28" ht="15.75" customHeight="1" x14ac:dyDescent="0.2">
      <c r="C15" s="95" t="s">
        <v>12</v>
      </c>
      <c r="D15" s="95"/>
      <c r="E15" s="43"/>
      <c r="F15" s="43"/>
      <c r="G15" s="22"/>
      <c r="H15" s="22"/>
      <c r="I15" s="22"/>
      <c r="J15" s="22"/>
      <c r="K15" s="22"/>
      <c r="L15" s="22">
        <f>97531.98</f>
        <v>97531.98</v>
      </c>
      <c r="M15" s="22"/>
      <c r="N15" s="22"/>
      <c r="O15" s="22"/>
      <c r="P15" s="22"/>
      <c r="Q15" s="22"/>
      <c r="R15" s="22"/>
      <c r="S15" s="22"/>
      <c r="T15" s="23"/>
      <c r="U15" s="37"/>
      <c r="V15" s="13">
        <f t="shared" si="0"/>
        <v>97531.98</v>
      </c>
      <c r="X15" s="42"/>
      <c r="Y15" s="24" t="s">
        <v>14</v>
      </c>
      <c r="Z15" s="17">
        <f>+V19</f>
        <v>-95747.999999999985</v>
      </c>
      <c r="AA15" s="38"/>
    </row>
    <row r="16" spans="2:28" ht="15.75" customHeight="1" x14ac:dyDescent="0.25">
      <c r="B16" s="25"/>
      <c r="C16" s="90" t="s">
        <v>27</v>
      </c>
      <c r="D16" s="90"/>
      <c r="E16" s="18">
        <f t="shared" ref="E16:V16" si="1">SUM(E5:E15)</f>
        <v>159164.64000000001</v>
      </c>
      <c r="F16" s="18">
        <f t="shared" si="1"/>
        <v>218532.25</v>
      </c>
      <c r="G16" s="13">
        <f t="shared" si="1"/>
        <v>-3235.71</v>
      </c>
      <c r="H16" s="13">
        <f t="shared" si="1"/>
        <v>56762.829999999994</v>
      </c>
      <c r="I16" s="13">
        <f t="shared" si="1"/>
        <v>-32722.809999999998</v>
      </c>
      <c r="J16" s="13">
        <f t="shared" si="1"/>
        <v>-68628.290000000008</v>
      </c>
      <c r="K16" s="13">
        <f t="shared" si="1"/>
        <v>33645.869999999995</v>
      </c>
      <c r="L16" s="13">
        <f t="shared" si="1"/>
        <v>603149.72</v>
      </c>
      <c r="M16" s="13">
        <f t="shared" si="1"/>
        <v>-52110.430000000008</v>
      </c>
      <c r="N16" s="13">
        <f t="shared" si="1"/>
        <v>54939.630000000005</v>
      </c>
      <c r="O16" s="13">
        <f t="shared" si="1"/>
        <v>-50683.689999999995</v>
      </c>
      <c r="P16" s="13">
        <f t="shared" si="1"/>
        <v>0</v>
      </c>
      <c r="Q16" s="13">
        <f t="shared" si="1"/>
        <v>0</v>
      </c>
      <c r="R16" s="13">
        <f t="shared" si="1"/>
        <v>-51445.320000000007</v>
      </c>
      <c r="S16" s="13">
        <f t="shared" si="1"/>
        <v>-140994.57999999999</v>
      </c>
      <c r="T16" s="13">
        <f t="shared" si="1"/>
        <v>-80896.460000000006</v>
      </c>
      <c r="U16" s="37">
        <f t="shared" si="1"/>
        <v>0</v>
      </c>
      <c r="V16" s="44">
        <f t="shared" si="1"/>
        <v>645477.64999999991</v>
      </c>
      <c r="X16" s="42"/>
      <c r="Y16" s="21" t="s">
        <v>15</v>
      </c>
      <c r="Z16" s="20">
        <f>+Z15+Z13</f>
        <v>-1098313.0699999996</v>
      </c>
      <c r="AA16" s="38"/>
    </row>
    <row r="17" spans="2:27" ht="15.75" customHeight="1" thickBot="1" x14ac:dyDescent="0.3">
      <c r="C17" s="94"/>
      <c r="D17" s="94"/>
      <c r="E17" s="45"/>
      <c r="F17" s="4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37"/>
      <c r="V17" s="13"/>
      <c r="X17" s="42"/>
      <c r="Y17" s="27" t="s">
        <v>47</v>
      </c>
      <c r="Z17" s="20">
        <f>+Z12+Z16</f>
        <v>4115389.2600000007</v>
      </c>
      <c r="AA17" s="38"/>
    </row>
    <row r="18" spans="2:27" ht="15.75" customHeight="1" thickTop="1" x14ac:dyDescent="0.2">
      <c r="B18" s="28" t="s">
        <v>28</v>
      </c>
      <c r="U18" s="37"/>
      <c r="V18" s="13"/>
      <c r="X18" s="46"/>
      <c r="Y18" s="47"/>
      <c r="Z18" s="48"/>
      <c r="AA18" s="49"/>
    </row>
    <row r="19" spans="2:27" ht="15.75" customHeight="1" x14ac:dyDescent="0.2">
      <c r="B19" s="29"/>
      <c r="C19" s="89" t="s">
        <v>16</v>
      </c>
      <c r="D19" s="89"/>
      <c r="E19" s="50"/>
      <c r="F19" s="50"/>
      <c r="G19" s="50"/>
      <c r="H19" s="50"/>
      <c r="I19" s="50">
        <f>+-60630.47</f>
        <v>-60630.47</v>
      </c>
      <c r="J19" s="50"/>
      <c r="K19" s="50"/>
      <c r="L19" s="50"/>
      <c r="M19" s="50">
        <v>-36075.24</v>
      </c>
      <c r="N19" s="50"/>
      <c r="O19" s="50"/>
      <c r="P19" s="50"/>
      <c r="Q19" s="50"/>
      <c r="R19" s="50"/>
      <c r="S19" s="50"/>
      <c r="T19" s="50">
        <v>957.71</v>
      </c>
      <c r="U19" s="51"/>
      <c r="V19" s="13">
        <f>SUM(E19:T19)</f>
        <v>-95747.999999999985</v>
      </c>
      <c r="X19" s="3"/>
      <c r="Y19" s="3"/>
      <c r="Z19" s="4"/>
    </row>
    <row r="20" spans="2:27" ht="15.75" customHeight="1" x14ac:dyDescent="0.2">
      <c r="C20" s="89" t="s">
        <v>29</v>
      </c>
      <c r="D20" s="89"/>
      <c r="E20" s="12">
        <v>-589798.68000000005</v>
      </c>
      <c r="F20" s="12">
        <f>-74435.35-J23</f>
        <v>-45280.94</v>
      </c>
      <c r="G20" s="12">
        <v>-54563.8</v>
      </c>
      <c r="H20" s="12">
        <v>-54213.71</v>
      </c>
      <c r="I20" s="12">
        <v>-53307.5</v>
      </c>
      <c r="J20" s="12">
        <v>-52164.36</v>
      </c>
      <c r="K20" s="12">
        <v>-55635.519999999997</v>
      </c>
      <c r="L20" s="12">
        <v>-59690.81</v>
      </c>
      <c r="M20" s="12">
        <v>-50992.19</v>
      </c>
      <c r="N20" s="12">
        <v>459.77</v>
      </c>
      <c r="O20" s="12">
        <v>-94037.94</v>
      </c>
      <c r="P20" s="12"/>
      <c r="Q20" s="12"/>
      <c r="R20" s="12">
        <v>-48130.39</v>
      </c>
      <c r="S20" s="12">
        <v>-18648.64</v>
      </c>
      <c r="T20" s="12">
        <v>-26221.26</v>
      </c>
      <c r="U20" s="37"/>
      <c r="V20" s="13">
        <f t="shared" ref="V20:V25" si="2">SUM(E20:T20)</f>
        <v>-1202225.9699999997</v>
      </c>
    </row>
    <row r="21" spans="2:27" ht="15.75" customHeight="1" x14ac:dyDescent="0.2">
      <c r="C21" s="89" t="s">
        <v>30</v>
      </c>
      <c r="D21" s="89"/>
      <c r="E21" s="30"/>
      <c r="F21" s="30"/>
      <c r="G21" s="18"/>
      <c r="H21" s="18"/>
      <c r="I21" s="18"/>
      <c r="J21" s="18">
        <v>5272.16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51"/>
      <c r="V21" s="13">
        <f t="shared" si="2"/>
        <v>5272.16</v>
      </c>
      <c r="X21"/>
      <c r="Y21"/>
      <c r="Z21"/>
    </row>
    <row r="22" spans="2:27" ht="15.75" customHeight="1" x14ac:dyDescent="0.2">
      <c r="C22" s="89" t="s">
        <v>31</v>
      </c>
      <c r="D22" s="89"/>
      <c r="E22" s="30"/>
      <c r="F22" s="30"/>
      <c r="G22" s="12"/>
      <c r="H22" s="12"/>
      <c r="I22" s="12">
        <v>-122.08</v>
      </c>
      <c r="J22" s="12">
        <v>62796.59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37"/>
      <c r="V22" s="13">
        <f t="shared" si="2"/>
        <v>62674.509999999995</v>
      </c>
    </row>
    <row r="23" spans="2:27" ht="15.75" customHeight="1" x14ac:dyDescent="0.2">
      <c r="C23" s="89" t="s">
        <v>32</v>
      </c>
      <c r="D23" s="89"/>
      <c r="E23" s="30"/>
      <c r="F23" s="30"/>
      <c r="G23" s="12"/>
      <c r="H23" s="12"/>
      <c r="I23" s="12"/>
      <c r="J23" s="12">
        <v>-29154.41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37"/>
      <c r="V23" s="13">
        <f t="shared" si="2"/>
        <v>-29154.41</v>
      </c>
    </row>
    <row r="24" spans="2:27" ht="15.75" customHeight="1" x14ac:dyDescent="0.2">
      <c r="C24" s="89" t="s">
        <v>33</v>
      </c>
      <c r="D24" s="89"/>
      <c r="E24" s="30"/>
      <c r="F24" s="30"/>
      <c r="G24" s="12"/>
      <c r="H24" s="12"/>
      <c r="I24" s="12"/>
      <c r="J24" s="12"/>
      <c r="K24" s="12"/>
      <c r="L24" s="18">
        <v>78885.58</v>
      </c>
      <c r="M24" s="18"/>
      <c r="N24" s="18"/>
      <c r="O24" s="18"/>
      <c r="P24" s="18"/>
      <c r="Q24" s="18"/>
      <c r="R24" s="18"/>
      <c r="S24" s="18"/>
      <c r="T24" s="18"/>
      <c r="U24" s="37"/>
      <c r="V24" s="13">
        <f t="shared" si="2"/>
        <v>78885.58</v>
      </c>
    </row>
    <row r="25" spans="2:27" ht="15.75" customHeight="1" x14ac:dyDescent="0.2">
      <c r="B25" s="52"/>
      <c r="C25" s="89" t="s">
        <v>34</v>
      </c>
      <c r="D25" s="89"/>
      <c r="E25" s="30"/>
      <c r="F25" s="30"/>
      <c r="G25" s="52"/>
      <c r="H25" s="52"/>
      <c r="I25" s="52"/>
      <c r="J25" s="52"/>
      <c r="K25" s="22"/>
      <c r="L25" s="22">
        <v>81983.06</v>
      </c>
      <c r="M25" s="22"/>
      <c r="N25" s="22"/>
      <c r="O25" s="22"/>
      <c r="P25" s="22"/>
      <c r="Q25" s="23"/>
      <c r="R25" s="22"/>
      <c r="S25" s="22"/>
      <c r="T25" s="23"/>
      <c r="U25" s="37"/>
      <c r="V25" s="13">
        <f t="shared" si="2"/>
        <v>81983.06</v>
      </c>
    </row>
    <row r="26" spans="2:27" ht="15.75" customHeight="1" x14ac:dyDescent="0.2">
      <c r="C26" s="90" t="s">
        <v>35</v>
      </c>
      <c r="D26" s="90"/>
      <c r="E26" s="53">
        <f>SUM(E19:E25)</f>
        <v>-589798.68000000005</v>
      </c>
      <c r="F26" s="53">
        <f t="shared" ref="F26:T26" si="3">SUM(F19:F25)</f>
        <v>-45280.94</v>
      </c>
      <c r="G26" s="53">
        <f t="shared" si="3"/>
        <v>-54563.8</v>
      </c>
      <c r="H26" s="53">
        <f t="shared" si="3"/>
        <v>-54213.71</v>
      </c>
      <c r="I26" s="53">
        <f t="shared" si="3"/>
        <v>-114060.05</v>
      </c>
      <c r="J26" s="53">
        <f t="shared" si="3"/>
        <v>-13250.02</v>
      </c>
      <c r="K26" s="53">
        <f t="shared" si="3"/>
        <v>-55635.519999999997</v>
      </c>
      <c r="L26" s="53">
        <f t="shared" si="3"/>
        <v>101177.83</v>
      </c>
      <c r="M26" s="53">
        <f t="shared" si="3"/>
        <v>-87067.43</v>
      </c>
      <c r="N26" s="53">
        <f t="shared" si="3"/>
        <v>459.77</v>
      </c>
      <c r="O26" s="53">
        <f t="shared" si="3"/>
        <v>-94037.94</v>
      </c>
      <c r="P26" s="53">
        <f t="shared" si="3"/>
        <v>0</v>
      </c>
      <c r="Q26" s="53">
        <f t="shared" si="3"/>
        <v>0</v>
      </c>
      <c r="R26" s="53">
        <f t="shared" si="3"/>
        <v>-48130.39</v>
      </c>
      <c r="S26" s="53">
        <f t="shared" si="3"/>
        <v>-18648.64</v>
      </c>
      <c r="T26" s="53">
        <f t="shared" si="3"/>
        <v>-25263.55</v>
      </c>
      <c r="U26" s="54">
        <f>SUM(U20:U25)</f>
        <v>0</v>
      </c>
      <c r="V26" s="44">
        <f>SUM(V19:V25)</f>
        <v>-1098313.0699999996</v>
      </c>
    </row>
    <row r="27" spans="2:27" ht="15.75" customHeight="1" x14ac:dyDescent="0.2">
      <c r="C27" s="55"/>
      <c r="D27" s="55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56"/>
      <c r="V27" s="13"/>
    </row>
    <row r="28" spans="2:27" ht="15.75" customHeight="1" x14ac:dyDescent="0.2">
      <c r="C28" s="55"/>
      <c r="D28" s="5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56"/>
      <c r="V28" s="13"/>
    </row>
    <row r="29" spans="2:27" ht="15.75" customHeight="1" x14ac:dyDescent="0.2">
      <c r="B29" s="52"/>
      <c r="C29" s="91"/>
      <c r="D29" s="91"/>
      <c r="E29" s="57"/>
      <c r="F29" s="57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58"/>
      <c r="V29" s="22"/>
    </row>
    <row r="30" spans="2:27" ht="15.75" customHeight="1" x14ac:dyDescent="0.25">
      <c r="B30" s="31"/>
      <c r="C30" s="92" t="s">
        <v>36</v>
      </c>
      <c r="D30" s="92"/>
      <c r="E30" s="59">
        <f t="shared" ref="E30:T30" si="4">+E16+E26</f>
        <v>-430634.04000000004</v>
      </c>
      <c r="F30" s="59">
        <f t="shared" si="4"/>
        <v>173251.31</v>
      </c>
      <c r="G30" s="59">
        <f t="shared" si="4"/>
        <v>-57799.51</v>
      </c>
      <c r="H30" s="59">
        <f t="shared" si="4"/>
        <v>2549.1199999999953</v>
      </c>
      <c r="I30" s="59">
        <f t="shared" si="4"/>
        <v>-146782.85999999999</v>
      </c>
      <c r="J30" s="59">
        <f t="shared" si="4"/>
        <v>-81878.310000000012</v>
      </c>
      <c r="K30" s="59">
        <f t="shared" si="4"/>
        <v>-21989.65</v>
      </c>
      <c r="L30" s="59">
        <f t="shared" si="4"/>
        <v>704327.54999999993</v>
      </c>
      <c r="M30" s="59">
        <f t="shared" si="4"/>
        <v>-139177.85999999999</v>
      </c>
      <c r="N30" s="59">
        <f t="shared" si="4"/>
        <v>55399.4</v>
      </c>
      <c r="O30" s="59">
        <f t="shared" si="4"/>
        <v>-144721.63</v>
      </c>
      <c r="P30" s="59">
        <f t="shared" si="4"/>
        <v>0</v>
      </c>
      <c r="Q30" s="59">
        <f t="shared" si="4"/>
        <v>0</v>
      </c>
      <c r="R30" s="59">
        <f t="shared" si="4"/>
        <v>-99575.71</v>
      </c>
      <c r="S30" s="59">
        <f t="shared" si="4"/>
        <v>-159643.21999999997</v>
      </c>
      <c r="T30" s="59">
        <f t="shared" si="4"/>
        <v>-106160.01000000001</v>
      </c>
      <c r="U30" s="37"/>
      <c r="V30" s="59">
        <f>+V16+V26</f>
        <v>-452835.41999999969</v>
      </c>
    </row>
    <row r="31" spans="2:27" ht="15.75" customHeight="1" x14ac:dyDescent="0.2">
      <c r="C31" s="45"/>
      <c r="D31" s="45"/>
      <c r="E31" s="45"/>
      <c r="F31" s="45"/>
      <c r="G31" s="12"/>
      <c r="H31" s="12"/>
      <c r="I31" s="12"/>
      <c r="J31" s="12"/>
      <c r="K31" s="12"/>
      <c r="L31" s="12"/>
      <c r="O31" s="12"/>
      <c r="P31" s="12"/>
      <c r="Q31" s="12"/>
      <c r="R31" s="12"/>
      <c r="S31" s="12"/>
      <c r="T31" s="12"/>
      <c r="U31" s="37"/>
      <c r="V31" s="12"/>
      <c r="Z31" s="4"/>
    </row>
    <row r="32" spans="2:27" ht="15.75" customHeight="1" x14ac:dyDescent="0.2">
      <c r="C32" s="45"/>
      <c r="D32" s="45"/>
      <c r="E32" s="45"/>
      <c r="F32" s="45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51"/>
      <c r="V32" s="12"/>
      <c r="Z32" s="4"/>
    </row>
    <row r="33" spans="2:26" ht="15.75" customHeight="1" thickBot="1" x14ac:dyDescent="0.25">
      <c r="B33" s="60"/>
      <c r="C33" s="93" t="s">
        <v>17</v>
      </c>
      <c r="D33" s="93"/>
      <c r="E33" s="32">
        <v>274704.58999999997</v>
      </c>
      <c r="F33" s="32">
        <v>85717.04</v>
      </c>
      <c r="G33" s="61">
        <v>110279.5</v>
      </c>
      <c r="H33" s="61">
        <v>173644.32</v>
      </c>
      <c r="I33" s="61">
        <v>169823.35</v>
      </c>
      <c r="J33" s="61">
        <v>176527.62</v>
      </c>
      <c r="K33" s="61">
        <v>173084.35</v>
      </c>
      <c r="L33" s="61">
        <v>168228.91</v>
      </c>
      <c r="M33" s="61">
        <v>169463.26</v>
      </c>
      <c r="N33" s="61">
        <v>166165.07</v>
      </c>
      <c r="O33" s="61">
        <v>164080.9</v>
      </c>
      <c r="P33" s="61"/>
      <c r="Q33" s="61"/>
      <c r="R33" s="61">
        <v>163118.51999999999</v>
      </c>
      <c r="S33" s="61">
        <v>136848.84</v>
      </c>
      <c r="T33" s="61">
        <v>124345.49</v>
      </c>
      <c r="U33" s="62"/>
      <c r="V33" s="33">
        <f>SUM(E33:T33)</f>
        <v>2256031.7600000002</v>
      </c>
      <c r="Z33" s="4"/>
    </row>
    <row r="34" spans="2:26" ht="12.75" customHeight="1" thickTop="1" x14ac:dyDescent="0.2">
      <c r="C34" s="63"/>
      <c r="D34" s="64"/>
      <c r="E34" s="64"/>
      <c r="F34" s="64"/>
      <c r="G34" s="18"/>
      <c r="H34" s="18"/>
      <c r="I34" s="18"/>
      <c r="J34" s="18"/>
      <c r="K34" s="18"/>
      <c r="L34" s="18"/>
      <c r="O34" s="18"/>
      <c r="P34" s="18"/>
      <c r="Q34" s="18"/>
      <c r="R34" s="18"/>
      <c r="S34" s="18"/>
      <c r="T34" s="18"/>
      <c r="V34" s="18"/>
      <c r="Z34" s="4"/>
    </row>
    <row r="35" spans="2:26" x14ac:dyDescent="0.2">
      <c r="Z35" s="4"/>
    </row>
    <row r="36" spans="2:26" x14ac:dyDescent="0.2">
      <c r="Z36" s="4"/>
    </row>
  </sheetData>
  <mergeCells count="27">
    <mergeCell ref="C2:V2"/>
    <mergeCell ref="B4:D4"/>
    <mergeCell ref="C5:D5"/>
    <mergeCell ref="C16:D16"/>
    <mergeCell ref="Y5:Z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33:D33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</mergeCells>
  <pageMargins left="0.2" right="0.2" top="0.25" bottom="0.25" header="0.3" footer="0.3"/>
  <pageSetup scale="7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0B9-0C85-4DCB-B277-C5AEEC1897C3}">
  <dimension ref="A1:K61"/>
  <sheetViews>
    <sheetView workbookViewId="0">
      <selection activeCell="G9" sqref="G9"/>
    </sheetView>
  </sheetViews>
  <sheetFormatPr defaultRowHeight="12.75" x14ac:dyDescent="0.2"/>
  <cols>
    <col min="1" max="1" width="12.375" style="80" customWidth="1"/>
    <col min="2" max="2" width="2" style="80" customWidth="1"/>
    <col min="3" max="3" width="10.75" style="66" bestFit="1" customWidth="1"/>
    <col min="4" max="4" width="9" style="67" bestFit="1" customWidth="1"/>
    <col min="5" max="5" width="1.875" style="68" customWidth="1"/>
    <col min="6" max="6" width="12.25" style="66" bestFit="1" customWidth="1"/>
    <col min="7" max="7" width="9" style="67"/>
    <col min="8" max="8" width="1.875" style="69" customWidth="1"/>
    <col min="9" max="9" width="12.25" style="69" bestFit="1" customWidth="1"/>
    <col min="10" max="10" width="9" style="67"/>
    <col min="11" max="16384" width="9" style="69"/>
  </cols>
  <sheetData>
    <row r="1" spans="1:10" x14ac:dyDescent="0.2">
      <c r="A1" s="65" t="s">
        <v>37</v>
      </c>
      <c r="B1" s="65"/>
    </row>
    <row r="3" spans="1:10" s="75" customFormat="1" x14ac:dyDescent="0.2">
      <c r="A3" s="70" t="s">
        <v>38</v>
      </c>
      <c r="B3" s="70"/>
      <c r="C3" s="71" t="s">
        <v>2</v>
      </c>
      <c r="D3" s="72"/>
      <c r="E3" s="73"/>
      <c r="F3" s="71" t="s">
        <v>22</v>
      </c>
      <c r="G3" s="74"/>
      <c r="I3" s="76" t="s">
        <v>0</v>
      </c>
      <c r="J3" s="77"/>
    </row>
    <row r="4" spans="1:10" s="75" customFormat="1" x14ac:dyDescent="0.2">
      <c r="A4" s="70" t="s">
        <v>39</v>
      </c>
      <c r="B4" s="70"/>
      <c r="C4" s="78" t="s">
        <v>40</v>
      </c>
      <c r="D4" s="77" t="s">
        <v>41</v>
      </c>
      <c r="E4" s="73"/>
      <c r="F4" s="78" t="s">
        <v>40</v>
      </c>
      <c r="G4" s="77" t="s">
        <v>41</v>
      </c>
      <c r="I4" s="79" t="s">
        <v>40</v>
      </c>
      <c r="J4" s="77" t="s">
        <v>41</v>
      </c>
    </row>
    <row r="5" spans="1:10" x14ac:dyDescent="0.2">
      <c r="A5" s="80">
        <v>44288</v>
      </c>
      <c r="C5" s="66">
        <v>6498.36</v>
      </c>
      <c r="D5" s="67">
        <v>18</v>
      </c>
      <c r="F5" s="66">
        <v>29337.23</v>
      </c>
      <c r="G5" s="67">
        <v>79</v>
      </c>
      <c r="I5" s="66">
        <f>SUM(C5,F5)</f>
        <v>35835.589999999997</v>
      </c>
      <c r="J5" s="67">
        <f>SUM(D5,G5)</f>
        <v>97</v>
      </c>
    </row>
    <row r="6" spans="1:10" x14ac:dyDescent="0.2">
      <c r="A6" s="80">
        <v>44295</v>
      </c>
      <c r="C6" s="66">
        <v>22234.739999999998</v>
      </c>
      <c r="D6" s="67">
        <v>73</v>
      </c>
      <c r="F6" s="66">
        <v>90508.43</v>
      </c>
      <c r="G6" s="67">
        <v>175</v>
      </c>
      <c r="I6" s="66">
        <f>SUM(C6,F6)</f>
        <v>112743.16999999998</v>
      </c>
      <c r="J6" s="67">
        <f>SUM(D6,G6)</f>
        <v>248</v>
      </c>
    </row>
    <row r="7" spans="1:10" x14ac:dyDescent="0.2">
      <c r="A7" s="80">
        <v>44302</v>
      </c>
      <c r="B7" s="69"/>
      <c r="C7" s="66">
        <v>20469.785000000003</v>
      </c>
      <c r="D7" s="67">
        <v>88</v>
      </c>
      <c r="E7" s="69"/>
      <c r="F7" s="66">
        <v>101686.06300000002</v>
      </c>
      <c r="G7" s="67">
        <v>259</v>
      </c>
      <c r="I7" s="66">
        <v>122155.84800000003</v>
      </c>
      <c r="J7" s="67">
        <v>347</v>
      </c>
    </row>
    <row r="8" spans="1:10" x14ac:dyDescent="0.2">
      <c r="A8" s="80">
        <v>44309</v>
      </c>
      <c r="C8" s="66">
        <f>SUM(19034.94+522+398)</f>
        <v>19954.939999999999</v>
      </c>
      <c r="D8" s="67">
        <f>SUM(77+2)</f>
        <v>79</v>
      </c>
      <c r="E8" s="69"/>
      <c r="F8" s="66">
        <f>SUM(138119.805-522-398)</f>
        <v>137199.80499999999</v>
      </c>
      <c r="G8" s="67">
        <f>SUM(365-2)</f>
        <v>363</v>
      </c>
      <c r="I8" s="66">
        <v>157154.74500000008</v>
      </c>
      <c r="J8" s="67">
        <v>442</v>
      </c>
    </row>
    <row r="9" spans="1:10" x14ac:dyDescent="0.2">
      <c r="A9" s="80">
        <v>44316</v>
      </c>
      <c r="C9" s="66">
        <f>SUM(10702.8+534)</f>
        <v>11236.8</v>
      </c>
      <c r="D9" s="67">
        <f>SUM(34+1)</f>
        <v>35</v>
      </c>
      <c r="E9" s="69"/>
      <c r="F9" s="66">
        <f>SUM(129855.22-534)</f>
        <v>129321.22</v>
      </c>
      <c r="G9" s="67">
        <f>SUM(340-1)</f>
        <v>339</v>
      </c>
      <c r="I9" s="66">
        <v>140558.01999999999</v>
      </c>
      <c r="J9" s="67">
        <v>374</v>
      </c>
    </row>
    <row r="10" spans="1:10" x14ac:dyDescent="0.2">
      <c r="A10" s="80">
        <v>44323</v>
      </c>
      <c r="C10" s="66">
        <f>SUM(10929.01+525)</f>
        <v>11454.01</v>
      </c>
      <c r="D10" s="67">
        <f>SUM(42+1)</f>
        <v>43</v>
      </c>
      <c r="E10" s="69"/>
      <c r="F10" s="66">
        <f>SUM(82898.832-525)</f>
        <v>82373.831999999995</v>
      </c>
      <c r="G10" s="67">
        <f>SUM(251-1)</f>
        <v>250</v>
      </c>
      <c r="I10" s="66">
        <v>93827.841999999946</v>
      </c>
      <c r="J10" s="67">
        <v>293</v>
      </c>
    </row>
    <row r="11" spans="1:10" x14ac:dyDescent="0.2">
      <c r="A11" s="80">
        <v>44330</v>
      </c>
      <c r="C11" s="66">
        <v>24450.82</v>
      </c>
      <c r="D11" s="67">
        <v>107</v>
      </c>
      <c r="E11" s="69"/>
      <c r="F11" s="66">
        <v>90149.21</v>
      </c>
      <c r="G11" s="67">
        <v>286</v>
      </c>
      <c r="I11" s="66">
        <v>114600.03</v>
      </c>
      <c r="J11" s="67">
        <v>393</v>
      </c>
    </row>
    <row r="12" spans="1:10" x14ac:dyDescent="0.2">
      <c r="A12" s="80">
        <v>44337</v>
      </c>
      <c r="C12" s="66">
        <f>SUM(28796.49+628)</f>
        <v>29424.49</v>
      </c>
      <c r="D12" s="67">
        <f>SUM(110+3)</f>
        <v>113</v>
      </c>
      <c r="E12" s="69"/>
      <c r="F12" s="66">
        <f>SUM(112143.74-628)</f>
        <v>111515.74</v>
      </c>
      <c r="G12" s="67">
        <f>SUM(381-3)</f>
        <v>378</v>
      </c>
      <c r="I12" s="66">
        <v>140940.23000000001</v>
      </c>
      <c r="J12" s="67">
        <v>491</v>
      </c>
    </row>
    <row r="13" spans="1:10" x14ac:dyDescent="0.2">
      <c r="A13" s="80">
        <v>44344</v>
      </c>
      <c r="C13" s="66">
        <v>21846.65</v>
      </c>
      <c r="D13" s="67">
        <v>64</v>
      </c>
      <c r="E13" s="69"/>
      <c r="F13" s="66">
        <v>33777.22</v>
      </c>
      <c r="G13" s="67">
        <v>119</v>
      </c>
      <c r="I13" s="66">
        <v>55623.87</v>
      </c>
      <c r="J13" s="67">
        <v>183</v>
      </c>
    </row>
    <row r="14" spans="1:10" x14ac:dyDescent="0.2">
      <c r="A14" s="80">
        <v>44351</v>
      </c>
      <c r="C14" s="66">
        <v>8044.6</v>
      </c>
      <c r="D14" s="67">
        <v>31</v>
      </c>
      <c r="E14" s="69"/>
      <c r="F14" s="66">
        <v>36303.550000000003</v>
      </c>
      <c r="G14" s="67">
        <v>106</v>
      </c>
      <c r="I14" s="66">
        <v>44348.15</v>
      </c>
      <c r="J14" s="67">
        <v>137</v>
      </c>
    </row>
    <row r="15" spans="1:10" x14ac:dyDescent="0.2">
      <c r="A15" s="80">
        <v>44358</v>
      </c>
      <c r="C15" s="66">
        <f>SUM(20037.98+458.57)</f>
        <v>20496.55</v>
      </c>
      <c r="D15" s="67">
        <f>SUM(61+1)</f>
        <v>62</v>
      </c>
      <c r="E15" s="69"/>
      <c r="F15" s="66">
        <f>SUM(49059.33-458.57)</f>
        <v>48600.76</v>
      </c>
      <c r="G15" s="67">
        <f>SUM(134-1)</f>
        <v>133</v>
      </c>
      <c r="I15" s="66">
        <v>69097.31</v>
      </c>
      <c r="J15" s="67">
        <v>195</v>
      </c>
    </row>
    <row r="16" spans="1:10" x14ac:dyDescent="0.2">
      <c r="A16" s="80">
        <v>44365</v>
      </c>
      <c r="C16" s="66">
        <v>33544.959999999999</v>
      </c>
      <c r="D16" s="67">
        <v>98</v>
      </c>
      <c r="E16" s="69"/>
      <c r="F16" s="66">
        <v>62642.64</v>
      </c>
      <c r="G16" s="67">
        <v>192</v>
      </c>
      <c r="I16" s="66">
        <v>96187.6</v>
      </c>
      <c r="J16" s="67">
        <v>290</v>
      </c>
    </row>
    <row r="17" spans="1:10" x14ac:dyDescent="0.2">
      <c r="A17" s="80">
        <v>44372</v>
      </c>
      <c r="C17" s="66">
        <v>19092.61</v>
      </c>
      <c r="D17" s="67">
        <v>74</v>
      </c>
      <c r="E17" s="69"/>
      <c r="F17" s="66">
        <v>71490.22</v>
      </c>
      <c r="G17" s="67">
        <v>182</v>
      </c>
      <c r="I17" s="66">
        <v>90582.83</v>
      </c>
      <c r="J17" s="67">
        <v>256</v>
      </c>
    </row>
    <row r="18" spans="1:10" x14ac:dyDescent="0.2">
      <c r="A18" s="80">
        <v>44379</v>
      </c>
      <c r="C18" s="66">
        <v>9281.99</v>
      </c>
      <c r="D18" s="67">
        <v>27</v>
      </c>
      <c r="E18" s="69"/>
      <c r="F18" s="66">
        <v>43029.83</v>
      </c>
      <c r="G18" s="67">
        <v>96</v>
      </c>
      <c r="I18" s="66">
        <v>52311.82</v>
      </c>
      <c r="J18" s="67">
        <v>123</v>
      </c>
    </row>
    <row r="19" spans="1:10" x14ac:dyDescent="0.2">
      <c r="A19" s="80">
        <v>44386</v>
      </c>
      <c r="C19" s="66">
        <v>15663.73</v>
      </c>
      <c r="D19" s="67">
        <v>54</v>
      </c>
      <c r="E19" s="69"/>
      <c r="F19" s="66">
        <v>62319.05</v>
      </c>
      <c r="G19" s="67">
        <v>158</v>
      </c>
      <c r="H19" s="69" t="s">
        <v>38</v>
      </c>
      <c r="I19" s="66">
        <v>77982.78</v>
      </c>
      <c r="J19" s="67">
        <v>212</v>
      </c>
    </row>
    <row r="20" spans="1:10" x14ac:dyDescent="0.2">
      <c r="A20" s="80">
        <v>44393</v>
      </c>
      <c r="C20" s="66">
        <v>10260.24</v>
      </c>
      <c r="D20" s="67">
        <v>39</v>
      </c>
      <c r="E20" s="69"/>
      <c r="F20" s="66">
        <v>48250.21</v>
      </c>
      <c r="G20" s="67">
        <v>129</v>
      </c>
      <c r="I20" s="66">
        <v>58510.45</v>
      </c>
      <c r="J20" s="67">
        <v>168</v>
      </c>
    </row>
    <row r="21" spans="1:10" x14ac:dyDescent="0.2">
      <c r="A21" s="80">
        <v>44400</v>
      </c>
      <c r="C21" s="66">
        <v>5647.8499999999995</v>
      </c>
      <c r="D21" s="67">
        <v>40</v>
      </c>
      <c r="E21" s="69"/>
      <c r="F21" s="66">
        <v>50027.599999999991</v>
      </c>
      <c r="G21" s="67">
        <v>149</v>
      </c>
      <c r="I21" s="66">
        <v>55675.44999999999</v>
      </c>
      <c r="J21" s="67">
        <v>189</v>
      </c>
    </row>
    <row r="22" spans="1:10" x14ac:dyDescent="0.2">
      <c r="A22" s="80">
        <v>44406</v>
      </c>
      <c r="C22" s="66">
        <v>4102.6099999999997</v>
      </c>
      <c r="D22" s="67">
        <v>23</v>
      </c>
      <c r="E22" s="69"/>
      <c r="F22" s="66">
        <v>28272.14</v>
      </c>
      <c r="G22" s="67">
        <v>99</v>
      </c>
      <c r="I22" s="66">
        <v>32374.75</v>
      </c>
      <c r="J22" s="67">
        <v>122</v>
      </c>
    </row>
    <row r="23" spans="1:10" x14ac:dyDescent="0.2">
      <c r="A23" s="80">
        <v>44414</v>
      </c>
      <c r="C23" s="66">
        <v>20183.27</v>
      </c>
      <c r="D23" s="67">
        <v>72</v>
      </c>
      <c r="E23" s="69"/>
      <c r="F23" s="66">
        <v>62193.99</v>
      </c>
      <c r="G23" s="67">
        <v>146</v>
      </c>
      <c r="I23" s="66">
        <v>82377.259999999995</v>
      </c>
      <c r="J23" s="67">
        <v>218</v>
      </c>
    </row>
    <row r="24" spans="1:10" x14ac:dyDescent="0.2">
      <c r="A24" s="80">
        <v>44421</v>
      </c>
      <c r="C24" s="66">
        <v>12493.62</v>
      </c>
      <c r="D24" s="67">
        <v>74</v>
      </c>
      <c r="E24" s="69"/>
      <c r="F24" s="66">
        <v>43211.79</v>
      </c>
      <c r="G24" s="67">
        <v>121</v>
      </c>
      <c r="I24" s="66">
        <v>55705.41</v>
      </c>
      <c r="J24" s="67">
        <v>195</v>
      </c>
    </row>
    <row r="25" spans="1:10" x14ac:dyDescent="0.2">
      <c r="A25" s="80">
        <v>44428</v>
      </c>
      <c r="C25" s="66">
        <v>22122.84</v>
      </c>
      <c r="D25" s="67">
        <v>61</v>
      </c>
      <c r="E25" s="69"/>
      <c r="F25" s="66">
        <v>36837.730000000003</v>
      </c>
      <c r="G25" s="67">
        <v>142</v>
      </c>
      <c r="I25" s="66">
        <v>58960.57</v>
      </c>
      <c r="J25" s="67">
        <v>203</v>
      </c>
    </row>
    <row r="26" spans="1:10" x14ac:dyDescent="0.2">
      <c r="A26" s="80">
        <v>44435</v>
      </c>
      <c r="C26" s="66">
        <v>24999.710000000003</v>
      </c>
      <c r="D26" s="67">
        <v>72</v>
      </c>
      <c r="E26" s="69"/>
      <c r="F26" s="66">
        <v>39214.179999999978</v>
      </c>
      <c r="G26" s="67">
        <v>141</v>
      </c>
      <c r="I26" s="66">
        <v>64213.889999999985</v>
      </c>
      <c r="J26" s="67">
        <v>213</v>
      </c>
    </row>
    <row r="27" spans="1:10" x14ac:dyDescent="0.2">
      <c r="A27" s="80">
        <v>44441</v>
      </c>
      <c r="C27" s="66">
        <v>15029.71</v>
      </c>
      <c r="D27" s="67">
        <v>35</v>
      </c>
      <c r="E27" s="69"/>
      <c r="F27" s="66">
        <v>16420.11</v>
      </c>
      <c r="G27" s="67">
        <v>71</v>
      </c>
      <c r="I27" s="66">
        <v>31449.82</v>
      </c>
      <c r="J27" s="67">
        <v>106</v>
      </c>
    </row>
    <row r="28" spans="1:10" x14ac:dyDescent="0.2">
      <c r="A28" s="80">
        <v>44449</v>
      </c>
      <c r="C28" s="66">
        <v>14336.25</v>
      </c>
      <c r="D28" s="67">
        <v>70</v>
      </c>
      <c r="E28" s="69"/>
      <c r="F28" s="66">
        <v>42262.75</v>
      </c>
      <c r="G28" s="67">
        <v>151</v>
      </c>
      <c r="I28" s="66">
        <f>SUM(C28,F28)</f>
        <v>56599</v>
      </c>
      <c r="J28" s="67">
        <f>SUM(D28,G28)</f>
        <v>221</v>
      </c>
    </row>
    <row r="29" spans="1:10" x14ac:dyDescent="0.2">
      <c r="A29" s="80">
        <v>44456</v>
      </c>
      <c r="C29" s="66">
        <v>25820.47</v>
      </c>
      <c r="D29" s="67">
        <v>69</v>
      </c>
      <c r="E29" s="69"/>
      <c r="F29" s="66">
        <v>22840.02</v>
      </c>
      <c r="G29" s="67">
        <v>98</v>
      </c>
      <c r="I29" s="66">
        <v>48660.49</v>
      </c>
      <c r="J29" s="67">
        <v>167</v>
      </c>
    </row>
    <row r="30" spans="1:10" x14ac:dyDescent="0.2">
      <c r="A30" s="80">
        <v>44463</v>
      </c>
      <c r="C30" s="66">
        <v>18215.21</v>
      </c>
      <c r="D30" s="67">
        <v>51</v>
      </c>
      <c r="E30" s="69"/>
      <c r="F30" s="66">
        <v>19867.060000000001</v>
      </c>
      <c r="G30" s="67">
        <v>77</v>
      </c>
      <c r="I30" s="66">
        <v>38082.269999999997</v>
      </c>
      <c r="J30" s="67">
        <v>128</v>
      </c>
    </row>
    <row r="31" spans="1:10" x14ac:dyDescent="0.2">
      <c r="A31" s="80">
        <v>44470</v>
      </c>
      <c r="C31" s="66">
        <v>5958.61</v>
      </c>
      <c r="D31" s="67">
        <v>17</v>
      </c>
      <c r="E31" s="69"/>
      <c r="F31" s="66">
        <v>40996.37999999999</v>
      </c>
      <c r="G31" s="67">
        <v>113</v>
      </c>
      <c r="I31" s="66">
        <v>46954.989999999991</v>
      </c>
      <c r="J31" s="67">
        <v>130</v>
      </c>
    </row>
    <row r="32" spans="1:10" x14ac:dyDescent="0.2">
      <c r="A32" s="80">
        <v>44477</v>
      </c>
      <c r="C32" s="66">
        <v>2010.06</v>
      </c>
      <c r="D32" s="67">
        <v>13</v>
      </c>
      <c r="E32" s="69"/>
      <c r="F32" s="66">
        <v>25581.759999999998</v>
      </c>
      <c r="G32" s="67">
        <v>92</v>
      </c>
      <c r="I32" s="66">
        <v>27591.82</v>
      </c>
      <c r="J32" s="67">
        <v>105</v>
      </c>
    </row>
    <row r="33" spans="1:11" x14ac:dyDescent="0.2">
      <c r="A33" s="80">
        <v>44484</v>
      </c>
      <c r="C33" s="66">
        <v>3460.28</v>
      </c>
      <c r="D33" s="67">
        <v>21</v>
      </c>
      <c r="E33" s="69"/>
      <c r="F33" s="66">
        <v>39471.919999999998</v>
      </c>
      <c r="G33" s="67">
        <v>165</v>
      </c>
      <c r="I33" s="66">
        <v>42932.2</v>
      </c>
      <c r="J33" s="67">
        <v>186</v>
      </c>
    </row>
    <row r="34" spans="1:11" x14ac:dyDescent="0.2">
      <c r="A34" s="80">
        <v>44491</v>
      </c>
      <c r="C34" s="66">
        <v>1289.9100000000001</v>
      </c>
      <c r="D34" s="67">
        <v>15</v>
      </c>
      <c r="E34" s="69"/>
      <c r="F34" s="66">
        <v>27997.31</v>
      </c>
      <c r="G34" s="67">
        <v>100</v>
      </c>
      <c r="I34" s="66">
        <v>29287.22</v>
      </c>
      <c r="J34" s="67">
        <v>115</v>
      </c>
    </row>
    <row r="35" spans="1:11" x14ac:dyDescent="0.2">
      <c r="A35" s="80">
        <v>44498</v>
      </c>
      <c r="C35" s="66">
        <v>5714.69</v>
      </c>
      <c r="D35" s="67">
        <v>26</v>
      </c>
      <c r="E35" s="69"/>
      <c r="F35" s="66">
        <v>37840.26</v>
      </c>
      <c r="G35" s="67">
        <v>103</v>
      </c>
      <c r="I35" s="66">
        <v>43554.95</v>
      </c>
      <c r="J35" s="67">
        <v>129</v>
      </c>
    </row>
    <row r="36" spans="1:11" x14ac:dyDescent="0.2">
      <c r="A36" s="80">
        <v>44505</v>
      </c>
      <c r="C36" s="66">
        <v>4149.79</v>
      </c>
      <c r="D36" s="67">
        <v>20</v>
      </c>
      <c r="E36" s="69"/>
      <c r="F36" s="66">
        <v>36976.92</v>
      </c>
      <c r="G36" s="67">
        <v>127</v>
      </c>
      <c r="I36" s="66">
        <v>41126.71</v>
      </c>
      <c r="J36" s="67">
        <v>147</v>
      </c>
    </row>
    <row r="37" spans="1:11" x14ac:dyDescent="0.2">
      <c r="A37" s="80">
        <v>44512</v>
      </c>
      <c r="C37" s="66">
        <v>1592.23</v>
      </c>
      <c r="D37" s="67">
        <v>16</v>
      </c>
      <c r="E37" s="69"/>
      <c r="F37" s="66">
        <v>17815.169999999998</v>
      </c>
      <c r="G37" s="67">
        <v>94</v>
      </c>
      <c r="I37" s="66">
        <f>SUM(C37,F37)</f>
        <v>19407.399999999998</v>
      </c>
      <c r="J37" s="67">
        <f>SUM(D37,G37)</f>
        <v>110</v>
      </c>
    </row>
    <row r="38" spans="1:11" x14ac:dyDescent="0.2">
      <c r="A38" s="80">
        <v>44519</v>
      </c>
      <c r="C38" s="66">
        <v>3867.87</v>
      </c>
      <c r="D38" s="67">
        <v>18</v>
      </c>
      <c r="E38" s="69"/>
      <c r="F38" s="66">
        <v>21504.1</v>
      </c>
      <c r="G38" s="67">
        <v>89</v>
      </c>
      <c r="I38" s="66">
        <f>SUM(C38,F38)</f>
        <v>25371.969999999998</v>
      </c>
      <c r="J38" s="67">
        <f>SUM(D38,G38)</f>
        <v>107</v>
      </c>
    </row>
    <row r="39" spans="1:11" x14ac:dyDescent="0.2">
      <c r="A39" s="80">
        <v>44526</v>
      </c>
      <c r="C39" s="66">
        <v>1367.53</v>
      </c>
      <c r="D39" s="67">
        <v>8</v>
      </c>
      <c r="E39" s="69"/>
      <c r="F39" s="66">
        <v>19901.73</v>
      </c>
      <c r="G39" s="67">
        <v>91</v>
      </c>
      <c r="I39" s="66">
        <v>21269.26</v>
      </c>
      <c r="J39" s="67">
        <v>99</v>
      </c>
    </row>
    <row r="40" spans="1:11" x14ac:dyDescent="0.2">
      <c r="A40" s="80">
        <v>44533</v>
      </c>
      <c r="C40" s="66">
        <v>2261.87</v>
      </c>
      <c r="D40" s="67">
        <v>13</v>
      </c>
      <c r="E40" s="69"/>
      <c r="F40" s="66">
        <v>22627.29</v>
      </c>
      <c r="G40" s="67">
        <v>89</v>
      </c>
      <c r="I40" s="66">
        <v>24889.16</v>
      </c>
      <c r="J40" s="67">
        <v>102</v>
      </c>
    </row>
    <row r="41" spans="1:11" x14ac:dyDescent="0.2">
      <c r="A41" s="80">
        <v>44540</v>
      </c>
      <c r="C41" s="66">
        <v>1110.96</v>
      </c>
      <c r="D41" s="67">
        <v>14</v>
      </c>
      <c r="E41" s="69"/>
      <c r="F41" s="66">
        <v>34217.68</v>
      </c>
      <c r="G41" s="67">
        <v>156</v>
      </c>
      <c r="I41" s="66">
        <v>35328.639999999999</v>
      </c>
      <c r="J41" s="67">
        <v>170</v>
      </c>
    </row>
    <row r="42" spans="1:11" x14ac:dyDescent="0.2">
      <c r="A42" s="80">
        <v>44547</v>
      </c>
      <c r="C42" s="66">
        <v>2393.6800000000003</v>
      </c>
      <c r="D42" s="67">
        <v>24</v>
      </c>
      <c r="E42" s="69"/>
      <c r="F42" s="66">
        <v>31012.65</v>
      </c>
      <c r="G42" s="67">
        <v>161</v>
      </c>
      <c r="I42" s="66">
        <v>33406.33</v>
      </c>
      <c r="J42" s="67">
        <v>185</v>
      </c>
    </row>
    <row r="43" spans="1:11" x14ac:dyDescent="0.2">
      <c r="A43" s="80">
        <v>44554</v>
      </c>
      <c r="C43" s="66">
        <v>537</v>
      </c>
      <c r="D43" s="67">
        <v>5</v>
      </c>
      <c r="E43" s="69"/>
      <c r="F43" s="66">
        <v>8907.7099999999991</v>
      </c>
      <c r="G43" s="67">
        <v>42</v>
      </c>
      <c r="I43" s="66">
        <v>9444.7099999999991</v>
      </c>
      <c r="J43" s="67">
        <v>47</v>
      </c>
    </row>
    <row r="44" spans="1:11" x14ac:dyDescent="0.2">
      <c r="A44" s="80">
        <v>44561</v>
      </c>
      <c r="C44" s="66">
        <v>3215.48</v>
      </c>
      <c r="D44" s="67">
        <v>24</v>
      </c>
      <c r="E44" s="69"/>
      <c r="F44" s="66">
        <v>34277.839999999997</v>
      </c>
      <c r="G44" s="67">
        <v>134</v>
      </c>
      <c r="I44" s="66">
        <v>37493.32</v>
      </c>
      <c r="J44" s="67">
        <v>159</v>
      </c>
    </row>
    <row r="45" spans="1:11" ht="13.5" thickBot="1" x14ac:dyDescent="0.25">
      <c r="A45" s="70" t="s">
        <v>42</v>
      </c>
      <c r="B45" s="69"/>
      <c r="C45" s="81">
        <f>SUM(C5:C44)</f>
        <v>485836.77499999997</v>
      </c>
      <c r="D45" s="82">
        <f>SUM(D5:D44)</f>
        <v>1806</v>
      </c>
      <c r="E45" s="69" t="s">
        <v>38</v>
      </c>
      <c r="F45" s="81">
        <f>SUM(F5:F44)</f>
        <v>1938781.0999999999</v>
      </c>
      <c r="G45" s="82">
        <f>SUM(G5:G44)</f>
        <v>5995</v>
      </c>
      <c r="I45" s="81">
        <f>SUM(I5:I44)</f>
        <v>2424617.8750000009</v>
      </c>
      <c r="J45" s="82">
        <f>SUM(J5:J44)</f>
        <v>7802</v>
      </c>
      <c r="K45" s="83" t="s">
        <v>38</v>
      </c>
    </row>
    <row r="46" spans="1:11" ht="13.5" thickTop="1" x14ac:dyDescent="0.2"/>
    <row r="48" spans="1:11" x14ac:dyDescent="0.2">
      <c r="A48" s="80" t="s">
        <v>43</v>
      </c>
    </row>
    <row r="49" spans="1:10" x14ac:dyDescent="0.2">
      <c r="A49" s="80">
        <v>44288</v>
      </c>
      <c r="C49" s="66">
        <v>88841.7</v>
      </c>
      <c r="D49" s="67">
        <v>276</v>
      </c>
      <c r="F49" s="66">
        <v>480111.76</v>
      </c>
      <c r="G49" s="67">
        <v>1129</v>
      </c>
      <c r="I49" s="66">
        <f>C49+F49</f>
        <v>568953.46</v>
      </c>
      <c r="J49" s="67">
        <f>D49+G49</f>
        <v>1405</v>
      </c>
    </row>
    <row r="50" spans="1:10" x14ac:dyDescent="0.2">
      <c r="A50" s="80">
        <v>44378</v>
      </c>
      <c r="C50" s="66">
        <v>3852.44</v>
      </c>
      <c r="D50" s="67">
        <v>53</v>
      </c>
      <c r="F50" s="66">
        <v>117994.05</v>
      </c>
      <c r="G50" s="67">
        <v>1003</v>
      </c>
      <c r="I50" s="66">
        <f>C50+F50</f>
        <v>121846.49</v>
      </c>
      <c r="J50" s="67">
        <f>D50+G50</f>
        <v>1056</v>
      </c>
    </row>
    <row r="51" spans="1:10" x14ac:dyDescent="0.2">
      <c r="A51" s="80">
        <v>44476</v>
      </c>
      <c r="C51" s="66">
        <v>551.27</v>
      </c>
      <c r="D51" s="67">
        <v>19</v>
      </c>
      <c r="F51" s="66">
        <v>54054.12</v>
      </c>
      <c r="G51" s="67">
        <v>896</v>
      </c>
      <c r="I51" s="66">
        <v>54605.39</v>
      </c>
      <c r="J51" s="67">
        <v>915</v>
      </c>
    </row>
    <row r="52" spans="1:10" x14ac:dyDescent="0.2">
      <c r="A52" s="80">
        <v>44568</v>
      </c>
      <c r="C52" s="66">
        <v>1022.98</v>
      </c>
      <c r="D52" s="67">
        <v>16</v>
      </c>
      <c r="F52" s="66">
        <v>144918.54999999999</v>
      </c>
      <c r="G52" s="67">
        <v>803</v>
      </c>
      <c r="I52" s="66">
        <f>C52+F52</f>
        <v>145941.53</v>
      </c>
      <c r="J52" s="67">
        <f>D52+G52</f>
        <v>819</v>
      </c>
    </row>
    <row r="54" spans="1:10" x14ac:dyDescent="0.2">
      <c r="A54" s="80" t="s">
        <v>44</v>
      </c>
      <c r="C54" s="66">
        <f>SUM(C45,C49,C50,C51,C52)</f>
        <v>580105.16499999992</v>
      </c>
      <c r="D54" s="67">
        <f>SUM(D45,D49,D50,D51,D52)</f>
        <v>2170</v>
      </c>
      <c r="E54" s="66">
        <f t="shared" ref="E54:H54" si="0">SUM(E46,E49)</f>
        <v>0</v>
      </c>
      <c r="F54" s="66">
        <f>SUM(F45,F49,F50,F51,F52)</f>
        <v>2735859.5799999996</v>
      </c>
      <c r="G54" s="67">
        <f>SUM(G45,G49,G50,G51,G52)</f>
        <v>9826</v>
      </c>
      <c r="H54" s="66">
        <f t="shared" si="0"/>
        <v>0</v>
      </c>
      <c r="I54" s="66">
        <f>SUM(I45,I49,I50,I51,I52)</f>
        <v>3315964.745000001</v>
      </c>
      <c r="J54" s="67">
        <f>SUM(J45,J49,J50,J51,J52)</f>
        <v>11997</v>
      </c>
    </row>
    <row r="56" spans="1:10" x14ac:dyDescent="0.2">
      <c r="A56" s="80" t="s">
        <v>45</v>
      </c>
      <c r="C56" s="66">
        <v>707517</v>
      </c>
      <c r="F56" s="66">
        <v>3709875</v>
      </c>
      <c r="I56" s="66">
        <f>SUM(C56,F56)</f>
        <v>4417392</v>
      </c>
    </row>
    <row r="58" spans="1:10" ht="14.25" x14ac:dyDescent="0.2">
      <c r="A58" s="69" t="s">
        <v>46</v>
      </c>
      <c r="C58" s="84">
        <f>C54/C56</f>
        <v>0.81991692779113423</v>
      </c>
      <c r="F58" s="84">
        <f>F54/F56</f>
        <v>0.73745330503049289</v>
      </c>
      <c r="I58" s="84">
        <f>I54/I56</f>
        <v>0.75066119216949756</v>
      </c>
    </row>
    <row r="60" spans="1:10" x14ac:dyDescent="0.2">
      <c r="C60" s="85" t="s">
        <v>2</v>
      </c>
      <c r="D60" s="86"/>
      <c r="E60" s="86"/>
      <c r="F60" s="85" t="s">
        <v>22</v>
      </c>
    </row>
    <row r="61" spans="1:10" x14ac:dyDescent="0.2">
      <c r="C61" s="87">
        <f>SUM(C5:C44)+SUM(C49:C50)</f>
        <v>578530.91499999992</v>
      </c>
      <c r="D61" s="86"/>
      <c r="E61" s="88"/>
      <c r="F61" s="87">
        <f>SUM(F5:F44)+SUM(F49:F50)</f>
        <v>2536886.91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2022-01-25T08:00:00+00:00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682639-9A0C-4BA9-AE2A-70260B002FF6}"/>
</file>

<file path=customXml/itemProps2.xml><?xml version="1.0" encoding="utf-8"?>
<ds:datastoreItem xmlns:ds="http://schemas.openxmlformats.org/officeDocument/2006/customXml" ds:itemID="{50610F34-7542-4B19-954B-3743A449D417}"/>
</file>

<file path=customXml/itemProps3.xml><?xml version="1.0" encoding="utf-8"?>
<ds:datastoreItem xmlns:ds="http://schemas.openxmlformats.org/officeDocument/2006/customXml" ds:itemID="{4D7E1A91-5355-4C46-A518-16E655670973}"/>
</file>

<file path=customXml/itemProps4.xml><?xml version="1.0" encoding="utf-8"?>
<ds:datastoreItem xmlns:ds="http://schemas.openxmlformats.org/officeDocument/2006/customXml" ds:itemID="{B52AA5A6-AF68-4F21-8C79-C271F8246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COVID-19</vt:lpstr>
      <vt:lpstr>Assistance Program 12-21</vt:lpstr>
      <vt:lpstr>'COVID-19'!Print_Area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Maryalice</dc:creator>
  <cp:lastModifiedBy>Peters, Maryalice</cp:lastModifiedBy>
  <dcterms:created xsi:type="dcterms:W3CDTF">2022-01-19T19:11:23Z</dcterms:created>
  <dcterms:modified xsi:type="dcterms:W3CDTF">2022-01-19T19:41:44Z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0x0101006E56B4D1795A2E4DB2F0B01679ED314A00997A3B8E360FE040B2ACCDE0622B3ACE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