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isaac.myhrum\Desktop\"/>
    </mc:Choice>
  </mc:AlternateContent>
  <xr:revisionPtr revIDLastSave="0" documentId="13_ncr:1_{4C81307A-1830-4CE2-A6C2-6F0FE14D1E41}" xr6:coauthVersionLast="46" xr6:coauthVersionMax="46" xr10:uidLastSave="{00000000-0000-0000-0000-000000000000}"/>
  <bookViews>
    <workbookView xWindow="-120" yWindow="-120" windowWidth="29040" windowHeight="15840" xr2:uid="{E1B00D29-9E04-4415-B68D-6919239F98D2}"/>
  </bookViews>
  <sheets>
    <sheet name="DG 2530.01253" sheetId="5" r:id="rId1"/>
    <sheet name="DG 2530.01254" sheetId="6" r:id="rId2"/>
    <sheet name="DG 2530.01288" sheetId="20" r:id="rId3"/>
    <sheet name="DG 2530.01289" sheetId="21" r:id="rId4"/>
    <sheet name="DEFERRALS" sheetId="42" r:id="rId5"/>
    <sheet name="RA 1860.20479" sheetId="14" r:id="rId6"/>
    <sheet name="RA 1823.47020430" sheetId="15" r:id="rId7"/>
    <sheet name="RA 1823.47020431" sheetId="16" r:id="rId8"/>
    <sheet name="RA 1823.47020444" sheetId="17" r:id="rId9"/>
    <sheet name="RA 1823.47020449" sheetId="18" r:id="rId10"/>
    <sheet name="RA 1862.20477" sheetId="7" r:id="rId11"/>
    <sheet name="RA 1860.20460-exp only" sheetId="9" r:id="rId12"/>
    <sheet name="RA 1823.47020478" sheetId="22" r:id="rId13"/>
    <sheet name="RA 1862.20480" sheetId="43" r:id="rId14"/>
    <sheet name="RA 1860.20481" sheetId="29" r:id="rId15"/>
    <sheet name="FERC Interest Rates" sheetId="2" r:id="rId16"/>
    <sheet name="Therm Sales" sheetId="3" r:id="rId17"/>
  </sheets>
  <externalReferences>
    <externalReference r:id="rId18"/>
    <externalReference r:id="rId19"/>
    <externalReference r:id="rId20"/>
  </externalReferences>
  <definedNames>
    <definedName name="_Regression_Int" localSheetId="15" hidden="1">1</definedName>
    <definedName name="FERCINT13" localSheetId="14">'[2]FERC Interest Rates'!$A$10:$C$21</definedName>
    <definedName name="FERCINT13" localSheetId="13">'[1]FERC Interest Rates'!$A$10:$C$21</definedName>
    <definedName name="FERCINT13">'FERC Interest Rates'!$A$10:$C$21</definedName>
    <definedName name="FERCINT14" localSheetId="14">'[2]FERC Interest Rates'!$A$22:$C$33</definedName>
    <definedName name="FERCINT14" localSheetId="13">'[1]FERC Interest Rates'!$A$22:$C$33</definedName>
    <definedName name="FERCINT14">'FERC Interest Rates'!$A$22:$C$33</definedName>
    <definedName name="FERCINT15" localSheetId="14">'[2]FERC Interest Rates'!$A$34:$C$45</definedName>
    <definedName name="FERCINT15" localSheetId="13">'[1]FERC Interest Rates'!$A$34:$C$45</definedName>
    <definedName name="FERCINT15">'FERC Interest Rates'!$A$34:$C$45</definedName>
    <definedName name="FERCINT16" localSheetId="14">'[2]FERC Interest Rates'!$A$46:$C$57</definedName>
    <definedName name="FERCINT16" localSheetId="13">'[1]FERC Interest Rates'!$A$46:$C$57</definedName>
    <definedName name="FERCINT16">'FERC Interest Rates'!$A$46:$C$57</definedName>
    <definedName name="FERCINT17" localSheetId="14">'[2]FERC Interest Rates'!$A$58:$C$69</definedName>
    <definedName name="FERCINT17" localSheetId="13">'[1]FERC Interest Rates'!$A$58:$C$69</definedName>
    <definedName name="FERCINT17">'FERC Interest Rates'!$A$58:$C$69</definedName>
    <definedName name="FERCINT18" localSheetId="14">'[2]FERC Interest Rates'!$A$70:$C$81</definedName>
    <definedName name="FERCINT18" localSheetId="13">'[1]FERC Interest Rates'!$A$70:$C$81</definedName>
    <definedName name="FERCINT18">'FERC Interest Rates'!$A$70:$C$81</definedName>
    <definedName name="FERCINT19" localSheetId="14">'[2]FERC Interest Rates'!$A$82:$C$93</definedName>
    <definedName name="FERCINT19" localSheetId="13">'[1]FERC Interest Rates'!$A$82:$C$93</definedName>
    <definedName name="FERCINT19">'FERC Interest Rates'!$A$82:$C$93</definedName>
    <definedName name="FERCINT20" localSheetId="13">'[1]FERC Interest Rates'!$A$94:$C$105</definedName>
    <definedName name="FERCINT20">'FERC Interest Rates'!$A$94:$C$105</definedName>
    <definedName name="FERCINT21" localSheetId="13">'[1]FERC Interest Rates'!$A$106:$C$117</definedName>
    <definedName name="FERCINT21">'FERC Interest Rates'!$A$106:$C$117</definedName>
    <definedName name="_xlnm.Print_Area" localSheetId="4">DEFERRALS!$B$1:$H$24</definedName>
    <definedName name="_xlnm.Print_Area" localSheetId="0">'DG 2530.01253'!$A$1:$J$114</definedName>
    <definedName name="_xlnm.Print_Area" localSheetId="1">'DG 2530.01254'!$A$1:$J$113</definedName>
    <definedName name="_xlnm.Print_Area" localSheetId="2">'DG 2530.01288'!$A$1:$J$43</definedName>
    <definedName name="_xlnm.Print_Area" localSheetId="3">'DG 2530.01289'!$A$1:$J$39</definedName>
    <definedName name="_xlnm.Print_Area" localSheetId="15">'FERC Interest Rates'!$A$1:$D$121</definedName>
    <definedName name="_xlnm.Print_Area" localSheetId="6">'RA 1823.47020430'!$A$1:$J$113</definedName>
    <definedName name="_xlnm.Print_Area" localSheetId="7">'RA 1823.47020431'!$A$1:$J$113</definedName>
    <definedName name="_xlnm.Print_Area" localSheetId="8">'RA 1823.47020444'!$A$1:$J$113</definedName>
    <definedName name="_xlnm.Print_Area" localSheetId="9">'RA 1823.47020449'!$A$1:$J$113</definedName>
    <definedName name="_xlnm.Print_Area" localSheetId="12">'RA 1823.47020478'!$A$1:$J$80</definedName>
    <definedName name="_xlnm.Print_Area" localSheetId="11">'RA 1860.20460-exp only'!$A$1:$H$107</definedName>
    <definedName name="_xlnm.Print_Area" localSheetId="5">'RA 1860.20479'!$A$1:$J$74</definedName>
    <definedName name="_xlnm.Print_Area" localSheetId="14">'RA 1860.20481'!$A$1:$H$45</definedName>
    <definedName name="_xlnm.Print_Area" localSheetId="10">'RA 1862.20477'!$A$1:$J$76</definedName>
    <definedName name="_xlnm.Print_Area" localSheetId="13">'RA 1862.20480'!$A$1:$K$63</definedName>
    <definedName name="_xlnm.Print_Area" localSheetId="16">'Therm Sales'!$A$1:$R$99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29" l="1"/>
  <c r="J15" i="29"/>
  <c r="J16" i="29"/>
  <c r="J17" i="29"/>
  <c r="J18" i="29"/>
  <c r="J19" i="29"/>
  <c r="J20" i="29"/>
  <c r="J21" i="29"/>
  <c r="J22" i="29"/>
  <c r="J23" i="29"/>
  <c r="J24" i="29"/>
  <c r="J25" i="29"/>
  <c r="J26" i="29"/>
  <c r="J27" i="29"/>
  <c r="J28" i="29"/>
  <c r="J29" i="29"/>
  <c r="J30" i="29"/>
  <c r="J31" i="29"/>
  <c r="J32" i="29"/>
  <c r="J34" i="29"/>
  <c r="J35" i="29"/>
  <c r="J36" i="29"/>
  <c r="J37" i="29"/>
  <c r="J38" i="29"/>
  <c r="J39" i="29"/>
  <c r="J40" i="29"/>
  <c r="J41" i="29"/>
  <c r="J42" i="29"/>
  <c r="J44" i="29"/>
  <c r="J45" i="29"/>
  <c r="J46" i="29"/>
  <c r="J47" i="29"/>
  <c r="J48" i="29"/>
  <c r="J49" i="29"/>
  <c r="J50" i="29"/>
  <c r="J51" i="29"/>
  <c r="J52" i="29"/>
  <c r="J53" i="29"/>
  <c r="J54" i="29"/>
  <c r="H13" i="43"/>
  <c r="F14" i="43" s="1"/>
  <c r="A14" i="43"/>
  <c r="C14" i="43"/>
  <c r="E14" i="43"/>
  <c r="A15" i="43"/>
  <c r="C15" i="43"/>
  <c r="E15" i="43"/>
  <c r="A16" i="43"/>
  <c r="C16" i="43"/>
  <c r="E16" i="43"/>
  <c r="A17" i="43"/>
  <c r="C17" i="43"/>
  <c r="E17" i="43"/>
  <c r="A18" i="43"/>
  <c r="C18" i="43"/>
  <c r="E18" i="43"/>
  <c r="A19" i="43"/>
  <c r="C19" i="43"/>
  <c r="E19" i="43"/>
  <c r="A20" i="43"/>
  <c r="C20" i="43"/>
  <c r="E20" i="43"/>
  <c r="A21" i="43"/>
  <c r="C21" i="43"/>
  <c r="E21" i="43"/>
  <c r="A22" i="43"/>
  <c r="C22" i="43"/>
  <c r="E22" i="43"/>
  <c r="A23" i="43"/>
  <c r="C23" i="43"/>
  <c r="E23" i="43"/>
  <c r="A24" i="43"/>
  <c r="C24" i="43"/>
  <c r="E24" i="43"/>
  <c r="A25" i="43"/>
  <c r="C25" i="43"/>
  <c r="E25" i="43"/>
  <c r="A27" i="43"/>
  <c r="C27" i="43"/>
  <c r="E27" i="43"/>
  <c r="P27" i="43"/>
  <c r="Q27" i="43"/>
  <c r="A28" i="43"/>
  <c r="C28" i="43"/>
  <c r="E28" i="43"/>
  <c r="A29" i="43"/>
  <c r="C29" i="43"/>
  <c r="E29" i="43"/>
  <c r="A30" i="43"/>
  <c r="C30" i="43"/>
  <c r="E30" i="43"/>
  <c r="A31" i="43"/>
  <c r="C31" i="43"/>
  <c r="E31" i="43"/>
  <c r="A32" i="43"/>
  <c r="C32" i="43"/>
  <c r="E32" i="43"/>
  <c r="A33" i="43"/>
  <c r="C33" i="43"/>
  <c r="E33" i="43"/>
  <c r="A34" i="43"/>
  <c r="C34" i="43"/>
  <c r="E34" i="43"/>
  <c r="A35" i="43"/>
  <c r="C35" i="43"/>
  <c r="E35" i="43"/>
  <c r="A36" i="43"/>
  <c r="C36" i="43"/>
  <c r="E36" i="43"/>
  <c r="A37" i="43"/>
  <c r="C37" i="43"/>
  <c r="E37" i="43"/>
  <c r="A38" i="43"/>
  <c r="C38" i="43"/>
  <c r="E38" i="43"/>
  <c r="A40" i="43"/>
  <c r="C40" i="43"/>
  <c r="E40" i="43"/>
  <c r="A41" i="43"/>
  <c r="C41" i="43"/>
  <c r="E41" i="43"/>
  <c r="A42" i="43"/>
  <c r="C42" i="43"/>
  <c r="E42" i="43"/>
  <c r="A43" i="43"/>
  <c r="C43" i="43"/>
  <c r="E43" i="43"/>
  <c r="A44" i="43"/>
  <c r="C44" i="43"/>
  <c r="E44" i="43"/>
  <c r="A45" i="43"/>
  <c r="C45" i="43"/>
  <c r="E45" i="43"/>
  <c r="A46" i="43"/>
  <c r="C46" i="43"/>
  <c r="E46" i="43"/>
  <c r="A47" i="43"/>
  <c r="C47" i="43"/>
  <c r="E47" i="43"/>
  <c r="P47" i="43"/>
  <c r="P53" i="43" s="1"/>
  <c r="A48" i="43"/>
  <c r="C48" i="43"/>
  <c r="E48" i="43"/>
  <c r="A49" i="43"/>
  <c r="C49" i="43"/>
  <c r="E49" i="43"/>
  <c r="A50" i="43"/>
  <c r="C50" i="43"/>
  <c r="E50" i="43"/>
  <c r="A51" i="43"/>
  <c r="C51" i="43"/>
  <c r="E51" i="43"/>
  <c r="P51" i="43"/>
  <c r="Q51" i="43"/>
  <c r="P52" i="43"/>
  <c r="A53" i="43"/>
  <c r="C53" i="43"/>
  <c r="E53" i="43"/>
  <c r="Q53" i="43"/>
  <c r="A54" i="43"/>
  <c r="C54" i="43"/>
  <c r="E54" i="43"/>
  <c r="A55" i="43"/>
  <c r="C55" i="43"/>
  <c r="E55" i="43"/>
  <c r="A56" i="43"/>
  <c r="C56" i="43"/>
  <c r="E56" i="43"/>
  <c r="A57" i="43"/>
  <c r="C57" i="43"/>
  <c r="E57" i="43"/>
  <c r="A58" i="43"/>
  <c r="C58" i="43"/>
  <c r="E58" i="43"/>
  <c r="A59" i="43"/>
  <c r="C59" i="43"/>
  <c r="E59" i="43"/>
  <c r="A60" i="43"/>
  <c r="C60" i="43"/>
  <c r="E60" i="43"/>
  <c r="A61" i="43"/>
  <c r="C61" i="43"/>
  <c r="E61" i="43"/>
  <c r="A62" i="43"/>
  <c r="C62" i="43"/>
  <c r="E62" i="43"/>
  <c r="A63" i="43"/>
  <c r="C63" i="43"/>
  <c r="E63" i="43"/>
  <c r="A64" i="43"/>
  <c r="C64" i="43"/>
  <c r="E64" i="43"/>
  <c r="H14" i="43" l="1"/>
  <c r="F15" i="43" l="1"/>
  <c r="H15" i="43" s="1"/>
  <c r="F16" i="43" l="1"/>
  <c r="H16" i="43" s="1"/>
  <c r="F17" i="43" l="1"/>
  <c r="H17" i="43" s="1"/>
  <c r="F18" i="43" l="1"/>
  <c r="H18" i="43" s="1"/>
  <c r="F19" i="43" l="1"/>
  <c r="H19" i="43"/>
  <c r="F20" i="43" l="1"/>
  <c r="H20" i="43"/>
  <c r="F21" i="43" l="1"/>
  <c r="H21" i="43" s="1"/>
  <c r="F22" i="43" l="1"/>
  <c r="H22" i="43" s="1"/>
  <c r="F23" i="43" l="1"/>
  <c r="H23" i="43" s="1"/>
  <c r="F24" i="43" l="1"/>
  <c r="H24" i="43" s="1"/>
  <c r="F25" i="43" l="1"/>
  <c r="H25" i="43" s="1"/>
  <c r="H26" i="43" l="1"/>
  <c r="F27" i="43"/>
  <c r="H27" i="43" l="1"/>
  <c r="F28" i="43" l="1"/>
  <c r="H28" i="43" s="1"/>
  <c r="F29" i="43" l="1"/>
  <c r="H29" i="43" s="1"/>
  <c r="F30" i="43" l="1"/>
  <c r="H30" i="43" s="1"/>
  <c r="F31" i="43" l="1"/>
  <c r="H31" i="43" s="1"/>
  <c r="F32" i="43" l="1"/>
  <c r="H32" i="43" s="1"/>
  <c r="F33" i="43" l="1"/>
  <c r="H33" i="43" s="1"/>
  <c r="F34" i="43" l="1"/>
  <c r="H34" i="43" s="1"/>
  <c r="F35" i="43" l="1"/>
  <c r="H35" i="43" s="1"/>
  <c r="F36" i="43" l="1"/>
  <c r="H36" i="43" s="1"/>
  <c r="F37" i="43" l="1"/>
  <c r="H37" i="43" s="1"/>
  <c r="F38" i="43" l="1"/>
  <c r="H38" i="43" s="1"/>
  <c r="H39" i="43" l="1"/>
  <c r="F40" i="43" l="1"/>
  <c r="H40" i="43" s="1"/>
  <c r="F41" i="43" l="1"/>
  <c r="H41" i="43" s="1"/>
  <c r="F42" i="43" l="1"/>
  <c r="H42" i="43" s="1"/>
  <c r="F43" i="43" l="1"/>
  <c r="H43" i="43" s="1"/>
  <c r="F44" i="43" l="1"/>
  <c r="H44" i="43" s="1"/>
  <c r="F45" i="43" l="1"/>
  <c r="H45" i="43" s="1"/>
  <c r="F46" i="43" l="1"/>
  <c r="H46" i="43" s="1"/>
  <c r="F47" i="43" l="1"/>
  <c r="H47" i="43" s="1"/>
  <c r="F48" i="43" l="1"/>
  <c r="H48" i="43" s="1"/>
  <c r="F49" i="43" l="1"/>
  <c r="H49" i="43" s="1"/>
  <c r="F50" i="43" l="1"/>
  <c r="H50" i="43" s="1"/>
  <c r="F51" i="43" l="1"/>
  <c r="H51" i="43" s="1"/>
  <c r="H52" i="43" l="1"/>
  <c r="F53" i="43" l="1"/>
  <c r="H53" i="43" s="1"/>
  <c r="F54" i="43" l="1"/>
  <c r="H54" i="43" s="1"/>
  <c r="F55" i="43" l="1"/>
  <c r="H55" i="43" s="1"/>
  <c r="F56" i="43" l="1"/>
  <c r="H56" i="43" s="1"/>
  <c r="F57" i="43" l="1"/>
  <c r="H57" i="43" s="1"/>
  <c r="F58" i="43" l="1"/>
  <c r="H58" i="43"/>
  <c r="F59" i="43" l="1"/>
  <c r="H59" i="43" s="1"/>
  <c r="F60" i="43" l="1"/>
  <c r="H60" i="43" s="1"/>
  <c r="F61" i="43" l="1"/>
  <c r="H61" i="43" s="1"/>
  <c r="F62" i="43" l="1"/>
  <c r="H62" i="43"/>
  <c r="F63" i="43" l="1"/>
  <c r="H63" i="43" s="1"/>
  <c r="F64" i="43" l="1"/>
  <c r="H64" i="43" s="1"/>
  <c r="S11" i="20" l="1"/>
  <c r="U11" i="20" s="1"/>
  <c r="U14" i="20" s="1"/>
  <c r="S12" i="20"/>
  <c r="U12" i="20"/>
  <c r="U13" i="20"/>
  <c r="P14" i="20"/>
  <c r="Q14" i="20"/>
  <c r="R14" i="20"/>
  <c r="S14" i="20"/>
  <c r="T14" i="20"/>
  <c r="G13" i="42"/>
  <c r="G12" i="42"/>
  <c r="E13" i="42"/>
  <c r="E10" i="42"/>
  <c r="D10" i="42"/>
  <c r="G10" i="42" s="1"/>
  <c r="F8" i="42"/>
  <c r="F9" i="42" s="1"/>
  <c r="E8" i="42"/>
  <c r="E9" i="42" s="1"/>
  <c r="E11" i="42" s="1"/>
  <c r="D8" i="42"/>
  <c r="D9" i="42" s="1"/>
  <c r="G7" i="42"/>
  <c r="C2" i="42"/>
  <c r="D14" i="42" l="1"/>
  <c r="D20" i="42" s="1"/>
  <c r="D11" i="42"/>
  <c r="E14" i="42"/>
  <c r="E20" i="42"/>
  <c r="F11" i="42"/>
  <c r="F14" i="42"/>
  <c r="F20" i="42" s="1"/>
  <c r="G8" i="42"/>
  <c r="G9" i="42" s="1"/>
  <c r="G11" i="42" s="1"/>
  <c r="G14" i="42" s="1"/>
  <c r="G20" i="42" l="1"/>
  <c r="E54" i="29" l="1"/>
  <c r="A54" i="29"/>
  <c r="E53" i="29"/>
  <c r="A53" i="29"/>
  <c r="E52" i="29"/>
  <c r="A52" i="29"/>
  <c r="E51" i="29"/>
  <c r="A51" i="29"/>
  <c r="E50" i="29"/>
  <c r="A50" i="29"/>
  <c r="E49" i="29"/>
  <c r="A49" i="29"/>
  <c r="E48" i="29"/>
  <c r="A48" i="29"/>
  <c r="E47" i="29"/>
  <c r="A47" i="29"/>
  <c r="E46" i="29"/>
  <c r="A46" i="29"/>
  <c r="E45" i="29"/>
  <c r="A45" i="29"/>
  <c r="E44" i="29"/>
  <c r="A44" i="29"/>
  <c r="E42" i="29"/>
  <c r="A42" i="29"/>
  <c r="E41" i="29"/>
  <c r="A41" i="29"/>
  <c r="E40" i="29"/>
  <c r="A40" i="29"/>
  <c r="E39" i="29"/>
  <c r="A39" i="29"/>
  <c r="E38" i="29"/>
  <c r="A38" i="29"/>
  <c r="E37" i="29"/>
  <c r="A37" i="29"/>
  <c r="E36" i="29"/>
  <c r="A36" i="29"/>
  <c r="E35" i="29"/>
  <c r="A35" i="29"/>
  <c r="E34" i="29"/>
  <c r="A34" i="29"/>
  <c r="E32" i="29"/>
  <c r="A32" i="29"/>
  <c r="E31" i="29"/>
  <c r="A31" i="29"/>
  <c r="E30" i="29"/>
  <c r="A30" i="29"/>
  <c r="E29" i="29"/>
  <c r="A29" i="29"/>
  <c r="E28" i="29"/>
  <c r="A28" i="29"/>
  <c r="E27" i="29"/>
  <c r="A27" i="29"/>
  <c r="E26" i="29"/>
  <c r="A26" i="29"/>
  <c r="E25" i="29"/>
  <c r="A25" i="29"/>
  <c r="E24" i="29"/>
  <c r="A24" i="29"/>
  <c r="E23" i="29"/>
  <c r="A23" i="29"/>
  <c r="E22" i="29"/>
  <c r="A22" i="29"/>
  <c r="E21" i="29"/>
  <c r="A21" i="29"/>
  <c r="E20" i="29"/>
  <c r="A20" i="29"/>
  <c r="E19" i="29"/>
  <c r="A19" i="29"/>
  <c r="E18" i="29"/>
  <c r="A18" i="29"/>
  <c r="E17" i="29"/>
  <c r="A17" i="29"/>
  <c r="E16" i="29"/>
  <c r="A16" i="29"/>
  <c r="E15" i="29"/>
  <c r="A15" i="29"/>
  <c r="E14" i="29"/>
  <c r="A14" i="29"/>
  <c r="H13" i="29"/>
  <c r="A81" i="22"/>
  <c r="A80" i="22"/>
  <c r="A79" i="22"/>
  <c r="A78" i="22"/>
  <c r="A77" i="22"/>
  <c r="A76" i="22"/>
  <c r="A75" i="22"/>
  <c r="A74" i="22"/>
  <c r="A73" i="22"/>
  <c r="A72" i="22"/>
  <c r="A71" i="22"/>
  <c r="T70" i="22"/>
  <c r="S70" i="22"/>
  <c r="R70" i="22"/>
  <c r="Q70" i="22"/>
  <c r="P70" i="22"/>
  <c r="A70" i="22"/>
  <c r="U69" i="22"/>
  <c r="Q69" i="22"/>
  <c r="P69" i="22"/>
  <c r="U68" i="22"/>
  <c r="Q68" i="22"/>
  <c r="P68" i="22"/>
  <c r="A68" i="22"/>
  <c r="A67" i="22"/>
  <c r="A66" i="22"/>
  <c r="A65" i="22"/>
  <c r="A64" i="22"/>
  <c r="A63" i="22"/>
  <c r="A62" i="22"/>
  <c r="A61" i="22"/>
  <c r="A60" i="22"/>
  <c r="A59" i="22"/>
  <c r="A58" i="22"/>
  <c r="T57" i="22"/>
  <c r="P57" i="22"/>
  <c r="A57" i="22"/>
  <c r="S56" i="22"/>
  <c r="R56" i="22"/>
  <c r="R57" i="22" s="1"/>
  <c r="Q56" i="22"/>
  <c r="Q57" i="22" s="1"/>
  <c r="U55" i="22"/>
  <c r="S55" i="22"/>
  <c r="A55" i="22"/>
  <c r="A54" i="22"/>
  <c r="A53" i="22"/>
  <c r="A52" i="22"/>
  <c r="A51" i="22"/>
  <c r="A50" i="22"/>
  <c r="A49" i="22"/>
  <c r="A48" i="22"/>
  <c r="A47" i="22"/>
  <c r="A46" i="22"/>
  <c r="A45" i="22"/>
  <c r="T44" i="22"/>
  <c r="R44" i="22"/>
  <c r="Q44" i="22"/>
  <c r="P44" i="22"/>
  <c r="A44" i="22"/>
  <c r="U43" i="22"/>
  <c r="S43" i="22"/>
  <c r="R43" i="22"/>
  <c r="Q43" i="22"/>
  <c r="U42" i="22"/>
  <c r="U44" i="22" s="1"/>
  <c r="S42" i="22"/>
  <c r="S44" i="22" s="1"/>
  <c r="A42" i="22"/>
  <c r="A41" i="22"/>
  <c r="A40" i="22"/>
  <c r="A39" i="22"/>
  <c r="A38" i="22"/>
  <c r="A37" i="22"/>
  <c r="A36" i="22"/>
  <c r="A35" i="22"/>
  <c r="A34" i="22"/>
  <c r="A33" i="22"/>
  <c r="A32" i="22"/>
  <c r="T31" i="22"/>
  <c r="Q31" i="22"/>
  <c r="P31" i="22"/>
  <c r="E31" i="22"/>
  <c r="A31" i="22"/>
  <c r="U30" i="22"/>
  <c r="S30" i="22"/>
  <c r="R30" i="22"/>
  <c r="R31" i="22" s="1"/>
  <c r="Q30" i="22"/>
  <c r="U29" i="22"/>
  <c r="U31" i="22" s="1"/>
  <c r="S29" i="22"/>
  <c r="A29" i="22"/>
  <c r="A28" i="22"/>
  <c r="A27" i="22"/>
  <c r="A26" i="22"/>
  <c r="A25" i="22"/>
  <c r="A24" i="22"/>
  <c r="A23" i="22"/>
  <c r="A22" i="22"/>
  <c r="A21" i="22"/>
  <c r="A20" i="22"/>
  <c r="A19" i="22"/>
  <c r="E18" i="22"/>
  <c r="A18" i="22"/>
  <c r="H17" i="22"/>
  <c r="A40" i="21"/>
  <c r="A39" i="21"/>
  <c r="A38" i="21"/>
  <c r="A37" i="21"/>
  <c r="A36" i="21"/>
  <c r="A35" i="21"/>
  <c r="A34" i="21"/>
  <c r="A33" i="21"/>
  <c r="A32" i="21"/>
  <c r="A31" i="21"/>
  <c r="J30" i="21"/>
  <c r="A30" i="21"/>
  <c r="T29" i="21"/>
  <c r="R29" i="21"/>
  <c r="P29" i="21"/>
  <c r="A29" i="21"/>
  <c r="U28" i="21"/>
  <c r="G28" i="21"/>
  <c r="S27" i="21"/>
  <c r="A27" i="21"/>
  <c r="U26" i="21"/>
  <c r="A26" i="21"/>
  <c r="U25" i="21"/>
  <c r="S25" i="21"/>
  <c r="Q25" i="21"/>
  <c r="Q29" i="21" s="1"/>
  <c r="A25" i="21"/>
  <c r="A24" i="21"/>
  <c r="A23" i="21"/>
  <c r="A22" i="21"/>
  <c r="A21" i="21"/>
  <c r="A20" i="21"/>
  <c r="A19" i="21"/>
  <c r="A18" i="21"/>
  <c r="A17" i="21"/>
  <c r="T16" i="21"/>
  <c r="S16" i="21"/>
  <c r="P16" i="21"/>
  <c r="A16" i="21"/>
  <c r="U15" i="21"/>
  <c r="H15" i="21"/>
  <c r="U14" i="21"/>
  <c r="S14" i="21"/>
  <c r="U13" i="21"/>
  <c r="S12" i="21"/>
  <c r="R12" i="21"/>
  <c r="R16" i="21" s="1"/>
  <c r="Q12" i="21"/>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F14" i="20"/>
  <c r="C14" i="20"/>
  <c r="A14" i="20"/>
  <c r="H13" i="20"/>
  <c r="A114" i="18"/>
  <c r="A113" i="18"/>
  <c r="A112" i="18"/>
  <c r="A111" i="18"/>
  <c r="A110" i="18"/>
  <c r="A109" i="18"/>
  <c r="A108" i="18"/>
  <c r="A107" i="18"/>
  <c r="A106" i="18"/>
  <c r="A105" i="18"/>
  <c r="A104" i="18"/>
  <c r="A103" i="18"/>
  <c r="A101" i="18"/>
  <c r="A100" i="18"/>
  <c r="A99" i="18"/>
  <c r="A98" i="18"/>
  <c r="A97" i="18"/>
  <c r="A96" i="18"/>
  <c r="A95" i="18"/>
  <c r="A94" i="18"/>
  <c r="A93" i="18"/>
  <c r="A92" i="18"/>
  <c r="A91" i="18"/>
  <c r="A90" i="18"/>
  <c r="A88" i="18"/>
  <c r="A87" i="18"/>
  <c r="A86" i="18"/>
  <c r="A85" i="18"/>
  <c r="A84" i="18"/>
  <c r="A83" i="18"/>
  <c r="A82" i="18"/>
  <c r="A81" i="18"/>
  <c r="A80" i="18"/>
  <c r="A79" i="18"/>
  <c r="A78" i="18"/>
  <c r="A77" i="18"/>
  <c r="A75" i="18"/>
  <c r="A74" i="18"/>
  <c r="A73" i="18"/>
  <c r="A72" i="18"/>
  <c r="A71" i="18"/>
  <c r="A70" i="18"/>
  <c r="A69" i="18"/>
  <c r="A68" i="18"/>
  <c r="A67" i="18"/>
  <c r="A66" i="18"/>
  <c r="D65" i="18"/>
  <c r="A65" i="18"/>
  <c r="D64" i="18"/>
  <c r="A64" i="18"/>
  <c r="D62" i="18"/>
  <c r="A62" i="18"/>
  <c r="D61" i="18"/>
  <c r="A61" i="18"/>
  <c r="D60" i="18"/>
  <c r="A60" i="18"/>
  <c r="D59" i="18"/>
  <c r="A59" i="18"/>
  <c r="D58" i="18"/>
  <c r="A58" i="18"/>
  <c r="D57" i="18"/>
  <c r="A57" i="18"/>
  <c r="D56" i="18"/>
  <c r="A56" i="18"/>
  <c r="A55" i="18"/>
  <c r="D54" i="18"/>
  <c r="A54" i="18"/>
  <c r="D53" i="18"/>
  <c r="A53" i="18"/>
  <c r="D52" i="18"/>
  <c r="A52" i="18"/>
  <c r="A51" i="18"/>
  <c r="D49" i="18"/>
  <c r="A49" i="18"/>
  <c r="D48" i="18"/>
  <c r="A48" i="18"/>
  <c r="D47" i="18"/>
  <c r="A47" i="18"/>
  <c r="D46" i="18"/>
  <c r="A46" i="18"/>
  <c r="A45" i="18"/>
  <c r="A44" i="18"/>
  <c r="A43" i="18"/>
  <c r="A42" i="18"/>
  <c r="A41" i="18"/>
  <c r="A40" i="18"/>
  <c r="A39" i="18"/>
  <c r="A37" i="18"/>
  <c r="A36" i="18"/>
  <c r="A35" i="18"/>
  <c r="A34" i="18"/>
  <c r="A33" i="18"/>
  <c r="A32" i="18"/>
  <c r="A31" i="18"/>
  <c r="A30" i="18"/>
  <c r="A29" i="18"/>
  <c r="A28" i="18"/>
  <c r="A27" i="18"/>
  <c r="A26" i="18"/>
  <c r="A25" i="18"/>
  <c r="A23" i="18"/>
  <c r="A22" i="18"/>
  <c r="A21" i="18"/>
  <c r="A20" i="18"/>
  <c r="A19" i="18"/>
  <c r="A18" i="18"/>
  <c r="A17" i="18"/>
  <c r="D16" i="18"/>
  <c r="A16" i="18"/>
  <c r="D15" i="18"/>
  <c r="A15" i="18"/>
  <c r="A14" i="18"/>
  <c r="A13" i="18"/>
  <c r="A12" i="18"/>
  <c r="A114" i="17"/>
  <c r="A113" i="17"/>
  <c r="A112" i="17"/>
  <c r="A111" i="17"/>
  <c r="A110" i="17"/>
  <c r="A109" i="17"/>
  <c r="A108" i="17"/>
  <c r="A107" i="17"/>
  <c r="A106" i="17"/>
  <c r="A105" i="17"/>
  <c r="D104" i="17"/>
  <c r="A104" i="17"/>
  <c r="A103" i="17"/>
  <c r="A101" i="17"/>
  <c r="A100" i="17"/>
  <c r="A99" i="17"/>
  <c r="A98" i="17"/>
  <c r="A97" i="17"/>
  <c r="A96" i="17"/>
  <c r="A95" i="17"/>
  <c r="A94" i="17"/>
  <c r="A93" i="17"/>
  <c r="A92" i="17"/>
  <c r="D91" i="17"/>
  <c r="A91" i="17"/>
  <c r="A90" i="17"/>
  <c r="A88" i="17"/>
  <c r="A87" i="17"/>
  <c r="A86" i="17"/>
  <c r="A85" i="17"/>
  <c r="A84" i="17"/>
  <c r="A83" i="17"/>
  <c r="A82" i="17"/>
  <c r="A81" i="17"/>
  <c r="A80" i="17"/>
  <c r="A79" i="17"/>
  <c r="D78" i="17"/>
  <c r="A78" i="17"/>
  <c r="A77" i="17"/>
  <c r="A75" i="17"/>
  <c r="D74" i="17"/>
  <c r="A74" i="17"/>
  <c r="A73" i="17"/>
  <c r="A72" i="17"/>
  <c r="D71" i="17"/>
  <c r="A71" i="17"/>
  <c r="A70" i="17"/>
  <c r="D69" i="17"/>
  <c r="A69" i="17"/>
  <c r="A68" i="17"/>
  <c r="A67" i="17"/>
  <c r="A66" i="17"/>
  <c r="D65" i="17"/>
  <c r="A65" i="17"/>
  <c r="D64" i="17"/>
  <c r="A64" i="17"/>
  <c r="D62" i="17"/>
  <c r="A62" i="17"/>
  <c r="D61" i="17"/>
  <c r="A61" i="17"/>
  <c r="D60" i="17"/>
  <c r="A60" i="17"/>
  <c r="D59" i="17"/>
  <c r="A59" i="17"/>
  <c r="D58" i="17"/>
  <c r="A58" i="17"/>
  <c r="D57" i="17"/>
  <c r="A57" i="17"/>
  <c r="D56" i="17"/>
  <c r="A56" i="17"/>
  <c r="D55" i="17"/>
  <c r="A55" i="17"/>
  <c r="D54" i="17"/>
  <c r="A54" i="17"/>
  <c r="D53" i="17"/>
  <c r="A53" i="17"/>
  <c r="D52" i="17"/>
  <c r="A52" i="17"/>
  <c r="A51" i="17"/>
  <c r="D49" i="17"/>
  <c r="A49" i="17"/>
  <c r="D48" i="17"/>
  <c r="A48" i="17"/>
  <c r="D47" i="17"/>
  <c r="A47" i="17"/>
  <c r="D46" i="17"/>
  <c r="A46" i="17"/>
  <c r="A45" i="17"/>
  <c r="A44" i="17"/>
  <c r="A43" i="17"/>
  <c r="A42" i="17"/>
  <c r="A41" i="17"/>
  <c r="A40" i="17"/>
  <c r="A39" i="17"/>
  <c r="A37" i="17"/>
  <c r="A36" i="17"/>
  <c r="A35" i="17"/>
  <c r="A34" i="17"/>
  <c r="A33" i="17"/>
  <c r="A32" i="17"/>
  <c r="A31" i="17"/>
  <c r="A30" i="17"/>
  <c r="A29" i="17"/>
  <c r="A28" i="17"/>
  <c r="A27" i="17"/>
  <c r="A26" i="17"/>
  <c r="A25" i="17"/>
  <c r="D23" i="17"/>
  <c r="A23" i="17"/>
  <c r="A22" i="17"/>
  <c r="A21" i="17"/>
  <c r="A20" i="17"/>
  <c r="D19" i="17"/>
  <c r="A19" i="17"/>
  <c r="A18" i="17"/>
  <c r="A17" i="17"/>
  <c r="A16" i="17"/>
  <c r="A15" i="17"/>
  <c r="A14" i="17"/>
  <c r="A13" i="17"/>
  <c r="A12" i="17"/>
  <c r="A114" i="16"/>
  <c r="A113" i="16"/>
  <c r="A112" i="16"/>
  <c r="A111" i="16"/>
  <c r="A110" i="16"/>
  <c r="A109" i="16"/>
  <c r="A108" i="16"/>
  <c r="A107" i="16"/>
  <c r="A106" i="16"/>
  <c r="A105" i="16"/>
  <c r="A104" i="16"/>
  <c r="A103" i="16"/>
  <c r="A101" i="16"/>
  <c r="A100" i="16"/>
  <c r="A99" i="16"/>
  <c r="A98" i="16"/>
  <c r="A97" i="16"/>
  <c r="A96" i="16"/>
  <c r="A95" i="16"/>
  <c r="A94" i="16"/>
  <c r="A93" i="16"/>
  <c r="A92" i="16"/>
  <c r="A91" i="16"/>
  <c r="A90" i="16"/>
  <c r="A88" i="16"/>
  <c r="A87" i="16"/>
  <c r="A86" i="16"/>
  <c r="A85" i="16"/>
  <c r="A84" i="16"/>
  <c r="A83" i="16"/>
  <c r="A82" i="16"/>
  <c r="A81" i="16"/>
  <c r="A80" i="16"/>
  <c r="A79" i="16"/>
  <c r="A78" i="16"/>
  <c r="A77" i="16"/>
  <c r="A75" i="16"/>
  <c r="A74" i="16"/>
  <c r="A73" i="16"/>
  <c r="A72" i="16"/>
  <c r="A71" i="16"/>
  <c r="A70" i="16"/>
  <c r="A69" i="16"/>
  <c r="A68" i="16"/>
  <c r="A67" i="16"/>
  <c r="A66" i="16"/>
  <c r="D65" i="16"/>
  <c r="A65" i="16"/>
  <c r="D64" i="16"/>
  <c r="A64" i="16"/>
  <c r="D62" i="16"/>
  <c r="A62" i="16"/>
  <c r="A61" i="16"/>
  <c r="D60" i="16"/>
  <c r="A60" i="16"/>
  <c r="A59" i="16"/>
  <c r="D58" i="16"/>
  <c r="A58" i="16"/>
  <c r="A57" i="16"/>
  <c r="D56" i="16"/>
  <c r="A56" i="16"/>
  <c r="D55" i="16"/>
  <c r="A55" i="16"/>
  <c r="A54" i="16"/>
  <c r="A53" i="16"/>
  <c r="D52" i="16"/>
  <c r="A52" i="16"/>
  <c r="A51" i="16"/>
  <c r="A49" i="16"/>
  <c r="D48" i="16"/>
  <c r="A48" i="16"/>
  <c r="A47" i="16"/>
  <c r="D46" i="16"/>
  <c r="A46" i="16"/>
  <c r="A45" i="16"/>
  <c r="A44" i="16"/>
  <c r="A43" i="16"/>
  <c r="A42" i="16"/>
  <c r="A41" i="16"/>
  <c r="A40" i="16"/>
  <c r="A39" i="16"/>
  <c r="A37" i="16"/>
  <c r="A36" i="16"/>
  <c r="A35" i="16"/>
  <c r="A34" i="16"/>
  <c r="A33" i="16"/>
  <c r="A32" i="16"/>
  <c r="A31" i="16"/>
  <c r="A30" i="16"/>
  <c r="A29" i="16"/>
  <c r="A28" i="16"/>
  <c r="A27" i="16"/>
  <c r="A26" i="16"/>
  <c r="A25" i="16"/>
  <c r="A23" i="16"/>
  <c r="A22" i="16"/>
  <c r="A21" i="16"/>
  <c r="A20" i="16"/>
  <c r="A19" i="16"/>
  <c r="A18" i="16"/>
  <c r="A17" i="16"/>
  <c r="D16" i="16"/>
  <c r="A16" i="16"/>
  <c r="D15" i="16"/>
  <c r="A15" i="16"/>
  <c r="A14" i="16"/>
  <c r="A13" i="16"/>
  <c r="D12" i="16"/>
  <c r="A12" i="16"/>
  <c r="A114" i="15"/>
  <c r="A113" i="15"/>
  <c r="A112" i="15"/>
  <c r="A111" i="15"/>
  <c r="A110" i="15"/>
  <c r="A109" i="15"/>
  <c r="A108" i="15"/>
  <c r="A107" i="15"/>
  <c r="A106" i="15"/>
  <c r="A105" i="15"/>
  <c r="A104" i="15"/>
  <c r="A103" i="15"/>
  <c r="A101" i="15"/>
  <c r="A100" i="15"/>
  <c r="A99" i="15"/>
  <c r="A98" i="15"/>
  <c r="A97" i="15"/>
  <c r="A96" i="15"/>
  <c r="A95" i="15"/>
  <c r="A94" i="15"/>
  <c r="A93" i="15"/>
  <c r="A92" i="15"/>
  <c r="A91" i="15"/>
  <c r="A90" i="15"/>
  <c r="A88" i="15"/>
  <c r="A87" i="15"/>
  <c r="A86" i="15"/>
  <c r="A85" i="15"/>
  <c r="A84" i="15"/>
  <c r="A83" i="15"/>
  <c r="A82" i="15"/>
  <c r="A81" i="15"/>
  <c r="A80" i="15"/>
  <c r="A79" i="15"/>
  <c r="A78" i="15"/>
  <c r="A77" i="15"/>
  <c r="A75" i="15"/>
  <c r="A74" i="15"/>
  <c r="A73" i="15"/>
  <c r="A72" i="15"/>
  <c r="A71" i="15"/>
  <c r="A70" i="15"/>
  <c r="A69" i="15"/>
  <c r="A68" i="15"/>
  <c r="A67" i="15"/>
  <c r="A66" i="15"/>
  <c r="D65" i="15"/>
  <c r="A65" i="15"/>
  <c r="D64" i="15"/>
  <c r="A64" i="15"/>
  <c r="D62" i="15"/>
  <c r="A62" i="15"/>
  <c r="A61" i="15"/>
  <c r="D60" i="15"/>
  <c r="A60" i="15"/>
  <c r="D59" i="15"/>
  <c r="A59" i="15"/>
  <c r="A58" i="15"/>
  <c r="A57" i="15"/>
  <c r="A56" i="15"/>
  <c r="D55" i="15"/>
  <c r="A55" i="15"/>
  <c r="D54" i="15"/>
  <c r="A54" i="15"/>
  <c r="A53" i="15"/>
  <c r="D52" i="15"/>
  <c r="A52" i="15"/>
  <c r="A51" i="15"/>
  <c r="A49" i="15"/>
  <c r="D48" i="15"/>
  <c r="A48" i="15"/>
  <c r="A47" i="15"/>
  <c r="D46" i="15"/>
  <c r="A46" i="15"/>
  <c r="A45" i="15"/>
  <c r="A44" i="15"/>
  <c r="A43" i="15"/>
  <c r="A42" i="15"/>
  <c r="A41" i="15"/>
  <c r="A40" i="15"/>
  <c r="A39" i="15"/>
  <c r="A37" i="15"/>
  <c r="A36" i="15"/>
  <c r="A35" i="15"/>
  <c r="A34" i="15"/>
  <c r="A33" i="15"/>
  <c r="A32" i="15"/>
  <c r="A31" i="15"/>
  <c r="A30" i="15"/>
  <c r="A29" i="15"/>
  <c r="A28" i="15"/>
  <c r="A27" i="15"/>
  <c r="A26" i="15"/>
  <c r="A25" i="15"/>
  <c r="A23" i="15"/>
  <c r="A22" i="15"/>
  <c r="A21" i="15"/>
  <c r="A20" i="15"/>
  <c r="A19" i="15"/>
  <c r="A18" i="15"/>
  <c r="A17" i="15"/>
  <c r="D16" i="15"/>
  <c r="A16" i="15"/>
  <c r="D15" i="15"/>
  <c r="A15" i="15"/>
  <c r="A14" i="15"/>
  <c r="A13" i="15"/>
  <c r="A12" i="15"/>
  <c r="A75" i="14"/>
  <c r="A74" i="14"/>
  <c r="A73" i="14"/>
  <c r="A72" i="14"/>
  <c r="A70" i="14"/>
  <c r="A69" i="14"/>
  <c r="A68" i="14"/>
  <c r="A67" i="14"/>
  <c r="A66" i="14"/>
  <c r="A65" i="14"/>
  <c r="A64" i="14"/>
  <c r="A62" i="14"/>
  <c r="A61" i="14"/>
  <c r="A60" i="14"/>
  <c r="A59" i="14"/>
  <c r="A58" i="14"/>
  <c r="A57" i="14"/>
  <c r="A56" i="14"/>
  <c r="A55" i="14"/>
  <c r="A54" i="14"/>
  <c r="A52" i="14"/>
  <c r="A51" i="14"/>
  <c r="D50" i="14"/>
  <c r="A50" i="14"/>
  <c r="A49" i="14"/>
  <c r="A48" i="14"/>
  <c r="A47" i="14"/>
  <c r="J46" i="14"/>
  <c r="D46" i="14"/>
  <c r="A46" i="14"/>
  <c r="D45" i="14"/>
  <c r="A45" i="14"/>
  <c r="A44" i="14"/>
  <c r="A43" i="14"/>
  <c r="A42" i="14"/>
  <c r="A41" i="14"/>
  <c r="A40" i="14"/>
  <c r="A39" i="14"/>
  <c r="A38" i="14"/>
  <c r="A37" i="14"/>
  <c r="A36" i="14"/>
  <c r="A35" i="14"/>
  <c r="A34" i="14"/>
  <c r="A32" i="14"/>
  <c r="A31" i="14"/>
  <c r="D30" i="14"/>
  <c r="A30" i="14"/>
  <c r="A29" i="14"/>
  <c r="A28" i="14"/>
  <c r="A27" i="14"/>
  <c r="A26" i="14"/>
  <c r="A25" i="14"/>
  <c r="A24" i="14"/>
  <c r="A23" i="14"/>
  <c r="A22" i="14"/>
  <c r="D21" i="14"/>
  <c r="A21" i="14"/>
  <c r="A20" i="14"/>
  <c r="D19" i="14"/>
  <c r="A19" i="14"/>
  <c r="A18" i="14"/>
  <c r="A17" i="14"/>
  <c r="A16" i="14"/>
  <c r="A15" i="14"/>
  <c r="D14" i="14"/>
  <c r="A14" i="14"/>
  <c r="A13" i="14"/>
  <c r="H12" i="14"/>
  <c r="H13" i="14" s="1"/>
  <c r="H14" i="14" s="1"/>
  <c r="D12" i="14"/>
  <c r="A12" i="14"/>
  <c r="A108" i="9"/>
  <c r="D107" i="9"/>
  <c r="A107" i="9"/>
  <c r="D106" i="9"/>
  <c r="A106" i="9"/>
  <c r="D105" i="9"/>
  <c r="A105" i="9"/>
  <c r="D104" i="9"/>
  <c r="A104" i="9"/>
  <c r="D103" i="9"/>
  <c r="A103" i="9"/>
  <c r="D102" i="9"/>
  <c r="A102" i="9"/>
  <c r="D101" i="9"/>
  <c r="A101" i="9"/>
  <c r="D100" i="9"/>
  <c r="A100" i="9"/>
  <c r="D99" i="9"/>
  <c r="A99" i="9"/>
  <c r="D98" i="9"/>
  <c r="A98" i="9"/>
  <c r="D97" i="9"/>
  <c r="A97" i="9"/>
  <c r="D96" i="9"/>
  <c r="A96" i="9"/>
  <c r="D95" i="9"/>
  <c r="A95" i="9"/>
  <c r="D94" i="9"/>
  <c r="A94" i="9"/>
  <c r="D93" i="9"/>
  <c r="A93" i="9"/>
  <c r="D92" i="9"/>
  <c r="A92" i="9"/>
  <c r="D91" i="9"/>
  <c r="A91" i="9"/>
  <c r="D90" i="9"/>
  <c r="A90" i="9"/>
  <c r="D89" i="9"/>
  <c r="A89" i="9"/>
  <c r="D88" i="9"/>
  <c r="A88" i="9"/>
  <c r="D87" i="9"/>
  <c r="A87" i="9"/>
  <c r="D86" i="9"/>
  <c r="A86" i="9"/>
  <c r="D85" i="9"/>
  <c r="A85" i="9"/>
  <c r="D84" i="9"/>
  <c r="A84" i="9"/>
  <c r="D83" i="9"/>
  <c r="A83" i="9"/>
  <c r="D82" i="9"/>
  <c r="A82" i="9"/>
  <c r="D81" i="9"/>
  <c r="A81" i="9"/>
  <c r="L80" i="9"/>
  <c r="D80" i="9"/>
  <c r="A80" i="9"/>
  <c r="D79" i="9"/>
  <c r="A79" i="9"/>
  <c r="D78" i="9"/>
  <c r="A78" i="9"/>
  <c r="K77" i="9"/>
  <c r="L77" i="9" s="1"/>
  <c r="L79" i="9" s="1"/>
  <c r="D77" i="9"/>
  <c r="A77" i="9"/>
  <c r="K76" i="9"/>
  <c r="D76" i="9"/>
  <c r="A76" i="9"/>
  <c r="D75" i="9"/>
  <c r="A75" i="9"/>
  <c r="D74" i="9"/>
  <c r="A74" i="9"/>
  <c r="D73" i="9"/>
  <c r="A73" i="9"/>
  <c r="D72" i="9"/>
  <c r="A72" i="9"/>
  <c r="D71" i="9"/>
  <c r="A71" i="9"/>
  <c r="D70" i="9"/>
  <c r="A70" i="9"/>
  <c r="D69" i="9"/>
  <c r="A69" i="9"/>
  <c r="D68" i="9"/>
  <c r="A68" i="9"/>
  <c r="D67" i="9"/>
  <c r="A67" i="9"/>
  <c r="D66" i="9"/>
  <c r="A66" i="9"/>
  <c r="D65" i="9"/>
  <c r="A65" i="9"/>
  <c r="D64" i="9"/>
  <c r="A64" i="9"/>
  <c r="D63"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H25" i="9"/>
  <c r="H26" i="9" s="1"/>
  <c r="H27" i="9" s="1"/>
  <c r="H28" i="9" s="1"/>
  <c r="H29" i="9" s="1"/>
  <c r="H30" i="9" s="1"/>
  <c r="H31" i="9" s="1"/>
  <c r="H32" i="9" s="1"/>
  <c r="H33" i="9" s="1"/>
  <c r="H34" i="9" s="1"/>
  <c r="H35" i="9" s="1"/>
  <c r="H36" i="9" s="1"/>
  <c r="H37" i="9" s="1"/>
  <c r="H38" i="9" s="1"/>
  <c r="H39" i="9" s="1"/>
  <c r="H40" i="9" s="1"/>
  <c r="H41" i="9" s="1"/>
  <c r="H42" i="9" s="1"/>
  <c r="H43" i="9" s="1"/>
  <c r="H44" i="9" s="1"/>
  <c r="H45" i="9" s="1"/>
  <c r="H46" i="9" s="1"/>
  <c r="H47" i="9" s="1"/>
  <c r="H48" i="9" s="1"/>
  <c r="H49" i="9" s="1"/>
  <c r="H50" i="9" s="1"/>
  <c r="H51" i="9" s="1"/>
  <c r="H52" i="9" s="1"/>
  <c r="H53" i="9" s="1"/>
  <c r="H54" i="9" s="1"/>
  <c r="H55" i="9" s="1"/>
  <c r="H56" i="9" s="1"/>
  <c r="H57" i="9" s="1"/>
  <c r="H58" i="9" s="1"/>
  <c r="H59" i="9" s="1"/>
  <c r="H60" i="9" s="1"/>
  <c r="H61" i="9" s="1"/>
  <c r="H62" i="9" s="1"/>
  <c r="H63" i="9" s="1"/>
  <c r="H64" i="9" s="1"/>
  <c r="H65" i="9" s="1"/>
  <c r="H66" i="9" s="1"/>
  <c r="H67" i="9" s="1"/>
  <c r="H68" i="9" s="1"/>
  <c r="H69" i="9" s="1"/>
  <c r="H70" i="9" s="1"/>
  <c r="H71" i="9" s="1"/>
  <c r="H72" i="9" s="1"/>
  <c r="H73" i="9" s="1"/>
  <c r="H74" i="9" s="1"/>
  <c r="H75" i="9" s="1"/>
  <c r="H76" i="9" s="1"/>
  <c r="H77" i="9" s="1"/>
  <c r="H78" i="9" s="1"/>
  <c r="H79" i="9" s="1"/>
  <c r="H80" i="9" s="1"/>
  <c r="H81" i="9" s="1"/>
  <c r="H82" i="9" s="1"/>
  <c r="H83" i="9" s="1"/>
  <c r="H84" i="9" s="1"/>
  <c r="H85" i="9" s="1"/>
  <c r="H86" i="9" s="1"/>
  <c r="H87" i="9" s="1"/>
  <c r="H88" i="9" s="1"/>
  <c r="H89" i="9" s="1"/>
  <c r="H90" i="9" s="1"/>
  <c r="H91" i="9" s="1"/>
  <c r="H92" i="9" s="1"/>
  <c r="H93" i="9" s="1"/>
  <c r="H94" i="9" s="1"/>
  <c r="H95" i="9" s="1"/>
  <c r="H96" i="9" s="1"/>
  <c r="H97" i="9" s="1"/>
  <c r="H98" i="9" s="1"/>
  <c r="H99" i="9" s="1"/>
  <c r="H100" i="9" s="1"/>
  <c r="H101" i="9" s="1"/>
  <c r="H102" i="9" s="1"/>
  <c r="H103" i="9" s="1"/>
  <c r="H104" i="9" s="1"/>
  <c r="H105" i="9" s="1"/>
  <c r="H106" i="9" s="1"/>
  <c r="H107" i="9" s="1"/>
  <c r="H108" i="9" s="1"/>
  <c r="A25" i="9"/>
  <c r="A23" i="9"/>
  <c r="A22" i="9"/>
  <c r="A21" i="9"/>
  <c r="A20" i="9"/>
  <c r="A19" i="9"/>
  <c r="A18" i="9"/>
  <c r="A17" i="9"/>
  <c r="A16" i="9"/>
  <c r="A15" i="9"/>
  <c r="A14" i="9"/>
  <c r="A13" i="9"/>
  <c r="H12" i="9"/>
  <c r="H13" i="9" s="1"/>
  <c r="H14" i="9" s="1"/>
  <c r="H15" i="9" s="1"/>
  <c r="H16" i="9" s="1"/>
  <c r="H17" i="9" s="1"/>
  <c r="H18" i="9" s="1"/>
  <c r="H19" i="9" s="1"/>
  <c r="H20" i="9" s="1"/>
  <c r="H21" i="9" s="1"/>
  <c r="H22" i="9" s="1"/>
  <c r="H23" i="9" s="1"/>
  <c r="A12" i="9"/>
  <c r="A77" i="7"/>
  <c r="A76" i="7"/>
  <c r="A75" i="7"/>
  <c r="A74" i="7"/>
  <c r="A73" i="7"/>
  <c r="A72" i="7"/>
  <c r="A71" i="7"/>
  <c r="D70" i="7"/>
  <c r="A70" i="7"/>
  <c r="A69" i="7"/>
  <c r="A68" i="7"/>
  <c r="A67" i="7"/>
  <c r="A66" i="7"/>
  <c r="A64" i="7"/>
  <c r="D63" i="7"/>
  <c r="A63" i="7"/>
  <c r="A62" i="7"/>
  <c r="A61" i="7"/>
  <c r="A60" i="7"/>
  <c r="A59" i="7"/>
  <c r="D58" i="7"/>
  <c r="A58" i="7"/>
  <c r="A57" i="7"/>
  <c r="A56" i="7"/>
  <c r="A55" i="7"/>
  <c r="A54" i="7"/>
  <c r="D53" i="7"/>
  <c r="A53" i="7"/>
  <c r="J51" i="7"/>
  <c r="D51" i="7"/>
  <c r="A51" i="7"/>
  <c r="J50" i="7"/>
  <c r="D50" i="7"/>
  <c r="A50" i="7"/>
  <c r="J49" i="7"/>
  <c r="A49" i="7"/>
  <c r="A48" i="7"/>
  <c r="A47" i="7"/>
  <c r="A46" i="7"/>
  <c r="A45" i="7"/>
  <c r="A44" i="7"/>
  <c r="A43" i="7"/>
  <c r="A42" i="7"/>
  <c r="D41" i="7"/>
  <c r="A41" i="7"/>
  <c r="A40" i="7"/>
  <c r="A38" i="7"/>
  <c r="A37" i="7"/>
  <c r="A36" i="7"/>
  <c r="A35" i="7"/>
  <c r="A34" i="7"/>
  <c r="A33" i="7"/>
  <c r="A32" i="7"/>
  <c r="A31" i="7"/>
  <c r="A30" i="7"/>
  <c r="A29" i="7"/>
  <c r="A28" i="7"/>
  <c r="A27" i="7"/>
  <c r="A25" i="7"/>
  <c r="A24" i="7"/>
  <c r="A23" i="7"/>
  <c r="A22" i="7"/>
  <c r="A21" i="7"/>
  <c r="A20" i="7"/>
  <c r="A19" i="7"/>
  <c r="A18" i="7"/>
  <c r="A17" i="7"/>
  <c r="A16" i="7"/>
  <c r="A15" i="7"/>
  <c r="A14" i="7"/>
  <c r="A13" i="7"/>
  <c r="A12" i="7"/>
  <c r="A114" i="6"/>
  <c r="D113" i="6"/>
  <c r="A113" i="6"/>
  <c r="D112" i="6"/>
  <c r="A112" i="6"/>
  <c r="D111" i="6"/>
  <c r="A111" i="6"/>
  <c r="D110" i="6"/>
  <c r="A110" i="6"/>
  <c r="D109" i="6"/>
  <c r="A109" i="6"/>
  <c r="D108" i="6"/>
  <c r="A108" i="6"/>
  <c r="D107" i="6"/>
  <c r="A107" i="6"/>
  <c r="D106" i="6"/>
  <c r="A106" i="6"/>
  <c r="D105" i="6"/>
  <c r="A105" i="6"/>
  <c r="D104" i="6"/>
  <c r="A104" i="6"/>
  <c r="D103" i="6"/>
  <c r="A103" i="6"/>
  <c r="D101" i="6"/>
  <c r="A101" i="6"/>
  <c r="D100" i="6"/>
  <c r="A100" i="6"/>
  <c r="J99" i="6"/>
  <c r="D99" i="6"/>
  <c r="A99" i="6"/>
  <c r="D98" i="6"/>
  <c r="A98" i="6"/>
  <c r="D97" i="6"/>
  <c r="A97" i="6"/>
  <c r="J96" i="6"/>
  <c r="D96" i="6"/>
  <c r="A96" i="6"/>
  <c r="D95" i="6"/>
  <c r="A95" i="6"/>
  <c r="D94" i="6"/>
  <c r="A94" i="6"/>
  <c r="J93" i="6"/>
  <c r="D93" i="6"/>
  <c r="A93" i="6"/>
  <c r="D92" i="6"/>
  <c r="A92" i="6"/>
  <c r="A91" i="6"/>
  <c r="D90" i="6"/>
  <c r="A90" i="6"/>
  <c r="D88" i="6"/>
  <c r="A88" i="6"/>
  <c r="D87" i="6"/>
  <c r="A87" i="6"/>
  <c r="J86" i="6"/>
  <c r="D86" i="6"/>
  <c r="A86" i="6"/>
  <c r="D85" i="6"/>
  <c r="A85" i="6"/>
  <c r="J84" i="6"/>
  <c r="D84" i="6"/>
  <c r="A84" i="6"/>
  <c r="D83" i="6"/>
  <c r="A83" i="6"/>
  <c r="D82" i="6"/>
  <c r="A82" i="6"/>
  <c r="D81" i="6"/>
  <c r="A81" i="6"/>
  <c r="J80" i="6"/>
  <c r="D80" i="6"/>
  <c r="A80" i="6"/>
  <c r="D79" i="6"/>
  <c r="A79" i="6"/>
  <c r="D78" i="6"/>
  <c r="A78" i="6"/>
  <c r="D77" i="6"/>
  <c r="A77" i="6"/>
  <c r="D75" i="6"/>
  <c r="A75" i="6"/>
  <c r="D74" i="6"/>
  <c r="A74" i="6"/>
  <c r="D73" i="6"/>
  <c r="A73" i="6"/>
  <c r="J72" i="6"/>
  <c r="D72" i="6"/>
  <c r="A72" i="6"/>
  <c r="D71" i="6"/>
  <c r="A71" i="6"/>
  <c r="D70" i="6"/>
  <c r="A70" i="6"/>
  <c r="D69" i="6"/>
  <c r="A69" i="6"/>
  <c r="D68" i="6"/>
  <c r="A68" i="6"/>
  <c r="D67" i="6"/>
  <c r="A67" i="6"/>
  <c r="D66" i="6"/>
  <c r="A66" i="6"/>
  <c r="D65" i="6"/>
  <c r="A65" i="6"/>
  <c r="D64" i="6"/>
  <c r="A64" i="6"/>
  <c r="A62" i="6"/>
  <c r="D61" i="6"/>
  <c r="A61" i="6"/>
  <c r="D60" i="6"/>
  <c r="A60" i="6"/>
  <c r="D59" i="6"/>
  <c r="A59" i="6"/>
  <c r="D58" i="6"/>
  <c r="A58" i="6"/>
  <c r="D57" i="6"/>
  <c r="A57" i="6"/>
  <c r="D56" i="6"/>
  <c r="A56" i="6"/>
  <c r="D55" i="6"/>
  <c r="A55" i="6"/>
  <c r="D54" i="6"/>
  <c r="A54" i="6"/>
  <c r="D53" i="6"/>
  <c r="A53" i="6"/>
  <c r="D52" i="6"/>
  <c r="A52" i="6"/>
  <c r="D51" i="6"/>
  <c r="A51" i="6"/>
  <c r="D50" i="6"/>
  <c r="A50" i="6"/>
  <c r="D49" i="6"/>
  <c r="A49" i="6"/>
  <c r="D47" i="6"/>
  <c r="A47" i="6"/>
  <c r="D46" i="6"/>
  <c r="A46" i="6"/>
  <c r="D45" i="6"/>
  <c r="A45" i="6"/>
  <c r="D44" i="6"/>
  <c r="A44" i="6"/>
  <c r="D43" i="6"/>
  <c r="A43" i="6"/>
  <c r="D42" i="6"/>
  <c r="A42" i="6"/>
  <c r="D41" i="6"/>
  <c r="A41" i="6"/>
  <c r="D40" i="6"/>
  <c r="A40" i="6"/>
  <c r="D39" i="6"/>
  <c r="A39" i="6"/>
  <c r="D38" i="6"/>
  <c r="A38" i="6"/>
  <c r="D37" i="6"/>
  <c r="A37" i="6"/>
  <c r="D36" i="6"/>
  <c r="A36" i="6"/>
  <c r="D34" i="6"/>
  <c r="A34" i="6"/>
  <c r="D33" i="6"/>
  <c r="A33" i="6"/>
  <c r="D32" i="6"/>
  <c r="A32" i="6"/>
  <c r="D31" i="6"/>
  <c r="A31" i="6"/>
  <c r="A30" i="6"/>
  <c r="D29" i="6"/>
  <c r="A29" i="6"/>
  <c r="D28" i="6"/>
  <c r="A28" i="6"/>
  <c r="D27" i="6"/>
  <c r="A27" i="6"/>
  <c r="D26" i="6"/>
  <c r="A26" i="6"/>
  <c r="A25" i="6"/>
  <c r="D23" i="6"/>
  <c r="A23" i="6"/>
  <c r="D22" i="6"/>
  <c r="A22" i="6"/>
  <c r="D21" i="6"/>
  <c r="A21" i="6"/>
  <c r="D20" i="6"/>
  <c r="A20" i="6"/>
  <c r="D19" i="6"/>
  <c r="A19" i="6"/>
  <c r="D18" i="6"/>
  <c r="A18" i="6"/>
  <c r="D17" i="6"/>
  <c r="A17" i="6"/>
  <c r="A16" i="6"/>
  <c r="D15" i="6"/>
  <c r="A15" i="6"/>
  <c r="D14" i="6"/>
  <c r="A14" i="6"/>
  <c r="D13" i="6"/>
  <c r="A13" i="6"/>
  <c r="D12" i="6"/>
  <c r="A12" i="6"/>
  <c r="A115" i="5"/>
  <c r="G114" i="5"/>
  <c r="A114" i="5"/>
  <c r="G113" i="5"/>
  <c r="A113" i="5"/>
  <c r="G112" i="5"/>
  <c r="A112" i="5"/>
  <c r="G111" i="5"/>
  <c r="A111" i="5"/>
  <c r="G110" i="5"/>
  <c r="A110" i="5"/>
  <c r="G109" i="5"/>
  <c r="A109" i="5"/>
  <c r="A108" i="5"/>
  <c r="G107" i="5"/>
  <c r="A107" i="5"/>
  <c r="A106" i="5"/>
  <c r="G105" i="5"/>
  <c r="A105" i="5"/>
  <c r="G104" i="5"/>
  <c r="A104" i="5"/>
  <c r="A102" i="5"/>
  <c r="G101" i="5"/>
  <c r="A101" i="5"/>
  <c r="J100" i="5"/>
  <c r="G100" i="5"/>
  <c r="A100" i="5"/>
  <c r="G99" i="5"/>
  <c r="A99" i="5"/>
  <c r="A98" i="5"/>
  <c r="J97" i="5"/>
  <c r="G97" i="5"/>
  <c r="A97" i="5"/>
  <c r="G96" i="5"/>
  <c r="A96" i="5"/>
  <c r="G95" i="5"/>
  <c r="A95" i="5"/>
  <c r="G94" i="5"/>
  <c r="A94" i="5"/>
  <c r="G93" i="5"/>
  <c r="A93" i="5"/>
  <c r="G92" i="5"/>
  <c r="A92" i="5"/>
  <c r="G91" i="5"/>
  <c r="D91" i="5"/>
  <c r="A91" i="5"/>
  <c r="G89" i="5"/>
  <c r="A89" i="5"/>
  <c r="G88" i="5"/>
  <c r="A88" i="5"/>
  <c r="J87" i="5"/>
  <c r="G87" i="5"/>
  <c r="D87" i="5"/>
  <c r="A87" i="5"/>
  <c r="G86" i="5"/>
  <c r="A86" i="5"/>
  <c r="J85" i="5"/>
  <c r="G85" i="5"/>
  <c r="A85" i="5"/>
  <c r="G84" i="5"/>
  <c r="A84" i="5"/>
  <c r="G83" i="5"/>
  <c r="A83" i="5"/>
  <c r="A81" i="5"/>
  <c r="J80" i="5"/>
  <c r="G80" i="5"/>
  <c r="A80" i="5"/>
  <c r="A79" i="5"/>
  <c r="G78" i="5"/>
  <c r="D78" i="5"/>
  <c r="A78" i="5"/>
  <c r="A77" i="5"/>
  <c r="G75" i="5"/>
  <c r="A75" i="5"/>
  <c r="G74" i="5"/>
  <c r="A74" i="5"/>
  <c r="G73" i="5"/>
  <c r="A73" i="5"/>
  <c r="J72" i="5"/>
  <c r="G72" i="5"/>
  <c r="D72" i="5"/>
  <c r="A72" i="5"/>
  <c r="G71" i="5"/>
  <c r="D71" i="5"/>
  <c r="A71" i="5"/>
  <c r="G70" i="5"/>
  <c r="A70" i="5"/>
  <c r="G69" i="5"/>
  <c r="A69" i="5"/>
  <c r="A68" i="5"/>
  <c r="A67" i="5"/>
  <c r="A66" i="5"/>
  <c r="A65" i="5"/>
  <c r="G64" i="5"/>
  <c r="A64" i="5"/>
  <c r="A62" i="5"/>
  <c r="G61" i="5"/>
  <c r="A61" i="5"/>
  <c r="G60" i="5"/>
  <c r="A60" i="5"/>
  <c r="G59" i="5"/>
  <c r="A59" i="5"/>
  <c r="G58" i="5"/>
  <c r="A58" i="5"/>
  <c r="G57" i="5"/>
  <c r="A57" i="5"/>
  <c r="A56" i="5"/>
  <c r="G55" i="5"/>
  <c r="A55" i="5"/>
  <c r="G54" i="5"/>
  <c r="A54" i="5"/>
  <c r="G53" i="5"/>
  <c r="A53" i="5"/>
  <c r="G52" i="5"/>
  <c r="D52" i="5"/>
  <c r="A52" i="5"/>
  <c r="A51" i="5"/>
  <c r="G50" i="5"/>
  <c r="A50" i="5"/>
  <c r="G49" i="5"/>
  <c r="A49" i="5"/>
  <c r="G47" i="5"/>
  <c r="A47" i="5"/>
  <c r="G46" i="5"/>
  <c r="A46" i="5"/>
  <c r="A45" i="5"/>
  <c r="A44" i="5"/>
  <c r="A43" i="5"/>
  <c r="A42" i="5"/>
  <c r="A41" i="5"/>
  <c r="A40" i="5"/>
  <c r="A39" i="5"/>
  <c r="A38" i="5"/>
  <c r="A37" i="5"/>
  <c r="A36" i="5"/>
  <c r="A34" i="5"/>
  <c r="A33" i="5"/>
  <c r="A32" i="5"/>
  <c r="A31" i="5"/>
  <c r="A30" i="5"/>
  <c r="A29" i="5"/>
  <c r="A28" i="5"/>
  <c r="A27" i="5"/>
  <c r="A26" i="5"/>
  <c r="A25" i="5"/>
  <c r="A23" i="5"/>
  <c r="A22" i="5"/>
  <c r="A21" i="5"/>
  <c r="A20" i="5"/>
  <c r="A19" i="5"/>
  <c r="A18" i="5"/>
  <c r="D17" i="5"/>
  <c r="A17" i="5"/>
  <c r="A16" i="5"/>
  <c r="A15" i="5"/>
  <c r="A14" i="5"/>
  <c r="A13" i="5"/>
  <c r="A12" i="5"/>
  <c r="N100" i="3"/>
  <c r="I100" i="3"/>
  <c r="H100" i="3"/>
  <c r="E100" i="3"/>
  <c r="A100" i="3"/>
  <c r="R99" i="3"/>
  <c r="Q99" i="3"/>
  <c r="M99" i="3"/>
  <c r="N99" i="3" s="1"/>
  <c r="J99" i="3"/>
  <c r="G99" i="3"/>
  <c r="H99" i="3" s="1"/>
  <c r="C99" i="3"/>
  <c r="E99" i="3" s="1"/>
  <c r="I99" i="3" s="1"/>
  <c r="A99" i="3"/>
  <c r="R98" i="3"/>
  <c r="Q98" i="3"/>
  <c r="M98" i="3"/>
  <c r="J98" i="3"/>
  <c r="N98" i="3" s="1"/>
  <c r="G98" i="3"/>
  <c r="H98" i="3" s="1"/>
  <c r="C98" i="3"/>
  <c r="E98" i="3" s="1"/>
  <c r="I98" i="3" s="1"/>
  <c r="A98" i="3"/>
  <c r="R97" i="3"/>
  <c r="Q97" i="3"/>
  <c r="M97" i="3"/>
  <c r="J97" i="3"/>
  <c r="N97" i="3" s="1"/>
  <c r="G97" i="3"/>
  <c r="H97" i="3" s="1"/>
  <c r="E97" i="3"/>
  <c r="I97" i="3" s="1"/>
  <c r="C97" i="3"/>
  <c r="A97" i="3"/>
  <c r="R96" i="3"/>
  <c r="Q96" i="3"/>
  <c r="M96" i="3"/>
  <c r="N96" i="3" s="1"/>
  <c r="J96" i="3"/>
  <c r="G96" i="3"/>
  <c r="H96" i="3" s="1"/>
  <c r="C96" i="3"/>
  <c r="E96" i="3" s="1"/>
  <c r="A96" i="3"/>
  <c r="R95" i="3"/>
  <c r="Q95" i="3"/>
  <c r="M95" i="3"/>
  <c r="J95" i="3"/>
  <c r="N95" i="3" s="1"/>
  <c r="H95" i="3"/>
  <c r="I95" i="3" s="1"/>
  <c r="G95" i="3"/>
  <c r="E95" i="3"/>
  <c r="C95" i="3"/>
  <c r="A95" i="3"/>
  <c r="R94" i="3"/>
  <c r="Q94" i="3"/>
  <c r="N94" i="3"/>
  <c r="M94" i="3"/>
  <c r="J94" i="3"/>
  <c r="G94" i="3"/>
  <c r="H94" i="3" s="1"/>
  <c r="C94" i="3"/>
  <c r="E94" i="3" s="1"/>
  <c r="A94" i="3"/>
  <c r="R93" i="3"/>
  <c r="Q93" i="3"/>
  <c r="M93" i="3"/>
  <c r="J93" i="3"/>
  <c r="N93" i="3" s="1"/>
  <c r="H93" i="3"/>
  <c r="G93" i="3"/>
  <c r="C93" i="3"/>
  <c r="E93" i="3" s="1"/>
  <c r="I93" i="3" s="1"/>
  <c r="A93" i="3"/>
  <c r="R92" i="3"/>
  <c r="Q92" i="3"/>
  <c r="M92" i="3"/>
  <c r="J92" i="3"/>
  <c r="N92" i="3" s="1"/>
  <c r="G92" i="3"/>
  <c r="H92" i="3" s="1"/>
  <c r="C92" i="3"/>
  <c r="E92" i="3" s="1"/>
  <c r="A92" i="3"/>
  <c r="R91" i="3"/>
  <c r="Q91" i="3"/>
  <c r="M91" i="3"/>
  <c r="N91" i="3" s="1"/>
  <c r="J91" i="3"/>
  <c r="G91" i="3"/>
  <c r="H91" i="3" s="1"/>
  <c r="C91" i="3"/>
  <c r="E91" i="3" s="1"/>
  <c r="I91" i="3" s="1"/>
  <c r="A91" i="3"/>
  <c r="R90" i="3"/>
  <c r="Q90" i="3"/>
  <c r="M90" i="3"/>
  <c r="J90" i="3"/>
  <c r="N90" i="3" s="1"/>
  <c r="G90" i="3"/>
  <c r="H90" i="3" s="1"/>
  <c r="C90" i="3"/>
  <c r="E90" i="3" s="1"/>
  <c r="I90" i="3" s="1"/>
  <c r="A90" i="3"/>
  <c r="R89" i="3"/>
  <c r="Q89" i="3"/>
  <c r="M89" i="3"/>
  <c r="J89" i="3"/>
  <c r="N89" i="3" s="1"/>
  <c r="G89" i="3"/>
  <c r="F89" i="3"/>
  <c r="H89" i="3" s="1"/>
  <c r="C89" i="3"/>
  <c r="E89" i="3" s="1"/>
  <c r="A89" i="3"/>
  <c r="R88" i="3"/>
  <c r="Q88" i="3"/>
  <c r="M88" i="3"/>
  <c r="N88" i="3" s="1"/>
  <c r="J88" i="3"/>
  <c r="G88" i="3"/>
  <c r="H88" i="3" s="1"/>
  <c r="C88" i="3"/>
  <c r="E88" i="3" s="1"/>
  <c r="I88" i="3" s="1"/>
  <c r="A88" i="3"/>
  <c r="R87" i="3"/>
  <c r="Q87" i="3"/>
  <c r="M87" i="3"/>
  <c r="J87" i="3"/>
  <c r="N87" i="3" s="1"/>
  <c r="G87" i="3"/>
  <c r="H87" i="3" s="1"/>
  <c r="C87" i="3"/>
  <c r="E87" i="3" s="1"/>
  <c r="I87" i="3" s="1"/>
  <c r="A87" i="3"/>
  <c r="R86" i="3"/>
  <c r="Q86" i="3"/>
  <c r="M86" i="3"/>
  <c r="J86" i="3"/>
  <c r="N86" i="3" s="1"/>
  <c r="G86" i="3"/>
  <c r="H86" i="3" s="1"/>
  <c r="E86" i="3"/>
  <c r="I86" i="3" s="1"/>
  <c r="C86" i="3"/>
  <c r="A86" i="3"/>
  <c r="R85" i="3"/>
  <c r="Q85" i="3"/>
  <c r="M85" i="3"/>
  <c r="N85" i="3" s="1"/>
  <c r="J85" i="3"/>
  <c r="G85" i="3"/>
  <c r="F85" i="3"/>
  <c r="H85" i="3" s="1"/>
  <c r="C85" i="3"/>
  <c r="E85" i="3" s="1"/>
  <c r="A85" i="3"/>
  <c r="R84" i="3"/>
  <c r="Q84" i="3"/>
  <c r="M84" i="3"/>
  <c r="J84" i="3"/>
  <c r="N84" i="3" s="1"/>
  <c r="I84" i="3"/>
  <c r="G84" i="3"/>
  <c r="H84" i="3" s="1"/>
  <c r="F84" i="3"/>
  <c r="C84" i="3"/>
  <c r="E84" i="3" s="1"/>
  <c r="A84" i="3"/>
  <c r="R83" i="3"/>
  <c r="Q83" i="3"/>
  <c r="M83" i="3"/>
  <c r="J83" i="3"/>
  <c r="N83" i="3" s="1"/>
  <c r="G83" i="3"/>
  <c r="H83" i="3" s="1"/>
  <c r="I83" i="3" s="1"/>
  <c r="F83" i="3"/>
  <c r="E83" i="3"/>
  <c r="C83" i="3"/>
  <c r="A83" i="3"/>
  <c r="R82" i="3"/>
  <c r="Q82" i="3"/>
  <c r="N82" i="3"/>
  <c r="M82" i="3"/>
  <c r="J82" i="3"/>
  <c r="G82" i="3"/>
  <c r="F82" i="3"/>
  <c r="H82" i="3" s="1"/>
  <c r="E82" i="3"/>
  <c r="I82" i="3" s="1"/>
  <c r="C82" i="3"/>
  <c r="A82" i="3"/>
  <c r="R81" i="3"/>
  <c r="Q81" i="3"/>
  <c r="M81" i="3"/>
  <c r="N81" i="3" s="1"/>
  <c r="J81" i="3"/>
  <c r="G81" i="3"/>
  <c r="F81" i="3"/>
  <c r="H81" i="3" s="1"/>
  <c r="C81" i="3"/>
  <c r="E81" i="3" s="1"/>
  <c r="A81" i="3"/>
  <c r="R80" i="3"/>
  <c r="Q80" i="3"/>
  <c r="M80" i="3"/>
  <c r="J80" i="3"/>
  <c r="N80" i="3" s="1"/>
  <c r="G80" i="3"/>
  <c r="H80" i="3" s="1"/>
  <c r="F80" i="3"/>
  <c r="C80" i="3"/>
  <c r="E80" i="3" s="1"/>
  <c r="I80" i="3" s="1"/>
  <c r="A80" i="3"/>
  <c r="R79" i="3"/>
  <c r="Q79" i="3"/>
  <c r="M79" i="3"/>
  <c r="J79" i="3"/>
  <c r="N79" i="3" s="1"/>
  <c r="G79" i="3"/>
  <c r="H79" i="3" s="1"/>
  <c r="I79" i="3" s="1"/>
  <c r="F79" i="3"/>
  <c r="E79" i="3"/>
  <c r="C79" i="3"/>
  <c r="A79" i="3"/>
  <c r="R78" i="3"/>
  <c r="Q78" i="3"/>
  <c r="N78" i="3"/>
  <c r="M78" i="3"/>
  <c r="J78" i="3"/>
  <c r="G78" i="3"/>
  <c r="F78" i="3"/>
  <c r="H78" i="3" s="1"/>
  <c r="E78" i="3"/>
  <c r="C78" i="3"/>
  <c r="A78" i="3"/>
  <c r="R77" i="3"/>
  <c r="Q77" i="3"/>
  <c r="M77" i="3"/>
  <c r="N77" i="3" s="1"/>
  <c r="J77" i="3"/>
  <c r="G77" i="3"/>
  <c r="F77" i="3"/>
  <c r="H77" i="3" s="1"/>
  <c r="C77" i="3"/>
  <c r="E77" i="3" s="1"/>
  <c r="A77" i="3"/>
  <c r="R76" i="3"/>
  <c r="Q76" i="3"/>
  <c r="M76" i="3"/>
  <c r="J76" i="3"/>
  <c r="N76" i="3" s="1"/>
  <c r="G76" i="3"/>
  <c r="H76" i="3" s="1"/>
  <c r="F76" i="3"/>
  <c r="C76" i="3"/>
  <c r="E76" i="3" s="1"/>
  <c r="I76" i="3" s="1"/>
  <c r="A76" i="3"/>
  <c r="R75" i="3"/>
  <c r="Q75" i="3"/>
  <c r="M75" i="3"/>
  <c r="J75" i="3"/>
  <c r="N75" i="3" s="1"/>
  <c r="G75" i="3"/>
  <c r="H75" i="3" s="1"/>
  <c r="I75" i="3" s="1"/>
  <c r="F75" i="3"/>
  <c r="E75" i="3"/>
  <c r="C75" i="3"/>
  <c r="A75" i="3"/>
  <c r="R74" i="3"/>
  <c r="Q74" i="3"/>
  <c r="N74" i="3"/>
  <c r="M74" i="3"/>
  <c r="J74" i="3"/>
  <c r="G74" i="3"/>
  <c r="F74" i="3"/>
  <c r="H74" i="3" s="1"/>
  <c r="E74" i="3"/>
  <c r="C74" i="3"/>
  <c r="A74" i="3"/>
  <c r="R73" i="3"/>
  <c r="Q73" i="3"/>
  <c r="M73" i="3"/>
  <c r="N73" i="3" s="1"/>
  <c r="J73" i="3"/>
  <c r="G73" i="3"/>
  <c r="F73" i="3"/>
  <c r="H73" i="3" s="1"/>
  <c r="C73" i="3"/>
  <c r="E73" i="3" s="1"/>
  <c r="A73" i="3"/>
  <c r="R72" i="3"/>
  <c r="Q72" i="3"/>
  <c r="M72" i="3"/>
  <c r="J72" i="3"/>
  <c r="N72" i="3" s="1"/>
  <c r="G72" i="3"/>
  <c r="H72" i="3" s="1"/>
  <c r="I72" i="3" s="1"/>
  <c r="F72" i="3"/>
  <c r="D72" i="3"/>
  <c r="C72" i="3"/>
  <c r="E72" i="3" s="1"/>
  <c r="A72" i="3"/>
  <c r="R71" i="3"/>
  <c r="Q71" i="3"/>
  <c r="M71" i="3"/>
  <c r="J71" i="3"/>
  <c r="N71" i="3" s="1"/>
  <c r="H71" i="3"/>
  <c r="G71" i="3"/>
  <c r="F71" i="3"/>
  <c r="C71" i="3"/>
  <c r="E71" i="3" s="1"/>
  <c r="I71" i="3" s="1"/>
  <c r="A71" i="3"/>
  <c r="R70" i="3"/>
  <c r="Q70" i="3"/>
  <c r="M70" i="3"/>
  <c r="J70" i="3"/>
  <c r="N70" i="3" s="1"/>
  <c r="G70" i="3"/>
  <c r="F70" i="3"/>
  <c r="H70" i="3" s="1"/>
  <c r="C70" i="3"/>
  <c r="E70" i="3" s="1"/>
  <c r="I70" i="3" s="1"/>
  <c r="A70" i="3"/>
  <c r="R69" i="3"/>
  <c r="Q69" i="3"/>
  <c r="M69" i="3"/>
  <c r="N69" i="3" s="1"/>
  <c r="J69" i="3"/>
  <c r="G69" i="3"/>
  <c r="H69" i="3" s="1"/>
  <c r="C69" i="3"/>
  <c r="E69" i="3" s="1"/>
  <c r="A69" i="3"/>
  <c r="R68" i="3"/>
  <c r="Q68" i="3"/>
  <c r="M68" i="3"/>
  <c r="J68" i="3"/>
  <c r="N68" i="3" s="1"/>
  <c r="G68" i="3"/>
  <c r="H68" i="3" s="1"/>
  <c r="F68" i="3"/>
  <c r="C68" i="3"/>
  <c r="E68" i="3" s="1"/>
  <c r="I68" i="3" s="1"/>
  <c r="A68" i="3"/>
  <c r="R67" i="3"/>
  <c r="Q67" i="3"/>
  <c r="M67" i="3"/>
  <c r="J67" i="3"/>
  <c r="N67" i="3" s="1"/>
  <c r="G67" i="3"/>
  <c r="H67" i="3" s="1"/>
  <c r="I67" i="3" s="1"/>
  <c r="F67" i="3"/>
  <c r="E67" i="3"/>
  <c r="C67" i="3"/>
  <c r="A67" i="3"/>
  <c r="R66" i="3"/>
  <c r="Q66" i="3"/>
  <c r="N66" i="3"/>
  <c r="M66" i="3"/>
  <c r="J66" i="3"/>
  <c r="G66" i="3"/>
  <c r="F66" i="3"/>
  <c r="H66" i="3" s="1"/>
  <c r="E66" i="3"/>
  <c r="C66" i="3"/>
  <c r="A66" i="3"/>
  <c r="R65" i="3"/>
  <c r="Q65" i="3"/>
  <c r="M65" i="3"/>
  <c r="N65" i="3" s="1"/>
  <c r="J65" i="3"/>
  <c r="G65" i="3"/>
  <c r="F65" i="3"/>
  <c r="H65" i="3" s="1"/>
  <c r="C65" i="3"/>
  <c r="E65" i="3" s="1"/>
  <c r="A65" i="3"/>
  <c r="R64" i="3"/>
  <c r="Q64" i="3"/>
  <c r="M64" i="3"/>
  <c r="J64" i="3"/>
  <c r="N64" i="3" s="1"/>
  <c r="I64" i="3"/>
  <c r="H64" i="3"/>
  <c r="G64" i="3"/>
  <c r="F64" i="3"/>
  <c r="C64" i="3"/>
  <c r="E64" i="3" s="1"/>
  <c r="A64" i="3"/>
  <c r="R63" i="3"/>
  <c r="Q63" i="3"/>
  <c r="M63" i="3"/>
  <c r="J63" i="3"/>
  <c r="N63" i="3" s="1"/>
  <c r="G63" i="3"/>
  <c r="H63" i="3" s="1"/>
  <c r="I63" i="3" s="1"/>
  <c r="F63" i="3"/>
  <c r="E63" i="3"/>
  <c r="C63" i="3"/>
  <c r="A63" i="3"/>
  <c r="R62" i="3"/>
  <c r="Q62" i="3"/>
  <c r="N62" i="3"/>
  <c r="M62" i="3"/>
  <c r="J62" i="3"/>
  <c r="G62" i="3"/>
  <c r="F62" i="3"/>
  <c r="H62" i="3" s="1"/>
  <c r="E62" i="3"/>
  <c r="I62" i="3" s="1"/>
  <c r="C62" i="3"/>
  <c r="B62" i="3"/>
  <c r="A62" i="3"/>
  <c r="R61" i="3"/>
  <c r="Q61" i="3"/>
  <c r="M61" i="3"/>
  <c r="N61" i="3" s="1"/>
  <c r="J61" i="3"/>
  <c r="G61" i="3"/>
  <c r="F61" i="3"/>
  <c r="H61" i="3" s="1"/>
  <c r="C61" i="3"/>
  <c r="E61" i="3" s="1"/>
  <c r="A61" i="3"/>
  <c r="R60" i="3"/>
  <c r="Q60" i="3"/>
  <c r="M60" i="3"/>
  <c r="J60" i="3"/>
  <c r="N60" i="3" s="1"/>
  <c r="G60" i="3"/>
  <c r="F60" i="3"/>
  <c r="H60" i="3" s="1"/>
  <c r="C60" i="3"/>
  <c r="E60" i="3" s="1"/>
  <c r="A60" i="3"/>
  <c r="R59" i="3"/>
  <c r="Q59" i="3"/>
  <c r="M59" i="3"/>
  <c r="J59" i="3"/>
  <c r="N59" i="3" s="1"/>
  <c r="H59" i="3"/>
  <c r="G59" i="3"/>
  <c r="F59" i="3"/>
  <c r="C59" i="3"/>
  <c r="E59" i="3" s="1"/>
  <c r="I59" i="3" s="1"/>
  <c r="A59" i="3"/>
  <c r="R58" i="3"/>
  <c r="Q58" i="3"/>
  <c r="M58" i="3"/>
  <c r="J58" i="3"/>
  <c r="N58" i="3" s="1"/>
  <c r="G58" i="3"/>
  <c r="F58" i="3"/>
  <c r="H58" i="3" s="1"/>
  <c r="I58" i="3" s="1"/>
  <c r="E58" i="3"/>
  <c r="C58" i="3"/>
  <c r="A58" i="3"/>
  <c r="R57" i="3"/>
  <c r="Q57" i="3"/>
  <c r="M57" i="3"/>
  <c r="N57" i="3" s="1"/>
  <c r="J57" i="3"/>
  <c r="G57" i="3"/>
  <c r="F57" i="3"/>
  <c r="H57" i="3" s="1"/>
  <c r="C57" i="3"/>
  <c r="E57" i="3" s="1"/>
  <c r="A57" i="3"/>
  <c r="R56" i="3"/>
  <c r="Q56" i="3"/>
  <c r="M56" i="3"/>
  <c r="J56" i="3"/>
  <c r="N56" i="3" s="1"/>
  <c r="G56" i="3"/>
  <c r="F56" i="3"/>
  <c r="H56" i="3" s="1"/>
  <c r="C56" i="3"/>
  <c r="E56" i="3" s="1"/>
  <c r="A56" i="3"/>
  <c r="R55" i="3"/>
  <c r="Q55" i="3"/>
  <c r="M55" i="3"/>
  <c r="J55" i="3"/>
  <c r="N55" i="3" s="1"/>
  <c r="H55" i="3"/>
  <c r="G55" i="3"/>
  <c r="F55" i="3"/>
  <c r="C55" i="3"/>
  <c r="E55" i="3" s="1"/>
  <c r="A55" i="3"/>
  <c r="M54" i="3"/>
  <c r="N54" i="3" s="1"/>
  <c r="J54" i="3"/>
  <c r="G54" i="3"/>
  <c r="F54" i="3"/>
  <c r="H54" i="3" s="1"/>
  <c r="C54" i="3"/>
  <c r="E54" i="3" s="1"/>
  <c r="A54" i="3"/>
  <c r="M53" i="3"/>
  <c r="J53" i="3"/>
  <c r="N53" i="3" s="1"/>
  <c r="H53" i="3"/>
  <c r="G53" i="3"/>
  <c r="F53" i="3"/>
  <c r="C53" i="3"/>
  <c r="E53" i="3" s="1"/>
  <c r="I53" i="3" s="1"/>
  <c r="A53" i="3"/>
  <c r="M52" i="3"/>
  <c r="N52" i="3" s="1"/>
  <c r="J52" i="3"/>
  <c r="G52" i="3"/>
  <c r="H52" i="3" s="1"/>
  <c r="C52" i="3"/>
  <c r="E52" i="3" s="1"/>
  <c r="I52" i="3" s="1"/>
  <c r="A52" i="3"/>
  <c r="M51" i="3"/>
  <c r="J51" i="3"/>
  <c r="N51" i="3" s="1"/>
  <c r="G51" i="3"/>
  <c r="H51" i="3" s="1"/>
  <c r="I51" i="3" s="1"/>
  <c r="E51" i="3"/>
  <c r="A51" i="3"/>
  <c r="M50" i="3"/>
  <c r="J50" i="3"/>
  <c r="N50" i="3" s="1"/>
  <c r="I50" i="3"/>
  <c r="H50" i="3"/>
  <c r="G50" i="3"/>
  <c r="E50" i="3"/>
  <c r="A50" i="3"/>
  <c r="M49" i="3"/>
  <c r="N49" i="3" s="1"/>
  <c r="J49" i="3"/>
  <c r="G49" i="3"/>
  <c r="H49" i="3" s="1"/>
  <c r="E49" i="3"/>
  <c r="A49" i="3"/>
  <c r="N48" i="3"/>
  <c r="M48" i="3"/>
  <c r="J48" i="3"/>
  <c r="G48" i="3"/>
  <c r="H48" i="3" s="1"/>
  <c r="E48" i="3"/>
  <c r="I48" i="3" s="1"/>
  <c r="A48" i="3"/>
  <c r="M47" i="3"/>
  <c r="J47" i="3"/>
  <c r="N47" i="3" s="1"/>
  <c r="G47" i="3"/>
  <c r="H47" i="3" s="1"/>
  <c r="I47" i="3" s="1"/>
  <c r="E47" i="3"/>
  <c r="A47" i="3"/>
  <c r="M46" i="3"/>
  <c r="J46" i="3"/>
  <c r="N46" i="3" s="1"/>
  <c r="I46" i="3"/>
  <c r="H46" i="3"/>
  <c r="G46" i="3"/>
  <c r="E46" i="3"/>
  <c r="A46" i="3"/>
  <c r="M45" i="3"/>
  <c r="N45" i="3" s="1"/>
  <c r="J45" i="3"/>
  <c r="G45" i="3"/>
  <c r="H45" i="3" s="1"/>
  <c r="E45" i="3"/>
  <c r="A45" i="3"/>
  <c r="N44" i="3"/>
  <c r="M44" i="3"/>
  <c r="J44" i="3"/>
  <c r="G44" i="3"/>
  <c r="F44" i="3"/>
  <c r="H44" i="3" s="1"/>
  <c r="E44" i="3"/>
  <c r="I44" i="3" s="1"/>
  <c r="A44" i="3"/>
  <c r="M43" i="3"/>
  <c r="J43" i="3"/>
  <c r="N43" i="3" s="1"/>
  <c r="H43" i="3"/>
  <c r="I43" i="3" s="1"/>
  <c r="G43" i="3"/>
  <c r="F43" i="3"/>
  <c r="E43" i="3"/>
  <c r="A43" i="3"/>
  <c r="M42" i="3"/>
  <c r="N42" i="3" s="1"/>
  <c r="J42" i="3"/>
  <c r="G42" i="3"/>
  <c r="F42" i="3"/>
  <c r="H42" i="3" s="1"/>
  <c r="E42" i="3"/>
  <c r="A42" i="3"/>
  <c r="N41" i="3"/>
  <c r="M41" i="3"/>
  <c r="J41" i="3"/>
  <c r="G41" i="3"/>
  <c r="F41" i="3"/>
  <c r="H41" i="3" s="1"/>
  <c r="I41" i="3" s="1"/>
  <c r="E41" i="3"/>
  <c r="A41" i="3"/>
  <c r="M40" i="3"/>
  <c r="J40" i="3"/>
  <c r="N40" i="3" s="1"/>
  <c r="I40" i="3"/>
  <c r="H40" i="3"/>
  <c r="G40" i="3"/>
  <c r="F40" i="3"/>
  <c r="E40" i="3"/>
  <c r="A40" i="3"/>
  <c r="M39" i="3"/>
  <c r="N39" i="3" s="1"/>
  <c r="J39" i="3"/>
  <c r="G39" i="3"/>
  <c r="F39" i="3"/>
  <c r="H39" i="3" s="1"/>
  <c r="E39" i="3"/>
  <c r="A39" i="3"/>
  <c r="M38" i="3"/>
  <c r="J38" i="3"/>
  <c r="N38" i="3" s="1"/>
  <c r="G38" i="3"/>
  <c r="H38" i="3" s="1"/>
  <c r="I38" i="3" s="1"/>
  <c r="F38" i="3"/>
  <c r="E38" i="3"/>
  <c r="A38" i="3"/>
  <c r="M37" i="3"/>
  <c r="J37" i="3"/>
  <c r="N37" i="3" s="1"/>
  <c r="G37" i="3"/>
  <c r="F37" i="3"/>
  <c r="H37" i="3" s="1"/>
  <c r="E37" i="3"/>
  <c r="I37" i="3" s="1"/>
  <c r="A37" i="3"/>
  <c r="N36" i="3"/>
  <c r="M36" i="3"/>
  <c r="J36" i="3"/>
  <c r="G36" i="3"/>
  <c r="F36" i="3"/>
  <c r="H36" i="3" s="1"/>
  <c r="E36" i="3"/>
  <c r="I36" i="3" s="1"/>
  <c r="A36" i="3"/>
  <c r="M35" i="3"/>
  <c r="J35" i="3"/>
  <c r="N35" i="3" s="1"/>
  <c r="H35" i="3"/>
  <c r="I35" i="3" s="1"/>
  <c r="G35" i="3"/>
  <c r="F35" i="3"/>
  <c r="E35" i="3"/>
  <c r="A35" i="3"/>
  <c r="P34" i="3"/>
  <c r="M34" i="3"/>
  <c r="N34" i="3" s="1"/>
  <c r="J34" i="3"/>
  <c r="G34" i="3"/>
  <c r="F34" i="3"/>
  <c r="H34" i="3" s="1"/>
  <c r="E34" i="3"/>
  <c r="I34" i="3" s="1"/>
  <c r="A34" i="3"/>
  <c r="M33" i="3"/>
  <c r="J33" i="3"/>
  <c r="N33" i="3" s="1"/>
  <c r="G33" i="3"/>
  <c r="H33" i="3" s="1"/>
  <c r="I33" i="3" s="1"/>
  <c r="F33" i="3"/>
  <c r="E33" i="3"/>
  <c r="A33" i="3"/>
  <c r="P32" i="3"/>
  <c r="M32" i="3"/>
  <c r="N32" i="3" s="1"/>
  <c r="J32" i="3"/>
  <c r="G32" i="3"/>
  <c r="F32" i="3"/>
  <c r="H32" i="3" s="1"/>
  <c r="E32" i="3"/>
  <c r="A32" i="3"/>
  <c r="P31" i="3"/>
  <c r="M31" i="3"/>
  <c r="J31" i="3"/>
  <c r="N31" i="3" s="1"/>
  <c r="G31" i="3"/>
  <c r="H31" i="3" s="1"/>
  <c r="I31" i="3" s="1"/>
  <c r="F31" i="3"/>
  <c r="E31" i="3"/>
  <c r="A31" i="3"/>
  <c r="P30" i="3"/>
  <c r="M30" i="3"/>
  <c r="N30" i="3" s="1"/>
  <c r="J30" i="3"/>
  <c r="G30" i="3"/>
  <c r="F30" i="3"/>
  <c r="H30" i="3" s="1"/>
  <c r="E30" i="3"/>
  <c r="I30" i="3" s="1"/>
  <c r="A30" i="3"/>
  <c r="P29" i="3"/>
  <c r="M29" i="3"/>
  <c r="J29" i="3"/>
  <c r="N29" i="3" s="1"/>
  <c r="G29" i="3"/>
  <c r="H29" i="3" s="1"/>
  <c r="I29" i="3" s="1"/>
  <c r="F29" i="3"/>
  <c r="E29" i="3"/>
  <c r="A29" i="3"/>
  <c r="P28" i="3"/>
  <c r="M28" i="3"/>
  <c r="N28" i="3" s="1"/>
  <c r="J28" i="3"/>
  <c r="G28" i="3"/>
  <c r="F28" i="3"/>
  <c r="H28" i="3" s="1"/>
  <c r="D28" i="3"/>
  <c r="C28" i="3"/>
  <c r="E28" i="3" s="1"/>
  <c r="I28" i="3" s="1"/>
  <c r="A28" i="3"/>
  <c r="P27" i="3"/>
  <c r="M27" i="3"/>
  <c r="J27" i="3"/>
  <c r="N27" i="3" s="1"/>
  <c r="I27" i="3"/>
  <c r="H27" i="3"/>
  <c r="G27" i="3"/>
  <c r="F27" i="3"/>
  <c r="D27" i="3"/>
  <c r="C27" i="3"/>
  <c r="E27" i="3" s="1"/>
  <c r="A27" i="3"/>
  <c r="P26" i="3"/>
  <c r="M26" i="3"/>
  <c r="J26" i="3"/>
  <c r="N26" i="3" s="1"/>
  <c r="G26" i="3"/>
  <c r="H26" i="3" s="1"/>
  <c r="I26" i="3" s="1"/>
  <c r="F26" i="3"/>
  <c r="E26" i="3"/>
  <c r="A26" i="3"/>
  <c r="P25" i="3"/>
  <c r="M25" i="3"/>
  <c r="N25" i="3" s="1"/>
  <c r="J25" i="3"/>
  <c r="G25" i="3"/>
  <c r="F25" i="3"/>
  <c r="H25" i="3" s="1"/>
  <c r="E25" i="3"/>
  <c r="A25" i="3"/>
  <c r="P24" i="3"/>
  <c r="M24" i="3"/>
  <c r="J24" i="3"/>
  <c r="N24" i="3" s="1"/>
  <c r="G24" i="3"/>
  <c r="H24" i="3" s="1"/>
  <c r="I24" i="3" s="1"/>
  <c r="F24" i="3"/>
  <c r="E24" i="3"/>
  <c r="A24" i="3"/>
  <c r="P23" i="3"/>
  <c r="M23" i="3"/>
  <c r="N23" i="3" s="1"/>
  <c r="J23" i="3"/>
  <c r="G23" i="3"/>
  <c r="F23" i="3"/>
  <c r="H23" i="3" s="1"/>
  <c r="E23" i="3"/>
  <c r="I23" i="3" s="1"/>
  <c r="A23" i="3"/>
  <c r="P22" i="3"/>
  <c r="M22" i="3"/>
  <c r="J22" i="3"/>
  <c r="N22" i="3" s="1"/>
  <c r="G22" i="3"/>
  <c r="H22" i="3" s="1"/>
  <c r="I22" i="3" s="1"/>
  <c r="F22" i="3"/>
  <c r="E22" i="3"/>
  <c r="A22" i="3"/>
  <c r="P21" i="3"/>
  <c r="M21" i="3"/>
  <c r="N21" i="3" s="1"/>
  <c r="J21" i="3"/>
  <c r="G21" i="3"/>
  <c r="F21" i="3"/>
  <c r="H21" i="3" s="1"/>
  <c r="E21" i="3"/>
  <c r="A21" i="3"/>
  <c r="P20" i="3"/>
  <c r="M20" i="3"/>
  <c r="J20" i="3"/>
  <c r="N20" i="3" s="1"/>
  <c r="G20" i="3"/>
  <c r="H20" i="3" s="1"/>
  <c r="I20" i="3" s="1"/>
  <c r="E20" i="3"/>
  <c r="A20" i="3"/>
  <c r="P19" i="3"/>
  <c r="M19" i="3"/>
  <c r="J19" i="3"/>
  <c r="N19" i="3" s="1"/>
  <c r="G19" i="3"/>
  <c r="F19" i="3"/>
  <c r="H19" i="3" s="1"/>
  <c r="E19" i="3"/>
  <c r="I19" i="3" s="1"/>
  <c r="A19" i="3"/>
  <c r="P18" i="3"/>
  <c r="N18" i="3"/>
  <c r="M18" i="3"/>
  <c r="J18" i="3"/>
  <c r="G18" i="3"/>
  <c r="F18" i="3"/>
  <c r="H18" i="3" s="1"/>
  <c r="I18" i="3" s="1"/>
  <c r="E18" i="3"/>
  <c r="A18" i="3"/>
  <c r="P17" i="3"/>
  <c r="M17" i="3"/>
  <c r="J17" i="3"/>
  <c r="N17" i="3" s="1"/>
  <c r="G17" i="3"/>
  <c r="H17" i="3" s="1"/>
  <c r="F17" i="3"/>
  <c r="E17" i="3"/>
  <c r="I17" i="3" s="1"/>
  <c r="A17" i="3"/>
  <c r="P16" i="3"/>
  <c r="N16" i="3"/>
  <c r="M16" i="3"/>
  <c r="J16" i="3"/>
  <c r="G16" i="3"/>
  <c r="F16" i="3"/>
  <c r="H16" i="3" s="1"/>
  <c r="I16" i="3" s="1"/>
  <c r="E16" i="3"/>
  <c r="A16" i="3"/>
  <c r="P15" i="3"/>
  <c r="M15" i="3"/>
  <c r="J15" i="3"/>
  <c r="N15" i="3" s="1"/>
  <c r="H15" i="3"/>
  <c r="G15" i="3"/>
  <c r="F15" i="3"/>
  <c r="E15" i="3"/>
  <c r="I15" i="3" s="1"/>
  <c r="A15" i="3"/>
  <c r="P14" i="3"/>
  <c r="N14" i="3"/>
  <c r="M14" i="3"/>
  <c r="J14" i="3"/>
  <c r="G14" i="3"/>
  <c r="F14" i="3"/>
  <c r="H14" i="3" s="1"/>
  <c r="I14" i="3" s="1"/>
  <c r="E14" i="3"/>
  <c r="A14" i="3"/>
  <c r="P13" i="3"/>
  <c r="M13" i="3"/>
  <c r="J13" i="3"/>
  <c r="N13" i="3" s="1"/>
  <c r="H13" i="3"/>
  <c r="G13" i="3"/>
  <c r="F13" i="3"/>
  <c r="E13" i="3"/>
  <c r="I13" i="3" s="1"/>
  <c r="A13" i="3"/>
  <c r="P12" i="3"/>
  <c r="N12" i="3"/>
  <c r="M12" i="3"/>
  <c r="J12" i="3"/>
  <c r="G12" i="3"/>
  <c r="F12" i="3"/>
  <c r="H12" i="3" s="1"/>
  <c r="I12" i="3" s="1"/>
  <c r="E12" i="3"/>
  <c r="A12" i="3"/>
  <c r="P11" i="3"/>
  <c r="M11" i="3"/>
  <c r="J11" i="3"/>
  <c r="N11" i="3" s="1"/>
  <c r="H11" i="3"/>
  <c r="G11" i="3"/>
  <c r="F11" i="3"/>
  <c r="E11" i="3"/>
  <c r="I11" i="3" s="1"/>
  <c r="A11" i="3"/>
  <c r="P10" i="3"/>
  <c r="N10" i="3"/>
  <c r="M10" i="3"/>
  <c r="J10" i="3"/>
  <c r="G10" i="3"/>
  <c r="F10" i="3"/>
  <c r="E10" i="3"/>
  <c r="A10" i="3"/>
  <c r="P9" i="3"/>
  <c r="M9" i="3"/>
  <c r="K9" i="3"/>
  <c r="O9" i="3" s="1"/>
  <c r="J9" i="3"/>
  <c r="N9" i="3" s="1"/>
  <c r="H9" i="3"/>
  <c r="G9" i="3"/>
  <c r="F9" i="3"/>
  <c r="E9" i="3"/>
  <c r="I9" i="3" s="1"/>
  <c r="A9" i="3"/>
  <c r="P8" i="3"/>
  <c r="M8" i="3"/>
  <c r="N8" i="3" s="1"/>
  <c r="J8" i="3"/>
  <c r="G8" i="3"/>
  <c r="F8" i="3"/>
  <c r="H8" i="3" s="1"/>
  <c r="I8" i="3" s="1"/>
  <c r="E8" i="3"/>
  <c r="A8" i="3"/>
  <c r="P7" i="3"/>
  <c r="M7" i="3"/>
  <c r="J7" i="3"/>
  <c r="N7" i="3" s="1"/>
  <c r="H7" i="3"/>
  <c r="G7" i="3"/>
  <c r="F7" i="3"/>
  <c r="E7" i="3"/>
  <c r="I7" i="3" s="1"/>
  <c r="A7" i="3"/>
  <c r="P6" i="3"/>
  <c r="M6" i="3"/>
  <c r="N6" i="3" s="1"/>
  <c r="J6" i="3"/>
  <c r="G6" i="3"/>
  <c r="F6" i="3"/>
  <c r="E6" i="3"/>
  <c r="A6" i="3"/>
  <c r="P5" i="3"/>
  <c r="M5" i="3"/>
  <c r="K5" i="3"/>
  <c r="O5" i="3" s="1"/>
  <c r="J5" i="3"/>
  <c r="N5" i="3" s="1"/>
  <c r="H5" i="3"/>
  <c r="G5" i="3"/>
  <c r="F5" i="3"/>
  <c r="E5" i="3"/>
  <c r="I5" i="3" s="1"/>
  <c r="A5" i="3"/>
  <c r="B108" i="2"/>
  <c r="B109" i="2" s="1"/>
  <c r="B110" i="2" s="1"/>
  <c r="B111" i="2" s="1"/>
  <c r="B112" i="2" s="1"/>
  <c r="B113" i="2" s="1"/>
  <c r="B114" i="2" s="1"/>
  <c r="B115" i="2" s="1"/>
  <c r="B116" i="2" s="1"/>
  <c r="B117" i="2" s="1"/>
  <c r="B104" i="2"/>
  <c r="B105" i="2" s="1"/>
  <c r="B106" i="2" s="1"/>
  <c r="B107" i="2" s="1"/>
  <c r="B101" i="2"/>
  <c r="B102" i="2" s="1"/>
  <c r="B98" i="2"/>
  <c r="B99" i="2" s="1"/>
  <c r="B95" i="2"/>
  <c r="B96" i="2" s="1"/>
  <c r="B92" i="2"/>
  <c r="B93" i="2" s="1"/>
  <c r="B89" i="2"/>
  <c r="B90" i="2" s="1"/>
  <c r="B87" i="2"/>
  <c r="B86" i="2"/>
  <c r="B83" i="2"/>
  <c r="B84" i="2" s="1"/>
  <c r="B80" i="2"/>
  <c r="B81" i="2" s="1"/>
  <c r="B77" i="2"/>
  <c r="B78" i="2" s="1"/>
  <c r="B74" i="2"/>
  <c r="B75" i="2" s="1"/>
  <c r="B71" i="2"/>
  <c r="B72" i="2" s="1"/>
  <c r="B68" i="2"/>
  <c r="B65" i="2"/>
  <c r="B66" i="2" s="1"/>
  <c r="B62" i="2"/>
  <c r="B63" i="2" s="1"/>
  <c r="B54" i="2"/>
  <c r="B55" i="2" s="1"/>
  <c r="B56" i="2" s="1"/>
  <c r="B53" i="2"/>
  <c r="B50" i="2"/>
  <c r="B51" i="2" s="1"/>
  <c r="B11" i="2"/>
  <c r="B12" i="2" s="1"/>
  <c r="B13" i="2" s="1"/>
  <c r="B14" i="2" s="1"/>
  <c r="B15" i="2" s="1"/>
  <c r="B16" i="2" s="1"/>
  <c r="B17" i="2" s="1"/>
  <c r="B18" i="2" s="1"/>
  <c r="B19" i="2" s="1"/>
  <c r="B20" i="2" s="1"/>
  <c r="C79" i="22" l="1"/>
  <c r="E79" i="22" s="1"/>
  <c r="C42" i="20"/>
  <c r="E42" i="20" s="1"/>
  <c r="C38" i="21"/>
  <c r="E38" i="21" s="1"/>
  <c r="K98" i="3"/>
  <c r="O98" i="3" s="1"/>
  <c r="C60" i="22"/>
  <c r="E60" i="22" s="1"/>
  <c r="C24" i="20"/>
  <c r="E24" i="20" s="1"/>
  <c r="C19" i="21"/>
  <c r="E19" i="21" s="1"/>
  <c r="K80" i="3"/>
  <c r="O80" i="3" s="1"/>
  <c r="C47" i="22"/>
  <c r="E47" i="22" s="1"/>
  <c r="K68" i="3"/>
  <c r="O68" i="3" s="1"/>
  <c r="C71" i="22"/>
  <c r="E71" i="22" s="1"/>
  <c r="C34" i="20"/>
  <c r="E34" i="20" s="1"/>
  <c r="C30" i="21"/>
  <c r="E30" i="21" s="1"/>
  <c r="K90" i="3"/>
  <c r="O90" i="3" s="1"/>
  <c r="F12" i="18"/>
  <c r="H12" i="18" s="1"/>
  <c r="F12" i="17"/>
  <c r="H12" i="17" s="1"/>
  <c r="F12" i="15"/>
  <c r="H12" i="15" s="1"/>
  <c r="F12" i="16"/>
  <c r="H12" i="16" s="1"/>
  <c r="F12" i="6"/>
  <c r="B21" i="2"/>
  <c r="C51" i="22"/>
  <c r="E51" i="22" s="1"/>
  <c r="C16" i="20"/>
  <c r="E16" i="20" s="1"/>
  <c r="K72" i="3"/>
  <c r="O72" i="3" s="1"/>
  <c r="C26" i="21"/>
  <c r="E26" i="21" s="1"/>
  <c r="C67" i="22"/>
  <c r="E67" i="22" s="1"/>
  <c r="C31" i="20"/>
  <c r="E31" i="20" s="1"/>
  <c r="K87" i="3"/>
  <c r="O87" i="3" s="1"/>
  <c r="C20" i="20"/>
  <c r="E20" i="20" s="1"/>
  <c r="C55" i="22"/>
  <c r="E55" i="22" s="1"/>
  <c r="K76" i="3"/>
  <c r="O76" i="3" s="1"/>
  <c r="K8" i="3"/>
  <c r="O8" i="3" s="1"/>
  <c r="K40" i="3"/>
  <c r="O40" i="3" s="1"/>
  <c r="C31" i="22"/>
  <c r="K53" i="3"/>
  <c r="O53" i="3" s="1"/>
  <c r="C36" i="22"/>
  <c r="E36" i="22" s="1"/>
  <c r="K58" i="3"/>
  <c r="O58" i="3" s="1"/>
  <c r="C37" i="22"/>
  <c r="E37" i="22" s="1"/>
  <c r="K59" i="3"/>
  <c r="O59" i="3" s="1"/>
  <c r="C64" i="22"/>
  <c r="E64" i="22" s="1"/>
  <c r="C23" i="21"/>
  <c r="E23" i="21" s="1"/>
  <c r="C28" i="20"/>
  <c r="E28" i="20" s="1"/>
  <c r="K84" i="3"/>
  <c r="O84" i="3" s="1"/>
  <c r="C30" i="20"/>
  <c r="E30" i="20" s="1"/>
  <c r="C25" i="21"/>
  <c r="E25" i="21" s="1"/>
  <c r="C66" i="22"/>
  <c r="E66" i="22" s="1"/>
  <c r="K86" i="3"/>
  <c r="O86" i="3" s="1"/>
  <c r="C68" i="22"/>
  <c r="E68" i="22" s="1"/>
  <c r="C32" i="20"/>
  <c r="E32" i="20" s="1"/>
  <c r="C27" i="21"/>
  <c r="E27" i="21" s="1"/>
  <c r="K88" i="3"/>
  <c r="O88" i="3" s="1"/>
  <c r="C31" i="21"/>
  <c r="E31" i="21" s="1"/>
  <c r="C35" i="20"/>
  <c r="E35" i="20" s="1"/>
  <c r="C72" i="22"/>
  <c r="E72" i="22" s="1"/>
  <c r="K91" i="3"/>
  <c r="O91" i="3" s="1"/>
  <c r="C37" i="21"/>
  <c r="E37" i="21" s="1"/>
  <c r="C78" i="22"/>
  <c r="E78" i="22" s="1"/>
  <c r="C41" i="20"/>
  <c r="E41" i="20" s="1"/>
  <c r="K97" i="3"/>
  <c r="O97" i="3" s="1"/>
  <c r="C80" i="22"/>
  <c r="E80" i="22" s="1"/>
  <c r="C39" i="21"/>
  <c r="E39" i="21" s="1"/>
  <c r="C43" i="20"/>
  <c r="E43" i="20" s="1"/>
  <c r="K99" i="3"/>
  <c r="O99" i="3" s="1"/>
  <c r="H10" i="3"/>
  <c r="I10" i="3" s="1"/>
  <c r="K11" i="3"/>
  <c r="O11" i="3" s="1"/>
  <c r="I21" i="3"/>
  <c r="K26" i="3"/>
  <c r="O26" i="3" s="1"/>
  <c r="K33" i="3"/>
  <c r="O33" i="3" s="1"/>
  <c r="I45" i="3"/>
  <c r="I49" i="3"/>
  <c r="I60" i="3"/>
  <c r="I61" i="3"/>
  <c r="C42" i="22"/>
  <c r="E42" i="22" s="1"/>
  <c r="K64" i="3"/>
  <c r="O64" i="3" s="1"/>
  <c r="I66" i="3"/>
  <c r="I74" i="3"/>
  <c r="I81" i="3"/>
  <c r="C76" i="22"/>
  <c r="E76" i="22" s="1"/>
  <c r="C35" i="21"/>
  <c r="E35" i="21" s="1"/>
  <c r="C39" i="20"/>
  <c r="E39" i="20" s="1"/>
  <c r="K95" i="3"/>
  <c r="O95" i="3" s="1"/>
  <c r="C81" i="22"/>
  <c r="E81" i="22" s="1"/>
  <c r="C44" i="20"/>
  <c r="E44" i="20" s="1"/>
  <c r="C40" i="21"/>
  <c r="E40" i="21" s="1"/>
  <c r="K100" i="3"/>
  <c r="O100" i="3" s="1"/>
  <c r="K12" i="3"/>
  <c r="O12" i="3" s="1"/>
  <c r="K13" i="3"/>
  <c r="O13" i="3" s="1"/>
  <c r="K24" i="3"/>
  <c r="O24" i="3" s="1"/>
  <c r="K31" i="3"/>
  <c r="O31" i="3" s="1"/>
  <c r="K37" i="3"/>
  <c r="O37" i="3" s="1"/>
  <c r="K38" i="3"/>
  <c r="O38" i="3" s="1"/>
  <c r="C21" i="22"/>
  <c r="E21" i="22" s="1"/>
  <c r="K44" i="3"/>
  <c r="O44" i="3" s="1"/>
  <c r="C23" i="22"/>
  <c r="E23" i="22" s="1"/>
  <c r="K46" i="3"/>
  <c r="O46" i="3" s="1"/>
  <c r="C27" i="22"/>
  <c r="E27" i="22" s="1"/>
  <c r="K50" i="3"/>
  <c r="O50" i="3" s="1"/>
  <c r="C59" i="22"/>
  <c r="E59" i="22" s="1"/>
  <c r="C18" i="21"/>
  <c r="E18" i="21" s="1"/>
  <c r="C23" i="20"/>
  <c r="E23" i="20" s="1"/>
  <c r="K79" i="3"/>
  <c r="O79" i="3" s="1"/>
  <c r="K7" i="3"/>
  <c r="O7" i="3" s="1"/>
  <c r="K14" i="3"/>
  <c r="O14" i="3" s="1"/>
  <c r="K15" i="3"/>
  <c r="O15" i="3" s="1"/>
  <c r="K22" i="3"/>
  <c r="O22" i="3" s="1"/>
  <c r="K27" i="3"/>
  <c r="O27" i="3" s="1"/>
  <c r="K29" i="3"/>
  <c r="O29" i="3" s="1"/>
  <c r="K36" i="3"/>
  <c r="O36" i="3" s="1"/>
  <c r="C25" i="22"/>
  <c r="E25" i="22" s="1"/>
  <c r="K48" i="3"/>
  <c r="O48" i="3" s="1"/>
  <c r="C29" i="22"/>
  <c r="E29" i="22" s="1"/>
  <c r="K52" i="3"/>
  <c r="O52" i="3" s="1"/>
  <c r="C40" i="22"/>
  <c r="E40" i="22" s="1"/>
  <c r="K62" i="3"/>
  <c r="O62" i="3" s="1"/>
  <c r="C49" i="22"/>
  <c r="E49" i="22" s="1"/>
  <c r="K70" i="3"/>
  <c r="O70" i="3" s="1"/>
  <c r="C26" i="20"/>
  <c r="E26" i="20" s="1"/>
  <c r="C21" i="21"/>
  <c r="E21" i="21" s="1"/>
  <c r="C62" i="22"/>
  <c r="E62" i="22" s="1"/>
  <c r="K82" i="3"/>
  <c r="O82" i="3" s="1"/>
  <c r="F18" i="22"/>
  <c r="H18" i="22" s="1"/>
  <c r="B57" i="2"/>
  <c r="B58" i="2" s="1"/>
  <c r="B59" i="2" s="1"/>
  <c r="B60" i="2" s="1"/>
  <c r="K16" i="3"/>
  <c r="O16" i="3" s="1"/>
  <c r="K17" i="3"/>
  <c r="O17" i="3" s="1"/>
  <c r="K18" i="3"/>
  <c r="O18" i="3" s="1"/>
  <c r="K19" i="3"/>
  <c r="O19" i="3" s="1"/>
  <c r="K20" i="3"/>
  <c r="O20" i="3" s="1"/>
  <c r="K23" i="3"/>
  <c r="O23" i="3" s="1"/>
  <c r="K30" i="3"/>
  <c r="O30" i="3" s="1"/>
  <c r="I42" i="3"/>
  <c r="I69" i="3"/>
  <c r="C15" i="20"/>
  <c r="E15" i="20" s="1"/>
  <c r="C50" i="22"/>
  <c r="E50" i="22" s="1"/>
  <c r="K71" i="3"/>
  <c r="O71" i="3" s="1"/>
  <c r="I77" i="3"/>
  <c r="K34" i="3"/>
  <c r="O34" i="3" s="1"/>
  <c r="C18" i="22"/>
  <c r="K41" i="3"/>
  <c r="O41" i="3" s="1"/>
  <c r="I55" i="3"/>
  <c r="C46" i="22"/>
  <c r="E46" i="22" s="1"/>
  <c r="K67" i="3"/>
  <c r="O67" i="3" s="1"/>
  <c r="C19" i="20"/>
  <c r="E19" i="20" s="1"/>
  <c r="C54" i="22"/>
  <c r="E54" i="22" s="1"/>
  <c r="K75" i="3"/>
  <c r="O75" i="3" s="1"/>
  <c r="K28" i="3"/>
  <c r="O28" i="3" s="1"/>
  <c r="I39" i="3"/>
  <c r="C20" i="22"/>
  <c r="E20" i="22" s="1"/>
  <c r="K43" i="3"/>
  <c r="O43" i="3" s="1"/>
  <c r="I56" i="3"/>
  <c r="I57" i="3"/>
  <c r="I78" i="3"/>
  <c r="I85" i="3"/>
  <c r="C33" i="21"/>
  <c r="E33" i="21" s="1"/>
  <c r="C37" i="20"/>
  <c r="E37" i="20" s="1"/>
  <c r="C74" i="22"/>
  <c r="E74" i="22" s="1"/>
  <c r="K93" i="3"/>
  <c r="O93" i="3" s="1"/>
  <c r="I94" i="3"/>
  <c r="H6" i="3"/>
  <c r="I6" i="3" s="1"/>
  <c r="I25" i="3"/>
  <c r="I32" i="3"/>
  <c r="K35" i="3"/>
  <c r="O35" i="3" s="1"/>
  <c r="C24" i="22"/>
  <c r="E24" i="22" s="1"/>
  <c r="K47" i="3"/>
  <c r="O47" i="3" s="1"/>
  <c r="C28" i="22"/>
  <c r="E28" i="22" s="1"/>
  <c r="K51" i="3"/>
  <c r="O51" i="3" s="1"/>
  <c r="I54" i="3"/>
  <c r="C41" i="22"/>
  <c r="E41" i="22" s="1"/>
  <c r="K63" i="3"/>
  <c r="O63" i="3" s="1"/>
  <c r="I65" i="3"/>
  <c r="I73" i="3"/>
  <c r="C63" i="22"/>
  <c r="E63" i="22" s="1"/>
  <c r="C22" i="21"/>
  <c r="E22" i="21" s="1"/>
  <c r="C27" i="20"/>
  <c r="E27" i="20" s="1"/>
  <c r="K83" i="3"/>
  <c r="O83" i="3" s="1"/>
  <c r="I89" i="3"/>
  <c r="I92" i="3"/>
  <c r="I96" i="3"/>
  <c r="L81" i="9"/>
  <c r="F12" i="7"/>
  <c r="H12" i="7" s="1"/>
  <c r="F12" i="5"/>
  <c r="H12" i="5" s="1"/>
  <c r="B69" i="2"/>
  <c r="H12" i="6"/>
  <c r="K78" i="9"/>
  <c r="K80" i="9" s="1"/>
  <c r="H15" i="14"/>
  <c r="E70" i="22"/>
  <c r="U70" i="22"/>
  <c r="U27" i="21"/>
  <c r="U29" i="21" s="1"/>
  <c r="S29" i="21"/>
  <c r="E44" i="22"/>
  <c r="Q16" i="21"/>
  <c r="U12" i="21"/>
  <c r="S31" i="22"/>
  <c r="S57" i="22"/>
  <c r="F16" i="21"/>
  <c r="U56" i="22"/>
  <c r="U57" i="22" s="1"/>
  <c r="H14" i="29"/>
  <c r="C45" i="22" l="1"/>
  <c r="E45" i="22" s="1"/>
  <c r="K66" i="3"/>
  <c r="O66" i="3" s="1"/>
  <c r="E14" i="20"/>
  <c r="H14" i="20" s="1"/>
  <c r="F13" i="5"/>
  <c r="H13" i="5" s="1"/>
  <c r="C75" i="22"/>
  <c r="E75" i="22" s="1"/>
  <c r="C38" i="20"/>
  <c r="E38" i="20" s="1"/>
  <c r="C34" i="21"/>
  <c r="E34" i="21" s="1"/>
  <c r="K94" i="3"/>
  <c r="O94" i="3" s="1"/>
  <c r="C35" i="22"/>
  <c r="E35" i="22" s="1"/>
  <c r="K57" i="3"/>
  <c r="O57" i="3" s="1"/>
  <c r="H15" i="29"/>
  <c r="E57" i="22"/>
  <c r="E29" i="21"/>
  <c r="K32" i="3"/>
  <c r="O32" i="3" s="1"/>
  <c r="C34" i="22"/>
  <c r="E34" i="22" s="1"/>
  <c r="K56" i="3"/>
  <c r="O56" i="3" s="1"/>
  <c r="C48" i="22"/>
  <c r="E48" i="22" s="1"/>
  <c r="K69" i="3"/>
  <c r="O69" i="3" s="1"/>
  <c r="K10" i="3"/>
  <c r="O10" i="3" s="1"/>
  <c r="F13" i="17"/>
  <c r="H13" i="17" s="1"/>
  <c r="C77" i="22"/>
  <c r="E77" i="22" s="1"/>
  <c r="C36" i="21"/>
  <c r="E36" i="21" s="1"/>
  <c r="C40" i="20"/>
  <c r="E40" i="20" s="1"/>
  <c r="K96" i="3"/>
  <c r="O96" i="3" s="1"/>
  <c r="C52" i="22"/>
  <c r="E52" i="22" s="1"/>
  <c r="C17" i="20"/>
  <c r="E17" i="20" s="1"/>
  <c r="K73" i="3"/>
  <c r="O73" i="3" s="1"/>
  <c r="K25" i="3"/>
  <c r="O25" i="3" s="1"/>
  <c r="C19" i="22"/>
  <c r="E19" i="22" s="1"/>
  <c r="K42" i="3"/>
  <c r="O42" i="3" s="1"/>
  <c r="F13" i="18"/>
  <c r="H13" i="18" s="1"/>
  <c r="F13" i="16"/>
  <c r="H13" i="16" s="1"/>
  <c r="F13" i="7"/>
  <c r="H13" i="7" s="1"/>
  <c r="F13" i="6"/>
  <c r="H13" i="6" s="1"/>
  <c r="C36" i="20"/>
  <c r="E36" i="20" s="1"/>
  <c r="C73" i="22"/>
  <c r="E73" i="22" s="1"/>
  <c r="C32" i="21"/>
  <c r="E32" i="21" s="1"/>
  <c r="K92" i="3"/>
  <c r="O92" i="3" s="1"/>
  <c r="C44" i="22"/>
  <c r="K65" i="3"/>
  <c r="O65" i="3" s="1"/>
  <c r="C33" i="22"/>
  <c r="E33" i="22" s="1"/>
  <c r="K55" i="3"/>
  <c r="O55" i="3" s="1"/>
  <c r="C39" i="22"/>
  <c r="E39" i="22" s="1"/>
  <c r="K61" i="3"/>
  <c r="O61" i="3" s="1"/>
  <c r="F13" i="15"/>
  <c r="H13" i="15" s="1"/>
  <c r="F19" i="22"/>
  <c r="H19" i="22" s="1"/>
  <c r="U16" i="21"/>
  <c r="C16" i="21" s="1"/>
  <c r="E16" i="21"/>
  <c r="H16" i="21" s="1"/>
  <c r="C70" i="22"/>
  <c r="C29" i="21"/>
  <c r="C33" i="20"/>
  <c r="E33" i="20" s="1"/>
  <c r="K89" i="3"/>
  <c r="O89" i="3" s="1"/>
  <c r="C21" i="20"/>
  <c r="E21" i="20" s="1"/>
  <c r="K77" i="3"/>
  <c r="O77" i="3" s="1"/>
  <c r="C38" i="22"/>
  <c r="E38" i="22" s="1"/>
  <c r="K60" i="3"/>
  <c r="O60" i="3" s="1"/>
  <c r="H16" i="14"/>
  <c r="K39" i="3"/>
  <c r="O39" i="3" s="1"/>
  <c r="C61" i="22"/>
  <c r="E61" i="22" s="1"/>
  <c r="C20" i="21"/>
  <c r="E20" i="21" s="1"/>
  <c r="C25" i="20"/>
  <c r="E25" i="20" s="1"/>
  <c r="K81" i="3"/>
  <c r="O81" i="3" s="1"/>
  <c r="C26" i="22"/>
  <c r="E26" i="22" s="1"/>
  <c r="K49" i="3"/>
  <c r="O49" i="3" s="1"/>
  <c r="K21" i="3"/>
  <c r="O21" i="3" s="1"/>
  <c r="B22" i="2"/>
  <c r="B23" i="2" s="1"/>
  <c r="B24" i="2" s="1"/>
  <c r="B25" i="2" s="1"/>
  <c r="B26" i="2" s="1"/>
  <c r="B27" i="2" s="1"/>
  <c r="B28" i="2" s="1"/>
  <c r="B29" i="2" s="1"/>
  <c r="B30" i="2" s="1"/>
  <c r="B31" i="2" s="1"/>
  <c r="B32" i="2" s="1"/>
  <c r="C32" i="22"/>
  <c r="E32" i="22" s="1"/>
  <c r="K54" i="3"/>
  <c r="O54" i="3" s="1"/>
  <c r="K6" i="3"/>
  <c r="O6" i="3" s="1"/>
  <c r="C58" i="22"/>
  <c r="E58" i="22" s="1"/>
  <c r="C22" i="20"/>
  <c r="E22" i="20" s="1"/>
  <c r="C17" i="21"/>
  <c r="E17" i="21" s="1"/>
  <c r="K78" i="3"/>
  <c r="O78" i="3" s="1"/>
  <c r="C24" i="21"/>
  <c r="E24" i="21" s="1"/>
  <c r="C29" i="20"/>
  <c r="E29" i="20" s="1"/>
  <c r="C65" i="22"/>
  <c r="E65" i="22" s="1"/>
  <c r="K85" i="3"/>
  <c r="O85" i="3" s="1"/>
  <c r="C53" i="22"/>
  <c r="E53" i="22" s="1"/>
  <c r="C18" i="20"/>
  <c r="E18" i="20" s="1"/>
  <c r="K74" i="3"/>
  <c r="O74" i="3" s="1"/>
  <c r="C22" i="22"/>
  <c r="E22" i="22" s="1"/>
  <c r="K45" i="3"/>
  <c r="O45" i="3" s="1"/>
  <c r="F14" i="5" l="1"/>
  <c r="H14" i="5" s="1"/>
  <c r="F14" i="15"/>
  <c r="H14" i="15" s="1"/>
  <c r="F14" i="16"/>
  <c r="H14" i="16" s="1"/>
  <c r="F14" i="18"/>
  <c r="H14" i="18" s="1"/>
  <c r="F14" i="7"/>
  <c r="H14" i="7" s="1"/>
  <c r="F20" i="22"/>
  <c r="H20" i="22" s="1"/>
  <c r="F15" i="20"/>
  <c r="H15" i="20" s="1"/>
  <c r="H16" i="29"/>
  <c r="F17" i="21"/>
  <c r="H17" i="21" s="1"/>
  <c r="F14" i="17"/>
  <c r="H14" i="17" s="1"/>
  <c r="B33" i="2"/>
  <c r="B34" i="2" s="1"/>
  <c r="B35" i="2" s="1"/>
  <c r="B36" i="2" s="1"/>
  <c r="B37" i="2" s="1"/>
  <c r="B38" i="2" s="1"/>
  <c r="B39" i="2" s="1"/>
  <c r="B40" i="2" s="1"/>
  <c r="B41" i="2" s="1"/>
  <c r="B42" i="2" s="1"/>
  <c r="H17" i="14"/>
  <c r="F14" i="6"/>
  <c r="H14" i="6" s="1"/>
  <c r="F15" i="7" l="1"/>
  <c r="H15" i="7" s="1"/>
  <c r="F18" i="21"/>
  <c r="H18" i="21" s="1"/>
  <c r="F15" i="16"/>
  <c r="H15" i="16" s="1"/>
  <c r="F15" i="17"/>
  <c r="H15" i="17" s="1"/>
  <c r="F21" i="22"/>
  <c r="H21" i="22" s="1"/>
  <c r="F15" i="15"/>
  <c r="H15" i="15" s="1"/>
  <c r="H17" i="29"/>
  <c r="F15" i="18"/>
  <c r="H15" i="18" s="1"/>
  <c r="F15" i="5"/>
  <c r="H15" i="5" s="1"/>
  <c r="F16" i="20"/>
  <c r="H16" i="20" s="1"/>
  <c r="H18" i="14"/>
  <c r="B43" i="2"/>
  <c r="B44" i="2" s="1"/>
  <c r="B45" i="2" s="1"/>
  <c r="F15" i="6"/>
  <c r="H15" i="6" s="1"/>
  <c r="F16" i="6" l="1"/>
  <c r="H16" i="6" s="1"/>
  <c r="F16" i="15"/>
  <c r="H16" i="15" s="1"/>
  <c r="F17" i="20"/>
  <c r="H17" i="20" s="1"/>
  <c r="F22" i="22"/>
  <c r="H22" i="22" s="1"/>
  <c r="F16" i="16"/>
  <c r="H16" i="16" s="1"/>
  <c r="F16" i="5"/>
  <c r="H16" i="5" s="1"/>
  <c r="F19" i="21"/>
  <c r="H19" i="21" s="1"/>
  <c r="F16" i="18"/>
  <c r="H16" i="18" s="1"/>
  <c r="F16" i="17"/>
  <c r="H16" i="17" s="1"/>
  <c r="F16" i="7"/>
  <c r="H16" i="7" s="1"/>
  <c r="B46" i="2"/>
  <c r="B47" i="2" s="1"/>
  <c r="B48" i="2" s="1"/>
  <c r="H19" i="14"/>
  <c r="H18" i="29"/>
  <c r="F17" i="7" l="1"/>
  <c r="H17" i="7" s="1"/>
  <c r="F17" i="6"/>
  <c r="H17" i="6" s="1"/>
  <c r="F17" i="15"/>
  <c r="H17" i="15" s="1"/>
  <c r="F17" i="18"/>
  <c r="H17" i="18" s="1"/>
  <c r="F17" i="17"/>
  <c r="H17" i="17" s="1"/>
  <c r="F23" i="22"/>
  <c r="H23" i="22"/>
  <c r="H19" i="29"/>
  <c r="H20" i="14"/>
  <c r="F17" i="5"/>
  <c r="H17" i="5" s="1"/>
  <c r="F18" i="20"/>
  <c r="H18" i="20" s="1"/>
  <c r="F17" i="16"/>
  <c r="H17" i="16" s="1"/>
  <c r="F20" i="21"/>
  <c r="H20" i="21" s="1"/>
  <c r="F18" i="5" l="1"/>
  <c r="H18" i="5" s="1"/>
  <c r="F19" i="20"/>
  <c r="H19" i="20" s="1"/>
  <c r="F18" i="16"/>
  <c r="H18" i="16" s="1"/>
  <c r="F18" i="6"/>
  <c r="H18" i="6" s="1"/>
  <c r="H21" i="14"/>
  <c r="F24" i="22"/>
  <c r="H24" i="22" s="1"/>
  <c r="F18" i="17"/>
  <c r="H18" i="17" s="1"/>
  <c r="F18" i="18"/>
  <c r="H18" i="18" s="1"/>
  <c r="F18" i="7"/>
  <c r="H18" i="7" s="1"/>
  <c r="H20" i="29"/>
  <c r="F21" i="21"/>
  <c r="H21" i="21" s="1"/>
  <c r="F18" i="15"/>
  <c r="H18" i="15" s="1"/>
  <c r="F25" i="22" l="1"/>
  <c r="H25" i="22" s="1"/>
  <c r="F19" i="7"/>
  <c r="H19" i="7" s="1"/>
  <c r="F19" i="17"/>
  <c r="H19" i="17" s="1"/>
  <c r="F19" i="5"/>
  <c r="H19" i="5" s="1"/>
  <c r="F20" i="20"/>
  <c r="H20" i="20" s="1"/>
  <c r="F19" i="6"/>
  <c r="H19" i="6" s="1"/>
  <c r="F19" i="18"/>
  <c r="H19" i="18" s="1"/>
  <c r="F22" i="21"/>
  <c r="H22" i="21" s="1"/>
  <c r="H21" i="29"/>
  <c r="H22" i="14"/>
  <c r="F19" i="15"/>
  <c r="H19" i="15" s="1"/>
  <c r="F19" i="16"/>
  <c r="H19" i="16" s="1"/>
  <c r="F20" i="7" l="1"/>
  <c r="H20" i="7" s="1"/>
  <c r="F20" i="5"/>
  <c r="H20" i="5" s="1"/>
  <c r="F23" i="21"/>
  <c r="H23" i="21" s="1"/>
  <c r="F20" i="15"/>
  <c r="H20" i="15" s="1"/>
  <c r="F20" i="18"/>
  <c r="H20" i="18" s="1"/>
  <c r="F20" i="17"/>
  <c r="H20" i="17" s="1"/>
  <c r="F20" i="6"/>
  <c r="H20" i="6" s="1"/>
  <c r="F20" i="16"/>
  <c r="H20" i="16" s="1"/>
  <c r="H22" i="29"/>
  <c r="F21" i="20"/>
  <c r="H21" i="20" s="1"/>
  <c r="F26" i="22"/>
  <c r="H26" i="22" s="1"/>
  <c r="H23" i="14"/>
  <c r="F21" i="7" l="1"/>
  <c r="H21" i="7"/>
  <c r="F21" i="5"/>
  <c r="H21" i="5" s="1"/>
  <c r="F21" i="16"/>
  <c r="H21" i="16" s="1"/>
  <c r="F24" i="21"/>
  <c r="H24" i="21" s="1"/>
  <c r="F27" i="22"/>
  <c r="H27" i="22" s="1"/>
  <c r="F21" i="17"/>
  <c r="H21" i="17" s="1"/>
  <c r="F21" i="15"/>
  <c r="H21" i="15" s="1"/>
  <c r="F21" i="6"/>
  <c r="H21" i="6" s="1"/>
  <c r="H23" i="29"/>
  <c r="F22" i="20"/>
  <c r="H22" i="20" s="1"/>
  <c r="H24" i="14"/>
  <c r="F21" i="18"/>
  <c r="H21" i="18" s="1"/>
  <c r="F22" i="16" l="1"/>
  <c r="H22" i="16" s="1"/>
  <c r="F22" i="18"/>
  <c r="H22" i="18" s="1"/>
  <c r="F22" i="15"/>
  <c r="H22" i="15" s="1"/>
  <c r="F22" i="5"/>
  <c r="H22" i="5" s="1"/>
  <c r="F28" i="22"/>
  <c r="H28" i="22" s="1"/>
  <c r="F25" i="21"/>
  <c r="H25" i="21" s="1"/>
  <c r="H25" i="14"/>
  <c r="F22" i="6"/>
  <c r="H22" i="6" s="1"/>
  <c r="F22" i="7"/>
  <c r="H22" i="7" s="1"/>
  <c r="H24" i="29"/>
  <c r="F22" i="17"/>
  <c r="H22" i="17" s="1"/>
  <c r="F23" i="20"/>
  <c r="H23" i="20" s="1"/>
  <c r="F23" i="16" l="1"/>
  <c r="H23" i="16" s="1"/>
  <c r="F23" i="15"/>
  <c r="H23" i="15" s="1"/>
  <c r="F23" i="17"/>
  <c r="H23" i="17" s="1"/>
  <c r="F23" i="7"/>
  <c r="H23" i="7" s="1"/>
  <c r="F23" i="5"/>
  <c r="H23" i="5" s="1"/>
  <c r="F23" i="6"/>
  <c r="H23" i="6" s="1"/>
  <c r="F29" i="22"/>
  <c r="H29" i="22" s="1"/>
  <c r="F23" i="18"/>
  <c r="H23" i="18" s="1"/>
  <c r="F26" i="21"/>
  <c r="H26" i="21" s="1"/>
  <c r="H25" i="29"/>
  <c r="F24" i="20"/>
  <c r="H24" i="20" s="1"/>
  <c r="H26" i="14"/>
  <c r="H24" i="17" l="1"/>
  <c r="F25" i="20"/>
  <c r="H25" i="20" s="1"/>
  <c r="F27" i="21"/>
  <c r="H27" i="21" s="1"/>
  <c r="H24" i="6"/>
  <c r="H24" i="15"/>
  <c r="F24" i="7"/>
  <c r="H24" i="7" s="1"/>
  <c r="H24" i="16"/>
  <c r="H24" i="18"/>
  <c r="H24" i="5"/>
  <c r="H26" i="29"/>
  <c r="H30" i="22"/>
  <c r="H27" i="14"/>
  <c r="F25" i="7" l="1"/>
  <c r="H25" i="7" s="1"/>
  <c r="H28" i="21"/>
  <c r="F26" i="20"/>
  <c r="H26" i="20" s="1"/>
  <c r="F25" i="18"/>
  <c r="H25" i="18" s="1"/>
  <c r="F31" i="22"/>
  <c r="H31" i="22" s="1"/>
  <c r="F25" i="6"/>
  <c r="H25" i="6" s="1"/>
  <c r="F25" i="5"/>
  <c r="H25" i="5" s="1"/>
  <c r="F25" i="15"/>
  <c r="H25" i="15" s="1"/>
  <c r="H28" i="14"/>
  <c r="F25" i="16"/>
  <c r="H25" i="16" s="1"/>
  <c r="F25" i="17"/>
  <c r="H25" i="17" s="1"/>
  <c r="H27" i="29"/>
  <c r="H26" i="7" l="1"/>
  <c r="F27" i="20"/>
  <c r="H27" i="20" s="1"/>
  <c r="F32" i="22"/>
  <c r="H32" i="22" s="1"/>
  <c r="H29" i="14"/>
  <c r="F26" i="6"/>
  <c r="H26" i="6" s="1"/>
  <c r="F26" i="17"/>
  <c r="H26" i="17" s="1"/>
  <c r="F26" i="5"/>
  <c r="H26" i="5" s="1"/>
  <c r="F26" i="16"/>
  <c r="H26" i="16" s="1"/>
  <c r="F26" i="15"/>
  <c r="H26" i="15" s="1"/>
  <c r="F26" i="18"/>
  <c r="H26" i="18" s="1"/>
  <c r="F29" i="21"/>
  <c r="H29" i="21" s="1"/>
  <c r="H28" i="29"/>
  <c r="F27" i="17" l="1"/>
  <c r="H27" i="17" s="1"/>
  <c r="F27" i="5"/>
  <c r="H27" i="5" s="1"/>
  <c r="F33" i="22"/>
  <c r="H33" i="22" s="1"/>
  <c r="F30" i="21"/>
  <c r="H30" i="21" s="1"/>
  <c r="H29" i="29"/>
  <c r="F27" i="15"/>
  <c r="H27" i="15" s="1"/>
  <c r="F27" i="6"/>
  <c r="H27" i="6" s="1"/>
  <c r="F27" i="18"/>
  <c r="H27" i="18" s="1"/>
  <c r="F27" i="16"/>
  <c r="H27" i="16" s="1"/>
  <c r="H30" i="14"/>
  <c r="F28" i="20"/>
  <c r="H28" i="20" s="1"/>
  <c r="F27" i="7"/>
  <c r="H27" i="7" s="1"/>
  <c r="F29" i="20" l="1"/>
  <c r="H29" i="20" s="1"/>
  <c r="F28" i="5"/>
  <c r="H28" i="5" s="1"/>
  <c r="F28" i="17"/>
  <c r="H28" i="17" s="1"/>
  <c r="F28" i="7"/>
  <c r="H28" i="7" s="1"/>
  <c r="H30" i="29"/>
  <c r="F28" i="15"/>
  <c r="H28" i="15" s="1"/>
  <c r="F28" i="16"/>
  <c r="H28" i="16" s="1"/>
  <c r="F31" i="21"/>
  <c r="H31" i="21" s="1"/>
  <c r="F34" i="22"/>
  <c r="H34" i="22" s="1"/>
  <c r="F28" i="18"/>
  <c r="H28" i="18" s="1"/>
  <c r="F28" i="6"/>
  <c r="H28" i="6" s="1"/>
  <c r="H31" i="14"/>
  <c r="F35" i="22" l="1"/>
  <c r="H35" i="22" s="1"/>
  <c r="F29" i="6"/>
  <c r="H29" i="6" s="1"/>
  <c r="F30" i="20"/>
  <c r="H30" i="20" s="1"/>
  <c r="F29" i="5"/>
  <c r="H29" i="5" s="1"/>
  <c r="F29" i="15"/>
  <c r="H29" i="15" s="1"/>
  <c r="F29" i="18"/>
  <c r="H29" i="18" s="1"/>
  <c r="F29" i="16"/>
  <c r="H29" i="16" s="1"/>
  <c r="H31" i="29"/>
  <c r="F29" i="17"/>
  <c r="H29" i="17" s="1"/>
  <c r="H32" i="14"/>
  <c r="F32" i="21"/>
  <c r="H32" i="21" s="1"/>
  <c r="F29" i="7"/>
  <c r="H29" i="7" s="1"/>
  <c r="F31" i="20" l="1"/>
  <c r="H31" i="20" s="1"/>
  <c r="F30" i="17"/>
  <c r="H30" i="17" s="1"/>
  <c r="F30" i="7"/>
  <c r="H30" i="7" s="1"/>
  <c r="F30" i="16"/>
  <c r="H30" i="16" s="1"/>
  <c r="F30" i="18"/>
  <c r="H30" i="18" s="1"/>
  <c r="F30" i="6"/>
  <c r="H30" i="6" s="1"/>
  <c r="H33" i="14"/>
  <c r="H34" i="14" s="1"/>
  <c r="F36" i="22"/>
  <c r="H36" i="22" s="1"/>
  <c r="H32" i="29"/>
  <c r="F33" i="21"/>
  <c r="H33" i="21" s="1"/>
  <c r="F30" i="15"/>
  <c r="H30" i="15" s="1"/>
  <c r="F30" i="5"/>
  <c r="H30" i="5" s="1"/>
  <c r="F31" i="7" l="1"/>
  <c r="H31" i="7" s="1"/>
  <c r="F32" i="20"/>
  <c r="H32" i="20" s="1"/>
  <c r="F31" i="17"/>
  <c r="H31" i="17" s="1"/>
  <c r="F34" i="21"/>
  <c r="H34" i="21" s="1"/>
  <c r="F37" i="22"/>
  <c r="H37" i="22" s="1"/>
  <c r="F31" i="18"/>
  <c r="H31" i="18" s="1"/>
  <c r="F31" i="15"/>
  <c r="H31" i="15" s="1"/>
  <c r="F31" i="6"/>
  <c r="H31" i="6" s="1"/>
  <c r="H33" i="29"/>
  <c r="H34" i="29" s="1"/>
  <c r="F31" i="16"/>
  <c r="H31" i="16" s="1"/>
  <c r="H35" i="14"/>
  <c r="F31" i="5"/>
  <c r="H31" i="5" s="1"/>
  <c r="F32" i="6" l="1"/>
  <c r="H32" i="6" s="1"/>
  <c r="F32" i="16"/>
  <c r="H32" i="16" s="1"/>
  <c r="F32" i="7"/>
  <c r="H32" i="7" s="1"/>
  <c r="H35" i="29"/>
  <c r="F33" i="20"/>
  <c r="H33" i="20" s="1"/>
  <c r="F32" i="17"/>
  <c r="H32" i="17" s="1"/>
  <c r="F32" i="15"/>
  <c r="H32" i="15" s="1"/>
  <c r="F38" i="22"/>
  <c r="H38" i="22" s="1"/>
  <c r="F32" i="5"/>
  <c r="H32" i="5" s="1"/>
  <c r="F32" i="18"/>
  <c r="H32" i="18" s="1"/>
  <c r="F35" i="21"/>
  <c r="H35" i="21" s="1"/>
  <c r="H36" i="14"/>
  <c r="F33" i="18" l="1"/>
  <c r="H33" i="18" s="1"/>
  <c r="F33" i="7"/>
  <c r="H33" i="7" s="1"/>
  <c r="F33" i="6"/>
  <c r="H33" i="6" s="1"/>
  <c r="F34" i="20"/>
  <c r="H34" i="20" s="1"/>
  <c r="F33" i="5"/>
  <c r="H33" i="5" s="1"/>
  <c r="F39" i="22"/>
  <c r="H39" i="22" s="1"/>
  <c r="F33" i="16"/>
  <c r="H33" i="16" s="1"/>
  <c r="H37" i="14"/>
  <c r="F33" i="17"/>
  <c r="H33" i="17" s="1"/>
  <c r="F33" i="15"/>
  <c r="H33" i="15" s="1"/>
  <c r="H36" i="29"/>
  <c r="F36" i="21"/>
  <c r="H36" i="21" s="1"/>
  <c r="F34" i="16" l="1"/>
  <c r="H34" i="16" s="1"/>
  <c r="F40" i="22"/>
  <c r="H40" i="22" s="1"/>
  <c r="F37" i="21"/>
  <c r="H37" i="21" s="1"/>
  <c r="F34" i="17"/>
  <c r="H34" i="17"/>
  <c r="F34" i="6"/>
  <c r="H34" i="6" s="1"/>
  <c r="H37" i="29"/>
  <c r="H38" i="14"/>
  <c r="F34" i="5"/>
  <c r="H34" i="5" s="1"/>
  <c r="F34" i="18"/>
  <c r="H34" i="18" s="1"/>
  <c r="F35" i="20"/>
  <c r="H35" i="20" s="1"/>
  <c r="F34" i="15"/>
  <c r="H34" i="15" s="1"/>
  <c r="F34" i="7"/>
  <c r="H34" i="7" s="1"/>
  <c r="F41" i="22" l="1"/>
  <c r="H41" i="22" s="1"/>
  <c r="H35" i="5"/>
  <c r="H35" i="6"/>
  <c r="F35" i="7"/>
  <c r="H35" i="7" s="1"/>
  <c r="F38" i="21"/>
  <c r="H38" i="21" s="1"/>
  <c r="F35" i="17"/>
  <c r="H35" i="17" s="1"/>
  <c r="F35" i="15"/>
  <c r="H35" i="15" s="1"/>
  <c r="F35" i="16"/>
  <c r="H35" i="16" s="1"/>
  <c r="F35" i="18"/>
  <c r="H35" i="18" s="1"/>
  <c r="F36" i="20"/>
  <c r="H36" i="20" s="1"/>
  <c r="H38" i="29"/>
  <c r="H39" i="14"/>
  <c r="F36" i="15" l="1"/>
  <c r="H36" i="15" s="1"/>
  <c r="F42" i="22"/>
  <c r="H42" i="22" s="1"/>
  <c r="F36" i="16"/>
  <c r="H36" i="16" s="1"/>
  <c r="F37" i="20"/>
  <c r="H37" i="20" s="1"/>
  <c r="F36" i="7"/>
  <c r="H36" i="7" s="1"/>
  <c r="F36" i="18"/>
  <c r="H36" i="18" s="1"/>
  <c r="F36" i="17"/>
  <c r="H36" i="17" s="1"/>
  <c r="F39" i="21"/>
  <c r="H39" i="21" s="1"/>
  <c r="F36" i="5"/>
  <c r="H36" i="5" s="1"/>
  <c r="H40" i="14"/>
  <c r="H39" i="29"/>
  <c r="F36" i="6"/>
  <c r="H36" i="6" s="1"/>
  <c r="F37" i="7" l="1"/>
  <c r="H37" i="7" s="1"/>
  <c r="F38" i="20"/>
  <c r="H38" i="20" s="1"/>
  <c r="F37" i="6"/>
  <c r="H37" i="6" s="1"/>
  <c r="H43" i="22"/>
  <c r="F37" i="15"/>
  <c r="H37" i="15" s="1"/>
  <c r="H41" i="14"/>
  <c r="F37" i="17"/>
  <c r="H37" i="17"/>
  <c r="H40" i="29"/>
  <c r="F40" i="21"/>
  <c r="H40" i="21" s="1"/>
  <c r="F37" i="16"/>
  <c r="H37" i="16" s="1"/>
  <c r="F37" i="5"/>
  <c r="H37" i="5" s="1"/>
  <c r="F37" i="18"/>
  <c r="H37" i="18" s="1"/>
  <c r="F38" i="7" l="1"/>
  <c r="H38" i="7" s="1"/>
  <c r="F38" i="6"/>
  <c r="H38" i="6" s="1"/>
  <c r="F39" i="20"/>
  <c r="H39" i="20" s="1"/>
  <c r="H38" i="18"/>
  <c r="H41" i="29"/>
  <c r="H38" i="17"/>
  <c r="H38" i="16"/>
  <c r="F44" i="22"/>
  <c r="H44" i="22" s="1"/>
  <c r="F38" i="5"/>
  <c r="H38" i="5" s="1"/>
  <c r="H38" i="15"/>
  <c r="H42" i="14"/>
  <c r="F45" i="22" l="1"/>
  <c r="H45" i="22" s="1"/>
  <c r="H39" i="7"/>
  <c r="F39" i="6"/>
  <c r="H39" i="6" s="1"/>
  <c r="F39" i="5"/>
  <c r="H39" i="5" s="1"/>
  <c r="H43" i="14"/>
  <c r="H42" i="29"/>
  <c r="F39" i="16"/>
  <c r="H39" i="16" s="1"/>
  <c r="F40" i="20"/>
  <c r="H40" i="20" s="1"/>
  <c r="F39" i="15"/>
  <c r="H39" i="15" s="1"/>
  <c r="F39" i="18"/>
  <c r="H39" i="18" s="1"/>
  <c r="F39" i="17"/>
  <c r="H39" i="17" s="1"/>
  <c r="F40" i="17" l="1"/>
  <c r="H40" i="17" s="1"/>
  <c r="F40" i="16"/>
  <c r="H40" i="16" s="1"/>
  <c r="F40" i="15"/>
  <c r="H40" i="15" s="1"/>
  <c r="F40" i="5"/>
  <c r="H40" i="5" s="1"/>
  <c r="F40" i="6"/>
  <c r="H40" i="6" s="1"/>
  <c r="F46" i="22"/>
  <c r="H46" i="22" s="1"/>
  <c r="F40" i="18"/>
  <c r="H40" i="18"/>
  <c r="H43" i="29"/>
  <c r="H44" i="29" s="1"/>
  <c r="F41" i="20"/>
  <c r="H41" i="20" s="1"/>
  <c r="H44" i="14"/>
  <c r="F40" i="7"/>
  <c r="H40" i="7" s="1"/>
  <c r="F41" i="6" l="1"/>
  <c r="H41" i="6" s="1"/>
  <c r="F41" i="17"/>
  <c r="H41" i="17" s="1"/>
  <c r="F41" i="7"/>
  <c r="H41" i="7" s="1"/>
  <c r="F42" i="20"/>
  <c r="H42" i="20" s="1"/>
  <c r="F47" i="22"/>
  <c r="H47" i="22" s="1"/>
  <c r="F41" i="16"/>
  <c r="H41" i="16" s="1"/>
  <c r="F41" i="15"/>
  <c r="H41" i="15" s="1"/>
  <c r="F41" i="5"/>
  <c r="H41" i="5" s="1"/>
  <c r="H45" i="14"/>
  <c r="F41" i="18"/>
  <c r="H41" i="18" s="1"/>
  <c r="H45" i="29"/>
  <c r="F48" i="22" l="1"/>
  <c r="H48" i="22" s="1"/>
  <c r="F42" i="18"/>
  <c r="H42" i="18" s="1"/>
  <c r="F42" i="15"/>
  <c r="H42" i="15" s="1"/>
  <c r="F42" i="7"/>
  <c r="H42" i="7" s="1"/>
  <c r="F42" i="16"/>
  <c r="H42" i="16" s="1"/>
  <c r="F42" i="6"/>
  <c r="H42" i="6" s="1"/>
  <c r="F42" i="5"/>
  <c r="H42" i="5" s="1"/>
  <c r="F42" i="17"/>
  <c r="H42" i="17" s="1"/>
  <c r="H46" i="14"/>
  <c r="H46" i="29"/>
  <c r="F43" i="20"/>
  <c r="H43" i="20" s="1"/>
  <c r="F43" i="16" l="1"/>
  <c r="H43" i="16" s="1"/>
  <c r="F43" i="7"/>
  <c r="H43" i="7" s="1"/>
  <c r="F49" i="22"/>
  <c r="H49" i="22" s="1"/>
  <c r="F43" i="17"/>
  <c r="H43" i="17" s="1"/>
  <c r="F43" i="18"/>
  <c r="H43" i="18" s="1"/>
  <c r="F43" i="15"/>
  <c r="H43" i="15" s="1"/>
  <c r="F44" i="20"/>
  <c r="H44" i="20" s="1"/>
  <c r="F43" i="5"/>
  <c r="H43" i="5" s="1"/>
  <c r="H47" i="29"/>
  <c r="F43" i="6"/>
  <c r="H43" i="6" s="1"/>
  <c r="H47" i="14"/>
  <c r="F44" i="18" l="1"/>
  <c r="H44" i="18" s="1"/>
  <c r="F44" i="15"/>
  <c r="H44" i="15" s="1"/>
  <c r="F50" i="22"/>
  <c r="H50" i="22" s="1"/>
  <c r="F44" i="5"/>
  <c r="H44" i="5" s="1"/>
  <c r="F44" i="6"/>
  <c r="H44" i="6" s="1"/>
  <c r="F44" i="17"/>
  <c r="H44" i="17" s="1"/>
  <c r="H48" i="29"/>
  <c r="F44" i="16"/>
  <c r="H44" i="16" s="1"/>
  <c r="F44" i="7"/>
  <c r="H44" i="7" s="1"/>
  <c r="H48" i="14"/>
  <c r="F45" i="7" l="1"/>
  <c r="H45" i="7" s="1"/>
  <c r="F45" i="15"/>
  <c r="H45" i="15" s="1"/>
  <c r="F45" i="16"/>
  <c r="H45" i="16" s="1"/>
  <c r="F45" i="18"/>
  <c r="H45" i="18" s="1"/>
  <c r="F51" i="22"/>
  <c r="H51" i="22" s="1"/>
  <c r="F45" i="6"/>
  <c r="H45" i="6" s="1"/>
  <c r="F45" i="5"/>
  <c r="H45" i="5" s="1"/>
  <c r="F45" i="17"/>
  <c r="H45" i="17" s="1"/>
  <c r="H49" i="14"/>
  <c r="H49" i="29"/>
  <c r="F46" i="16" l="1"/>
  <c r="H46" i="16" s="1"/>
  <c r="F46" i="15"/>
  <c r="H46" i="15" s="1"/>
  <c r="F52" i="22"/>
  <c r="H52" i="22" s="1"/>
  <c r="F46" i="5"/>
  <c r="H46" i="5" s="1"/>
  <c r="F46" i="17"/>
  <c r="H46" i="17" s="1"/>
  <c r="H50" i="29"/>
  <c r="F46" i="7"/>
  <c r="H46" i="7" s="1"/>
  <c r="H50" i="14"/>
  <c r="F46" i="6"/>
  <c r="H46" i="6" s="1"/>
  <c r="F46" i="18"/>
  <c r="H46" i="18" s="1"/>
  <c r="F47" i="6" l="1"/>
  <c r="H47" i="6" s="1"/>
  <c r="F47" i="16"/>
  <c r="H47" i="16" s="1"/>
  <c r="F53" i="22"/>
  <c r="H53" i="22" s="1"/>
  <c r="F47" i="7"/>
  <c r="H47" i="7" s="1"/>
  <c r="F47" i="15"/>
  <c r="H47" i="15" s="1"/>
  <c r="F47" i="18"/>
  <c r="H47" i="18" s="1"/>
  <c r="H51" i="29"/>
  <c r="H51" i="14"/>
  <c r="F47" i="5"/>
  <c r="H47" i="5" s="1"/>
  <c r="F47" i="17"/>
  <c r="H47" i="17" s="1"/>
  <c r="F48" i="15" l="1"/>
  <c r="H48" i="15" s="1"/>
  <c r="H48" i="5"/>
  <c r="F54" i="22"/>
  <c r="H54" i="22" s="1"/>
  <c r="H48" i="6"/>
  <c r="F48" i="18"/>
  <c r="H48" i="18" s="1"/>
  <c r="H52" i="29"/>
  <c r="F48" i="16"/>
  <c r="H48" i="16" s="1"/>
  <c r="F48" i="7"/>
  <c r="H48" i="7" s="1"/>
  <c r="H52" i="14"/>
  <c r="F48" i="17"/>
  <c r="H48" i="17" s="1"/>
  <c r="F49" i="7" l="1"/>
  <c r="H49" i="7" s="1"/>
  <c r="F49" i="16"/>
  <c r="H49" i="16" s="1"/>
  <c r="F55" i="22"/>
  <c r="H55" i="22" s="1"/>
  <c r="F49" i="15"/>
  <c r="H49" i="15" s="1"/>
  <c r="H53" i="14"/>
  <c r="H54" i="14" s="1"/>
  <c r="F49" i="6"/>
  <c r="H49" i="6" s="1"/>
  <c r="F49" i="5"/>
  <c r="H49" i="5" s="1"/>
  <c r="H53" i="29"/>
  <c r="F49" i="18"/>
  <c r="H49" i="18" s="1"/>
  <c r="F49" i="17"/>
  <c r="H49" i="17" s="1"/>
  <c r="H50" i="18" l="1"/>
  <c r="H50" i="16"/>
  <c r="H50" i="15"/>
  <c r="F50" i="5"/>
  <c r="H50" i="5" s="1"/>
  <c r="F50" i="6"/>
  <c r="H50" i="6" s="1"/>
  <c r="H50" i="17"/>
  <c r="F50" i="7"/>
  <c r="H50" i="7" s="1"/>
  <c r="H55" i="14"/>
  <c r="H56" i="22"/>
  <c r="H54" i="29"/>
  <c r="F51" i="6" l="1"/>
  <c r="H51" i="6" s="1"/>
  <c r="F51" i="5"/>
  <c r="H51" i="5" s="1"/>
  <c r="F51" i="7"/>
  <c r="H51" i="7" s="1"/>
  <c r="F51" i="15"/>
  <c r="H51" i="15" s="1"/>
  <c r="F51" i="16"/>
  <c r="H51" i="16" s="1"/>
  <c r="H56" i="14"/>
  <c r="F51" i="17"/>
  <c r="H51" i="17" s="1"/>
  <c r="F57" i="22"/>
  <c r="H57" i="22" s="1"/>
  <c r="F51" i="18"/>
  <c r="H51" i="18" s="1"/>
  <c r="H52" i="7" l="1"/>
  <c r="F52" i="18"/>
  <c r="H52" i="18" s="1"/>
  <c r="F52" i="17"/>
  <c r="H52" i="17" s="1"/>
  <c r="F52" i="6"/>
  <c r="H52" i="6" s="1"/>
  <c r="F58" i="22"/>
  <c r="H58" i="22" s="1"/>
  <c r="H57" i="14"/>
  <c r="F52" i="5"/>
  <c r="H52" i="5" s="1"/>
  <c r="F52" i="15"/>
  <c r="H52" i="15" s="1"/>
  <c r="F52" i="16"/>
  <c r="H52" i="16" s="1"/>
  <c r="F53" i="18" l="1"/>
  <c r="H53" i="18" s="1"/>
  <c r="F53" i="16"/>
  <c r="H53" i="16" s="1"/>
  <c r="F59" i="22"/>
  <c r="H59" i="22" s="1"/>
  <c r="F53" i="6"/>
  <c r="H53" i="6" s="1"/>
  <c r="F53" i="7"/>
  <c r="H53" i="7" s="1"/>
  <c r="F53" i="5"/>
  <c r="H53" i="5" s="1"/>
  <c r="F53" i="15"/>
  <c r="H53" i="15" s="1"/>
  <c r="H58" i="14"/>
  <c r="F53" i="17"/>
  <c r="H53" i="17" s="1"/>
  <c r="F54" i="16" l="1"/>
  <c r="H54" i="16" s="1"/>
  <c r="F54" i="6"/>
  <c r="H54" i="6" s="1"/>
  <c r="F54" i="15"/>
  <c r="H54" i="15" s="1"/>
  <c r="F60" i="22"/>
  <c r="H60" i="22" s="1"/>
  <c r="H59" i="14"/>
  <c r="F54" i="5"/>
  <c r="H54" i="5" s="1"/>
  <c r="F54" i="7"/>
  <c r="H54" i="7" s="1"/>
  <c r="F54" i="17"/>
  <c r="H54" i="17" s="1"/>
  <c r="F54" i="18"/>
  <c r="H54" i="18" s="1"/>
  <c r="F55" i="15" l="1"/>
  <c r="H55" i="15" s="1"/>
  <c r="F55" i="18"/>
  <c r="H55" i="18" s="1"/>
  <c r="F55" i="5"/>
  <c r="H55" i="5" s="1"/>
  <c r="F55" i="7"/>
  <c r="H55" i="7" s="1"/>
  <c r="F55" i="6"/>
  <c r="H55" i="6" s="1"/>
  <c r="F61" i="22"/>
  <c r="H61" i="22" s="1"/>
  <c r="F55" i="17"/>
  <c r="H55" i="17" s="1"/>
  <c r="F55" i="16"/>
  <c r="H55" i="16" s="1"/>
  <c r="H60" i="14"/>
  <c r="F56" i="18" l="1"/>
  <c r="H56" i="18" s="1"/>
  <c r="F56" i="7"/>
  <c r="H56" i="7" s="1"/>
  <c r="F62" i="22"/>
  <c r="H62" i="22" s="1"/>
  <c r="F56" i="17"/>
  <c r="H56" i="17" s="1"/>
  <c r="F56" i="15"/>
  <c r="H56" i="15" s="1"/>
  <c r="F56" i="16"/>
  <c r="H56" i="16" s="1"/>
  <c r="F56" i="6"/>
  <c r="H56" i="6" s="1"/>
  <c r="H61" i="14"/>
  <c r="F56" i="5"/>
  <c r="H56" i="5" s="1"/>
  <c r="F57" i="17" l="1"/>
  <c r="H57" i="17" s="1"/>
  <c r="F57" i="5"/>
  <c r="H57" i="5" s="1"/>
  <c r="F63" i="22"/>
  <c r="H63" i="22" s="1"/>
  <c r="F57" i="7"/>
  <c r="H57" i="7" s="1"/>
  <c r="F57" i="6"/>
  <c r="H57" i="6" s="1"/>
  <c r="F57" i="18"/>
  <c r="H57" i="18" s="1"/>
  <c r="F57" i="16"/>
  <c r="H57" i="16" s="1"/>
  <c r="F57" i="15"/>
  <c r="H57" i="15" s="1"/>
  <c r="H62" i="14"/>
  <c r="F58" i="15" l="1"/>
  <c r="H58" i="15" s="1"/>
  <c r="F58" i="16"/>
  <c r="H58" i="16" s="1"/>
  <c r="F58" i="7"/>
  <c r="H58" i="7" s="1"/>
  <c r="F58" i="18"/>
  <c r="H58" i="18" s="1"/>
  <c r="F58" i="5"/>
  <c r="H58" i="5" s="1"/>
  <c r="F64" i="22"/>
  <c r="H64" i="22" s="1"/>
  <c r="F58" i="17"/>
  <c r="H58" i="17"/>
  <c r="F58" i="6"/>
  <c r="H58" i="6" s="1"/>
  <c r="H63" i="14"/>
  <c r="H64" i="14" s="1"/>
  <c r="F59" i="16" l="1"/>
  <c r="H59" i="16" s="1"/>
  <c r="F59" i="18"/>
  <c r="H59" i="18" s="1"/>
  <c r="F65" i="22"/>
  <c r="H65" i="22" s="1"/>
  <c r="F59" i="15"/>
  <c r="H59" i="15" s="1"/>
  <c r="F59" i="6"/>
  <c r="H59" i="6" s="1"/>
  <c r="H65" i="14"/>
  <c r="F59" i="7"/>
  <c r="H59" i="7" s="1"/>
  <c r="F59" i="17"/>
  <c r="H59" i="17" s="1"/>
  <c r="F59" i="5"/>
  <c r="H59" i="5" s="1"/>
  <c r="F66" i="22" l="1"/>
  <c r="H66" i="22" s="1"/>
  <c r="F60" i="5"/>
  <c r="H60" i="5" s="1"/>
  <c r="F60" i="6"/>
  <c r="H60" i="6" s="1"/>
  <c r="F60" i="17"/>
  <c r="H60" i="17" s="1"/>
  <c r="F60" i="7"/>
  <c r="H60" i="7" s="1"/>
  <c r="F60" i="16"/>
  <c r="H60" i="16" s="1"/>
  <c r="F60" i="18"/>
  <c r="H60" i="18" s="1"/>
  <c r="H66" i="14"/>
  <c r="F60" i="15"/>
  <c r="H60" i="15" s="1"/>
  <c r="F61" i="5" l="1"/>
  <c r="H61" i="5" s="1"/>
  <c r="F61" i="7"/>
  <c r="H61" i="7" s="1"/>
  <c r="F61" i="17"/>
  <c r="H61" i="17" s="1"/>
  <c r="F61" i="16"/>
  <c r="H61" i="16" s="1"/>
  <c r="F61" i="18"/>
  <c r="H61" i="18" s="1"/>
  <c r="F67" i="22"/>
  <c r="H67" i="22" s="1"/>
  <c r="H67" i="14"/>
  <c r="F61" i="15"/>
  <c r="H61" i="15" s="1"/>
  <c r="F61" i="6"/>
  <c r="H61" i="6" s="1"/>
  <c r="F68" i="22" l="1"/>
  <c r="H68" i="22" s="1"/>
  <c r="F62" i="6"/>
  <c r="H62" i="6" s="1"/>
  <c r="F62" i="18"/>
  <c r="H62" i="18" s="1"/>
  <c r="F62" i="15"/>
  <c r="H62" i="15" s="1"/>
  <c r="F62" i="7"/>
  <c r="H62" i="7" s="1"/>
  <c r="F62" i="5"/>
  <c r="H62" i="5" s="1"/>
  <c r="F62" i="17"/>
  <c r="H62" i="17" s="1"/>
  <c r="H68" i="14"/>
  <c r="F62" i="16"/>
  <c r="H62" i="16" s="1"/>
  <c r="H63" i="6" l="1"/>
  <c r="H63" i="15"/>
  <c r="H63" i="5"/>
  <c r="H63" i="17"/>
  <c r="H63" i="16"/>
  <c r="H63" i="18"/>
  <c r="H69" i="22"/>
  <c r="F63" i="7"/>
  <c r="H63" i="7" s="1"/>
  <c r="H69" i="14"/>
  <c r="F64" i="7" l="1"/>
  <c r="H64" i="7" s="1"/>
  <c r="F64" i="5"/>
  <c r="H64" i="5" s="1"/>
  <c r="F64" i="18"/>
  <c r="H64" i="18" s="1"/>
  <c r="F64" i="16"/>
  <c r="H64" i="16" s="1"/>
  <c r="F64" i="17"/>
  <c r="H64" i="17" s="1"/>
  <c r="F64" i="15"/>
  <c r="H64" i="15" s="1"/>
  <c r="H70" i="14"/>
  <c r="F70" i="22"/>
  <c r="H70" i="22" s="1"/>
  <c r="F64" i="6"/>
  <c r="H64" i="6" s="1"/>
  <c r="F71" i="22" l="1"/>
  <c r="H71" i="22" s="1"/>
  <c r="F65" i="15"/>
  <c r="H65" i="15" s="1"/>
  <c r="F65" i="5"/>
  <c r="H65" i="5" s="1"/>
  <c r="F65" i="17"/>
  <c r="H65" i="17" s="1"/>
  <c r="F65" i="6"/>
  <c r="H65" i="6" s="1"/>
  <c r="F65" i="16"/>
  <c r="H65" i="16" s="1"/>
  <c r="F65" i="18"/>
  <c r="H65" i="18" s="1"/>
  <c r="H71" i="14"/>
  <c r="H72" i="14" s="1"/>
  <c r="H65" i="7"/>
  <c r="F66" i="5" l="1"/>
  <c r="H66" i="5" s="1"/>
  <c r="F66" i="16"/>
  <c r="H66" i="16" s="1"/>
  <c r="F66" i="6"/>
  <c r="H66" i="6" s="1"/>
  <c r="F66" i="15"/>
  <c r="H66" i="15" s="1"/>
  <c r="F72" i="22"/>
  <c r="H72" i="22" s="1"/>
  <c r="F66" i="18"/>
  <c r="H66" i="18" s="1"/>
  <c r="F66" i="17"/>
  <c r="H66" i="17" s="1"/>
  <c r="F66" i="7"/>
  <c r="H66" i="7" s="1"/>
  <c r="H73" i="14"/>
  <c r="F67" i="7" l="1"/>
  <c r="H67" i="7" s="1"/>
  <c r="F67" i="6"/>
  <c r="H67" i="6" s="1"/>
  <c r="F67" i="16"/>
  <c r="H67" i="16" s="1"/>
  <c r="F67" i="15"/>
  <c r="H67" i="15" s="1"/>
  <c r="F67" i="18"/>
  <c r="H67" i="18" s="1"/>
  <c r="F67" i="5"/>
  <c r="H67" i="5" s="1"/>
  <c r="F73" i="22"/>
  <c r="H73" i="22" s="1"/>
  <c r="F67" i="17"/>
  <c r="H67" i="17" s="1"/>
  <c r="H74" i="14"/>
  <c r="F68" i="16" l="1"/>
  <c r="H68" i="16" s="1"/>
  <c r="F68" i="7"/>
  <c r="H68" i="7" s="1"/>
  <c r="F68" i="18"/>
  <c r="H68" i="18" s="1"/>
  <c r="F68" i="6"/>
  <c r="H68" i="6" s="1"/>
  <c r="F68" i="15"/>
  <c r="H68" i="15" s="1"/>
  <c r="F68" i="5"/>
  <c r="H68" i="5" s="1"/>
  <c r="H75" i="14"/>
  <c r="F68" i="17"/>
  <c r="H68" i="17" s="1"/>
  <c r="F74" i="22"/>
  <c r="H74" i="22" s="1"/>
  <c r="F69" i="6" l="1"/>
  <c r="H69" i="6" s="1"/>
  <c r="F69" i="5"/>
  <c r="H69" i="5" s="1"/>
  <c r="F75" i="22"/>
  <c r="H75" i="22" s="1"/>
  <c r="F69" i="18"/>
  <c r="H69" i="18" s="1"/>
  <c r="F69" i="7"/>
  <c r="H69" i="7" s="1"/>
  <c r="F69" i="16"/>
  <c r="H69" i="16" s="1"/>
  <c r="F69" i="15"/>
  <c r="H69" i="15" s="1"/>
  <c r="F69" i="17"/>
  <c r="H69" i="17" s="1"/>
  <c r="F70" i="5" l="1"/>
  <c r="H70" i="5" s="1"/>
  <c r="F70" i="17"/>
  <c r="H70" i="17" s="1"/>
  <c r="F76" i="22"/>
  <c r="H76" i="22" s="1"/>
  <c r="F70" i="15"/>
  <c r="H70" i="15" s="1"/>
  <c r="F70" i="6"/>
  <c r="H70" i="6" s="1"/>
  <c r="F70" i="7"/>
  <c r="H70" i="7" s="1"/>
  <c r="F70" i="18"/>
  <c r="H70" i="18" s="1"/>
  <c r="F70" i="16"/>
  <c r="H70" i="16" s="1"/>
  <c r="F71" i="18" l="1"/>
  <c r="H71" i="18" s="1"/>
  <c r="F71" i="7"/>
  <c r="H71" i="7" s="1"/>
  <c r="F71" i="16"/>
  <c r="H71" i="16" s="1"/>
  <c r="F71" i="6"/>
  <c r="H71" i="6" s="1"/>
  <c r="F71" i="15"/>
  <c r="H71" i="15" s="1"/>
  <c r="F71" i="5"/>
  <c r="H71" i="5" s="1"/>
  <c r="F71" i="17"/>
  <c r="H71" i="17" s="1"/>
  <c r="F77" i="22"/>
  <c r="H77" i="22" s="1"/>
  <c r="F72" i="5" l="1"/>
  <c r="H72" i="5" s="1"/>
  <c r="F72" i="6"/>
  <c r="H72" i="6" s="1"/>
  <c r="F78" i="22"/>
  <c r="H78" i="22" s="1"/>
  <c r="F72" i="15"/>
  <c r="H72" i="15" s="1"/>
  <c r="F72" i="7"/>
  <c r="H72" i="7" s="1"/>
  <c r="F72" i="17"/>
  <c r="H72" i="17" s="1"/>
  <c r="F72" i="16"/>
  <c r="H72" i="16" s="1"/>
  <c r="F72" i="18"/>
  <c r="H72" i="18" s="1"/>
  <c r="F73" i="7" l="1"/>
  <c r="H73" i="7" s="1"/>
  <c r="F73" i="6"/>
  <c r="H73" i="6" s="1"/>
  <c r="F73" i="16"/>
  <c r="H73" i="16" s="1"/>
  <c r="F73" i="15"/>
  <c r="H73" i="15" s="1"/>
  <c r="F73" i="5"/>
  <c r="H73" i="5" s="1"/>
  <c r="F79" i="22"/>
  <c r="H79" i="22" s="1"/>
  <c r="F73" i="18"/>
  <c r="H73" i="18" s="1"/>
  <c r="F73" i="17"/>
  <c r="H73" i="17" s="1"/>
  <c r="F74" i="7" l="1"/>
  <c r="H74" i="7" s="1"/>
  <c r="F74" i="17"/>
  <c r="H74" i="17" s="1"/>
  <c r="F74" i="15"/>
  <c r="H74" i="15" s="1"/>
  <c r="F80" i="22"/>
  <c r="H80" i="22"/>
  <c r="F74" i="16"/>
  <c r="H74" i="16" s="1"/>
  <c r="F74" i="6"/>
  <c r="H74" i="6" s="1"/>
  <c r="F74" i="5"/>
  <c r="H74" i="5" s="1"/>
  <c r="F74" i="18"/>
  <c r="H74" i="18" s="1"/>
  <c r="F75" i="6" l="1"/>
  <c r="H75" i="6" s="1"/>
  <c r="F75" i="18"/>
  <c r="H75" i="18" s="1"/>
  <c r="F75" i="5"/>
  <c r="H75" i="5" s="1"/>
  <c r="F75" i="16"/>
  <c r="H75" i="16" s="1"/>
  <c r="F75" i="7"/>
  <c r="H75" i="7" s="1"/>
  <c r="F75" i="15"/>
  <c r="H75" i="15" s="1"/>
  <c r="F75" i="17"/>
  <c r="H75" i="17" s="1"/>
  <c r="F81" i="22"/>
  <c r="H81" i="22" s="1"/>
  <c r="H76" i="16" l="1"/>
  <c r="H76" i="5"/>
  <c r="H76" i="17"/>
  <c r="H76" i="18"/>
  <c r="F76" i="7"/>
  <c r="H76" i="6"/>
  <c r="H76" i="15"/>
  <c r="F77" i="18" l="1"/>
  <c r="H77" i="18" s="1"/>
  <c r="F77" i="17"/>
  <c r="H77" i="17" s="1"/>
  <c r="F77" i="5"/>
  <c r="H77" i="5" s="1"/>
  <c r="H76" i="7"/>
  <c r="F77" i="15"/>
  <c r="H77" i="15" s="1"/>
  <c r="F77" i="6"/>
  <c r="H77" i="6" s="1"/>
  <c r="F77" i="16"/>
  <c r="H77" i="16" s="1"/>
  <c r="F78" i="15" l="1"/>
  <c r="H78" i="15" s="1"/>
  <c r="F78" i="17"/>
  <c r="H78" i="17" s="1"/>
  <c r="F78" i="6"/>
  <c r="H78" i="6" s="1"/>
  <c r="F78" i="5"/>
  <c r="H78" i="5" s="1"/>
  <c r="F78" i="18"/>
  <c r="H78" i="18" s="1"/>
  <c r="F78" i="16"/>
  <c r="H78" i="16" s="1"/>
  <c r="F77" i="7"/>
  <c r="H77" i="7" s="1"/>
  <c r="F79" i="16" l="1"/>
  <c r="H79" i="16" s="1"/>
  <c r="F79" i="17"/>
  <c r="H79" i="17" s="1"/>
  <c r="F79" i="15"/>
  <c r="H79" i="15" s="1"/>
  <c r="F79" i="5"/>
  <c r="H79" i="5" s="1"/>
  <c r="F79" i="6"/>
  <c r="H79" i="6" s="1"/>
  <c r="F79" i="18"/>
  <c r="H79" i="18" s="1"/>
  <c r="F80" i="6" l="1"/>
  <c r="H80" i="6" s="1"/>
  <c r="F80" i="18"/>
  <c r="H80" i="18" s="1"/>
  <c r="F80" i="16"/>
  <c r="H80" i="16" s="1"/>
  <c r="F80" i="17"/>
  <c r="H80" i="17" s="1"/>
  <c r="F80" i="5"/>
  <c r="H80" i="5" s="1"/>
  <c r="F80" i="15"/>
  <c r="H80" i="15" s="1"/>
  <c r="F81" i="5" l="1"/>
  <c r="H81" i="5" s="1"/>
  <c r="F81" i="15"/>
  <c r="H81" i="15" s="1"/>
  <c r="F81" i="16"/>
  <c r="H81" i="16" s="1"/>
  <c r="F81" i="18"/>
  <c r="H81" i="18" s="1"/>
  <c r="F81" i="6"/>
  <c r="H81" i="6" s="1"/>
  <c r="F81" i="17"/>
  <c r="H81" i="17" s="1"/>
  <c r="F82" i="16" l="1"/>
  <c r="H82" i="16" s="1"/>
  <c r="F82" i="6"/>
  <c r="H82" i="6" s="1"/>
  <c r="F82" i="17"/>
  <c r="H82" i="17" s="1"/>
  <c r="F82" i="15"/>
  <c r="H82" i="15" s="1"/>
  <c r="F82" i="18"/>
  <c r="H82" i="18" s="1"/>
  <c r="H82" i="5"/>
  <c r="F83" i="18" l="1"/>
  <c r="H83" i="18" s="1"/>
  <c r="F83" i="6"/>
  <c r="H83" i="6" s="1"/>
  <c r="F83" i="15"/>
  <c r="H83" i="15" s="1"/>
  <c r="F83" i="16"/>
  <c r="H83" i="16" s="1"/>
  <c r="F83" i="17"/>
  <c r="H83" i="17" s="1"/>
  <c r="F83" i="5"/>
  <c r="H83" i="5" s="1"/>
  <c r="F84" i="17" l="1"/>
  <c r="H84" i="17" s="1"/>
  <c r="F84" i="16"/>
  <c r="H84" i="16" s="1"/>
  <c r="F84" i="6"/>
  <c r="H84" i="6" s="1"/>
  <c r="F84" i="5"/>
  <c r="H84" i="5" s="1"/>
  <c r="F84" i="18"/>
  <c r="H84" i="18" s="1"/>
  <c r="F84" i="15"/>
  <c r="H84" i="15" s="1"/>
  <c r="F85" i="5" l="1"/>
  <c r="H85" i="5" s="1"/>
  <c r="F85" i="15"/>
  <c r="H85" i="15" s="1"/>
  <c r="F85" i="16"/>
  <c r="H85" i="16" s="1"/>
  <c r="F85" i="18"/>
  <c r="H85" i="18" s="1"/>
  <c r="F85" i="6"/>
  <c r="H85" i="6" s="1"/>
  <c r="F85" i="17"/>
  <c r="H85" i="17" s="1"/>
  <c r="F86" i="6" l="1"/>
  <c r="H86" i="6" s="1"/>
  <c r="F86" i="15"/>
  <c r="H86" i="15" s="1"/>
  <c r="F86" i="18"/>
  <c r="H86" i="18" s="1"/>
  <c r="F86" i="5"/>
  <c r="H86" i="5" s="1"/>
  <c r="F86" i="16"/>
  <c r="H86" i="16" s="1"/>
  <c r="F86" i="17"/>
  <c r="H86" i="17" s="1"/>
  <c r="F87" i="18" l="1"/>
  <c r="H87" i="18" s="1"/>
  <c r="F87" i="5"/>
  <c r="H87" i="5" s="1"/>
  <c r="F87" i="16"/>
  <c r="H87" i="16" s="1"/>
  <c r="F87" i="15"/>
  <c r="H87" i="15" s="1"/>
  <c r="F87" i="6"/>
  <c r="H87" i="6" s="1"/>
  <c r="F87" i="17"/>
  <c r="H87" i="17" s="1"/>
  <c r="F88" i="15" l="1"/>
  <c r="H88" i="15" s="1"/>
  <c r="F88" i="16"/>
  <c r="H88" i="16" s="1"/>
  <c r="F88" i="5"/>
  <c r="H88" i="5" s="1"/>
  <c r="F88" i="18"/>
  <c r="H88" i="18" s="1"/>
  <c r="F88" i="6"/>
  <c r="H88" i="6" s="1"/>
  <c r="F88" i="17"/>
  <c r="H88" i="17" s="1"/>
  <c r="H89" i="16" l="1"/>
  <c r="H89" i="18"/>
  <c r="H89" i="6"/>
  <c r="H89" i="15"/>
  <c r="H89" i="17"/>
  <c r="F89" i="5"/>
  <c r="H89" i="5" s="1"/>
  <c r="F90" i="6" l="1"/>
  <c r="H90" i="6" s="1"/>
  <c r="H90" i="5"/>
  <c r="F90" i="15"/>
  <c r="H90" i="15" s="1"/>
  <c r="F90" i="18"/>
  <c r="H90" i="18" s="1"/>
  <c r="F90" i="17"/>
  <c r="H90" i="17" s="1"/>
  <c r="F90" i="16"/>
  <c r="H90" i="16" s="1"/>
  <c r="F91" i="17" l="1"/>
  <c r="H91" i="17" s="1"/>
  <c r="F91" i="18"/>
  <c r="H91" i="18" s="1"/>
  <c r="F91" i="15"/>
  <c r="H91" i="15" s="1"/>
  <c r="F91" i="6"/>
  <c r="H91" i="6" s="1"/>
  <c r="F91" i="5"/>
  <c r="H91" i="5" s="1"/>
  <c r="F91" i="16"/>
  <c r="H91" i="16" s="1"/>
  <c r="F92" i="15" l="1"/>
  <c r="H92" i="15" s="1"/>
  <c r="F92" i="5"/>
  <c r="H92" i="5" s="1"/>
  <c r="F92" i="18"/>
  <c r="H92" i="18" s="1"/>
  <c r="F92" i="17"/>
  <c r="H92" i="17" s="1"/>
  <c r="F92" i="16"/>
  <c r="H92" i="16" s="1"/>
  <c r="F92" i="6"/>
  <c r="H92" i="6" s="1"/>
  <c r="F93" i="18" l="1"/>
  <c r="H93" i="18" s="1"/>
  <c r="F93" i="5"/>
  <c r="H93" i="5" s="1"/>
  <c r="F93" i="6"/>
  <c r="H93" i="6" s="1"/>
  <c r="F93" i="15"/>
  <c r="H93" i="15" s="1"/>
  <c r="F93" i="16"/>
  <c r="H93" i="16" s="1"/>
  <c r="F93" i="17"/>
  <c r="H93" i="17" s="1"/>
  <c r="F94" i="5" l="1"/>
  <c r="H94" i="5" s="1"/>
  <c r="F94" i="15"/>
  <c r="H94" i="15" s="1"/>
  <c r="F94" i="18"/>
  <c r="H94" i="18" s="1"/>
  <c r="F94" i="17"/>
  <c r="H94" i="17" s="1"/>
  <c r="F94" i="6"/>
  <c r="H94" i="6" s="1"/>
  <c r="F94" i="16"/>
  <c r="H94" i="16" s="1"/>
  <c r="F95" i="6" l="1"/>
  <c r="H95" i="6" s="1"/>
  <c r="F95" i="18"/>
  <c r="H95" i="18" s="1"/>
  <c r="F95" i="16"/>
  <c r="H95" i="16" s="1"/>
  <c r="F95" i="15"/>
  <c r="H95" i="15" s="1"/>
  <c r="F95" i="17"/>
  <c r="H95" i="17" s="1"/>
  <c r="F95" i="5"/>
  <c r="H95" i="5" s="1"/>
  <c r="F96" i="18" l="1"/>
  <c r="H96" i="18" s="1"/>
  <c r="F96" i="15"/>
  <c r="H96" i="15" s="1"/>
  <c r="F96" i="16"/>
  <c r="H96" i="16" s="1"/>
  <c r="F96" i="5"/>
  <c r="H96" i="5" s="1"/>
  <c r="F96" i="17"/>
  <c r="H96" i="17" s="1"/>
  <c r="F96" i="6"/>
  <c r="H96" i="6" s="1"/>
  <c r="F97" i="5" l="1"/>
  <c r="H97" i="5" s="1"/>
  <c r="F97" i="16"/>
  <c r="H97" i="16" s="1"/>
  <c r="F97" i="6"/>
  <c r="H97" i="6" s="1"/>
  <c r="F97" i="15"/>
  <c r="H97" i="15" s="1"/>
  <c r="F97" i="17"/>
  <c r="H97" i="17" s="1"/>
  <c r="F97" i="18"/>
  <c r="H97" i="18" s="1"/>
  <c r="F98" i="16" l="1"/>
  <c r="H98" i="16" s="1"/>
  <c r="F98" i="15"/>
  <c r="H98" i="15" s="1"/>
  <c r="F98" i="6"/>
  <c r="H98" i="6" s="1"/>
  <c r="F98" i="17"/>
  <c r="H98" i="17" s="1"/>
  <c r="F98" i="5"/>
  <c r="H98" i="5" s="1"/>
  <c r="F98" i="18"/>
  <c r="H98" i="18" s="1"/>
  <c r="F99" i="6" l="1"/>
  <c r="H99" i="6" s="1"/>
  <c r="F99" i="17"/>
  <c r="H99" i="17" s="1"/>
  <c r="F99" i="18"/>
  <c r="H99" i="18" s="1"/>
  <c r="F99" i="15"/>
  <c r="H99" i="15" s="1"/>
  <c r="F99" i="5"/>
  <c r="H99" i="5" s="1"/>
  <c r="F99" i="16"/>
  <c r="H99" i="16" s="1"/>
  <c r="F100" i="15" l="1"/>
  <c r="H100" i="15" s="1"/>
  <c r="F100" i="17"/>
  <c r="H100" i="17" s="1"/>
  <c r="F100" i="5"/>
  <c r="H100" i="5" s="1"/>
  <c r="F100" i="6"/>
  <c r="H100" i="6" s="1"/>
  <c r="F100" i="18"/>
  <c r="H100" i="18" s="1"/>
  <c r="F100" i="16"/>
  <c r="H100" i="16" s="1"/>
  <c r="F101" i="6" l="1"/>
  <c r="H101" i="6" s="1"/>
  <c r="F101" i="17"/>
  <c r="H101" i="17" s="1"/>
  <c r="F101" i="5"/>
  <c r="H101" i="5" s="1"/>
  <c r="F101" i="16"/>
  <c r="H101" i="16" s="1"/>
  <c r="F101" i="15"/>
  <c r="H101" i="15" s="1"/>
  <c r="F101" i="18"/>
  <c r="H101" i="18" s="1"/>
  <c r="H102" i="15" l="1"/>
  <c r="H102" i="6"/>
  <c r="F102" i="5"/>
  <c r="H102" i="5" s="1"/>
  <c r="H102" i="16"/>
  <c r="H102" i="17"/>
  <c r="H102" i="18"/>
  <c r="H103" i="5" l="1"/>
  <c r="F103" i="16"/>
  <c r="H103" i="16" s="1"/>
  <c r="F103" i="17"/>
  <c r="H103" i="17" s="1"/>
  <c r="F103" i="6"/>
  <c r="H103" i="6" s="1"/>
  <c r="F103" i="18"/>
  <c r="H103" i="18" s="1"/>
  <c r="F103" i="15"/>
  <c r="H103" i="15" s="1"/>
  <c r="F104" i="18" l="1"/>
  <c r="H104" i="18" s="1"/>
  <c r="F104" i="16"/>
  <c r="H104" i="16" s="1"/>
  <c r="F104" i="15"/>
  <c r="H104" i="15" s="1"/>
  <c r="F104" i="6"/>
  <c r="H104" i="6" s="1"/>
  <c r="F104" i="5"/>
  <c r="H104" i="5" s="1"/>
  <c r="F104" i="17"/>
  <c r="H104" i="17" s="1"/>
  <c r="F105" i="5" l="1"/>
  <c r="H105" i="5" s="1"/>
  <c r="F105" i="17"/>
  <c r="H105" i="17" s="1"/>
  <c r="F105" i="18"/>
  <c r="H105" i="18" s="1"/>
  <c r="F105" i="16"/>
  <c r="H105" i="16" s="1"/>
  <c r="F105" i="15"/>
  <c r="H105" i="15" s="1"/>
  <c r="F105" i="6"/>
  <c r="H105" i="6" s="1"/>
  <c r="F106" i="6" l="1"/>
  <c r="H106" i="6" s="1"/>
  <c r="F106" i="17"/>
  <c r="H106" i="17" s="1"/>
  <c r="F106" i="18"/>
  <c r="H106" i="18" s="1"/>
  <c r="F106" i="5"/>
  <c r="H106" i="5" s="1"/>
  <c r="F106" i="15"/>
  <c r="H106" i="15" s="1"/>
  <c r="F106" i="16"/>
  <c r="H106" i="16" s="1"/>
  <c r="F107" i="17" l="1"/>
  <c r="H107" i="17" s="1"/>
  <c r="F107" i="16"/>
  <c r="H107" i="16" s="1"/>
  <c r="F107" i="5"/>
  <c r="H107" i="5" s="1"/>
  <c r="F107" i="6"/>
  <c r="H107" i="6" s="1"/>
  <c r="F107" i="18"/>
  <c r="H107" i="18" s="1"/>
  <c r="F107" i="15"/>
  <c r="H107" i="15" s="1"/>
  <c r="F108" i="16" l="1"/>
  <c r="H108" i="16" s="1"/>
  <c r="F108" i="5"/>
  <c r="H108" i="5" s="1"/>
  <c r="F108" i="18"/>
  <c r="H108" i="18" s="1"/>
  <c r="F108" i="17"/>
  <c r="H108" i="17" s="1"/>
  <c r="F108" i="15"/>
  <c r="H108" i="15" s="1"/>
  <c r="F108" i="6"/>
  <c r="H108" i="6" s="1"/>
  <c r="F109" i="17" l="1"/>
  <c r="H109" i="17" s="1"/>
  <c r="F109" i="18"/>
  <c r="H109" i="18" s="1"/>
  <c r="F109" i="5"/>
  <c r="H109" i="5" s="1"/>
  <c r="F109" i="6"/>
  <c r="H109" i="6" s="1"/>
  <c r="F109" i="16"/>
  <c r="H109" i="16" s="1"/>
  <c r="F109" i="15"/>
  <c r="H109" i="15" s="1"/>
  <c r="F110" i="16" l="1"/>
  <c r="H110" i="16" s="1"/>
  <c r="F110" i="17"/>
  <c r="H110" i="17" s="1"/>
  <c r="F110" i="15"/>
  <c r="H110" i="15" s="1"/>
  <c r="F110" i="18"/>
  <c r="H110" i="18" s="1"/>
  <c r="F110" i="5"/>
  <c r="H110" i="5" s="1"/>
  <c r="F110" i="6"/>
  <c r="H110" i="6" s="1"/>
  <c r="F111" i="18" l="1"/>
  <c r="H111" i="18" s="1"/>
  <c r="F111" i="17"/>
  <c r="H111" i="17" s="1"/>
  <c r="F111" i="16"/>
  <c r="H111" i="16" s="1"/>
  <c r="F111" i="6"/>
  <c r="H111" i="6" s="1"/>
  <c r="F111" i="15"/>
  <c r="H111" i="15" s="1"/>
  <c r="F111" i="5"/>
  <c r="H111" i="5" s="1"/>
  <c r="F112" i="15" l="1"/>
  <c r="H112" i="15" s="1"/>
  <c r="F112" i="6"/>
  <c r="H112" i="6" s="1"/>
  <c r="F112" i="5"/>
  <c r="H112" i="5" s="1"/>
  <c r="F112" i="16"/>
  <c r="H112" i="16" s="1"/>
  <c r="F112" i="17"/>
  <c r="H112" i="17" s="1"/>
  <c r="F112" i="18"/>
  <c r="H112" i="18" s="1"/>
  <c r="F113" i="18" l="1"/>
  <c r="F113" i="17"/>
  <c r="F113" i="6"/>
  <c r="F113" i="16"/>
  <c r="F113" i="15"/>
  <c r="H113" i="15" s="1"/>
  <c r="F113" i="5"/>
  <c r="H113" i="5" s="1"/>
  <c r="F114" i="5" l="1"/>
  <c r="H114" i="5" s="1"/>
  <c r="H113" i="6"/>
  <c r="F114" i="15"/>
  <c r="H114" i="15" s="1"/>
  <c r="H113" i="17"/>
  <c r="H113" i="16"/>
  <c r="H113" i="18"/>
  <c r="F114" i="6" l="1"/>
  <c r="H114" i="6" s="1"/>
  <c r="F114" i="16"/>
  <c r="H114" i="16" s="1"/>
  <c r="F114" i="17"/>
  <c r="H114" i="17" s="1"/>
  <c r="F115" i="5"/>
  <c r="H115" i="5" s="1"/>
  <c r="F114" i="18"/>
  <c r="H114"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4" authorId="0" shapeId="0" xr:uid="{36422AE4-B35A-41CB-AB94-BB6D1E1DB2D5}">
      <text>
        <r>
          <rPr>
            <b/>
            <sz val="8"/>
            <color indexed="81"/>
            <rFont val="Tahoma"/>
            <family val="2"/>
          </rPr>
          <t>D.DeCoria:</t>
        </r>
        <r>
          <rPr>
            <sz val="8"/>
            <color indexed="81"/>
            <rFont val="Tahoma"/>
            <family val="2"/>
          </rPr>
          <t xml:space="preserve">
Source AmortWA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6" authorId="0" shapeId="0" xr:uid="{D40AF8A5-B924-40B9-B3BB-26D5769C31CC}">
      <text>
        <r>
          <rPr>
            <b/>
            <sz val="8"/>
            <color indexed="81"/>
            <rFont val="Tahoma"/>
            <family val="2"/>
          </rPr>
          <t>D.DeCoria:</t>
        </r>
        <r>
          <rPr>
            <sz val="8"/>
            <color indexed="81"/>
            <rFont val="Tahoma"/>
            <family val="2"/>
          </rPr>
          <t xml:space="preserve">
Source AmortWA</t>
        </r>
      </text>
    </comment>
    <comment ref="E29" authorId="0" shapeId="0" xr:uid="{8B7047A1-FDED-4E64-B53E-CBDA40906732}">
      <text>
        <r>
          <rPr>
            <b/>
            <sz val="8"/>
            <color indexed="81"/>
            <rFont val="Tahoma"/>
            <family val="2"/>
          </rPr>
          <t>D.DeCoria:</t>
        </r>
        <r>
          <rPr>
            <sz val="8"/>
            <color indexed="81"/>
            <rFont val="Tahoma"/>
            <family val="2"/>
          </rPr>
          <t xml:space="preserve">
Source AmortWA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Candice Tschauner</author>
  </authors>
  <commentList>
    <comment ref="D26" authorId="0" shapeId="0" xr:uid="{005EE7FC-F961-49C6-B093-12BDCF083B47}">
      <text>
        <r>
          <rPr>
            <b/>
            <sz val="9"/>
            <color indexed="81"/>
            <rFont val="Tahoma"/>
            <family val="2"/>
          </rPr>
          <t>Candice Tschauner:</t>
        </r>
        <r>
          <rPr>
            <sz val="9"/>
            <color indexed="81"/>
            <rFont val="Tahoma"/>
            <family val="2"/>
          </rPr>
          <t xml:space="preserve">
Insurance Proceed check was returned for being outdated.  Insurance carrier is bankrupt.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8" authorId="0" shapeId="0" xr:uid="{A9AE8B51-1D50-4910-9702-2CAE34ED89AC}">
      <text>
        <r>
          <rPr>
            <b/>
            <sz val="8"/>
            <color indexed="81"/>
            <rFont val="Tahoma"/>
            <family val="2"/>
          </rPr>
          <t>D.DeCoria:</t>
        </r>
        <r>
          <rPr>
            <sz val="8"/>
            <color indexed="81"/>
            <rFont val="Tahoma"/>
            <family val="2"/>
          </rPr>
          <t xml:space="preserve">
Source AmortWA</t>
        </r>
      </text>
    </comment>
    <comment ref="E31" authorId="0" shapeId="0" xr:uid="{2D5AA2FE-A34B-44F1-A113-D5BBA1CABDA5}">
      <text>
        <r>
          <rPr>
            <b/>
            <sz val="8"/>
            <color indexed="81"/>
            <rFont val="Tahoma"/>
            <family val="2"/>
          </rPr>
          <t>D.DeCoria:</t>
        </r>
        <r>
          <rPr>
            <sz val="8"/>
            <color indexed="81"/>
            <rFont val="Tahoma"/>
            <family val="2"/>
          </rPr>
          <t xml:space="preserve">
Source AmortWA</t>
        </r>
      </text>
    </comment>
    <comment ref="E44" authorId="0" shapeId="0" xr:uid="{F8F9BDD8-9546-44AB-B79D-79A86B280EB6}">
      <text>
        <r>
          <rPr>
            <b/>
            <sz val="8"/>
            <color indexed="81"/>
            <rFont val="Tahoma"/>
            <family val="2"/>
          </rPr>
          <t>D.DeCoria:</t>
        </r>
        <r>
          <rPr>
            <sz val="8"/>
            <color indexed="81"/>
            <rFont val="Tahoma"/>
            <family val="2"/>
          </rPr>
          <t xml:space="preserve">
Source AmortWA</t>
        </r>
      </text>
    </comment>
    <comment ref="E57" authorId="0" shapeId="0" xr:uid="{9379704F-501E-47B2-BC3B-92ECD4638CB3}">
      <text>
        <r>
          <rPr>
            <b/>
            <sz val="8"/>
            <color indexed="81"/>
            <rFont val="Tahoma"/>
            <family val="2"/>
          </rPr>
          <t>D.DeCoria:</t>
        </r>
        <r>
          <rPr>
            <sz val="8"/>
            <color indexed="81"/>
            <rFont val="Tahoma"/>
            <family val="2"/>
          </rPr>
          <t xml:space="preserve">
Source AmortWA</t>
        </r>
      </text>
    </comment>
    <comment ref="E70" authorId="0" shapeId="0" xr:uid="{6A8EF8B9-9DE3-4B51-8121-ED2474420CB8}">
      <text>
        <r>
          <rPr>
            <b/>
            <sz val="8"/>
            <color indexed="81"/>
            <rFont val="Tahoma"/>
            <family val="2"/>
          </rPr>
          <t>D.DeCoria:</t>
        </r>
        <r>
          <rPr>
            <sz val="8"/>
            <color indexed="81"/>
            <rFont val="Tahoma"/>
            <family val="2"/>
          </rPr>
          <t xml:space="preserve">
Source AmortWA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Hjoyowid</author>
  </authors>
  <commentList>
    <comment ref="M4" authorId="0" shapeId="0" xr:uid="{7DC8B438-4496-4C77-BEA1-922FA65D73C2}">
      <text>
        <r>
          <rPr>
            <sz val="14"/>
            <color indexed="81"/>
            <rFont val="Tahoma"/>
            <family val="2"/>
          </rPr>
          <t>Rate schedules 9xx</t>
        </r>
      </text>
    </comment>
  </commentList>
</comments>
</file>

<file path=xl/sharedStrings.xml><?xml version="1.0" encoding="utf-8"?>
<sst xmlns="http://schemas.openxmlformats.org/spreadsheetml/2006/main" count="779" uniqueCount="199">
  <si>
    <t>47WA.6011.28051</t>
  </si>
  <si>
    <t>Residential [4800]</t>
  </si>
  <si>
    <t>47WA.2530.01253</t>
  </si>
  <si>
    <t>47WA.2530.01254</t>
  </si>
  <si>
    <t>Commercial [4810]</t>
  </si>
  <si>
    <t>Industrial [4809]</t>
  </si>
  <si>
    <t>47WA.1823.47020478</t>
  </si>
  <si>
    <t>47WA.2530.01288</t>
  </si>
  <si>
    <t>47WA.2530.01289</t>
  </si>
  <si>
    <t>Total</t>
  </si>
  <si>
    <t>47WA.1823.47020430</t>
  </si>
  <si>
    <t>47WA.1823.47020431</t>
  </si>
  <si>
    <t>47WA.1823.47020444</t>
  </si>
  <si>
    <t>47WA.1823.47020449</t>
  </si>
  <si>
    <t>47WA.1862.20477</t>
  </si>
  <si>
    <t>47WA.1862.20480</t>
  </si>
  <si>
    <t>CASCADE NATURAL GAS CORPORATION</t>
  </si>
  <si>
    <t>STATE OF WASHINGTON</t>
  </si>
  <si>
    <t>FERC Interest Rates</t>
  </si>
  <si>
    <t>Check for rate changes quarterly</t>
  </si>
  <si>
    <t>Rates can be found at:</t>
  </si>
  <si>
    <t>http://www.ferc.gov/enforcement/acct-matts/interest-rates.asp</t>
  </si>
  <si>
    <t>Month/ Year</t>
  </si>
  <si>
    <t>Interest Rate</t>
  </si>
  <si>
    <t xml:space="preserve"> # of Days in Month</t>
  </si>
  <si>
    <t>FERCINT13</t>
  </si>
  <si>
    <t>FERCINT14</t>
  </si>
  <si>
    <t>FERCINT15</t>
  </si>
  <si>
    <t>FERCINT16</t>
  </si>
  <si>
    <t>FERCINT17</t>
  </si>
  <si>
    <t>FERCINT18</t>
  </si>
  <si>
    <t>FERCINT19</t>
  </si>
  <si>
    <t>FERCINT20</t>
  </si>
  <si>
    <t>FERCINT21</t>
  </si>
  <si>
    <t>WASHINGTON DELIVERED VOLUMES</t>
  </si>
  <si>
    <t>SOURCE(S):  CA1501 &amp; CA1501A</t>
  </si>
  <si>
    <t>Date</t>
  </si>
  <si>
    <t>FIRM</t>
  </si>
  <si>
    <t>INTERRUPTIBLE</t>
  </si>
  <si>
    <t>TOTAL CORE</t>
  </si>
  <si>
    <t>NONCORE [4861 &amp; 4863]</t>
  </si>
  <si>
    <t>TOTAL ALL CLASSES</t>
  </si>
  <si>
    <t>NONCORE EXCLUSIONS</t>
  </si>
  <si>
    <t>NET ALL CLASSES</t>
  </si>
  <si>
    <t>TRANSP VOLUMES R/S 685/902</t>
  </si>
  <si>
    <t>Unbilled Adj for Conservation</t>
  </si>
  <si>
    <t>Total Firm</t>
  </si>
  <si>
    <t>Industrial/ Small Commercial [4811]</t>
  </si>
  <si>
    <t>Institutional [4813]</t>
  </si>
  <si>
    <t>Total Interruptible</t>
  </si>
  <si>
    <t>Schedules</t>
  </si>
  <si>
    <t>Therms</t>
  </si>
  <si>
    <t>NET NONCORE</t>
  </si>
  <si>
    <t>Residential</t>
  </si>
  <si>
    <t>Commercial</t>
  </si>
  <si>
    <t>9XX</t>
  </si>
  <si>
    <t>PGA</t>
  </si>
  <si>
    <t>Supplemental Gas Cost Amort</t>
  </si>
  <si>
    <t>State:</t>
  </si>
  <si>
    <t>Washington</t>
  </si>
  <si>
    <t>Description:</t>
  </si>
  <si>
    <t>Core Market Commodity Changes</t>
  </si>
  <si>
    <t>Account number:</t>
  </si>
  <si>
    <t>Class of customers:</t>
  </si>
  <si>
    <t>Core</t>
  </si>
  <si>
    <t>Deferral period:</t>
  </si>
  <si>
    <t>11/01/2020 through 10/31/2021</t>
  </si>
  <si>
    <t>Amortization period:</t>
  </si>
  <si>
    <t>N/A</t>
  </si>
  <si>
    <t>Narrative:</t>
  </si>
  <si>
    <t>This records the deferral of the differences between core commodity costs actually incurred and the embedded commodity costs collected in tarrifs based on therms sales.</t>
  </si>
  <si>
    <t>3rd Party Damage</t>
  </si>
  <si>
    <t>Debit (Credit)</t>
  </si>
  <si>
    <t>Entitlement Penalty</t>
  </si>
  <si>
    <t>Rate</t>
  </si>
  <si>
    <t>Deferral</t>
  </si>
  <si>
    <t>Amortization</t>
  </si>
  <si>
    <t>Interest</t>
  </si>
  <si>
    <t>Adjustments</t>
  </si>
  <si>
    <t>Deferred Balance</t>
  </si>
  <si>
    <t>General Ledger Balance</t>
  </si>
  <si>
    <t>Difference to G/L Balance</t>
  </si>
  <si>
    <t>Reconciled By</t>
  </si>
  <si>
    <t>Date Reconciled</t>
  </si>
  <si>
    <t>Balance forward 10/31/2013</t>
  </si>
  <si>
    <t>C. Ryan</t>
  </si>
  <si>
    <t>Balance transferred to DG01282</t>
  </si>
  <si>
    <t>Balance transferred to DG01284</t>
  </si>
  <si>
    <t>Balance transferred to DG01286</t>
  </si>
  <si>
    <t>Balance transferred to 47WA.2530.01288</t>
  </si>
  <si>
    <t>Balance transferred to 47WA.2530.01289</t>
  </si>
  <si>
    <t>Core Market Demand Cost Changes</t>
  </si>
  <si>
    <t>This records the deferral of 1)the differences between core demand cost actually incurred and the embedded demand costs collected in tarrifs, 2)Tenaska capacity reservation and gas storage mitigation costs, 3)pipeline capacity release credits and pipeline capacity sold to non-core customers through overrun and interruptible rates and 4)capacity held for release based on therms sales.</t>
  </si>
  <si>
    <t>Balance transferred to DG01289</t>
  </si>
  <si>
    <t>Rule 21 Decoupling Mechanism</t>
  </si>
  <si>
    <t>n/a</t>
  </si>
  <si>
    <t>To record deferral activity for the Washington Decoupling Mechanism (Rule 21)</t>
  </si>
  <si>
    <t>Balance forward 08/31/2016</t>
  </si>
  <si>
    <t>Balance transferred to 20480</t>
  </si>
  <si>
    <t>Environmental Remediation of the Old Bremerton Gas Works and Sesko Property Site</t>
  </si>
  <si>
    <t>47WA.1860.20460</t>
  </si>
  <si>
    <t>All</t>
  </si>
  <si>
    <t>4/9/2010- date determination of cleanup has been completed</t>
  </si>
  <si>
    <t>To record deferrals for expenses related to the old Bremerton Gas Works and Sesko property site per accounting order UG-100589. [This is for expenses only and will not tie to the G/L balance].</t>
  </si>
  <si>
    <t>See below</t>
  </si>
  <si>
    <t>Original liability</t>
  </si>
  <si>
    <t>Increases in reserve</t>
  </si>
  <si>
    <t>expenses incurred to date</t>
  </si>
  <si>
    <t>Remaining liability</t>
  </si>
  <si>
    <t>Total from 47WA.2282.02</t>
  </si>
  <si>
    <t>Difference s/b 0</t>
  </si>
  <si>
    <t>MAOP Deferred Costs</t>
  </si>
  <si>
    <t>47WA.1860.20479</t>
  </si>
  <si>
    <t>06/01/2016 - forward</t>
  </si>
  <si>
    <t>To record incremental third-party costs incurred to implement the Maximum Allowable Operating Pressure Determination and Validation Plan (MAOP Plan).</t>
  </si>
  <si>
    <t>Balance forward 10/31/2016</t>
  </si>
  <si>
    <t>Move to 47WA.1860.20481</t>
  </si>
  <si>
    <t>Move to 47WA.1860.20484 &amp; 47WA.1860.20481</t>
  </si>
  <si>
    <t>12/1/20 True-up</t>
  </si>
  <si>
    <t>Move to 47WA.1860.20486</t>
  </si>
  <si>
    <t xml:space="preserve">Commercial Conservation Program </t>
  </si>
  <si>
    <t>To record deferral activity for the Washington commercial conservation program</t>
  </si>
  <si>
    <t>Balance transferred to RA20472</t>
  </si>
  <si>
    <t>Balance transferred to RA20475</t>
  </si>
  <si>
    <t>Balance transferred to RA20478</t>
  </si>
  <si>
    <t>Low Income Weatherization Program</t>
  </si>
  <si>
    <t>Washington Conservation Administration &amp; Program Delivery Fees</t>
  </si>
  <si>
    <t>To record deferral activity for the Washington conservation administration fees</t>
  </si>
  <si>
    <t xml:space="preserve">Washington Residential Conservation Program </t>
  </si>
  <si>
    <t>To record deferral activity for the Washington residential conservation program</t>
  </si>
  <si>
    <t>3/28/19 WA Temporary Gas Cost Amortization</t>
  </si>
  <si>
    <t>Core (503, 504, 505, 511, 570)</t>
  </si>
  <si>
    <t>11/1/18 to 10/31/20</t>
  </si>
  <si>
    <t>11/1/20 to 10/31/21</t>
  </si>
  <si>
    <t>UG-190145 Amortization of Excess Gas Costs caused by price spike due to Pipeline disruptions.</t>
  </si>
  <si>
    <t>Old Therms</t>
  </si>
  <si>
    <t>Balance transferred from 47WA.2530.01253</t>
  </si>
  <si>
    <t>New Therms</t>
  </si>
  <si>
    <t>1501A Therms</t>
  </si>
  <si>
    <t>Prorated</t>
  </si>
  <si>
    <t>No Change in Rate - No reason to prorate Amort between new &amp; old therms</t>
  </si>
  <si>
    <t>11/01/19 WA Temporary Gas Cost Amortization</t>
  </si>
  <si>
    <t>11/1/18 to 10/31/19</t>
  </si>
  <si>
    <t>11/1/19 to 10/31/22</t>
  </si>
  <si>
    <t>UG-190145 Amortization of Normal Gas Cost PGA over a 3 year period due to price spike caused by Pipeline disruptions.</t>
  </si>
  <si>
    <t>Balance transferred from 47WA.2530.01254</t>
  </si>
  <si>
    <t>Old 1501A</t>
  </si>
  <si>
    <t>Balance transferred from 47WA.2530.01286</t>
  </si>
  <si>
    <t>New 1501A</t>
  </si>
  <si>
    <t>Balance transferred from 47WA.2530.01253 &amp; 01254</t>
  </si>
  <si>
    <t>11/01/2016 WA Consolidated Technical Adjustments - Conservation</t>
  </si>
  <si>
    <t>11/1/19 - 10/31/20</t>
  </si>
  <si>
    <t>11/01/2020 - 10/31/2021</t>
  </si>
  <si>
    <t>Consolidation of Core Conservation deferral balances per the 11/1/2016 tracker filing</t>
  </si>
  <si>
    <t>Balance transferred from RA20430</t>
  </si>
  <si>
    <t>Balance transferred from RA20431</t>
  </si>
  <si>
    <t>Balance transferred from RA20444</t>
  </si>
  <si>
    <t>Balance transferred from RA20449</t>
  </si>
  <si>
    <t>Balance transferred from RA20475</t>
  </si>
  <si>
    <t>Balance transferred from 20430, 20431, 20444, and 20449</t>
  </si>
  <si>
    <t>Net Old Therms</t>
  </si>
  <si>
    <t>Net New Therms</t>
  </si>
  <si>
    <t>Includes Unbilled</t>
  </si>
  <si>
    <t>Amortization of previously deferred WA Decoupling Mechanism adjustments</t>
  </si>
  <si>
    <t>Balance transferred from RA20477</t>
  </si>
  <si>
    <t>Various</t>
  </si>
  <si>
    <t>503</t>
  </si>
  <si>
    <t>04LV</t>
  </si>
  <si>
    <t>504</t>
  </si>
  <si>
    <t>05LV</t>
  </si>
  <si>
    <t>505</t>
  </si>
  <si>
    <t>511</t>
  </si>
  <si>
    <t>570</t>
  </si>
  <si>
    <t>Net</t>
  </si>
  <si>
    <t>Sraight Line</t>
  </si>
  <si>
    <t>3/1/20 to 2/28/30</t>
  </si>
  <si>
    <t>Balance transferred from 47WA.1860.20479</t>
  </si>
  <si>
    <t>WA MAOP Pre-Code Costs Amortization  (Short Term Portion)</t>
  </si>
  <si>
    <t>47WA.1860.20481</t>
  </si>
  <si>
    <t>11/1/16 to 12/31/18</t>
  </si>
  <si>
    <t>Amortization of previously deferred WA Pre-Code Pipe MAOP Costs on straight line basis over a period of 120 months.   Amortzion balance includes both 47WA.1860.20481 and 47WA.1860.20484.  (1,085,509.71 + 9,769,587.40 = 10,855,097.11 / 120 = 90,459.14) Docket UG-190210</t>
  </si>
  <si>
    <t>Tony Durado</t>
  </si>
  <si>
    <t>Balance transferred from 47WA.1860.20479 &amp; 47WA.1860.20484</t>
  </si>
  <si>
    <t xml:space="preserve"> Washington Deferrals</t>
  </si>
  <si>
    <t xml:space="preserve"> Month of</t>
  </si>
  <si>
    <t>Commodity</t>
  </si>
  <si>
    <t>Demand</t>
  </si>
  <si>
    <t>Gas Cost Recognized</t>
  </si>
  <si>
    <t>Under the Rates - Effective 11/1/2019</t>
  </si>
  <si>
    <t>Under the Rates - Effective 11/1/2020</t>
  </si>
  <si>
    <t>Total Gas Cost Recognized</t>
  </si>
  <si>
    <t>Actual Gas Cost Incurred</t>
  </si>
  <si>
    <t>Deferred Gas Cost Journalized</t>
  </si>
  <si>
    <t>47WA.2530.01253 - Gas Loss</t>
  </si>
  <si>
    <t>Gas Storage Mitigation</t>
  </si>
  <si>
    <t>Deferral Amount</t>
  </si>
  <si>
    <t>( ____ )  = credit to gas cost</t>
  </si>
  <si>
    <t>JDE Gas Cost Account Code</t>
  </si>
  <si>
    <t>JDE Deferred Gas Account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</si>
</sst>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5" formatCode="[$-409]mmm\-yy;@"/>
    <numFmt numFmtId="166" formatCode="_(* #,##0_);_(* \(#,##0\);_(* &quot;-&quot;??_);_(@_)"/>
    <numFmt numFmtId="168" formatCode="mm/dd/yy;@"/>
    <numFmt numFmtId="169" formatCode="&quot;$&quot;#,##0.00000_);\(&quot;$&quot;#,##0.00000\)"/>
    <numFmt numFmtId="170" formatCode="m/d/yy;@"/>
    <numFmt numFmtId="171" formatCode="#,##0.00000_);\(#,##0.00000\)"/>
    <numFmt numFmtId="172" formatCode="_(* #,##0.00000_);_(* \(#,##0.00000\);_(* &quot;-&quot;??_);_(@_)"/>
    <numFmt numFmtId="173" formatCode="[$-409]mmmm\-yy;@"/>
  </numFmts>
  <fonts count="33" x14ac:knownFonts="1">
    <font>
      <sz val="12"/>
      <name val="Helv"/>
    </font>
    <font>
      <sz val="11"/>
      <color theme="1"/>
      <name val="Calibri"/>
      <family val="2"/>
      <scheme val="minor"/>
    </font>
    <font>
      <sz val="10"/>
      <name val="Arial"/>
      <family val="2"/>
    </font>
    <font>
      <b/>
      <sz val="10"/>
      <name val="Calibri"/>
      <family val="2"/>
      <scheme val="minor"/>
    </font>
    <font>
      <sz val="10"/>
      <name val="Calibri"/>
      <family val="2"/>
      <scheme val="minor"/>
    </font>
    <font>
      <sz val="12"/>
      <name val="Arial"/>
      <family val="2"/>
    </font>
    <font>
      <sz val="12"/>
      <name val="Times New Roman"/>
      <family val="1"/>
    </font>
    <font>
      <sz val="10"/>
      <color rgb="FFC00000"/>
      <name val="Calibri"/>
      <family val="2"/>
      <scheme val="minor"/>
    </font>
    <font>
      <b/>
      <sz val="10"/>
      <color rgb="FFC00000"/>
      <name val="Calibri"/>
      <family val="2"/>
      <scheme val="minor"/>
    </font>
    <font>
      <b/>
      <sz val="8"/>
      <color indexed="81"/>
      <name val="Tahoma"/>
      <family val="2"/>
    </font>
    <font>
      <b/>
      <sz val="12"/>
      <name val="Calibri"/>
      <family val="2"/>
      <scheme val="minor"/>
    </font>
    <font>
      <sz val="12"/>
      <name val="Calibri"/>
      <family val="2"/>
      <scheme val="minor"/>
    </font>
    <font>
      <u/>
      <sz val="9.6"/>
      <color indexed="12"/>
      <name val="Helv"/>
    </font>
    <font>
      <u/>
      <sz val="10"/>
      <color indexed="12"/>
      <name val="Calibri"/>
      <family val="2"/>
      <scheme val="minor"/>
    </font>
    <font>
      <b/>
      <sz val="10"/>
      <color theme="4" tint="-0.249977111117893"/>
      <name val="Calibri"/>
      <family val="2"/>
      <scheme val="minor"/>
    </font>
    <font>
      <sz val="10"/>
      <color theme="4" tint="-0.249977111117893"/>
      <name val="Calibri"/>
      <family val="2"/>
      <scheme val="minor"/>
    </font>
    <font>
      <sz val="14"/>
      <color indexed="81"/>
      <name val="Tahoma"/>
      <family val="2"/>
    </font>
    <font>
      <sz val="10"/>
      <color indexed="12"/>
      <name val="Calibri"/>
      <family val="2"/>
      <scheme val="minor"/>
    </font>
    <font>
      <sz val="10"/>
      <name val="Courier"/>
      <family val="3"/>
    </font>
    <font>
      <b/>
      <i/>
      <sz val="8"/>
      <name val="Calibri"/>
      <family val="2"/>
      <scheme val="minor"/>
    </font>
    <font>
      <b/>
      <sz val="9"/>
      <color indexed="81"/>
      <name val="Tahoma"/>
      <family val="2"/>
    </font>
    <font>
      <sz val="9"/>
      <color indexed="81"/>
      <name val="Tahoma"/>
      <family val="2"/>
    </font>
    <font>
      <sz val="10"/>
      <color theme="1"/>
      <name val="Calibri"/>
      <family val="2"/>
      <scheme val="minor"/>
    </font>
    <font>
      <sz val="10"/>
      <color rgb="FFFF0000"/>
      <name val="Calibri"/>
      <family val="2"/>
      <scheme val="minor"/>
    </font>
    <font>
      <sz val="8"/>
      <color indexed="81"/>
      <name val="Tahoma"/>
      <family val="2"/>
    </font>
    <font>
      <b/>
      <sz val="10"/>
      <name val="Arial"/>
      <family val="2"/>
    </font>
    <font>
      <u/>
      <sz val="11"/>
      <name val="Arial"/>
      <family val="2"/>
    </font>
    <font>
      <sz val="11"/>
      <name val="Arial"/>
      <family val="2"/>
    </font>
    <font>
      <b/>
      <sz val="11"/>
      <name val="Arial"/>
      <family val="2"/>
    </font>
    <font>
      <sz val="11"/>
      <color indexed="10"/>
      <name val="Arial"/>
      <family val="2"/>
    </font>
    <font>
      <sz val="8"/>
      <name val="Arial"/>
      <family val="2"/>
    </font>
    <font>
      <sz val="10"/>
      <color theme="2" tint="-0.249977111117893"/>
      <name val="Calibri"/>
      <family val="2"/>
      <scheme val="minor"/>
    </font>
    <font>
      <b/>
      <sz val="10"/>
      <color theme="2" tint="-0.249977111117893"/>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3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1">
    <xf numFmtId="39" fontId="0" fillId="0" borderId="0"/>
    <xf numFmtId="43" fontId="6" fillId="0" borderId="0" applyFont="0" applyFill="0" applyBorder="0" applyAlignment="0" applyProtection="0"/>
    <xf numFmtId="9" fontId="6"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0" fontId="12" fillId="0" borderId="0" applyNumberFormat="0" applyFill="0" applyBorder="0" applyAlignment="0" applyProtection="0">
      <alignment vertical="top"/>
      <protection locked="0"/>
    </xf>
    <xf numFmtId="10" fontId="18" fillId="0" borderId="0"/>
    <xf numFmtId="0" fontId="1" fillId="0" borderId="0"/>
    <xf numFmtId="0" fontId="1" fillId="0" borderId="0"/>
    <xf numFmtId="0" fontId="1" fillId="0" borderId="0"/>
  </cellStyleXfs>
  <cellXfs count="314">
    <xf numFmtId="39" fontId="0" fillId="0" borderId="0" xfId="0"/>
    <xf numFmtId="0" fontId="2" fillId="0" borderId="0" xfId="3"/>
    <xf numFmtId="39" fontId="4" fillId="0" borderId="0" xfId="0" applyFont="1"/>
    <xf numFmtId="39" fontId="3" fillId="0" borderId="1" xfId="0" applyFont="1" applyBorder="1" applyAlignment="1">
      <alignment horizontal="center"/>
    </xf>
    <xf numFmtId="39" fontId="7" fillId="0" borderId="0" xfId="0" applyFont="1"/>
    <xf numFmtId="39" fontId="10" fillId="0" borderId="0" xfId="0" applyFont="1" applyAlignment="1">
      <alignment horizontal="left"/>
    </xf>
    <xf numFmtId="39" fontId="11" fillId="0" borderId="0" xfId="0" applyFont="1"/>
    <xf numFmtId="39" fontId="4" fillId="0" borderId="0" xfId="0" applyFont="1" applyAlignment="1">
      <alignment horizontal="left"/>
    </xf>
    <xf numFmtId="39" fontId="12" fillId="0" borderId="0" xfId="6" applyNumberFormat="1" applyAlignment="1" applyProtection="1">
      <alignment horizontal="left"/>
    </xf>
    <xf numFmtId="39" fontId="13" fillId="0" borderId="0" xfId="6" applyNumberFormat="1" applyFont="1" applyAlignment="1" applyProtection="1">
      <alignment horizontal="left"/>
    </xf>
    <xf numFmtId="39" fontId="3" fillId="0" borderId="1" xfId="0" applyFont="1" applyBorder="1" applyAlignment="1">
      <alignment horizontal="center" wrapText="1"/>
    </xf>
    <xf numFmtId="39" fontId="4" fillId="0" borderId="0" xfId="0" applyFont="1" applyAlignment="1">
      <alignment horizontal="right"/>
    </xf>
    <xf numFmtId="165" fontId="4" fillId="0" borderId="3" xfId="3" applyNumberFormat="1" applyFont="1" applyBorder="1" applyAlignment="1">
      <alignment horizontal="center" vertical="top"/>
    </xf>
    <xf numFmtId="10" fontId="4" fillId="0" borderId="2" xfId="2" applyNumberFormat="1" applyFont="1" applyBorder="1" applyAlignment="1">
      <alignment horizontal="center"/>
    </xf>
    <xf numFmtId="37" fontId="4" fillId="0" borderId="2" xfId="0" applyNumberFormat="1" applyFont="1" applyBorder="1" applyAlignment="1">
      <alignment horizontal="center"/>
    </xf>
    <xf numFmtId="39" fontId="4" fillId="0" borderId="4" xfId="0" applyFont="1" applyBorder="1" applyAlignment="1">
      <alignment horizontal="center" vertical="center" textRotation="90"/>
    </xf>
    <xf numFmtId="165" fontId="4" fillId="0" borderId="5" xfId="3" applyNumberFormat="1" applyFont="1" applyBorder="1" applyAlignment="1">
      <alignment horizontal="center" vertical="top"/>
    </xf>
    <xf numFmtId="10" fontId="4" fillId="0" borderId="0" xfId="2" applyNumberFormat="1" applyFont="1" applyAlignment="1">
      <alignment horizontal="center"/>
    </xf>
    <xf numFmtId="37" fontId="4" fillId="0" borderId="0" xfId="0" applyNumberFormat="1" applyFont="1" applyAlignment="1">
      <alignment horizontal="center"/>
    </xf>
    <xf numFmtId="39" fontId="4" fillId="0" borderId="6" xfId="0" applyFont="1" applyBorder="1" applyAlignment="1">
      <alignment horizontal="center" vertical="center" textRotation="90"/>
    </xf>
    <xf numFmtId="165" fontId="4" fillId="0" borderId="7" xfId="3" applyNumberFormat="1" applyFont="1" applyBorder="1" applyAlignment="1">
      <alignment horizontal="center" vertical="top"/>
    </xf>
    <xf numFmtId="10" fontId="4" fillId="0" borderId="1" xfId="2" applyNumberFormat="1" applyFont="1" applyBorder="1" applyAlignment="1">
      <alignment horizontal="center"/>
    </xf>
    <xf numFmtId="37" fontId="4" fillId="0" borderId="1" xfId="0" applyNumberFormat="1" applyFont="1" applyBorder="1" applyAlignment="1">
      <alignment horizontal="center"/>
    </xf>
    <xf numFmtId="39" fontId="4" fillId="0" borderId="8" xfId="0" applyFont="1" applyBorder="1" applyAlignment="1">
      <alignment horizontal="center" vertical="center" textRotation="90"/>
    </xf>
    <xf numFmtId="37" fontId="4" fillId="0" borderId="9" xfId="0" applyNumberFormat="1" applyFont="1" applyBorder="1" applyAlignment="1">
      <alignment horizontal="center"/>
    </xf>
    <xf numFmtId="10" fontId="4" fillId="0" borderId="0" xfId="2" applyNumberFormat="1" applyFont="1" applyBorder="1" applyAlignment="1">
      <alignment horizontal="center"/>
    </xf>
    <xf numFmtId="37" fontId="4" fillId="0" borderId="10" xfId="0" applyNumberFormat="1" applyFont="1" applyBorder="1" applyAlignment="1">
      <alignment horizontal="center"/>
    </xf>
    <xf numFmtId="37" fontId="4" fillId="0" borderId="11" xfId="0" applyNumberFormat="1" applyFont="1" applyBorder="1" applyAlignment="1">
      <alignment horizontal="center"/>
    </xf>
    <xf numFmtId="165" fontId="4" fillId="0" borderId="0" xfId="3" applyNumberFormat="1" applyFont="1" applyAlignment="1">
      <alignment horizontal="center" vertical="top"/>
    </xf>
    <xf numFmtId="39" fontId="10" fillId="0" borderId="12" xfId="0" applyFont="1" applyBorder="1" applyAlignment="1">
      <alignment horizontal="center"/>
    </xf>
    <xf numFmtId="39" fontId="10" fillId="0" borderId="13" xfId="0" applyFont="1" applyBorder="1" applyAlignment="1">
      <alignment horizontal="center"/>
    </xf>
    <xf numFmtId="39" fontId="10" fillId="0" borderId="14" xfId="0" applyFont="1" applyBorder="1" applyAlignment="1">
      <alignment horizontal="center"/>
    </xf>
    <xf numFmtId="39" fontId="10" fillId="0" borderId="15" xfId="0" applyFont="1" applyBorder="1" applyAlignment="1">
      <alignment horizontal="center"/>
    </xf>
    <xf numFmtId="39" fontId="10" fillId="0" borderId="1" xfId="0" applyFont="1" applyBorder="1" applyAlignment="1">
      <alignment horizontal="center"/>
    </xf>
    <xf numFmtId="39" fontId="10" fillId="0" borderId="0" xfId="0" applyFont="1" applyAlignment="1">
      <alignment horizontal="center"/>
    </xf>
    <xf numFmtId="39" fontId="10" fillId="0" borderId="16" xfId="0" applyFont="1" applyBorder="1" applyAlignment="1">
      <alignment horizontal="center"/>
    </xf>
    <xf numFmtId="39" fontId="3" fillId="0" borderId="6" xfId="0" applyFont="1" applyBorder="1" applyAlignment="1">
      <alignment horizontal="center" wrapText="1"/>
    </xf>
    <xf numFmtId="37" fontId="3" fillId="0" borderId="7" xfId="0" applyNumberFormat="1" applyFont="1" applyBorder="1" applyAlignment="1">
      <alignment horizontal="center"/>
    </xf>
    <xf numFmtId="37" fontId="3" fillId="0" borderId="1" xfId="0" applyNumberFormat="1" applyFont="1" applyBorder="1" applyAlignment="1">
      <alignment horizontal="center"/>
    </xf>
    <xf numFmtId="37" fontId="3" fillId="0" borderId="2" xfId="0" applyNumberFormat="1" applyFont="1" applyBorder="1" applyAlignment="1">
      <alignment horizontal="center"/>
    </xf>
    <xf numFmtId="37" fontId="3" fillId="0" borderId="17" xfId="0" applyNumberFormat="1" applyFont="1" applyBorder="1" applyAlignment="1">
      <alignment horizontal="center"/>
    </xf>
    <xf numFmtId="37" fontId="3" fillId="0" borderId="18" xfId="0" applyNumberFormat="1" applyFont="1" applyBorder="1" applyAlignment="1">
      <alignment horizontal="center"/>
    </xf>
    <xf numFmtId="39" fontId="14" fillId="0" borderId="5" xfId="0" applyFont="1" applyBorder="1" applyAlignment="1">
      <alignment horizontal="center" wrapText="1"/>
    </xf>
    <xf numFmtId="39" fontId="8" fillId="0" borderId="0" xfId="0" applyFont="1" applyAlignment="1">
      <alignment horizontal="center" wrapText="1"/>
    </xf>
    <xf numFmtId="39" fontId="14" fillId="0" borderId="10" xfId="0" applyFont="1" applyBorder="1" applyAlignment="1">
      <alignment horizontal="center" wrapText="1"/>
    </xf>
    <xf numFmtId="39" fontId="3" fillId="0" borderId="19" xfId="0" applyFont="1" applyBorder="1" applyAlignment="1">
      <alignment horizontal="center"/>
    </xf>
    <xf numFmtId="39" fontId="3" fillId="0" borderId="17" xfId="0" applyFont="1" applyBorder="1" applyAlignment="1">
      <alignment horizontal="center"/>
    </xf>
    <xf numFmtId="39" fontId="14" fillId="0" borderId="0" xfId="0" applyFont="1" applyAlignment="1">
      <alignment horizontal="center" wrapText="1"/>
    </xf>
    <xf numFmtId="39" fontId="3" fillId="0" borderId="17" xfId="0" applyFont="1" applyBorder="1" applyAlignment="1">
      <alignment horizontal="center" wrapText="1"/>
    </xf>
    <xf numFmtId="39" fontId="3" fillId="0" borderId="0" xfId="0" applyFont="1"/>
    <xf numFmtId="39" fontId="3" fillId="0" borderId="8" xfId="0" applyFont="1" applyBorder="1" applyAlignment="1">
      <alignment horizontal="center" wrapText="1"/>
    </xf>
    <xf numFmtId="37" fontId="8" fillId="0" borderId="1" xfId="0" applyNumberFormat="1" applyFont="1" applyBorder="1" applyAlignment="1">
      <alignment horizontal="center" wrapText="1"/>
    </xf>
    <xf numFmtId="39" fontId="14" fillId="0" borderId="1" xfId="0" applyFont="1" applyBorder="1" applyAlignment="1">
      <alignment horizontal="center" wrapText="1"/>
    </xf>
    <xf numFmtId="37" fontId="8" fillId="0" borderId="6" xfId="0" applyNumberFormat="1" applyFont="1" applyBorder="1" applyAlignment="1">
      <alignment horizontal="center" wrapText="1"/>
    </xf>
    <xf numFmtId="39" fontId="14" fillId="0" borderId="7" xfId="0" applyFont="1" applyBorder="1" applyAlignment="1">
      <alignment horizontal="center" wrapText="1"/>
    </xf>
    <xf numFmtId="39" fontId="14" fillId="0" borderId="11" xfId="0" applyFont="1" applyBorder="1" applyAlignment="1">
      <alignment horizontal="center" wrapText="1"/>
    </xf>
    <xf numFmtId="39" fontId="8" fillId="0" borderId="1" xfId="0" applyFont="1" applyBorder="1" applyAlignment="1">
      <alignment horizontal="center" wrapText="1"/>
    </xf>
    <xf numFmtId="39" fontId="3" fillId="0" borderId="0" xfId="0" applyFont="1" applyAlignment="1">
      <alignment horizontal="center" wrapText="1"/>
    </xf>
    <xf numFmtId="39" fontId="3" fillId="0" borderId="10" xfId="0" applyFont="1" applyBorder="1" applyAlignment="1">
      <alignment horizontal="center" wrapText="1"/>
    </xf>
    <xf numFmtId="39" fontId="3" fillId="0" borderId="0" xfId="0" applyFont="1" applyAlignment="1">
      <alignment wrapText="1"/>
    </xf>
    <xf numFmtId="165" fontId="3" fillId="0" borderId="5" xfId="0" applyNumberFormat="1" applyFont="1" applyBorder="1" applyAlignment="1">
      <alignment shrinkToFit="1"/>
    </xf>
    <xf numFmtId="37" fontId="7" fillId="0" borderId="0" xfId="0" applyNumberFormat="1" applyFont="1"/>
    <xf numFmtId="37" fontId="15" fillId="0" borderId="0" xfId="0" applyNumberFormat="1" applyFont="1"/>
    <xf numFmtId="37" fontId="7" fillId="0" borderId="6" xfId="0" applyNumberFormat="1" applyFont="1" applyBorder="1"/>
    <xf numFmtId="37" fontId="15" fillId="0" borderId="5" xfId="0" applyNumberFormat="1" applyFont="1" applyBorder="1"/>
    <xf numFmtId="37" fontId="15" fillId="0" borderId="10" xfId="0" applyNumberFormat="1" applyFont="1" applyBorder="1"/>
    <xf numFmtId="166" fontId="15" fillId="0" borderId="0" xfId="1" applyNumberFormat="1" applyFont="1" applyAlignment="1">
      <alignment horizontal="center"/>
    </xf>
    <xf numFmtId="166" fontId="7" fillId="0" borderId="0" xfId="1" applyNumberFormat="1" applyFont="1"/>
    <xf numFmtId="39" fontId="4" fillId="0" borderId="10" xfId="0" applyFont="1" applyBorder="1"/>
    <xf numFmtId="17" fontId="3" fillId="0" borderId="8" xfId="1" applyNumberFormat="1" applyFont="1" applyBorder="1"/>
    <xf numFmtId="37" fontId="7" fillId="0" borderId="1" xfId="0" applyNumberFormat="1" applyFont="1" applyBorder="1"/>
    <xf numFmtId="37" fontId="15" fillId="0" borderId="1" xfId="0" applyNumberFormat="1" applyFont="1" applyBorder="1"/>
    <xf numFmtId="37" fontId="15" fillId="0" borderId="7" xfId="0" applyNumberFormat="1" applyFont="1" applyBorder="1"/>
    <xf numFmtId="37" fontId="15" fillId="0" borderId="11" xfId="0" applyNumberFormat="1" applyFont="1" applyBorder="1"/>
    <xf numFmtId="166" fontId="15" fillId="0" borderId="1" xfId="1" applyNumberFormat="1" applyFont="1" applyBorder="1" applyAlignment="1">
      <alignment horizontal="center"/>
    </xf>
    <xf numFmtId="39" fontId="4" fillId="0" borderId="2" xfId="0" applyFont="1" applyBorder="1"/>
    <xf numFmtId="39" fontId="4" fillId="0" borderId="9" xfId="0" applyFont="1" applyBorder="1"/>
    <xf numFmtId="166" fontId="15" fillId="0" borderId="0" xfId="1" applyNumberFormat="1" applyFont="1" applyBorder="1" applyAlignment="1">
      <alignment horizontal="center"/>
    </xf>
    <xf numFmtId="166" fontId="7" fillId="0" borderId="0" xfId="1" applyNumberFormat="1" applyFont="1" applyBorder="1"/>
    <xf numFmtId="37" fontId="7" fillId="0" borderId="3" xfId="0" applyNumberFormat="1" applyFont="1" applyBorder="1"/>
    <xf numFmtId="37" fontId="7" fillId="0" borderId="2" xfId="0" applyNumberFormat="1" applyFont="1" applyBorder="1"/>
    <xf numFmtId="37" fontId="15" fillId="0" borderId="2" xfId="0" applyNumberFormat="1" applyFont="1" applyBorder="1"/>
    <xf numFmtId="37" fontId="7" fillId="0" borderId="4" xfId="0" applyNumberFormat="1" applyFont="1" applyBorder="1"/>
    <xf numFmtId="37" fontId="15" fillId="0" borderId="3" xfId="0" applyNumberFormat="1" applyFont="1" applyBorder="1"/>
    <xf numFmtId="37" fontId="15" fillId="0" borderId="9" xfId="0" applyNumberFormat="1" applyFont="1" applyBorder="1"/>
    <xf numFmtId="166" fontId="15" fillId="0" borderId="2" xfId="1" applyNumberFormat="1" applyFont="1" applyBorder="1" applyAlignment="1">
      <alignment horizontal="center"/>
    </xf>
    <xf numFmtId="166" fontId="7" fillId="0" borderId="4" xfId="1" applyNumberFormat="1" applyFont="1" applyBorder="1"/>
    <xf numFmtId="37" fontId="7" fillId="0" borderId="5" xfId="0" applyNumberFormat="1" applyFont="1" applyBorder="1"/>
    <xf numFmtId="166" fontId="7" fillId="0" borderId="6" xfId="1" applyNumberFormat="1" applyFont="1" applyBorder="1"/>
    <xf numFmtId="37" fontId="15" fillId="0" borderId="6" xfId="0" applyNumberFormat="1" applyFont="1" applyBorder="1"/>
    <xf numFmtId="17" fontId="3" fillId="0" borderId="7" xfId="1" applyNumberFormat="1" applyFont="1" applyBorder="1"/>
    <xf numFmtId="37" fontId="7" fillId="0" borderId="7" xfId="0" applyNumberFormat="1" applyFont="1" applyBorder="1"/>
    <xf numFmtId="37" fontId="7" fillId="0" borderId="8" xfId="0" applyNumberFormat="1" applyFont="1" applyBorder="1"/>
    <xf numFmtId="37" fontId="15" fillId="0" borderId="8" xfId="0" applyNumberFormat="1" applyFont="1" applyBorder="1"/>
    <xf numFmtId="39" fontId="4" fillId="0" borderId="1" xfId="0" applyFont="1" applyBorder="1"/>
    <xf numFmtId="39" fontId="4" fillId="0" borderId="11" xfId="0" applyFont="1" applyBorder="1"/>
    <xf numFmtId="37" fontId="4" fillId="0" borderId="0" xfId="0" applyNumberFormat="1" applyFont="1"/>
    <xf numFmtId="37" fontId="4" fillId="0" borderId="10" xfId="0" applyNumberFormat="1" applyFont="1" applyBorder="1"/>
    <xf numFmtId="37" fontId="4" fillId="0" borderId="1" xfId="0" applyNumberFormat="1" applyFont="1" applyBorder="1"/>
    <xf numFmtId="37" fontId="4" fillId="0" borderId="11" xfId="0" applyNumberFormat="1" applyFont="1" applyBorder="1"/>
    <xf numFmtId="165" fontId="3" fillId="0" borderId="3" xfId="0" applyNumberFormat="1" applyFont="1" applyBorder="1" applyAlignment="1">
      <alignment shrinkToFit="1"/>
    </xf>
    <xf numFmtId="39" fontId="15" fillId="0" borderId="5" xfId="0" applyFont="1" applyBorder="1" applyAlignment="1">
      <alignment horizontal="center"/>
    </xf>
    <xf numFmtId="17" fontId="3" fillId="0" borderId="5" xfId="1" applyNumberFormat="1" applyFont="1" applyBorder="1"/>
    <xf numFmtId="165" fontId="3" fillId="0" borderId="7" xfId="0" applyNumberFormat="1" applyFont="1" applyBorder="1" applyAlignment="1">
      <alignment shrinkToFit="1"/>
    </xf>
    <xf numFmtId="39" fontId="15" fillId="0" borderId="7" xfId="0" applyFont="1" applyBorder="1" applyAlignment="1">
      <alignment horizontal="center"/>
    </xf>
    <xf numFmtId="17" fontId="3" fillId="0" borderId="0" xfId="1" applyNumberFormat="1" applyFont="1"/>
    <xf numFmtId="165" fontId="3" fillId="0" borderId="0" xfId="0" applyNumberFormat="1" applyFont="1" applyAlignment="1">
      <alignment shrinkToFit="1"/>
    </xf>
    <xf numFmtId="17" fontId="3" fillId="0" borderId="1" xfId="1" applyNumberFormat="1" applyFont="1" applyBorder="1"/>
    <xf numFmtId="39" fontId="15" fillId="0" borderId="0" xfId="0" applyFont="1"/>
    <xf numFmtId="39" fontId="15" fillId="0" borderId="0" xfId="0" applyFont="1" applyAlignment="1">
      <alignment horizontal="center"/>
    </xf>
    <xf numFmtId="39" fontId="4" fillId="0" borderId="3" xfId="0" applyFont="1" applyBorder="1" applyAlignment="1">
      <alignment horizontal="left"/>
    </xf>
    <xf numFmtId="39" fontId="4" fillId="0" borderId="2" xfId="0" applyFont="1" applyBorder="1" applyAlignment="1">
      <alignment horizontal="left"/>
    </xf>
    <xf numFmtId="39" fontId="4" fillId="0" borderId="2" xfId="0" applyFont="1" applyBorder="1" applyAlignment="1" applyProtection="1">
      <alignment horizontal="left"/>
      <protection locked="0"/>
    </xf>
    <xf numFmtId="39" fontId="4" fillId="0" borderId="9" xfId="0" applyFont="1" applyBorder="1" applyAlignment="1" applyProtection="1">
      <alignment horizontal="left"/>
      <protection locked="0"/>
    </xf>
    <xf numFmtId="39" fontId="4" fillId="0" borderId="0" xfId="0" applyFont="1" applyAlignment="1" applyProtection="1">
      <alignment horizontal="left"/>
      <protection locked="0"/>
    </xf>
    <xf numFmtId="39" fontId="4" fillId="0" borderId="0" xfId="0" applyFont="1" applyAlignment="1">
      <alignment horizontal="center"/>
    </xf>
    <xf numFmtId="39" fontId="4" fillId="0" borderId="5" xfId="0" applyFont="1" applyBorder="1" applyAlignment="1">
      <alignment horizontal="left"/>
    </xf>
    <xf numFmtId="39" fontId="4" fillId="0" borderId="0" xfId="0" applyFont="1" applyAlignment="1">
      <alignment horizontal="left"/>
    </xf>
    <xf numFmtId="39" fontId="4" fillId="0" borderId="0" xfId="0" applyFont="1" applyAlignment="1" applyProtection="1">
      <alignment horizontal="left"/>
      <protection locked="0"/>
    </xf>
    <xf numFmtId="39" fontId="4" fillId="0" borderId="10" xfId="0" applyFont="1" applyBorder="1" applyAlignment="1" applyProtection="1">
      <alignment horizontal="left"/>
      <protection locked="0"/>
    </xf>
    <xf numFmtId="39" fontId="4" fillId="0" borderId="20" xfId="0" applyFont="1" applyBorder="1" applyAlignment="1" applyProtection="1">
      <alignment horizontal="left"/>
      <protection locked="0"/>
    </xf>
    <xf numFmtId="39" fontId="4" fillId="0" borderId="21" xfId="0" applyFont="1" applyBorder="1" applyAlignment="1">
      <alignment horizontal="left" vertical="top"/>
    </xf>
    <xf numFmtId="39" fontId="4" fillId="0" borderId="22" xfId="0" applyFont="1" applyBorder="1" applyAlignment="1">
      <alignment horizontal="left" vertical="top"/>
    </xf>
    <xf numFmtId="39" fontId="4" fillId="0" borderId="22" xfId="0" applyFont="1" applyBorder="1" applyAlignment="1">
      <alignment horizontal="left" vertical="top" wrapText="1"/>
    </xf>
    <xf numFmtId="39" fontId="4" fillId="0" borderId="23" xfId="0" applyFont="1" applyBorder="1" applyAlignment="1">
      <alignment horizontal="left" vertical="top" wrapText="1"/>
    </xf>
    <xf numFmtId="39" fontId="4" fillId="0" borderId="0" xfId="0" applyFont="1" applyAlignment="1">
      <alignment horizontal="left" vertical="top" wrapText="1"/>
    </xf>
    <xf numFmtId="39" fontId="17" fillId="0" borderId="0" xfId="0" applyFont="1" applyProtection="1">
      <protection locked="0"/>
    </xf>
    <xf numFmtId="39" fontId="3" fillId="0" borderId="0" xfId="7" applyNumberFormat="1" applyFont="1" applyAlignment="1">
      <alignment horizontal="center"/>
    </xf>
    <xf numFmtId="39" fontId="19" fillId="0" borderId="0" xfId="0" applyFont="1" applyAlignment="1">
      <alignment horizontal="center"/>
    </xf>
    <xf numFmtId="39" fontId="3" fillId="0" borderId="0" xfId="0" applyFont="1" applyAlignment="1">
      <alignment horizontal="center"/>
    </xf>
    <xf numFmtId="39" fontId="3" fillId="2" borderId="1" xfId="0" applyFont="1" applyFill="1" applyBorder="1" applyAlignment="1">
      <alignment horizontal="center" wrapText="1"/>
    </xf>
    <xf numFmtId="17" fontId="4" fillId="0" borderId="0" xfId="0" applyNumberFormat="1" applyFont="1" applyAlignment="1">
      <alignment horizontal="right"/>
    </xf>
    <xf numFmtId="39" fontId="4" fillId="2" borderId="0" xfId="0" applyFont="1" applyFill="1"/>
    <xf numFmtId="168" fontId="4" fillId="0" borderId="0" xfId="0" applyNumberFormat="1" applyFont="1" applyAlignment="1">
      <alignment horizontal="center"/>
    </xf>
    <xf numFmtId="17" fontId="4" fillId="0" borderId="0" xfId="0" applyNumberFormat="1" applyFont="1" applyAlignment="1">
      <alignment horizontal="right"/>
    </xf>
    <xf numFmtId="43" fontId="4" fillId="0" borderId="0" xfId="1" applyFont="1"/>
    <xf numFmtId="43" fontId="4" fillId="2" borderId="0" xfId="1" applyFont="1" applyFill="1"/>
    <xf numFmtId="39" fontId="4" fillId="0" borderId="0" xfId="0" applyFont="1" applyAlignment="1">
      <alignment horizontal="right"/>
    </xf>
    <xf numFmtId="39" fontId="4" fillId="0" borderId="12" xfId="0" applyFont="1" applyBorder="1" applyAlignment="1">
      <alignment horizontal="left"/>
    </xf>
    <xf numFmtId="39" fontId="4" fillId="0" borderId="13" xfId="0" applyFont="1" applyBorder="1" applyAlignment="1">
      <alignment horizontal="left"/>
    </xf>
    <xf numFmtId="39" fontId="4" fillId="0" borderId="13" xfId="0" applyFont="1" applyBorder="1" applyAlignment="1" applyProtection="1">
      <alignment horizontal="left"/>
      <protection locked="0"/>
    </xf>
    <xf numFmtId="39" fontId="4" fillId="0" borderId="14" xfId="0" applyFont="1" applyBorder="1" applyAlignment="1" applyProtection="1">
      <alignment horizontal="left"/>
      <protection locked="0"/>
    </xf>
    <xf numFmtId="39" fontId="4" fillId="0" borderId="24" xfId="0" applyFont="1" applyBorder="1" applyAlignment="1">
      <alignment horizontal="left"/>
    </xf>
    <xf numFmtId="39" fontId="4" fillId="0" borderId="0" xfId="0" applyFont="1" applyProtection="1">
      <protection locked="0"/>
    </xf>
    <xf numFmtId="39" fontId="4" fillId="0" borderId="20" xfId="0" applyFont="1" applyBorder="1" applyProtection="1">
      <protection locked="0"/>
    </xf>
    <xf numFmtId="39" fontId="4" fillId="0" borderId="25" xfId="0" applyFont="1" applyBorder="1" applyAlignment="1">
      <alignment horizontal="left" vertical="top"/>
    </xf>
    <xf numFmtId="39" fontId="4" fillId="0" borderId="26" xfId="0" applyFont="1" applyBorder="1" applyAlignment="1">
      <alignment horizontal="left" vertical="top"/>
    </xf>
    <xf numFmtId="39" fontId="4" fillId="0" borderId="26" xfId="0" applyFont="1" applyBorder="1" applyAlignment="1">
      <alignment horizontal="left" vertical="top" wrapText="1"/>
    </xf>
    <xf numFmtId="39" fontId="4" fillId="0" borderId="27" xfId="0" applyFont="1" applyBorder="1" applyAlignment="1">
      <alignment horizontal="left" vertical="top" wrapText="1"/>
    </xf>
    <xf numFmtId="39" fontId="4" fillId="0" borderId="28" xfId="0" applyFont="1" applyBorder="1"/>
    <xf numFmtId="39" fontId="4" fillId="0" borderId="28" xfId="0" applyFont="1" applyBorder="1" applyAlignment="1" applyProtection="1">
      <alignment horizontal="left"/>
      <protection locked="0"/>
    </xf>
    <xf numFmtId="39" fontId="4" fillId="0" borderId="28" xfId="0" applyFont="1" applyBorder="1" applyAlignment="1">
      <alignment horizontal="center"/>
    </xf>
    <xf numFmtId="39" fontId="4" fillId="0" borderId="0" xfId="0" applyFont="1" applyAlignment="1">
      <alignment horizontal="left" vertical="top"/>
    </xf>
    <xf numFmtId="39" fontId="4" fillId="0" borderId="0" xfId="0" applyFont="1" applyAlignment="1">
      <alignment horizontal="left" wrapText="1"/>
    </xf>
    <xf numFmtId="17" fontId="4" fillId="0" borderId="0" xfId="0" applyNumberFormat="1" applyFont="1"/>
    <xf numFmtId="39" fontId="4" fillId="0" borderId="13" xfId="0" applyFont="1" applyBorder="1" applyProtection="1">
      <protection locked="0"/>
    </xf>
    <xf numFmtId="39" fontId="4" fillId="0" borderId="14" xfId="0" applyFont="1" applyBorder="1" applyProtection="1">
      <protection locked="0"/>
    </xf>
    <xf numFmtId="39" fontId="4" fillId="0" borderId="0" xfId="0" applyFont="1" applyAlignment="1">
      <alignment horizontal="center" vertical="center" wrapText="1"/>
    </xf>
    <xf numFmtId="39" fontId="4" fillId="0" borderId="0" xfId="0" applyFont="1" applyAlignment="1">
      <alignment vertical="center" wrapText="1"/>
    </xf>
    <xf numFmtId="169" fontId="4" fillId="0" borderId="0" xfId="0" applyNumberFormat="1" applyFont="1"/>
    <xf numFmtId="169" fontId="4" fillId="2" borderId="0" xfId="0" applyNumberFormat="1" applyFont="1" applyFill="1"/>
    <xf numFmtId="37" fontId="4" fillId="2" borderId="0" xfId="0" applyNumberFormat="1" applyFont="1" applyFill="1"/>
    <xf numFmtId="39" fontId="4" fillId="3" borderId="0" xfId="0" applyFont="1" applyFill="1"/>
    <xf numFmtId="39" fontId="4" fillId="0" borderId="0" xfId="0" quotePrefix="1" applyFont="1" applyAlignment="1" applyProtection="1">
      <alignment horizontal="left"/>
      <protection locked="0"/>
    </xf>
    <xf numFmtId="0" fontId="4" fillId="2" borderId="0" xfId="0" applyNumberFormat="1" applyFont="1" applyFill="1"/>
    <xf numFmtId="39" fontId="4" fillId="0" borderId="25" xfId="0" applyFont="1" applyBorder="1" applyAlignment="1">
      <alignment horizontal="left"/>
    </xf>
    <xf numFmtId="39" fontId="4" fillId="0" borderId="26" xfId="0" applyFont="1" applyBorder="1" applyAlignment="1">
      <alignment horizontal="left"/>
    </xf>
    <xf numFmtId="39" fontId="4" fillId="0" borderId="26" xfId="0" applyFont="1" applyBorder="1" applyAlignment="1">
      <alignment horizontal="left" wrapText="1"/>
    </xf>
    <xf numFmtId="39" fontId="4" fillId="0" borderId="27" xfId="0" applyFont="1" applyBorder="1" applyAlignment="1">
      <alignment horizontal="left" wrapText="1"/>
    </xf>
    <xf numFmtId="39" fontId="4" fillId="0" borderId="13" xfId="8" applyNumberFormat="1" applyFont="1" applyBorder="1" applyAlignment="1" applyProtection="1">
      <alignment horizontal="left"/>
      <protection locked="0"/>
    </xf>
    <xf numFmtId="39" fontId="4" fillId="0" borderId="14" xfId="8" applyNumberFormat="1" applyFont="1" applyBorder="1" applyAlignment="1" applyProtection="1">
      <alignment horizontal="left"/>
      <protection locked="0"/>
    </xf>
    <xf numFmtId="0" fontId="4" fillId="0" borderId="0" xfId="8" applyFont="1"/>
    <xf numFmtId="39" fontId="4" fillId="0" borderId="0" xfId="8" applyNumberFormat="1" applyFont="1" applyAlignment="1" applyProtection="1">
      <alignment horizontal="left"/>
      <protection locked="0"/>
    </xf>
    <xf numFmtId="39" fontId="4" fillId="0" borderId="20" xfId="8" applyNumberFormat="1" applyFont="1" applyBorder="1" applyAlignment="1" applyProtection="1">
      <alignment horizontal="left"/>
      <protection locked="0"/>
    </xf>
    <xf numFmtId="39" fontId="4" fillId="0" borderId="26" xfId="8" applyNumberFormat="1" applyFont="1" applyBorder="1" applyAlignment="1">
      <alignment horizontal="left" vertical="top" wrapText="1"/>
    </xf>
    <xf numFmtId="39" fontId="4" fillId="0" borderId="27" xfId="8" applyNumberFormat="1" applyFont="1" applyBorder="1" applyAlignment="1">
      <alignment horizontal="left" vertical="top" wrapText="1"/>
    </xf>
    <xf numFmtId="0" fontId="22" fillId="0" borderId="0" xfId="8" applyFont="1"/>
    <xf numFmtId="39" fontId="4" fillId="0" borderId="0" xfId="8" applyNumberFormat="1" applyFont="1" applyAlignment="1">
      <alignment horizontal="fill"/>
    </xf>
    <xf numFmtId="39" fontId="4" fillId="0" borderId="0" xfId="8" applyNumberFormat="1" applyFont="1"/>
    <xf numFmtId="39" fontId="4" fillId="0" borderId="0" xfId="8" applyNumberFormat="1" applyFont="1" applyAlignment="1">
      <alignment horizontal="right"/>
    </xf>
    <xf numFmtId="43" fontId="22" fillId="0" borderId="0" xfId="1" applyFont="1"/>
    <xf numFmtId="0" fontId="22" fillId="0" borderId="1" xfId="8" applyFont="1" applyBorder="1" applyAlignment="1">
      <alignment horizontal="center"/>
    </xf>
    <xf numFmtId="166" fontId="4" fillId="0" borderId="0" xfId="1" applyNumberFormat="1" applyFont="1"/>
    <xf numFmtId="17" fontId="4" fillId="0" borderId="0" xfId="8" applyNumberFormat="1" applyFont="1"/>
    <xf numFmtId="37" fontId="4" fillId="0" borderId="0" xfId="8" applyNumberFormat="1" applyFont="1"/>
    <xf numFmtId="39" fontId="4" fillId="3" borderId="0" xfId="8" applyNumberFormat="1" applyFont="1" applyFill="1"/>
    <xf numFmtId="170" fontId="4" fillId="0" borderId="0" xfId="0" applyNumberFormat="1" applyFont="1" applyAlignment="1">
      <alignment horizontal="center"/>
    </xf>
    <xf numFmtId="170" fontId="4" fillId="0" borderId="0" xfId="0" applyNumberFormat="1" applyFont="1"/>
    <xf numFmtId="171" fontId="4" fillId="0" borderId="0" xfId="8" applyNumberFormat="1" applyFont="1" applyAlignment="1">
      <alignment horizontal="center"/>
    </xf>
    <xf numFmtId="43" fontId="23" fillId="0" borderId="0" xfId="1" applyFont="1"/>
    <xf numFmtId="0" fontId="22" fillId="3" borderId="0" xfId="8" applyFont="1" applyFill="1"/>
    <xf numFmtId="39" fontId="22" fillId="0" borderId="0" xfId="8" applyNumberFormat="1" applyFont="1"/>
    <xf numFmtId="0" fontId="22" fillId="0" borderId="0" xfId="8" applyFont="1" applyAlignment="1">
      <alignment horizontal="center"/>
    </xf>
    <xf numFmtId="39" fontId="4" fillId="0" borderId="1" xfId="8" applyNumberFormat="1" applyFont="1" applyBorder="1"/>
    <xf numFmtId="172" fontId="22" fillId="0" borderId="0" xfId="1" applyNumberFormat="1" applyFont="1"/>
    <xf numFmtId="39" fontId="23" fillId="0" borderId="0" xfId="8" applyNumberFormat="1" applyFont="1"/>
    <xf numFmtId="172" fontId="22" fillId="0" borderId="0" xfId="1" applyNumberFormat="1" applyFont="1" applyFill="1"/>
    <xf numFmtId="39" fontId="4" fillId="0" borderId="0" xfId="8" applyNumberFormat="1" applyFont="1" applyAlignment="1">
      <alignment horizontal="center"/>
    </xf>
    <xf numFmtId="166" fontId="4" fillId="0" borderId="0" xfId="1" applyNumberFormat="1" applyFont="1" applyBorder="1"/>
    <xf numFmtId="39" fontId="4" fillId="0" borderId="13" xfId="9" applyNumberFormat="1" applyFont="1" applyBorder="1" applyAlignment="1" applyProtection="1">
      <alignment horizontal="left"/>
      <protection locked="0"/>
    </xf>
    <xf numFmtId="39" fontId="4" fillId="0" borderId="14" xfId="9" applyNumberFormat="1" applyFont="1" applyBorder="1" applyAlignment="1" applyProtection="1">
      <alignment horizontal="left"/>
      <protection locked="0"/>
    </xf>
    <xf numFmtId="0" fontId="4" fillId="0" borderId="0" xfId="9" applyFont="1"/>
    <xf numFmtId="39" fontId="4" fillId="0" borderId="0" xfId="9" applyNumberFormat="1" applyFont="1" applyAlignment="1" applyProtection="1">
      <alignment horizontal="left"/>
      <protection locked="0"/>
    </xf>
    <xf numFmtId="39" fontId="4" fillId="0" borderId="20" xfId="9" applyNumberFormat="1" applyFont="1" applyBorder="1" applyAlignment="1" applyProtection="1">
      <alignment horizontal="left"/>
      <protection locked="0"/>
    </xf>
    <xf numFmtId="39" fontId="4" fillId="0" borderId="26" xfId="9" applyNumberFormat="1" applyFont="1" applyBorder="1" applyAlignment="1">
      <alignment horizontal="left" vertical="top" wrapText="1"/>
    </xf>
    <xf numFmtId="39" fontId="4" fillId="0" borderId="27" xfId="9" applyNumberFormat="1" applyFont="1" applyBorder="1" applyAlignment="1">
      <alignment horizontal="left" vertical="top" wrapText="1"/>
    </xf>
    <xf numFmtId="0" fontId="22" fillId="0" borderId="0" xfId="9" applyFont="1"/>
    <xf numFmtId="39" fontId="4" fillId="0" borderId="0" xfId="9" applyNumberFormat="1" applyFont="1" applyAlignment="1">
      <alignment horizontal="fill"/>
    </xf>
    <xf numFmtId="39" fontId="4" fillId="0" borderId="0" xfId="9" applyNumberFormat="1" applyFont="1"/>
    <xf numFmtId="39" fontId="4" fillId="0" borderId="0" xfId="9" applyNumberFormat="1" applyFont="1" applyAlignment="1">
      <alignment horizontal="right"/>
    </xf>
    <xf numFmtId="17" fontId="4" fillId="0" borderId="0" xfId="9" applyNumberFormat="1" applyFont="1"/>
    <xf numFmtId="39" fontId="4" fillId="0" borderId="0" xfId="9" applyNumberFormat="1" applyFont="1" applyAlignment="1">
      <alignment horizontal="center"/>
    </xf>
    <xf numFmtId="39" fontId="22" fillId="0" borderId="0" xfId="9" applyNumberFormat="1" applyFont="1"/>
    <xf numFmtId="37" fontId="4" fillId="3" borderId="0" xfId="9" applyNumberFormat="1" applyFont="1" applyFill="1"/>
    <xf numFmtId="39" fontId="4" fillId="3" borderId="0" xfId="9" applyNumberFormat="1" applyFont="1" applyFill="1"/>
    <xf numFmtId="0" fontId="22" fillId="3" borderId="0" xfId="9" applyFont="1" applyFill="1"/>
    <xf numFmtId="17" fontId="4" fillId="0" borderId="0" xfId="9" applyNumberFormat="1" applyFont="1" applyAlignment="1">
      <alignment horizontal="right"/>
    </xf>
    <xf numFmtId="0" fontId="2" fillId="0" borderId="0" xfId="3" applyFill="1"/>
    <xf numFmtId="0" fontId="5" fillId="0" borderId="0" xfId="3" applyFont="1" applyFill="1"/>
    <xf numFmtId="0" fontId="5" fillId="0" borderId="0" xfId="3" applyFont="1" applyFill="1" applyAlignment="1">
      <alignment horizontal="right"/>
    </xf>
    <xf numFmtId="0" fontId="25" fillId="0" borderId="0" xfId="3" applyFont="1" applyFill="1" applyAlignment="1">
      <alignment horizontal="center" vertical="center"/>
    </xf>
    <xf numFmtId="173" fontId="5" fillId="0" borderId="0" xfId="3" applyNumberFormat="1" applyFont="1" applyFill="1" applyAlignment="1">
      <alignment horizontal="left"/>
    </xf>
    <xf numFmtId="173" fontId="5" fillId="0" borderId="0" xfId="3" applyNumberFormat="1" applyFont="1" applyFill="1"/>
    <xf numFmtId="0" fontId="2" fillId="0" borderId="1" xfId="3" applyFill="1" applyBorder="1" applyAlignment="1">
      <alignment horizontal="center"/>
    </xf>
    <xf numFmtId="0" fontId="2" fillId="0" borderId="29" xfId="3" applyFill="1" applyBorder="1" applyAlignment="1">
      <alignment horizontal="center"/>
    </xf>
    <xf numFmtId="0" fontId="2" fillId="0" borderId="1" xfId="3" applyFill="1" applyBorder="1" applyAlignment="1">
      <alignment horizontal="center"/>
    </xf>
    <xf numFmtId="0" fontId="25" fillId="0" borderId="0" xfId="3" applyFont="1" applyFill="1"/>
    <xf numFmtId="0" fontId="26" fillId="0" borderId="0" xfId="3" applyFont="1" applyFill="1" applyAlignment="1">
      <alignment horizontal="center"/>
    </xf>
    <xf numFmtId="0" fontId="26" fillId="0" borderId="30" xfId="3" applyFont="1" applyFill="1" applyBorder="1" applyAlignment="1">
      <alignment horizontal="center"/>
    </xf>
    <xf numFmtId="0" fontId="27" fillId="0" borderId="1" xfId="3" applyFont="1" applyFill="1" applyBorder="1"/>
    <xf numFmtId="0" fontId="28" fillId="0" borderId="1" xfId="3" applyFont="1" applyFill="1" applyBorder="1"/>
    <xf numFmtId="0" fontId="27" fillId="0" borderId="1" xfId="3" applyFont="1" applyFill="1" applyBorder="1" applyAlignment="1">
      <alignment horizontal="center"/>
    </xf>
    <xf numFmtId="0" fontId="27" fillId="0" borderId="31" xfId="3" applyFont="1" applyFill="1" applyBorder="1" applyAlignment="1">
      <alignment horizontal="center"/>
    </xf>
    <xf numFmtId="0" fontId="27" fillId="0" borderId="2" xfId="3" applyFont="1" applyFill="1" applyBorder="1"/>
    <xf numFmtId="44" fontId="27" fillId="0" borderId="0" xfId="3" applyNumberFormat="1" applyFont="1" applyFill="1" applyAlignment="1">
      <alignment horizontal="center"/>
    </xf>
    <xf numFmtId="44" fontId="27" fillId="0" borderId="30" xfId="3" applyNumberFormat="1" applyFont="1" applyFill="1" applyBorder="1" applyAlignment="1">
      <alignment horizontal="center"/>
    </xf>
    <xf numFmtId="44" fontId="27" fillId="0" borderId="0" xfId="3" applyNumberFormat="1" applyFont="1" applyFill="1"/>
    <xf numFmtId="0" fontId="27" fillId="0" borderId="0" xfId="3" applyFont="1" applyFill="1" applyAlignment="1">
      <alignment horizontal="left"/>
    </xf>
    <xf numFmtId="44" fontId="27" fillId="0" borderId="1" xfId="3" applyNumberFormat="1" applyFont="1" applyFill="1" applyBorder="1" applyAlignment="1">
      <alignment horizontal="center"/>
    </xf>
    <xf numFmtId="44" fontId="27" fillId="0" borderId="31" xfId="3" applyNumberFormat="1" applyFont="1" applyFill="1" applyBorder="1" applyAlignment="1">
      <alignment horizontal="center"/>
    </xf>
    <xf numFmtId="0" fontId="27" fillId="0" borderId="0" xfId="3" applyFont="1" applyFill="1"/>
    <xf numFmtId="44" fontId="27" fillId="0" borderId="32" xfId="3" applyNumberFormat="1" applyFont="1" applyFill="1" applyBorder="1" applyAlignment="1">
      <alignment horizontal="center"/>
    </xf>
    <xf numFmtId="44" fontId="27" fillId="0" borderId="1" xfId="4" applyFont="1" applyFill="1" applyBorder="1"/>
    <xf numFmtId="44" fontId="27" fillId="0" borderId="31" xfId="4" applyFont="1" applyFill="1" applyBorder="1"/>
    <xf numFmtId="44" fontId="27" fillId="0" borderId="1" xfId="3" applyNumberFormat="1" applyFont="1" applyFill="1" applyBorder="1"/>
    <xf numFmtId="44" fontId="27" fillId="0" borderId="0" xfId="4" applyFont="1" applyFill="1"/>
    <xf numFmtId="44" fontId="27" fillId="0" borderId="33" xfId="4" applyFont="1" applyFill="1" applyBorder="1"/>
    <xf numFmtId="44" fontId="27" fillId="0" borderId="20" xfId="4" applyFont="1" applyFill="1" applyBorder="1"/>
    <xf numFmtId="0" fontId="27" fillId="0" borderId="20" xfId="4" applyNumberFormat="1" applyFont="1" applyFill="1" applyBorder="1" applyAlignment="1">
      <alignment horizontal="left"/>
    </xf>
    <xf numFmtId="44" fontId="27" fillId="0" borderId="30" xfId="4" applyFont="1" applyFill="1" applyBorder="1"/>
    <xf numFmtId="0" fontId="27" fillId="0" borderId="17" xfId="3" applyFont="1" applyFill="1" applyBorder="1"/>
    <xf numFmtId="0" fontId="25" fillId="0" borderId="17" xfId="3" applyFont="1" applyFill="1" applyBorder="1"/>
    <xf numFmtId="44" fontId="28" fillId="0" borderId="17" xfId="3" applyNumberFormat="1" applyFont="1" applyFill="1" applyBorder="1"/>
    <xf numFmtId="44" fontId="28" fillId="0" borderId="34" xfId="3" applyNumberFormat="1" applyFont="1" applyFill="1" applyBorder="1"/>
    <xf numFmtId="0" fontId="27" fillId="0" borderId="30" xfId="3" applyFont="1" applyFill="1" applyBorder="1"/>
    <xf numFmtId="0" fontId="27" fillId="0" borderId="20" xfId="3" applyFont="1" applyFill="1" applyBorder="1"/>
    <xf numFmtId="166" fontId="2" fillId="0" borderId="0" xfId="5" applyNumberFormat="1" applyFont="1" applyFill="1"/>
    <xf numFmtId="44" fontId="27" fillId="0" borderId="20" xfId="3" applyNumberFormat="1" applyFont="1" applyFill="1" applyBorder="1" applyAlignment="1">
      <alignment horizontal="left"/>
    </xf>
    <xf numFmtId="44" fontId="29" fillId="0" borderId="30" xfId="3" applyNumberFormat="1" applyFont="1" applyFill="1" applyBorder="1" applyAlignment="1">
      <alignment horizontal="center"/>
    </xf>
    <xf numFmtId="0" fontId="29" fillId="0" borderId="0" xfId="3" applyFont="1" applyFill="1" applyAlignment="1">
      <alignment horizontal="center"/>
    </xf>
    <xf numFmtId="49" fontId="26" fillId="0" borderId="0" xfId="3" applyNumberFormat="1" applyFont="1" applyFill="1" applyAlignment="1">
      <alignment horizontal="center"/>
    </xf>
    <xf numFmtId="49" fontId="26" fillId="0" borderId="30" xfId="3" applyNumberFormat="1" applyFont="1" applyFill="1" applyBorder="1" applyAlignment="1">
      <alignment horizontal="center"/>
    </xf>
    <xf numFmtId="44" fontId="27" fillId="0" borderId="30" xfId="3" applyNumberFormat="1" applyFont="1" applyFill="1" applyBorder="1"/>
    <xf numFmtId="44" fontId="27" fillId="0" borderId="0" xfId="3" applyNumberFormat="1" applyFont="1" applyFill="1" applyAlignment="1">
      <alignment horizontal="right"/>
    </xf>
    <xf numFmtId="0" fontId="27" fillId="0" borderId="0" xfId="3" applyFont="1" applyFill="1" applyAlignment="1">
      <alignment horizontal="right"/>
    </xf>
    <xf numFmtId="0" fontId="29" fillId="0" borderId="35" xfId="3" applyFont="1" applyFill="1" applyBorder="1" applyAlignment="1">
      <alignment horizontal="center"/>
    </xf>
    <xf numFmtId="44" fontId="2" fillId="0" borderId="0" xfId="3" applyNumberFormat="1" applyFill="1"/>
    <xf numFmtId="0" fontId="2" fillId="0" borderId="0" xfId="3" applyFill="1" applyAlignment="1">
      <alignment horizontal="center"/>
    </xf>
    <xf numFmtId="166" fontId="30" fillId="0" borderId="0" xfId="5" applyNumberFormat="1" applyFont="1" applyFill="1"/>
    <xf numFmtId="44" fontId="27" fillId="0" borderId="0" xfId="4" applyFont="1" applyFill="1" applyBorder="1"/>
    <xf numFmtId="44" fontId="2" fillId="0" borderId="0" xfId="3" applyNumberFormat="1" applyFill="1" applyAlignment="1">
      <alignment horizontal="left"/>
    </xf>
    <xf numFmtId="39" fontId="4" fillId="0" borderId="0" xfId="0" applyFont="1" applyBorder="1"/>
    <xf numFmtId="39" fontId="4" fillId="0" borderId="0" xfId="0" applyFont="1" applyBorder="1" applyAlignment="1">
      <alignment horizontal="center"/>
    </xf>
    <xf numFmtId="39" fontId="4" fillId="0" borderId="0" xfId="0" applyFont="1" applyBorder="1" applyAlignment="1" applyProtection="1">
      <alignment horizontal="left"/>
      <protection locked="0"/>
    </xf>
    <xf numFmtId="39" fontId="3" fillId="0" borderId="0" xfId="0" applyFont="1" applyBorder="1" applyAlignment="1">
      <alignment horizontal="center" wrapText="1"/>
    </xf>
    <xf numFmtId="39" fontId="3" fillId="0" borderId="0" xfId="0" applyFont="1" applyBorder="1" applyAlignment="1">
      <alignment horizontal="center"/>
    </xf>
    <xf numFmtId="37" fontId="4" fillId="0" borderId="0" xfId="0" applyNumberFormat="1" applyFont="1" applyBorder="1" applyAlignment="1">
      <alignment horizontal="center"/>
    </xf>
    <xf numFmtId="37" fontId="4" fillId="0" borderId="0" xfId="0" applyNumberFormat="1" applyFont="1" applyBorder="1"/>
    <xf numFmtId="43" fontId="4" fillId="0" borderId="0" xfId="1" applyFont="1" applyBorder="1"/>
    <xf numFmtId="170" fontId="4" fillId="0" borderId="0" xfId="0" applyNumberFormat="1" applyFont="1" applyBorder="1" applyAlignment="1">
      <alignment horizontal="center"/>
    </xf>
    <xf numFmtId="170" fontId="4" fillId="0" borderId="0" xfId="0" applyNumberFormat="1" applyFont="1" applyBorder="1"/>
    <xf numFmtId="39" fontId="31" fillId="0" borderId="0" xfId="0" applyFont="1"/>
    <xf numFmtId="39" fontId="32" fillId="0" borderId="1" xfId="0" applyFont="1" applyBorder="1" applyAlignment="1">
      <alignment horizontal="center" wrapText="1"/>
    </xf>
    <xf numFmtId="37" fontId="31" fillId="0" borderId="1" xfId="0" applyNumberFormat="1" applyFont="1" applyBorder="1" applyAlignment="1">
      <alignment horizontal="center"/>
    </xf>
    <xf numFmtId="37" fontId="31" fillId="0" borderId="0" xfId="0" applyNumberFormat="1" applyFont="1"/>
    <xf numFmtId="37" fontId="31" fillId="0" borderId="17" xfId="0" applyNumberFormat="1" applyFont="1" applyBorder="1"/>
    <xf numFmtId="39" fontId="31" fillId="0" borderId="0" xfId="0" applyFont="1" applyBorder="1"/>
    <xf numFmtId="39" fontId="31" fillId="0" borderId="0" xfId="0" applyFont="1" applyBorder="1" applyAlignment="1">
      <alignment horizontal="center"/>
    </xf>
    <xf numFmtId="39" fontId="31" fillId="0" borderId="0" xfId="0" applyFont="1" applyBorder="1" applyAlignment="1" applyProtection="1">
      <alignment horizontal="left"/>
      <protection locked="0"/>
    </xf>
    <xf numFmtId="39" fontId="32" fillId="0" borderId="0" xfId="0" applyFont="1" applyBorder="1" applyAlignment="1">
      <alignment horizontal="center" wrapText="1"/>
    </xf>
    <xf numFmtId="39" fontId="32" fillId="0" borderId="0" xfId="0" applyFont="1" applyBorder="1" applyAlignment="1">
      <alignment horizontal="center"/>
    </xf>
    <xf numFmtId="37" fontId="31" fillId="0" borderId="0" xfId="0" applyNumberFormat="1" applyFont="1" applyBorder="1" applyAlignment="1">
      <alignment horizontal="center"/>
    </xf>
    <xf numFmtId="43" fontId="31" fillId="0" borderId="0" xfId="1" applyFont="1" applyBorder="1"/>
    <xf numFmtId="37" fontId="31" fillId="0" borderId="0" xfId="0" applyNumberFormat="1" applyFont="1" applyBorder="1"/>
    <xf numFmtId="166" fontId="31" fillId="0" borderId="0" xfId="1" applyNumberFormat="1" applyFont="1" applyBorder="1"/>
    <xf numFmtId="170" fontId="31" fillId="0" borderId="0" xfId="0" applyNumberFormat="1" applyFont="1" applyBorder="1" applyAlignment="1">
      <alignment horizontal="center"/>
    </xf>
    <xf numFmtId="170" fontId="31" fillId="0" borderId="0" xfId="0" applyNumberFormat="1" applyFont="1" applyBorder="1"/>
    <xf numFmtId="39" fontId="31" fillId="0" borderId="0" xfId="0" applyFont="1" applyAlignment="1">
      <alignment horizontal="right"/>
    </xf>
    <xf numFmtId="39" fontId="31" fillId="0" borderId="1" xfId="0" applyFont="1" applyBorder="1" applyAlignment="1">
      <alignment horizontal="center"/>
    </xf>
    <xf numFmtId="37" fontId="4" fillId="0" borderId="10" xfId="0" applyNumberFormat="1" applyFont="1" applyFill="1" applyBorder="1" applyAlignment="1">
      <alignment horizontal="center"/>
    </xf>
    <xf numFmtId="39" fontId="31" fillId="0" borderId="0" xfId="0" applyFont="1" applyFill="1"/>
    <xf numFmtId="39" fontId="31" fillId="0" borderId="0" xfId="0" applyFont="1" applyFill="1" applyAlignment="1">
      <alignment horizontal="center"/>
    </xf>
    <xf numFmtId="39" fontId="32" fillId="0" borderId="1" xfId="0" applyFont="1" applyFill="1" applyBorder="1" applyAlignment="1">
      <alignment horizontal="center" wrapText="1"/>
    </xf>
    <xf numFmtId="39" fontId="32" fillId="0" borderId="1" xfId="0" applyFont="1" applyFill="1" applyBorder="1" applyAlignment="1">
      <alignment horizontal="center"/>
    </xf>
    <xf numFmtId="39" fontId="32" fillId="0" borderId="0" xfId="0" applyFont="1" applyFill="1" applyAlignment="1">
      <alignment horizontal="center" wrapText="1"/>
    </xf>
    <xf numFmtId="43" fontId="31" fillId="0" borderId="0" xfId="1" applyFont="1" applyFill="1"/>
    <xf numFmtId="170" fontId="31" fillId="0" borderId="0" xfId="0" applyNumberFormat="1" applyFont="1" applyFill="1" applyAlignment="1">
      <alignment horizontal="center"/>
    </xf>
    <xf numFmtId="49" fontId="31" fillId="0" borderId="0" xfId="0" quotePrefix="1" applyNumberFormat="1" applyFont="1" applyFill="1"/>
    <xf numFmtId="37" fontId="31" fillId="0" borderId="0" xfId="0" applyNumberFormat="1" applyFont="1" applyFill="1"/>
    <xf numFmtId="49" fontId="31" fillId="0" borderId="0" xfId="0" applyNumberFormat="1" applyFont="1" applyFill="1"/>
    <xf numFmtId="37" fontId="31" fillId="0" borderId="17" xfId="0" applyNumberFormat="1" applyFont="1" applyFill="1" applyBorder="1"/>
    <xf numFmtId="37" fontId="31" fillId="0" borderId="0" xfId="0" applyNumberFormat="1" applyFont="1" applyFill="1" applyAlignment="1">
      <alignment horizontal="center"/>
    </xf>
    <xf numFmtId="166" fontId="31" fillId="0" borderId="0" xfId="1" applyNumberFormat="1" applyFont="1" applyFill="1" applyBorder="1"/>
    <xf numFmtId="39" fontId="31" fillId="0" borderId="1" xfId="0" applyFont="1" applyFill="1" applyBorder="1" applyAlignment="1">
      <alignment horizontal="center"/>
    </xf>
  </cellXfs>
  <cellStyles count="11">
    <cellStyle name="Comma" xfId="1" builtinId="3"/>
    <cellStyle name="Comma 3" xfId="5" xr:uid="{06330E6C-4DD0-4074-AE5F-7EE088E1D50E}"/>
    <cellStyle name="Currency 3" xfId="4" xr:uid="{97C4246F-FF8A-4430-912E-7114882BAF2B}"/>
    <cellStyle name="Hyperlink" xfId="6" builtinId="8"/>
    <cellStyle name="Normal" xfId="0" builtinId="0"/>
    <cellStyle name="Normal 2" xfId="8" xr:uid="{DCCFADFC-350B-40CA-8F13-8903203601D8}"/>
    <cellStyle name="Normal 2 4" xfId="10" xr:uid="{6348FD1A-6D90-435B-93F0-0051ACE6B875}"/>
    <cellStyle name="Normal 2 5" xfId="9" xr:uid="{99D5338C-6DD5-41EA-AD7A-8D63FB01D0E7}"/>
    <cellStyle name="Normal 3" xfId="3" xr:uid="{E12661A9-F2AA-472F-ABE7-30E302C4C984}"/>
    <cellStyle name="Normal_2002" xfId="7" xr:uid="{31D80FED-8F20-4704-8DCD-18D3F24DC302}"/>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425450</xdr:colOff>
      <xdr:row>108</xdr:row>
      <xdr:rowOff>149225</xdr:rowOff>
    </xdr:from>
    <xdr:to>
      <xdr:col>7</xdr:col>
      <xdr:colOff>914400</xdr:colOff>
      <xdr:row>117</xdr:row>
      <xdr:rowOff>0</xdr:rowOff>
    </xdr:to>
    <xdr:sp macro="" textlink="">
      <xdr:nvSpPr>
        <xdr:cNvPr id="2" name="TextBox 1">
          <a:extLst>
            <a:ext uri="{FF2B5EF4-FFF2-40B4-BE49-F238E27FC236}">
              <a16:creationId xmlns:a16="http://schemas.microsoft.com/office/drawing/2014/main" id="{EA635AEF-7650-4294-B519-27E1CF961202}"/>
            </a:ext>
          </a:extLst>
        </xdr:cNvPr>
        <xdr:cNvSpPr txBox="1"/>
      </xdr:nvSpPr>
      <xdr:spPr>
        <a:xfrm>
          <a:off x="4692650" y="7797800"/>
          <a:ext cx="2479675"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These</a:t>
          </a:r>
          <a:r>
            <a:rPr lang="en-US" sz="1100" baseline="0"/>
            <a:t> totals should equal the total reductions to the accrued liability in 47WA.2282.02.</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pt\Rates\Deferrals\Deferrals%202021\09-2021\09-21%20DEFSUMW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ny.durado/Desktop/Copy%20of%20DEFSUMWA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ept\Rates\Deferrals\Deferrals%202021\09-2021\PGA%20Allocations%2009-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VSD JE UPLOAD"/>
      <sheetName val="FERC Interest Rates"/>
      <sheetName val="Therm Sales"/>
      <sheetName val="DEFERRALS"/>
      <sheetName val="DG 2530.01253"/>
      <sheetName val="DG 2530.01254"/>
      <sheetName val="RA 1862.20477"/>
      <sheetName val="RA 1860.20460-liab less exp"/>
      <sheetName val="RA 1860.20460-exp only"/>
      <sheetName val="RA 1860.20461"/>
      <sheetName val="1860.20488"/>
      <sheetName val="1860.20489"/>
      <sheetName val="2530.01290"/>
      <sheetName val="RA 1860.20479"/>
      <sheetName val="RA 1823.47020430"/>
      <sheetName val="RA 1823.47020431"/>
      <sheetName val="RA 1823.47020444"/>
      <sheetName val="RA 1823.47020449"/>
      <sheetName val="AMORTIZATIONS"/>
      <sheetName val="DG 2530.01288"/>
      <sheetName val="DG 2530.01289"/>
      <sheetName val="RA 1823.47020478"/>
      <sheetName val="Therm Sales by Rate Schedule"/>
      <sheetName val="RA 1860.20484"/>
      <sheetName val="RA 1860.20485"/>
      <sheetName val="RA 1860.20486"/>
      <sheetName val="ZBA 13"/>
      <sheetName val="RA 1860.20481"/>
      <sheetName val="DG 2530.01286"/>
      <sheetName val="Dec 18 Revised JE"/>
      <sheetName val="RA 1862.20475"/>
      <sheetName val="DG 01284"/>
      <sheetName val="RA 20470"/>
      <sheetName val="RA 20458N"/>
      <sheetName val="RA 1862.20472"/>
      <sheetName val="DG 01282"/>
      <sheetName val="RA 20479"/>
      <sheetName val="DG 01280"/>
      <sheetName val="DG 01241"/>
      <sheetName val="RA 1862.20470"/>
    </sheetNames>
    <sheetDataSet>
      <sheetData sheetId="0"/>
      <sheetData sheetId="1">
        <row r="10">
          <cell r="A10">
            <v>41305</v>
          </cell>
          <cell r="B10">
            <v>3.2500000000000001E-2</v>
          </cell>
          <cell r="C10">
            <v>31</v>
          </cell>
        </row>
        <row r="11">
          <cell r="A11">
            <v>41333</v>
          </cell>
          <cell r="B11">
            <v>3.2500000000000001E-2</v>
          </cell>
          <cell r="C11">
            <v>28</v>
          </cell>
        </row>
        <row r="12">
          <cell r="A12">
            <v>41364</v>
          </cell>
          <cell r="B12">
            <v>3.2500000000000001E-2</v>
          </cell>
          <cell r="C12">
            <v>31</v>
          </cell>
        </row>
        <row r="13">
          <cell r="A13">
            <v>41394</v>
          </cell>
          <cell r="B13">
            <v>3.2500000000000001E-2</v>
          </cell>
          <cell r="C13">
            <v>30</v>
          </cell>
        </row>
        <row r="14">
          <cell r="A14">
            <v>41425</v>
          </cell>
          <cell r="B14">
            <v>3.2500000000000001E-2</v>
          </cell>
          <cell r="C14">
            <v>31</v>
          </cell>
        </row>
        <row r="15">
          <cell r="A15">
            <v>41455</v>
          </cell>
          <cell r="B15">
            <v>3.2500000000000001E-2</v>
          </cell>
          <cell r="C15">
            <v>30</v>
          </cell>
        </row>
        <row r="16">
          <cell r="A16">
            <v>41486</v>
          </cell>
          <cell r="B16">
            <v>3.2500000000000001E-2</v>
          </cell>
          <cell r="C16">
            <v>31</v>
          </cell>
        </row>
        <row r="17">
          <cell r="A17">
            <v>41517</v>
          </cell>
          <cell r="B17">
            <v>3.2500000000000001E-2</v>
          </cell>
          <cell r="C17">
            <v>31</v>
          </cell>
        </row>
        <row r="18">
          <cell r="A18">
            <v>41547</v>
          </cell>
          <cell r="B18">
            <v>3.2500000000000001E-2</v>
          </cell>
          <cell r="C18">
            <v>30</v>
          </cell>
        </row>
        <row r="19">
          <cell r="A19">
            <v>41578</v>
          </cell>
          <cell r="B19">
            <v>3.2500000000000001E-2</v>
          </cell>
          <cell r="C19">
            <v>31</v>
          </cell>
        </row>
        <row r="20">
          <cell r="A20">
            <v>41608</v>
          </cell>
          <cell r="B20">
            <v>3.2500000000000001E-2</v>
          </cell>
          <cell r="C20">
            <v>30</v>
          </cell>
        </row>
        <row r="21">
          <cell r="A21">
            <v>41639</v>
          </cell>
          <cell r="B21">
            <v>3.2500000000000001E-2</v>
          </cell>
          <cell r="C21">
            <v>31</v>
          </cell>
        </row>
        <row r="22">
          <cell r="A22">
            <v>41670</v>
          </cell>
          <cell r="B22">
            <v>3.2500000000000001E-2</v>
          </cell>
          <cell r="C22">
            <v>31</v>
          </cell>
        </row>
        <row r="23">
          <cell r="A23">
            <v>41698</v>
          </cell>
          <cell r="B23">
            <v>3.2500000000000001E-2</v>
          </cell>
          <cell r="C23">
            <v>28</v>
          </cell>
        </row>
        <row r="24">
          <cell r="A24">
            <v>41729</v>
          </cell>
          <cell r="B24">
            <v>3.2500000000000001E-2</v>
          </cell>
          <cell r="C24">
            <v>31</v>
          </cell>
        </row>
        <row r="25">
          <cell r="A25">
            <v>41759</v>
          </cell>
          <cell r="B25">
            <v>3.2500000000000001E-2</v>
          </cell>
          <cell r="C25">
            <v>30</v>
          </cell>
        </row>
        <row r="26">
          <cell r="A26">
            <v>41790</v>
          </cell>
          <cell r="B26">
            <v>3.2500000000000001E-2</v>
          </cell>
          <cell r="C26">
            <v>31</v>
          </cell>
        </row>
        <row r="27">
          <cell r="A27">
            <v>41820</v>
          </cell>
          <cell r="B27">
            <v>3.2500000000000001E-2</v>
          </cell>
          <cell r="C27">
            <v>30</v>
          </cell>
        </row>
        <row r="28">
          <cell r="A28">
            <v>41851</v>
          </cell>
          <cell r="B28">
            <v>3.2500000000000001E-2</v>
          </cell>
          <cell r="C28">
            <v>31</v>
          </cell>
        </row>
        <row r="29">
          <cell r="A29">
            <v>41882</v>
          </cell>
          <cell r="B29">
            <v>3.2500000000000001E-2</v>
          </cell>
          <cell r="C29">
            <v>31</v>
          </cell>
        </row>
        <row r="30">
          <cell r="A30">
            <v>41912</v>
          </cell>
          <cell r="B30">
            <v>3.2500000000000001E-2</v>
          </cell>
          <cell r="C30">
            <v>30</v>
          </cell>
        </row>
        <row r="31">
          <cell r="A31">
            <v>41943</v>
          </cell>
          <cell r="B31">
            <v>3.2500000000000001E-2</v>
          </cell>
          <cell r="C31">
            <v>31</v>
          </cell>
        </row>
        <row r="32">
          <cell r="A32">
            <v>41973</v>
          </cell>
          <cell r="B32">
            <v>3.2500000000000001E-2</v>
          </cell>
          <cell r="C32">
            <v>30</v>
          </cell>
        </row>
        <row r="33">
          <cell r="A33">
            <v>42004</v>
          </cell>
          <cell r="B33">
            <v>3.2500000000000001E-2</v>
          </cell>
          <cell r="C33">
            <v>31</v>
          </cell>
        </row>
        <row r="34">
          <cell r="A34">
            <v>42035</v>
          </cell>
          <cell r="B34">
            <v>3.2500000000000001E-2</v>
          </cell>
          <cell r="C34">
            <v>31</v>
          </cell>
        </row>
        <row r="35">
          <cell r="A35">
            <v>42063</v>
          </cell>
          <cell r="B35">
            <v>3.2500000000000001E-2</v>
          </cell>
          <cell r="C35">
            <v>28</v>
          </cell>
        </row>
        <row r="36">
          <cell r="A36">
            <v>42094</v>
          </cell>
          <cell r="B36">
            <v>3.2500000000000001E-2</v>
          </cell>
          <cell r="C36">
            <v>31</v>
          </cell>
        </row>
        <row r="37">
          <cell r="A37">
            <v>42124</v>
          </cell>
          <cell r="B37">
            <v>3.2500000000000001E-2</v>
          </cell>
          <cell r="C37">
            <v>30</v>
          </cell>
        </row>
        <row r="38">
          <cell r="A38">
            <v>42155</v>
          </cell>
          <cell r="B38">
            <v>3.2500000000000001E-2</v>
          </cell>
          <cell r="C38">
            <v>31</v>
          </cell>
        </row>
        <row r="39">
          <cell r="A39">
            <v>42185</v>
          </cell>
          <cell r="B39">
            <v>3.2500000000000001E-2</v>
          </cell>
          <cell r="C39">
            <v>30</v>
          </cell>
        </row>
        <row r="40">
          <cell r="A40">
            <v>42216</v>
          </cell>
          <cell r="B40">
            <v>3.2500000000000001E-2</v>
          </cell>
          <cell r="C40">
            <v>31</v>
          </cell>
        </row>
        <row r="41">
          <cell r="A41">
            <v>42247</v>
          </cell>
          <cell r="B41">
            <v>3.2500000000000001E-2</v>
          </cell>
          <cell r="C41">
            <v>31</v>
          </cell>
        </row>
        <row r="42">
          <cell r="A42">
            <v>42277</v>
          </cell>
          <cell r="B42">
            <v>3.2500000000000001E-2</v>
          </cell>
          <cell r="C42">
            <v>30</v>
          </cell>
        </row>
        <row r="43">
          <cell r="A43">
            <v>42308</v>
          </cell>
          <cell r="B43">
            <v>3.2500000000000001E-2</v>
          </cell>
          <cell r="C43">
            <v>31</v>
          </cell>
        </row>
        <row r="44">
          <cell r="A44">
            <v>42338</v>
          </cell>
          <cell r="B44">
            <v>3.2500000000000001E-2</v>
          </cell>
          <cell r="C44">
            <v>30</v>
          </cell>
        </row>
        <row r="45">
          <cell r="A45">
            <v>42369</v>
          </cell>
          <cell r="B45">
            <v>3.2500000000000001E-2</v>
          </cell>
          <cell r="C45">
            <v>31</v>
          </cell>
        </row>
        <row r="46">
          <cell r="A46">
            <v>42400</v>
          </cell>
          <cell r="B46">
            <v>3.2500000000000001E-2</v>
          </cell>
          <cell r="C46">
            <v>31</v>
          </cell>
        </row>
        <row r="47">
          <cell r="A47">
            <v>42429</v>
          </cell>
          <cell r="B47">
            <v>3.2500000000000001E-2</v>
          </cell>
          <cell r="C47">
            <v>29</v>
          </cell>
        </row>
        <row r="48">
          <cell r="A48">
            <v>42460</v>
          </cell>
          <cell r="B48">
            <v>3.2500000000000001E-2</v>
          </cell>
          <cell r="C48">
            <v>31</v>
          </cell>
        </row>
        <row r="49">
          <cell r="A49">
            <v>42490</v>
          </cell>
          <cell r="B49">
            <v>3.4599999999999999E-2</v>
          </cell>
          <cell r="C49">
            <v>30</v>
          </cell>
        </row>
        <row r="50">
          <cell r="A50">
            <v>42521</v>
          </cell>
          <cell r="B50">
            <v>3.4599999999999999E-2</v>
          </cell>
          <cell r="C50">
            <v>31</v>
          </cell>
        </row>
        <row r="51">
          <cell r="A51">
            <v>42551</v>
          </cell>
          <cell r="B51">
            <v>3.4599999999999999E-2</v>
          </cell>
          <cell r="C51">
            <v>30</v>
          </cell>
        </row>
        <row r="52">
          <cell r="A52">
            <v>42582</v>
          </cell>
          <cell r="B52">
            <v>3.5000000000000003E-2</v>
          </cell>
          <cell r="C52">
            <v>31</v>
          </cell>
        </row>
        <row r="53">
          <cell r="A53">
            <v>42613</v>
          </cell>
          <cell r="B53">
            <v>3.5000000000000003E-2</v>
          </cell>
          <cell r="C53">
            <v>31</v>
          </cell>
        </row>
        <row r="54">
          <cell r="A54">
            <v>42643</v>
          </cell>
          <cell r="B54">
            <v>3.5000000000000003E-2</v>
          </cell>
          <cell r="C54">
            <v>30</v>
          </cell>
        </row>
        <row r="55">
          <cell r="A55">
            <v>42674</v>
          </cell>
          <cell r="B55">
            <v>3.5000000000000003E-2</v>
          </cell>
          <cell r="C55">
            <v>31</v>
          </cell>
        </row>
        <row r="56">
          <cell r="A56">
            <v>42704</v>
          </cell>
          <cell r="B56">
            <v>3.5000000000000003E-2</v>
          </cell>
          <cell r="C56">
            <v>30</v>
          </cell>
        </row>
        <row r="57">
          <cell r="A57">
            <v>42735</v>
          </cell>
          <cell r="B57">
            <v>3.5000000000000003E-2</v>
          </cell>
          <cell r="C57">
            <v>31</v>
          </cell>
        </row>
        <row r="58">
          <cell r="A58">
            <v>42766</v>
          </cell>
          <cell r="B58">
            <v>3.5000000000000003E-2</v>
          </cell>
          <cell r="C58">
            <v>31</v>
          </cell>
        </row>
        <row r="59">
          <cell r="A59">
            <v>42794</v>
          </cell>
          <cell r="B59">
            <v>3.5000000000000003E-2</v>
          </cell>
          <cell r="C59">
            <v>28</v>
          </cell>
        </row>
        <row r="60">
          <cell r="A60">
            <v>42825</v>
          </cell>
          <cell r="B60">
            <v>3.5000000000000003E-2</v>
          </cell>
          <cell r="C60">
            <v>31</v>
          </cell>
        </row>
        <row r="61">
          <cell r="A61">
            <v>42855</v>
          </cell>
          <cell r="B61">
            <v>3.7100000000000001E-2</v>
          </cell>
          <cell r="C61">
            <v>30</v>
          </cell>
        </row>
        <row r="62">
          <cell r="A62">
            <v>42886</v>
          </cell>
          <cell r="B62">
            <v>3.7100000000000001E-2</v>
          </cell>
          <cell r="C62">
            <v>31</v>
          </cell>
        </row>
        <row r="63">
          <cell r="A63">
            <v>42916</v>
          </cell>
          <cell r="B63">
            <v>3.7100000000000001E-2</v>
          </cell>
          <cell r="C63">
            <v>30</v>
          </cell>
        </row>
        <row r="64">
          <cell r="A64">
            <v>42947</v>
          </cell>
          <cell r="B64">
            <v>3.9600000000000003E-2</v>
          </cell>
          <cell r="C64">
            <v>31</v>
          </cell>
        </row>
        <row r="65">
          <cell r="A65">
            <v>42978</v>
          </cell>
          <cell r="B65">
            <v>3.9600000000000003E-2</v>
          </cell>
          <cell r="C65">
            <v>31</v>
          </cell>
        </row>
        <row r="66">
          <cell r="A66">
            <v>43008</v>
          </cell>
          <cell r="B66">
            <v>3.9600000000000003E-2</v>
          </cell>
          <cell r="C66">
            <v>30</v>
          </cell>
        </row>
        <row r="67">
          <cell r="A67">
            <v>43039</v>
          </cell>
          <cell r="B67">
            <v>4.2099999999999999E-2</v>
          </cell>
          <cell r="C67">
            <v>31</v>
          </cell>
        </row>
        <row r="68">
          <cell r="A68">
            <v>43069</v>
          </cell>
          <cell r="B68">
            <v>4.2099999999999999E-2</v>
          </cell>
          <cell r="C68">
            <v>30</v>
          </cell>
        </row>
        <row r="69">
          <cell r="A69">
            <v>43100</v>
          </cell>
          <cell r="B69">
            <v>4.2099999999999999E-2</v>
          </cell>
          <cell r="C69">
            <v>31</v>
          </cell>
        </row>
        <row r="70">
          <cell r="A70">
            <v>43131</v>
          </cell>
          <cell r="B70">
            <v>4.2500000000000003E-2</v>
          </cell>
          <cell r="C70">
            <v>31</v>
          </cell>
        </row>
        <row r="71">
          <cell r="A71">
            <v>43159</v>
          </cell>
          <cell r="B71">
            <v>4.2500000000000003E-2</v>
          </cell>
          <cell r="C71">
            <v>28</v>
          </cell>
        </row>
        <row r="72">
          <cell r="A72">
            <v>43190</v>
          </cell>
          <cell r="B72">
            <v>4.2500000000000003E-2</v>
          </cell>
          <cell r="C72">
            <v>31</v>
          </cell>
        </row>
        <row r="73">
          <cell r="A73">
            <v>43220</v>
          </cell>
          <cell r="B73">
            <v>4.4699999999999997E-2</v>
          </cell>
          <cell r="C73">
            <v>30</v>
          </cell>
        </row>
        <row r="74">
          <cell r="A74">
            <v>43251</v>
          </cell>
          <cell r="B74">
            <v>4.4699999999999997E-2</v>
          </cell>
          <cell r="C74">
            <v>31</v>
          </cell>
        </row>
        <row r="75">
          <cell r="A75">
            <v>43281</v>
          </cell>
          <cell r="B75">
            <v>4.4699999999999997E-2</v>
          </cell>
          <cell r="C75">
            <v>30</v>
          </cell>
        </row>
        <row r="76">
          <cell r="A76">
            <v>43312</v>
          </cell>
          <cell r="B76">
            <v>4.6899999999999997E-2</v>
          </cell>
          <cell r="C76">
            <v>31</v>
          </cell>
        </row>
        <row r="77">
          <cell r="A77">
            <v>43343</v>
          </cell>
          <cell r="B77">
            <v>4.6899999999999997E-2</v>
          </cell>
          <cell r="C77">
            <v>31</v>
          </cell>
        </row>
        <row r="78">
          <cell r="A78">
            <v>43373</v>
          </cell>
          <cell r="B78">
            <v>4.6899999999999997E-2</v>
          </cell>
          <cell r="C78">
            <v>30</v>
          </cell>
        </row>
        <row r="79">
          <cell r="A79">
            <v>43404</v>
          </cell>
          <cell r="B79">
            <v>4.9599999999999998E-2</v>
          </cell>
          <cell r="C79">
            <v>31</v>
          </cell>
        </row>
        <row r="80">
          <cell r="A80">
            <v>43434</v>
          </cell>
          <cell r="B80">
            <v>4.9599999999999998E-2</v>
          </cell>
          <cell r="C80">
            <v>30</v>
          </cell>
        </row>
        <row r="81">
          <cell r="A81">
            <v>43465</v>
          </cell>
          <cell r="B81">
            <v>4.9599999999999998E-2</v>
          </cell>
          <cell r="C81">
            <v>31</v>
          </cell>
        </row>
        <row r="82">
          <cell r="A82">
            <v>43496</v>
          </cell>
          <cell r="B82">
            <v>5.1799999999999999E-2</v>
          </cell>
          <cell r="C82">
            <v>31</v>
          </cell>
        </row>
        <row r="83">
          <cell r="A83">
            <v>43524</v>
          </cell>
          <cell r="B83">
            <v>5.1799999999999999E-2</v>
          </cell>
          <cell r="C83">
            <v>28</v>
          </cell>
        </row>
        <row r="84">
          <cell r="A84">
            <v>43555</v>
          </cell>
          <cell r="B84">
            <v>5.1799999999999999E-2</v>
          </cell>
          <cell r="C84">
            <v>31</v>
          </cell>
        </row>
        <row r="85">
          <cell r="A85">
            <v>43585</v>
          </cell>
          <cell r="B85">
            <v>5.45E-2</v>
          </cell>
          <cell r="C85">
            <v>30</v>
          </cell>
        </row>
        <row r="86">
          <cell r="A86">
            <v>43616</v>
          </cell>
          <cell r="B86">
            <v>5.45E-2</v>
          </cell>
          <cell r="C86">
            <v>31</v>
          </cell>
        </row>
        <row r="87">
          <cell r="A87">
            <v>43646</v>
          </cell>
          <cell r="B87">
            <v>5.45E-2</v>
          </cell>
          <cell r="C87">
            <v>30</v>
          </cell>
        </row>
        <row r="88">
          <cell r="A88">
            <v>43677</v>
          </cell>
          <cell r="B88">
            <v>5.5E-2</v>
          </cell>
          <cell r="C88">
            <v>31</v>
          </cell>
        </row>
        <row r="89">
          <cell r="A89">
            <v>43708</v>
          </cell>
          <cell r="B89">
            <v>5.5E-2</v>
          </cell>
          <cell r="C89">
            <v>31</v>
          </cell>
        </row>
        <row r="90">
          <cell r="A90">
            <v>43738</v>
          </cell>
          <cell r="B90">
            <v>5.5E-2</v>
          </cell>
          <cell r="C90">
            <v>30</v>
          </cell>
        </row>
        <row r="91">
          <cell r="A91">
            <v>43769</v>
          </cell>
          <cell r="B91">
            <v>5.4199999999999998E-2</v>
          </cell>
          <cell r="C91">
            <v>31</v>
          </cell>
        </row>
        <row r="92">
          <cell r="A92">
            <v>43799</v>
          </cell>
          <cell r="B92">
            <v>5.4199999999999998E-2</v>
          </cell>
          <cell r="C92">
            <v>30</v>
          </cell>
        </row>
        <row r="93">
          <cell r="A93">
            <v>43830</v>
          </cell>
          <cell r="B93">
            <v>5.4199999999999998E-2</v>
          </cell>
          <cell r="C93">
            <v>31</v>
          </cell>
        </row>
        <row r="94">
          <cell r="A94">
            <v>43861</v>
          </cell>
          <cell r="B94">
            <v>4.9599999999999998E-2</v>
          </cell>
          <cell r="C94">
            <v>31</v>
          </cell>
        </row>
        <row r="95">
          <cell r="A95">
            <v>43890</v>
          </cell>
          <cell r="B95">
            <v>4.9599999999999998E-2</v>
          </cell>
          <cell r="C95">
            <v>29</v>
          </cell>
        </row>
        <row r="96">
          <cell r="A96">
            <v>43921</v>
          </cell>
          <cell r="B96">
            <v>4.9599999999999998E-2</v>
          </cell>
          <cell r="C96">
            <v>31</v>
          </cell>
        </row>
        <row r="97">
          <cell r="A97">
            <v>43951</v>
          </cell>
          <cell r="B97">
            <v>4.7500000000000001E-2</v>
          </cell>
          <cell r="C97">
            <v>30</v>
          </cell>
        </row>
        <row r="98">
          <cell r="A98">
            <v>43982</v>
          </cell>
          <cell r="B98">
            <v>4.7500000000000001E-2</v>
          </cell>
          <cell r="C98">
            <v>31</v>
          </cell>
        </row>
        <row r="99">
          <cell r="A99">
            <v>44012</v>
          </cell>
          <cell r="B99">
            <v>4.7500000000000001E-2</v>
          </cell>
          <cell r="C99">
            <v>30</v>
          </cell>
        </row>
        <row r="100">
          <cell r="A100">
            <v>44043</v>
          </cell>
          <cell r="B100">
            <v>3.4299999999999997E-2</v>
          </cell>
          <cell r="C100">
            <v>31</v>
          </cell>
        </row>
        <row r="101">
          <cell r="A101">
            <v>44074</v>
          </cell>
          <cell r="B101">
            <v>3.4299999999999997E-2</v>
          </cell>
          <cell r="C101">
            <v>31</v>
          </cell>
        </row>
        <row r="102">
          <cell r="A102">
            <v>44104</v>
          </cell>
          <cell r="B102">
            <v>3.4299999999999997E-2</v>
          </cell>
          <cell r="C102">
            <v>30</v>
          </cell>
        </row>
        <row r="103">
          <cell r="A103">
            <v>44135</v>
          </cell>
          <cell r="B103">
            <v>3.2500000000000001E-2</v>
          </cell>
          <cell r="C103">
            <v>31</v>
          </cell>
        </row>
        <row r="104">
          <cell r="A104">
            <v>44165</v>
          </cell>
          <cell r="B104">
            <v>3.2500000000000001E-2</v>
          </cell>
          <cell r="C104">
            <v>30</v>
          </cell>
        </row>
        <row r="105">
          <cell r="A105">
            <v>44196</v>
          </cell>
          <cell r="B105">
            <v>3.2500000000000001E-2</v>
          </cell>
          <cell r="C105">
            <v>31</v>
          </cell>
        </row>
        <row r="106">
          <cell r="A106">
            <v>44227</v>
          </cell>
          <cell r="B106">
            <v>3.2500000000000001E-2</v>
          </cell>
          <cell r="C106">
            <v>31</v>
          </cell>
        </row>
        <row r="107">
          <cell r="A107">
            <v>44255</v>
          </cell>
          <cell r="B107">
            <v>3.2500000000000001E-2</v>
          </cell>
          <cell r="C107">
            <v>28</v>
          </cell>
        </row>
        <row r="108">
          <cell r="A108">
            <v>44286</v>
          </cell>
          <cell r="B108">
            <v>3.2500000000000001E-2</v>
          </cell>
          <cell r="C108">
            <v>31</v>
          </cell>
        </row>
        <row r="109">
          <cell r="A109">
            <v>44316</v>
          </cell>
          <cell r="B109">
            <v>3.2500000000000001E-2</v>
          </cell>
          <cell r="C109">
            <v>30</v>
          </cell>
        </row>
        <row r="110">
          <cell r="A110">
            <v>44347</v>
          </cell>
          <cell r="B110">
            <v>3.2500000000000001E-2</v>
          </cell>
          <cell r="C110">
            <v>31</v>
          </cell>
        </row>
        <row r="111">
          <cell r="A111">
            <v>44377</v>
          </cell>
          <cell r="B111">
            <v>3.2500000000000001E-2</v>
          </cell>
          <cell r="C111">
            <v>30</v>
          </cell>
        </row>
        <row r="112">
          <cell r="A112">
            <v>44408</v>
          </cell>
          <cell r="B112">
            <v>3.2500000000000001E-2</v>
          </cell>
          <cell r="C112">
            <v>31</v>
          </cell>
        </row>
        <row r="113">
          <cell r="A113">
            <v>44439</v>
          </cell>
          <cell r="B113">
            <v>3.2500000000000001E-2</v>
          </cell>
          <cell r="C113">
            <v>31</v>
          </cell>
        </row>
        <row r="114">
          <cell r="A114">
            <v>44469</v>
          </cell>
          <cell r="B114">
            <v>3.2500000000000001E-2</v>
          </cell>
          <cell r="C114">
            <v>30</v>
          </cell>
        </row>
        <row r="115">
          <cell r="A115">
            <v>44500</v>
          </cell>
          <cell r="B115">
            <v>3.2500000000000001E-2</v>
          </cell>
          <cell r="C115">
            <v>31</v>
          </cell>
        </row>
        <row r="116">
          <cell r="A116">
            <v>44530</v>
          </cell>
          <cell r="B116">
            <v>3.2500000000000001E-2</v>
          </cell>
          <cell r="C116">
            <v>30</v>
          </cell>
        </row>
        <row r="117">
          <cell r="A117">
            <v>44561</v>
          </cell>
          <cell r="B117">
            <v>3.2500000000000001E-2</v>
          </cell>
          <cell r="C117">
            <v>31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12">
          <cell r="M112">
            <v>7119326</v>
          </cell>
        </row>
        <row r="113">
          <cell r="M113">
            <v>29973671</v>
          </cell>
        </row>
        <row r="114">
          <cell r="M114">
            <v>41563527</v>
          </cell>
        </row>
        <row r="115">
          <cell r="M115">
            <v>29732218</v>
          </cell>
        </row>
        <row r="116">
          <cell r="M116">
            <v>34772590</v>
          </cell>
        </row>
        <row r="117">
          <cell r="M117">
            <v>23972789</v>
          </cell>
        </row>
        <row r="118">
          <cell r="M118">
            <v>14908800</v>
          </cell>
        </row>
        <row r="119">
          <cell r="M119">
            <v>8932302</v>
          </cell>
        </row>
        <row r="120">
          <cell r="M120">
            <v>7315304</v>
          </cell>
        </row>
        <row r="121">
          <cell r="M121">
            <v>6809893</v>
          </cell>
        </row>
        <row r="122">
          <cell r="M122">
            <v>6985938</v>
          </cell>
        </row>
        <row r="123">
          <cell r="M123">
            <v>11920068</v>
          </cell>
        </row>
        <row r="124">
          <cell r="M124">
            <v>11017394</v>
          </cell>
        </row>
        <row r="125">
          <cell r="M125">
            <v>6284764</v>
          </cell>
        </row>
        <row r="126">
          <cell r="M126">
            <v>31921099</v>
          </cell>
        </row>
        <row r="127">
          <cell r="M127">
            <v>36049301</v>
          </cell>
        </row>
        <row r="128">
          <cell r="M128">
            <v>38560000</v>
          </cell>
        </row>
        <row r="129">
          <cell r="M129">
            <v>42389457</v>
          </cell>
        </row>
        <row r="130">
          <cell r="M130">
            <v>24251956</v>
          </cell>
        </row>
        <row r="131">
          <cell r="M131">
            <v>14672895</v>
          </cell>
        </row>
        <row r="132">
          <cell r="M132">
            <v>8957567</v>
          </cell>
        </row>
        <row r="133">
          <cell r="M133">
            <v>7650859</v>
          </cell>
        </row>
        <row r="134">
          <cell r="M134">
            <v>6976774</v>
          </cell>
        </row>
        <row r="135">
          <cell r="M135">
            <v>6786442</v>
          </cell>
        </row>
        <row r="136">
          <cell r="M136">
            <v>15171360</v>
          </cell>
        </row>
        <row r="137">
          <cell r="M137">
            <v>14666865</v>
          </cell>
        </row>
        <row r="138">
          <cell r="M138">
            <v>9284765</v>
          </cell>
        </row>
        <row r="139">
          <cell r="M139">
            <v>34636501</v>
          </cell>
        </row>
        <row r="140">
          <cell r="M140">
            <v>41447011</v>
          </cell>
        </row>
        <row r="141">
          <cell r="M141">
            <v>34316998</v>
          </cell>
        </row>
        <row r="142">
          <cell r="M142">
            <v>34370665</v>
          </cell>
        </row>
        <row r="143">
          <cell r="M143">
            <v>26722621</v>
          </cell>
        </row>
        <row r="144">
          <cell r="M144">
            <v>13504949</v>
          </cell>
        </row>
        <row r="145">
          <cell r="M145">
            <v>10562993</v>
          </cell>
        </row>
        <row r="146">
          <cell r="M146">
            <v>9083808</v>
          </cell>
        </row>
        <row r="147">
          <cell r="M147">
            <v>6752494</v>
          </cell>
        </row>
        <row r="148">
          <cell r="M148">
            <v>7390192</v>
          </cell>
        </row>
        <row r="149">
          <cell r="M149">
            <v>9479391</v>
          </cell>
        </row>
        <row r="150">
          <cell r="M150">
            <v>12725310</v>
          </cell>
        </row>
        <row r="151">
          <cell r="M151">
            <v>6555581</v>
          </cell>
        </row>
        <row r="152">
          <cell r="M152">
            <v>34057490</v>
          </cell>
        </row>
        <row r="153">
          <cell r="M153">
            <v>35952500</v>
          </cell>
        </row>
        <row r="154">
          <cell r="M154">
            <v>33909523</v>
          </cell>
        </row>
        <row r="155">
          <cell r="M155">
            <v>36377608</v>
          </cell>
        </row>
        <row r="156">
          <cell r="M156">
            <v>25532431</v>
          </cell>
        </row>
        <row r="157">
          <cell r="M157">
            <v>13309390</v>
          </cell>
        </row>
        <row r="158">
          <cell r="M158">
            <v>10832413</v>
          </cell>
        </row>
        <row r="159">
          <cell r="M159">
            <v>6955024</v>
          </cell>
        </row>
        <row r="160">
          <cell r="M160">
            <v>6421769</v>
          </cell>
        </row>
        <row r="161">
          <cell r="M161">
            <v>7139967</v>
          </cell>
        </row>
        <row r="162">
          <cell r="M162">
            <v>-133915</v>
          </cell>
        </row>
        <row r="217">
          <cell r="M217">
            <v>9648.1799999999985</v>
          </cell>
        </row>
        <row r="218">
          <cell r="M218">
            <v>24422.739999999994</v>
          </cell>
        </row>
        <row r="219">
          <cell r="M219">
            <v>36897.270000000004</v>
          </cell>
        </row>
        <row r="220">
          <cell r="M220">
            <v>25373.300000000003</v>
          </cell>
        </row>
        <row r="221">
          <cell r="M221">
            <v>30383.489999999998</v>
          </cell>
        </row>
        <row r="222">
          <cell r="M222">
            <v>24119.02</v>
          </cell>
        </row>
        <row r="223">
          <cell r="M223">
            <v>17128.870000000003</v>
          </cell>
        </row>
        <row r="224">
          <cell r="M224">
            <v>10890.98</v>
          </cell>
        </row>
        <row r="225">
          <cell r="M225">
            <v>8881.7200000000012</v>
          </cell>
        </row>
        <row r="226">
          <cell r="M226">
            <v>8075.5700000000006</v>
          </cell>
        </row>
        <row r="227">
          <cell r="M227">
            <v>6998.26</v>
          </cell>
        </row>
        <row r="228">
          <cell r="M228">
            <v>14859.29</v>
          </cell>
        </row>
        <row r="229">
          <cell r="M229">
            <v>7704.8758900000003</v>
          </cell>
        </row>
        <row r="230">
          <cell r="M230">
            <v>166482.27257999999</v>
          </cell>
        </row>
        <row r="231">
          <cell r="M231">
            <v>868272.24000000011</v>
          </cell>
        </row>
        <row r="232">
          <cell r="M232">
            <v>986847.90999999992</v>
          </cell>
        </row>
        <row r="233">
          <cell r="M233">
            <v>1051189.8899999999</v>
          </cell>
        </row>
        <row r="234">
          <cell r="M234">
            <v>1158207.93</v>
          </cell>
        </row>
        <row r="235">
          <cell r="M235">
            <v>657653.28999999992</v>
          </cell>
        </row>
        <row r="236">
          <cell r="M236">
            <v>400131.27</v>
          </cell>
        </row>
        <row r="237">
          <cell r="M237">
            <v>245712.96</v>
          </cell>
        </row>
        <row r="238">
          <cell r="M238">
            <v>210116.90000000002</v>
          </cell>
        </row>
        <row r="239">
          <cell r="M239">
            <v>192333.09000000003</v>
          </cell>
        </row>
        <row r="240">
          <cell r="M240">
            <v>181374.92000000004</v>
          </cell>
        </row>
        <row r="241">
          <cell r="M241">
            <v>430320.21</v>
          </cell>
        </row>
        <row r="242">
          <cell r="M242">
            <v>402993.20707000006</v>
          </cell>
        </row>
        <row r="243">
          <cell r="M243">
            <v>-19056.665250000013</v>
          </cell>
        </row>
        <row r="244">
          <cell r="M244">
            <v>-186539.13160999998</v>
          </cell>
        </row>
        <row r="245">
          <cell r="M245">
            <v>-232677.95760999995</v>
          </cell>
        </row>
        <row r="246">
          <cell r="M246">
            <v>-185523.55536999999</v>
          </cell>
        </row>
        <row r="247">
          <cell r="M247">
            <v>-186051.78346999999</v>
          </cell>
        </row>
        <row r="248">
          <cell r="M248">
            <v>-140599.89796</v>
          </cell>
        </row>
        <row r="249">
          <cell r="M249">
            <v>-63018.858980000012</v>
          </cell>
        </row>
        <row r="250">
          <cell r="M250">
            <v>-38258.960389999986</v>
          </cell>
        </row>
        <row r="251">
          <cell r="M251">
            <v>-26641.795750000005</v>
          </cell>
        </row>
        <row r="252">
          <cell r="M252">
            <v>-14204.911440000002</v>
          </cell>
        </row>
        <row r="253">
          <cell r="M253">
            <v>-16219.958349999997</v>
          </cell>
        </row>
        <row r="254">
          <cell r="M254">
            <v>-41762.727760000002</v>
          </cell>
        </row>
        <row r="255">
          <cell r="M255">
            <v>-80187.221799999985</v>
          </cell>
        </row>
        <row r="256">
          <cell r="M256">
            <v>91856.009140000009</v>
          </cell>
        </row>
        <row r="257">
          <cell r="M257">
            <v>512196.88659000007</v>
          </cell>
        </row>
        <row r="258">
          <cell r="M258">
            <v>540665.47662000009</v>
          </cell>
        </row>
        <row r="259">
          <cell r="M259">
            <v>508910.32601999998</v>
          </cell>
        </row>
        <row r="260">
          <cell r="M260">
            <v>550335.86378999997</v>
          </cell>
        </row>
        <row r="261">
          <cell r="M261">
            <v>387233.80443000002</v>
          </cell>
        </row>
        <row r="262">
          <cell r="M262">
            <v>205004.10041000001</v>
          </cell>
        </row>
        <row r="263">
          <cell r="M263">
            <v>169347.10689000002</v>
          </cell>
        </row>
        <row r="264">
          <cell r="M264">
            <v>110956.32797</v>
          </cell>
        </row>
        <row r="265">
          <cell r="M265">
            <v>103534.84290000002</v>
          </cell>
        </row>
        <row r="266">
          <cell r="M266">
            <v>113310.60581000001</v>
          </cell>
        </row>
        <row r="267">
          <cell r="M267">
            <v>1395.0567599999999</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VSD JE UPLOAD"/>
      <sheetName val="Dec 18 Revised JE"/>
      <sheetName val="FERC Interest Rates"/>
      <sheetName val="Therm Sales"/>
      <sheetName val="Therm Sales by Rate Schedule"/>
      <sheetName val="DEFERRALS"/>
      <sheetName val="DG 2530.01253"/>
      <sheetName val="DG 2530.01254"/>
      <sheetName val="RA 1862.20477"/>
      <sheetName val="RA 1860.20460-liab less exp"/>
      <sheetName val="RA 1860.20460-exp only"/>
      <sheetName val="RA 1860.20461"/>
      <sheetName val="RA 1860.20479"/>
      <sheetName val="RA 1823.47020430"/>
      <sheetName val="RA 1823.47020431"/>
      <sheetName val="RA 1823.47020444"/>
      <sheetName val="RA 1823.47020449"/>
      <sheetName val="AMORTIZATIONS"/>
      <sheetName val="DG 2530.01286"/>
      <sheetName val="RA 1823.47020478"/>
      <sheetName val="RA 1862.20480"/>
      <sheetName val="RA 1860.20481"/>
      <sheetName val="ZBA 13"/>
      <sheetName val="RA 1862.20475"/>
      <sheetName val="DG 01284"/>
      <sheetName val="RA 20470"/>
      <sheetName val="RA 20458N"/>
      <sheetName val="RA 1862.20472"/>
      <sheetName val="DG 01282"/>
      <sheetName val="RA 20479"/>
      <sheetName val="DG 01280"/>
      <sheetName val="DG 01241"/>
      <sheetName val="RA 1862.20470"/>
    </sheetNames>
    <sheetDataSet>
      <sheetData sheetId="0" refreshError="1"/>
      <sheetData sheetId="1" refreshError="1"/>
      <sheetData sheetId="2" refreshError="1"/>
      <sheetData sheetId="3">
        <row r="10">
          <cell r="A10">
            <v>41305</v>
          </cell>
          <cell r="B10">
            <v>3.2500000000000001E-2</v>
          </cell>
          <cell r="C10">
            <v>31</v>
          </cell>
        </row>
        <row r="11">
          <cell r="A11">
            <v>41333</v>
          </cell>
          <cell r="B11">
            <v>3.2500000000000001E-2</v>
          </cell>
          <cell r="C11">
            <v>28</v>
          </cell>
        </row>
        <row r="12">
          <cell r="A12">
            <v>41364</v>
          </cell>
          <cell r="B12">
            <v>3.2500000000000001E-2</v>
          </cell>
          <cell r="C12">
            <v>31</v>
          </cell>
        </row>
        <row r="13">
          <cell r="A13">
            <v>41394</v>
          </cell>
          <cell r="B13">
            <v>3.2500000000000001E-2</v>
          </cell>
          <cell r="C13">
            <v>30</v>
          </cell>
        </row>
        <row r="14">
          <cell r="A14">
            <v>41425</v>
          </cell>
          <cell r="B14">
            <v>3.2500000000000001E-2</v>
          </cell>
          <cell r="C14">
            <v>31</v>
          </cell>
        </row>
        <row r="15">
          <cell r="A15">
            <v>41455</v>
          </cell>
          <cell r="B15">
            <v>3.2500000000000001E-2</v>
          </cell>
          <cell r="C15">
            <v>30</v>
          </cell>
        </row>
        <row r="16">
          <cell r="A16">
            <v>41486</v>
          </cell>
          <cell r="B16">
            <v>3.2500000000000001E-2</v>
          </cell>
          <cell r="C16">
            <v>31</v>
          </cell>
        </row>
        <row r="17">
          <cell r="A17">
            <v>41517</v>
          </cell>
          <cell r="B17">
            <v>3.2500000000000001E-2</v>
          </cell>
          <cell r="C17">
            <v>31</v>
          </cell>
        </row>
        <row r="18">
          <cell r="A18">
            <v>41547</v>
          </cell>
          <cell r="B18">
            <v>3.2500000000000001E-2</v>
          </cell>
          <cell r="C18">
            <v>30</v>
          </cell>
        </row>
        <row r="19">
          <cell r="A19">
            <v>41578</v>
          </cell>
          <cell r="B19">
            <v>3.2500000000000001E-2</v>
          </cell>
          <cell r="C19">
            <v>31</v>
          </cell>
        </row>
        <row r="20">
          <cell r="A20">
            <v>41608</v>
          </cell>
          <cell r="B20">
            <v>3.2500000000000001E-2</v>
          </cell>
          <cell r="C20">
            <v>30</v>
          </cell>
        </row>
        <row r="21">
          <cell r="A21">
            <v>41639</v>
          </cell>
          <cell r="B21">
            <v>3.2500000000000001E-2</v>
          </cell>
          <cell r="C21">
            <v>31</v>
          </cell>
        </row>
        <row r="22">
          <cell r="A22">
            <v>41670</v>
          </cell>
          <cell r="B22">
            <v>3.2500000000000001E-2</v>
          </cell>
          <cell r="C22">
            <v>31</v>
          </cell>
        </row>
        <row r="23">
          <cell r="A23">
            <v>41698</v>
          </cell>
          <cell r="B23">
            <v>3.2500000000000001E-2</v>
          </cell>
          <cell r="C23">
            <v>28</v>
          </cell>
        </row>
        <row r="24">
          <cell r="A24">
            <v>41729</v>
          </cell>
          <cell r="B24">
            <v>3.2500000000000001E-2</v>
          </cell>
          <cell r="C24">
            <v>31</v>
          </cell>
        </row>
        <row r="25">
          <cell r="A25">
            <v>41759</v>
          </cell>
          <cell r="B25">
            <v>3.2500000000000001E-2</v>
          </cell>
          <cell r="C25">
            <v>30</v>
          </cell>
        </row>
        <row r="26">
          <cell r="A26">
            <v>41790</v>
          </cell>
          <cell r="B26">
            <v>3.2500000000000001E-2</v>
          </cell>
          <cell r="C26">
            <v>31</v>
          </cell>
        </row>
        <row r="27">
          <cell r="A27">
            <v>41820</v>
          </cell>
          <cell r="B27">
            <v>3.2500000000000001E-2</v>
          </cell>
          <cell r="C27">
            <v>30</v>
          </cell>
        </row>
        <row r="28">
          <cell r="A28">
            <v>41851</v>
          </cell>
          <cell r="B28">
            <v>3.2500000000000001E-2</v>
          </cell>
          <cell r="C28">
            <v>31</v>
          </cell>
        </row>
        <row r="29">
          <cell r="A29">
            <v>41882</v>
          </cell>
          <cell r="B29">
            <v>3.2500000000000001E-2</v>
          </cell>
          <cell r="C29">
            <v>31</v>
          </cell>
        </row>
        <row r="30">
          <cell r="A30">
            <v>41912</v>
          </cell>
          <cell r="B30">
            <v>3.2500000000000001E-2</v>
          </cell>
          <cell r="C30">
            <v>30</v>
          </cell>
        </row>
        <row r="31">
          <cell r="A31">
            <v>41943</v>
          </cell>
          <cell r="B31">
            <v>3.2500000000000001E-2</v>
          </cell>
          <cell r="C31">
            <v>31</v>
          </cell>
        </row>
        <row r="32">
          <cell r="A32">
            <v>41973</v>
          </cell>
          <cell r="B32">
            <v>3.2500000000000001E-2</v>
          </cell>
          <cell r="C32">
            <v>30</v>
          </cell>
        </row>
        <row r="33">
          <cell r="A33">
            <v>42004</v>
          </cell>
          <cell r="B33">
            <v>3.2500000000000001E-2</v>
          </cell>
          <cell r="C33">
            <v>31</v>
          </cell>
        </row>
        <row r="34">
          <cell r="A34">
            <v>42035</v>
          </cell>
          <cell r="B34">
            <v>3.2500000000000001E-2</v>
          </cell>
          <cell r="C34">
            <v>31</v>
          </cell>
        </row>
        <row r="35">
          <cell r="A35">
            <v>42063</v>
          </cell>
          <cell r="B35">
            <v>3.2500000000000001E-2</v>
          </cell>
          <cell r="C35">
            <v>28</v>
          </cell>
        </row>
        <row r="36">
          <cell r="A36">
            <v>42094</v>
          </cell>
          <cell r="B36">
            <v>3.2500000000000001E-2</v>
          </cell>
          <cell r="C36">
            <v>31</v>
          </cell>
        </row>
        <row r="37">
          <cell r="A37">
            <v>42124</v>
          </cell>
          <cell r="B37">
            <v>3.2500000000000001E-2</v>
          </cell>
          <cell r="C37">
            <v>30</v>
          </cell>
        </row>
        <row r="38">
          <cell r="A38">
            <v>42155</v>
          </cell>
          <cell r="B38">
            <v>3.2500000000000001E-2</v>
          </cell>
          <cell r="C38">
            <v>31</v>
          </cell>
        </row>
        <row r="39">
          <cell r="A39">
            <v>42185</v>
          </cell>
          <cell r="B39">
            <v>3.2500000000000001E-2</v>
          </cell>
          <cell r="C39">
            <v>30</v>
          </cell>
        </row>
        <row r="40">
          <cell r="A40">
            <v>42216</v>
          </cell>
          <cell r="B40">
            <v>3.2500000000000001E-2</v>
          </cell>
          <cell r="C40">
            <v>31</v>
          </cell>
        </row>
        <row r="41">
          <cell r="A41">
            <v>42247</v>
          </cell>
          <cell r="B41">
            <v>3.2500000000000001E-2</v>
          </cell>
          <cell r="C41">
            <v>31</v>
          </cell>
        </row>
        <row r="42">
          <cell r="A42">
            <v>42277</v>
          </cell>
          <cell r="B42">
            <v>3.2500000000000001E-2</v>
          </cell>
          <cell r="C42">
            <v>30</v>
          </cell>
        </row>
        <row r="43">
          <cell r="A43">
            <v>42308</v>
          </cell>
          <cell r="B43">
            <v>3.2500000000000001E-2</v>
          </cell>
          <cell r="C43">
            <v>31</v>
          </cell>
        </row>
        <row r="44">
          <cell r="A44">
            <v>42338</v>
          </cell>
          <cell r="B44">
            <v>3.2500000000000001E-2</v>
          </cell>
          <cell r="C44">
            <v>30</v>
          </cell>
        </row>
        <row r="45">
          <cell r="A45">
            <v>42369</v>
          </cell>
          <cell r="B45">
            <v>3.2500000000000001E-2</v>
          </cell>
          <cell r="C45">
            <v>31</v>
          </cell>
        </row>
        <row r="46">
          <cell r="A46">
            <v>42400</v>
          </cell>
          <cell r="B46">
            <v>3.2500000000000001E-2</v>
          </cell>
          <cell r="C46">
            <v>31</v>
          </cell>
        </row>
        <row r="47">
          <cell r="A47">
            <v>42429</v>
          </cell>
          <cell r="B47">
            <v>3.2500000000000001E-2</v>
          </cell>
          <cell r="C47">
            <v>29</v>
          </cell>
        </row>
        <row r="48">
          <cell r="A48">
            <v>42460</v>
          </cell>
          <cell r="B48">
            <v>3.2500000000000001E-2</v>
          </cell>
          <cell r="C48">
            <v>31</v>
          </cell>
        </row>
        <row r="49">
          <cell r="A49">
            <v>42490</v>
          </cell>
          <cell r="B49">
            <v>3.4599999999999999E-2</v>
          </cell>
          <cell r="C49">
            <v>30</v>
          </cell>
        </row>
        <row r="50">
          <cell r="A50">
            <v>42521</v>
          </cell>
          <cell r="B50">
            <v>3.4599999999999999E-2</v>
          </cell>
          <cell r="C50">
            <v>31</v>
          </cell>
        </row>
        <row r="51">
          <cell r="A51">
            <v>42551</v>
          </cell>
          <cell r="B51">
            <v>3.4599999999999999E-2</v>
          </cell>
          <cell r="C51">
            <v>30</v>
          </cell>
        </row>
        <row r="52">
          <cell r="A52">
            <v>42582</v>
          </cell>
          <cell r="B52">
            <v>3.5000000000000003E-2</v>
          </cell>
          <cell r="C52">
            <v>31</v>
          </cell>
        </row>
        <row r="53">
          <cell r="A53">
            <v>42613</v>
          </cell>
          <cell r="B53">
            <v>3.5000000000000003E-2</v>
          </cell>
          <cell r="C53">
            <v>31</v>
          </cell>
        </row>
        <row r="54">
          <cell r="A54">
            <v>42643</v>
          </cell>
          <cell r="B54">
            <v>3.5000000000000003E-2</v>
          </cell>
          <cell r="C54">
            <v>30</v>
          </cell>
        </row>
        <row r="55">
          <cell r="A55">
            <v>42674</v>
          </cell>
          <cell r="B55">
            <v>3.5000000000000003E-2</v>
          </cell>
          <cell r="C55">
            <v>31</v>
          </cell>
        </row>
        <row r="56">
          <cell r="A56">
            <v>42704</v>
          </cell>
          <cell r="B56">
            <v>3.5000000000000003E-2</v>
          </cell>
          <cell r="C56">
            <v>30</v>
          </cell>
        </row>
        <row r="57">
          <cell r="A57">
            <v>42735</v>
          </cell>
          <cell r="B57">
            <v>3.5000000000000003E-2</v>
          </cell>
          <cell r="C57">
            <v>31</v>
          </cell>
        </row>
        <row r="58">
          <cell r="A58">
            <v>42766</v>
          </cell>
          <cell r="B58">
            <v>3.5000000000000003E-2</v>
          </cell>
          <cell r="C58">
            <v>31</v>
          </cell>
        </row>
        <row r="59">
          <cell r="A59">
            <v>42794</v>
          </cell>
          <cell r="B59">
            <v>3.5000000000000003E-2</v>
          </cell>
          <cell r="C59">
            <v>28</v>
          </cell>
        </row>
        <row r="60">
          <cell r="A60">
            <v>42825</v>
          </cell>
          <cell r="B60">
            <v>3.5000000000000003E-2</v>
          </cell>
          <cell r="C60">
            <v>31</v>
          </cell>
        </row>
        <row r="61">
          <cell r="A61">
            <v>42855</v>
          </cell>
          <cell r="B61">
            <v>3.7100000000000001E-2</v>
          </cell>
          <cell r="C61">
            <v>30</v>
          </cell>
        </row>
        <row r="62">
          <cell r="A62">
            <v>42886</v>
          </cell>
          <cell r="B62">
            <v>3.7100000000000001E-2</v>
          </cell>
          <cell r="C62">
            <v>31</v>
          </cell>
        </row>
        <row r="63">
          <cell r="A63">
            <v>42916</v>
          </cell>
          <cell r="B63">
            <v>3.7100000000000001E-2</v>
          </cell>
          <cell r="C63">
            <v>30</v>
          </cell>
        </row>
        <row r="64">
          <cell r="A64">
            <v>42947</v>
          </cell>
          <cell r="B64">
            <v>3.9600000000000003E-2</v>
          </cell>
          <cell r="C64">
            <v>31</v>
          </cell>
        </row>
        <row r="65">
          <cell r="A65">
            <v>42978</v>
          </cell>
          <cell r="B65">
            <v>3.9600000000000003E-2</v>
          </cell>
          <cell r="C65">
            <v>31</v>
          </cell>
        </row>
        <row r="66">
          <cell r="A66">
            <v>43008</v>
          </cell>
          <cell r="B66">
            <v>3.9600000000000003E-2</v>
          </cell>
          <cell r="C66">
            <v>30</v>
          </cell>
        </row>
        <row r="67">
          <cell r="A67">
            <v>43039</v>
          </cell>
          <cell r="B67">
            <v>4.2099999999999999E-2</v>
          </cell>
          <cell r="C67">
            <v>31</v>
          </cell>
        </row>
        <row r="68">
          <cell r="A68">
            <v>43069</v>
          </cell>
          <cell r="B68">
            <v>4.2099999999999999E-2</v>
          </cell>
          <cell r="C68">
            <v>30</v>
          </cell>
        </row>
        <row r="69">
          <cell r="A69">
            <v>43100</v>
          </cell>
          <cell r="B69">
            <v>4.2099999999999999E-2</v>
          </cell>
          <cell r="C69">
            <v>31</v>
          </cell>
        </row>
        <row r="70">
          <cell r="A70">
            <v>43131</v>
          </cell>
          <cell r="B70">
            <v>4.2500000000000003E-2</v>
          </cell>
          <cell r="C70">
            <v>31</v>
          </cell>
        </row>
        <row r="71">
          <cell r="A71">
            <v>43159</v>
          </cell>
          <cell r="B71">
            <v>4.2500000000000003E-2</v>
          </cell>
          <cell r="C71">
            <v>28</v>
          </cell>
        </row>
        <row r="72">
          <cell r="A72">
            <v>43190</v>
          </cell>
          <cell r="B72">
            <v>4.2500000000000003E-2</v>
          </cell>
          <cell r="C72">
            <v>31</v>
          </cell>
        </row>
        <row r="73">
          <cell r="A73">
            <v>43220</v>
          </cell>
          <cell r="B73">
            <v>4.4699999999999997E-2</v>
          </cell>
          <cell r="C73">
            <v>30</v>
          </cell>
        </row>
        <row r="74">
          <cell r="A74">
            <v>43251</v>
          </cell>
          <cell r="B74">
            <v>4.4699999999999997E-2</v>
          </cell>
          <cell r="C74">
            <v>31</v>
          </cell>
        </row>
        <row r="75">
          <cell r="A75">
            <v>43281</v>
          </cell>
          <cell r="B75">
            <v>4.4699999999999997E-2</v>
          </cell>
          <cell r="C75">
            <v>30</v>
          </cell>
        </row>
        <row r="76">
          <cell r="A76">
            <v>43312</v>
          </cell>
          <cell r="B76">
            <v>4.6899999999999997E-2</v>
          </cell>
          <cell r="C76">
            <v>31</v>
          </cell>
        </row>
        <row r="77">
          <cell r="A77">
            <v>43343</v>
          </cell>
          <cell r="B77">
            <v>4.6899999999999997E-2</v>
          </cell>
          <cell r="C77">
            <v>31</v>
          </cell>
        </row>
        <row r="78">
          <cell r="A78">
            <v>43373</v>
          </cell>
          <cell r="B78">
            <v>4.6899999999999997E-2</v>
          </cell>
          <cell r="C78">
            <v>30</v>
          </cell>
        </row>
        <row r="79">
          <cell r="A79">
            <v>43404</v>
          </cell>
          <cell r="B79">
            <v>4.9599999999999998E-2</v>
          </cell>
          <cell r="C79">
            <v>31</v>
          </cell>
        </row>
        <row r="80">
          <cell r="A80">
            <v>43434</v>
          </cell>
          <cell r="B80">
            <v>4.9599999999999998E-2</v>
          </cell>
          <cell r="C80">
            <v>30</v>
          </cell>
        </row>
        <row r="81">
          <cell r="A81">
            <v>43465</v>
          </cell>
          <cell r="B81">
            <v>4.9599999999999998E-2</v>
          </cell>
          <cell r="C81">
            <v>31</v>
          </cell>
        </row>
        <row r="82">
          <cell r="A82">
            <v>43496</v>
          </cell>
          <cell r="B82">
            <v>5.1799999999999999E-2</v>
          </cell>
          <cell r="C82">
            <v>31</v>
          </cell>
        </row>
        <row r="83">
          <cell r="A83">
            <v>43524</v>
          </cell>
          <cell r="B83">
            <v>5.1799999999999999E-2</v>
          </cell>
          <cell r="C83">
            <v>28</v>
          </cell>
        </row>
        <row r="84">
          <cell r="A84">
            <v>43555</v>
          </cell>
          <cell r="B84">
            <v>5.1799999999999999E-2</v>
          </cell>
          <cell r="C84">
            <v>31</v>
          </cell>
        </row>
        <row r="85">
          <cell r="A85">
            <v>43585</v>
          </cell>
          <cell r="B85">
            <v>5.1799999999999999E-2</v>
          </cell>
          <cell r="C85">
            <v>30</v>
          </cell>
        </row>
        <row r="86">
          <cell r="A86">
            <v>43616</v>
          </cell>
          <cell r="B86">
            <v>5.1799999999999999E-2</v>
          </cell>
          <cell r="C86">
            <v>31</v>
          </cell>
        </row>
        <row r="87">
          <cell r="A87">
            <v>43646</v>
          </cell>
          <cell r="B87">
            <v>5.1799999999999999E-2</v>
          </cell>
          <cell r="C87">
            <v>30</v>
          </cell>
        </row>
        <row r="88">
          <cell r="A88">
            <v>43677</v>
          </cell>
          <cell r="B88">
            <v>5.1799999999999999E-2</v>
          </cell>
          <cell r="C88">
            <v>31</v>
          </cell>
        </row>
        <row r="89">
          <cell r="A89">
            <v>43708</v>
          </cell>
          <cell r="B89">
            <v>5.1799999999999999E-2</v>
          </cell>
          <cell r="C89">
            <v>31</v>
          </cell>
        </row>
        <row r="90">
          <cell r="A90">
            <v>43738</v>
          </cell>
          <cell r="B90">
            <v>5.1799999999999999E-2</v>
          </cell>
          <cell r="C90">
            <v>30</v>
          </cell>
        </row>
        <row r="91">
          <cell r="A91">
            <v>43769</v>
          </cell>
          <cell r="B91">
            <v>5.1799999999999999E-2</v>
          </cell>
          <cell r="C91">
            <v>31</v>
          </cell>
        </row>
        <row r="92">
          <cell r="A92">
            <v>43799</v>
          </cell>
          <cell r="B92">
            <v>5.1799999999999999E-2</v>
          </cell>
          <cell r="C92">
            <v>30</v>
          </cell>
        </row>
        <row r="93">
          <cell r="A93">
            <v>43830</v>
          </cell>
          <cell r="B93">
            <v>5.1799999999999999E-2</v>
          </cell>
          <cell r="C93">
            <v>31</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WA Deferrals"/>
      <sheetName val="OR Deferrals"/>
      <sheetName val="WA Rates"/>
      <sheetName val="OR Rates"/>
      <sheetName val="Core Cost Incurred"/>
    </sheetNames>
    <sheetDataSet>
      <sheetData sheetId="0" refreshError="1"/>
      <sheetData sheetId="1"/>
      <sheetData sheetId="2" refreshError="1"/>
      <sheetData sheetId="3">
        <row r="39">
          <cell r="K39">
            <v>2262781.44</v>
          </cell>
          <cell r="L39">
            <v>1478738.05</v>
          </cell>
          <cell r="M39">
            <v>1019730.0899999999</v>
          </cell>
        </row>
      </sheetData>
      <sheetData sheetId="4" refreshError="1"/>
      <sheetData sheetId="5">
        <row r="2">
          <cell r="B2">
            <v>44464</v>
          </cell>
        </row>
        <row r="43">
          <cell r="K43">
            <v>3719902.4900000007</v>
          </cell>
        </row>
        <row r="44">
          <cell r="K44">
            <v>3990370.7400000007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ferc.gov/enforcement/acct-matts/interest-rates.asp"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616DA-E0ED-4526-9A0B-03A7673E4CBD}">
  <sheetPr>
    <pageSetUpPr fitToPage="1"/>
  </sheetPr>
  <dimension ref="A1:M116"/>
  <sheetViews>
    <sheetView tabSelected="1" view="pageBreakPreview" zoomScaleNormal="75" zoomScaleSheetLayoutView="100" workbookViewId="0">
      <pane xSplit="1" ySplit="10" topLeftCell="B11" activePane="bottomRight" state="frozen"/>
      <selection activeCell="I3" sqref="I3:P34"/>
      <selection pane="topRight" activeCell="I3" sqref="I3:P34"/>
      <selection pane="bottomLeft" activeCell="I3" sqref="I3:P34"/>
      <selection pane="bottomRight" activeCell="N106" sqref="N106"/>
    </sheetView>
  </sheetViews>
  <sheetFormatPr defaultColWidth="8.88671875" defaultRowHeight="12.75" x14ac:dyDescent="0.2"/>
  <cols>
    <col min="1" max="1" width="9.6640625" style="2" bestFit="1" customWidth="1"/>
    <col min="2" max="2" width="7.77734375" style="2" customWidth="1"/>
    <col min="3" max="3" width="10.77734375" style="2" customWidth="1"/>
    <col min="4" max="4" width="11.109375" style="2" customWidth="1"/>
    <col min="5" max="5" width="9.77734375" style="2" bestFit="1" customWidth="1"/>
    <col min="6" max="6" width="9.21875" style="2" customWidth="1"/>
    <col min="7" max="7" width="12.109375" style="2" customWidth="1"/>
    <col min="8" max="8" width="12.21875" style="2" customWidth="1"/>
    <col min="9" max="9" width="1.21875" style="2" customWidth="1"/>
    <col min="10" max="10" width="11" style="2" customWidth="1"/>
    <col min="11" max="11" width="9.5546875" style="2" customWidth="1"/>
    <col min="12" max="12" width="9" style="115" bestFit="1" customWidth="1"/>
    <col min="13" max="13" width="10.33203125" style="115" bestFit="1" customWidth="1"/>
    <col min="14" max="16384" width="8.88671875" style="2"/>
  </cols>
  <sheetData>
    <row r="1" spans="1:13" x14ac:dyDescent="0.2">
      <c r="A1" s="110" t="s">
        <v>58</v>
      </c>
      <c r="B1" s="111"/>
      <c r="C1" s="112" t="s">
        <v>59</v>
      </c>
      <c r="D1" s="112"/>
      <c r="E1" s="112"/>
      <c r="F1" s="112"/>
      <c r="G1" s="112"/>
      <c r="H1" s="113"/>
      <c r="I1" s="114"/>
    </row>
    <row r="2" spans="1:13" x14ac:dyDescent="0.2">
      <c r="A2" s="116" t="s">
        <v>60</v>
      </c>
      <c r="B2" s="117"/>
      <c r="C2" s="118" t="s">
        <v>61</v>
      </c>
      <c r="D2" s="118"/>
      <c r="E2" s="118"/>
      <c r="F2" s="118"/>
      <c r="G2" s="118"/>
      <c r="H2" s="119"/>
      <c r="I2" s="114"/>
    </row>
    <row r="3" spans="1:13" x14ac:dyDescent="0.2">
      <c r="A3" s="116" t="s">
        <v>62</v>
      </c>
      <c r="B3" s="117"/>
      <c r="C3" s="118" t="s">
        <v>2</v>
      </c>
      <c r="D3" s="118"/>
      <c r="E3" s="118"/>
      <c r="F3" s="118"/>
      <c r="G3" s="118"/>
      <c r="H3" s="119"/>
      <c r="I3" s="114"/>
    </row>
    <row r="4" spans="1:13" x14ac:dyDescent="0.2">
      <c r="A4" s="116" t="s">
        <v>63</v>
      </c>
      <c r="B4" s="117"/>
      <c r="C4" s="118" t="s">
        <v>64</v>
      </c>
      <c r="D4" s="118"/>
      <c r="E4" s="118"/>
      <c r="F4" s="118"/>
      <c r="G4" s="118"/>
      <c r="H4" s="119"/>
      <c r="I4" s="114"/>
    </row>
    <row r="5" spans="1:13" x14ac:dyDescent="0.2">
      <c r="A5" s="116" t="s">
        <v>65</v>
      </c>
      <c r="B5" s="117"/>
      <c r="C5" s="118" t="s">
        <v>66</v>
      </c>
      <c r="D5" s="118"/>
      <c r="E5" s="118"/>
      <c r="F5" s="118"/>
      <c r="G5" s="118"/>
      <c r="H5" s="120"/>
      <c r="I5" s="114"/>
    </row>
    <row r="6" spans="1:13" x14ac:dyDescent="0.2">
      <c r="A6" s="116" t="s">
        <v>67</v>
      </c>
      <c r="B6" s="117"/>
      <c r="C6" s="118" t="s">
        <v>68</v>
      </c>
      <c r="D6" s="118"/>
      <c r="E6" s="118"/>
      <c r="F6" s="118"/>
      <c r="G6" s="118"/>
      <c r="H6" s="119"/>
      <c r="I6" s="114"/>
    </row>
    <row r="7" spans="1:13" ht="29.25" customHeight="1" x14ac:dyDescent="0.2">
      <c r="A7" s="121" t="s">
        <v>69</v>
      </c>
      <c r="B7" s="122"/>
      <c r="C7" s="123" t="s">
        <v>70</v>
      </c>
      <c r="D7" s="123"/>
      <c r="E7" s="123"/>
      <c r="F7" s="123"/>
      <c r="G7" s="123"/>
      <c r="H7" s="124"/>
      <c r="I7" s="125"/>
    </row>
    <row r="8" spans="1:13" x14ac:dyDescent="0.2">
      <c r="B8" s="126"/>
      <c r="G8" s="127" t="s">
        <v>71</v>
      </c>
    </row>
    <row r="9" spans="1:13" x14ac:dyDescent="0.2">
      <c r="A9" s="7"/>
      <c r="D9" s="128" t="s">
        <v>72</v>
      </c>
      <c r="E9" s="128"/>
      <c r="F9" s="128"/>
      <c r="G9" s="129" t="s">
        <v>73</v>
      </c>
    </row>
    <row r="10" spans="1:13" s="10" customFormat="1" ht="39.75" customHeight="1" x14ac:dyDescent="0.2">
      <c r="A10" s="10" t="s">
        <v>22</v>
      </c>
      <c r="B10" s="10" t="s">
        <v>74</v>
      </c>
      <c r="C10" s="10" t="s">
        <v>51</v>
      </c>
      <c r="D10" s="10" t="s">
        <v>75</v>
      </c>
      <c r="E10" s="10" t="s">
        <v>76</v>
      </c>
      <c r="F10" s="10" t="s">
        <v>77</v>
      </c>
      <c r="G10" s="10" t="s">
        <v>78</v>
      </c>
      <c r="H10" s="10" t="s">
        <v>79</v>
      </c>
      <c r="I10" s="130"/>
      <c r="J10" s="10" t="s">
        <v>80</v>
      </c>
      <c r="L10" s="3"/>
      <c r="M10" s="3"/>
    </row>
    <row r="11" spans="1:13" hidden="1" x14ac:dyDescent="0.2">
      <c r="A11" s="131" t="s">
        <v>84</v>
      </c>
      <c r="B11" s="131"/>
      <c r="C11" s="131"/>
      <c r="D11" s="131"/>
      <c r="E11" s="131"/>
      <c r="F11" s="131"/>
      <c r="G11" s="131"/>
      <c r="H11" s="2">
        <v>-1120659.83</v>
      </c>
      <c r="I11" s="132"/>
      <c r="M11" s="133"/>
    </row>
    <row r="12" spans="1:13" hidden="1" x14ac:dyDescent="0.2">
      <c r="A12" s="134">
        <f>'FERC Interest Rates'!A20</f>
        <v>41608</v>
      </c>
      <c r="D12" s="2">
        <v>93596.04</v>
      </c>
      <c r="F12" s="2">
        <f>ROUND(H11*VLOOKUP(A12,FERCINT13,2)/365*VLOOKUP(A12,FERCINT13,3),2)</f>
        <v>-2993.54</v>
      </c>
      <c r="H12" s="2">
        <f t="shared" ref="H12:H47" si="0">H11+SUM(D12:G12)</f>
        <v>-1030057.3300000001</v>
      </c>
      <c r="I12" s="132"/>
      <c r="J12" s="2">
        <v>-1030057.33</v>
      </c>
      <c r="M12" s="133"/>
    </row>
    <row r="13" spans="1:13" hidden="1" x14ac:dyDescent="0.2">
      <c r="A13" s="134">
        <f>'FERC Interest Rates'!A21</f>
        <v>41639</v>
      </c>
      <c r="D13" s="2">
        <v>-302560.25</v>
      </c>
      <c r="F13" s="2">
        <f t="shared" ref="F13" si="1">ROUND(H12*VLOOKUP(A13,FERCINT13,2)/365*VLOOKUP(A13,FERCINT13,3),2)</f>
        <v>-2843.24</v>
      </c>
      <c r="H13" s="2">
        <f t="shared" si="0"/>
        <v>-1335460.82</v>
      </c>
      <c r="I13" s="132"/>
      <c r="J13" s="2">
        <v>-1335460.82</v>
      </c>
      <c r="M13" s="133"/>
    </row>
    <row r="14" spans="1:13" hidden="1" x14ac:dyDescent="0.2">
      <c r="A14" s="134">
        <f>'FERC Interest Rates'!A22</f>
        <v>41670</v>
      </c>
      <c r="D14" s="2">
        <v>192476.01</v>
      </c>
      <c r="F14" s="2">
        <f t="shared" ref="F14:F23" si="2">ROUND(H13*VLOOKUP(A14,FERCINT14,2)/365*VLOOKUP(A14,FERCINT14,3),2)</f>
        <v>-3686.24</v>
      </c>
      <c r="H14" s="2">
        <f t="shared" si="0"/>
        <v>-1146671.05</v>
      </c>
      <c r="I14" s="132"/>
      <c r="J14" s="2">
        <v>-1146671.05</v>
      </c>
      <c r="M14" s="133"/>
    </row>
    <row r="15" spans="1:13" hidden="1" x14ac:dyDescent="0.2">
      <c r="A15" s="134">
        <f>'FERC Interest Rates'!A23</f>
        <v>41698</v>
      </c>
      <c r="D15" s="2">
        <v>1883159.68</v>
      </c>
      <c r="F15" s="2">
        <f t="shared" si="2"/>
        <v>-2858.82</v>
      </c>
      <c r="H15" s="2">
        <f t="shared" si="0"/>
        <v>733629.80999999982</v>
      </c>
      <c r="I15" s="132"/>
      <c r="J15" s="2">
        <v>733629.81</v>
      </c>
      <c r="M15" s="133"/>
    </row>
    <row r="16" spans="1:13" hidden="1" x14ac:dyDescent="0.2">
      <c r="A16" s="134">
        <f>'FERC Interest Rates'!A24</f>
        <v>41729</v>
      </c>
      <c r="D16" s="2">
        <v>1966862.04</v>
      </c>
      <c r="F16" s="2">
        <f t="shared" si="2"/>
        <v>2025.02</v>
      </c>
      <c r="H16" s="2">
        <f t="shared" si="0"/>
        <v>2702516.87</v>
      </c>
      <c r="I16" s="132"/>
      <c r="J16" s="2">
        <v>2702516.87</v>
      </c>
      <c r="M16" s="133"/>
    </row>
    <row r="17" spans="1:13" hidden="1" x14ac:dyDescent="0.2">
      <c r="A17" s="134">
        <f>'FERC Interest Rates'!A25</f>
        <v>41759</v>
      </c>
      <c r="D17" s="2">
        <f>-274443.54-10556.4</f>
        <v>-284999.94</v>
      </c>
      <c r="F17" s="2">
        <f t="shared" si="2"/>
        <v>7219.05</v>
      </c>
      <c r="H17" s="2">
        <f t="shared" si="0"/>
        <v>2424735.98</v>
      </c>
      <c r="I17" s="132"/>
      <c r="J17" s="2">
        <v>2424735.98</v>
      </c>
      <c r="M17" s="133"/>
    </row>
    <row r="18" spans="1:13" hidden="1" x14ac:dyDescent="0.2">
      <c r="A18" s="134">
        <f>'FERC Interest Rates'!A26</f>
        <v>41790</v>
      </c>
      <c r="D18" s="2">
        <v>1506.11</v>
      </c>
      <c r="F18" s="2">
        <f t="shared" si="2"/>
        <v>6692.94</v>
      </c>
      <c r="H18" s="2">
        <f t="shared" si="0"/>
        <v>2432935.0299999998</v>
      </c>
      <c r="I18" s="132"/>
      <c r="J18" s="2">
        <v>2432935.0299999998</v>
      </c>
      <c r="M18" s="133"/>
    </row>
    <row r="19" spans="1:13" hidden="1" x14ac:dyDescent="0.2">
      <c r="A19" s="134">
        <f>'FERC Interest Rates'!A27</f>
        <v>41820</v>
      </c>
      <c r="D19" s="2">
        <v>152709.69</v>
      </c>
      <c r="F19" s="2">
        <f t="shared" si="2"/>
        <v>6498.94</v>
      </c>
      <c r="H19" s="2">
        <f t="shared" si="0"/>
        <v>2592143.6599999997</v>
      </c>
      <c r="I19" s="132"/>
      <c r="J19" s="2">
        <v>2592143.66</v>
      </c>
      <c r="M19" s="133"/>
    </row>
    <row r="20" spans="1:13" hidden="1" x14ac:dyDescent="0.2">
      <c r="A20" s="134">
        <f>'FERC Interest Rates'!A28</f>
        <v>41851</v>
      </c>
      <c r="D20" s="2">
        <v>167726.51</v>
      </c>
      <c r="F20" s="2">
        <f t="shared" si="2"/>
        <v>7155.03</v>
      </c>
      <c r="H20" s="2">
        <f t="shared" si="0"/>
        <v>2767025.1999999997</v>
      </c>
      <c r="I20" s="132"/>
      <c r="J20" s="2">
        <v>2767025.2</v>
      </c>
      <c r="M20" s="133"/>
    </row>
    <row r="21" spans="1:13" hidden="1" x14ac:dyDescent="0.2">
      <c r="A21" s="134">
        <f>'FERC Interest Rates'!A29</f>
        <v>41882</v>
      </c>
      <c r="D21" s="2">
        <v>-467001.19</v>
      </c>
      <c r="F21" s="2">
        <f t="shared" si="2"/>
        <v>7637.75</v>
      </c>
      <c r="H21" s="2">
        <f t="shared" si="0"/>
        <v>2307661.7599999998</v>
      </c>
      <c r="I21" s="132"/>
      <c r="J21" s="2">
        <v>2307661.7599999998</v>
      </c>
      <c r="M21" s="133"/>
    </row>
    <row r="22" spans="1:13" hidden="1" x14ac:dyDescent="0.2">
      <c r="A22" s="134">
        <f>'FERC Interest Rates'!A30</f>
        <v>41912</v>
      </c>
      <c r="D22" s="2">
        <v>-76065.69</v>
      </c>
      <c r="F22" s="2">
        <f t="shared" si="2"/>
        <v>6164.3</v>
      </c>
      <c r="H22" s="2">
        <f t="shared" si="0"/>
        <v>2237760.3699999996</v>
      </c>
      <c r="I22" s="132"/>
      <c r="J22" s="2">
        <v>2237760.37</v>
      </c>
      <c r="M22" s="133"/>
    </row>
    <row r="23" spans="1:13" hidden="1" x14ac:dyDescent="0.2">
      <c r="A23" s="134">
        <f>'FERC Interest Rates'!A31</f>
        <v>41943</v>
      </c>
      <c r="D23" s="2">
        <v>-41866.550000000003</v>
      </c>
      <c r="F23" s="2">
        <f t="shared" si="2"/>
        <v>6176.83</v>
      </c>
      <c r="H23" s="135">
        <f t="shared" si="0"/>
        <v>2202070.6499999994</v>
      </c>
      <c r="I23" s="136"/>
      <c r="J23" s="2">
        <v>2202070.65</v>
      </c>
      <c r="M23" s="133"/>
    </row>
    <row r="24" spans="1:13" hidden="1" x14ac:dyDescent="0.2">
      <c r="A24" s="137" t="s">
        <v>86</v>
      </c>
      <c r="B24" s="137"/>
      <c r="C24" s="137"/>
      <c r="D24" s="137"/>
      <c r="E24" s="137"/>
      <c r="F24" s="137"/>
      <c r="G24" s="2">
        <v>-2789754.01</v>
      </c>
      <c r="H24" s="135">
        <f t="shared" si="0"/>
        <v>-587683.36000000034</v>
      </c>
      <c r="I24" s="136"/>
    </row>
    <row r="25" spans="1:13" hidden="1" x14ac:dyDescent="0.2">
      <c r="A25" s="134">
        <f>'FERC Interest Rates'!A32</f>
        <v>41973</v>
      </c>
      <c r="D25" s="2">
        <v>-388093.17</v>
      </c>
      <c r="F25" s="2">
        <f t="shared" ref="F25" si="3">ROUND(H24*VLOOKUP(A25,FERCINT14,2)/365*VLOOKUP(A25,FERCINT14,3),2)</f>
        <v>-1569.84</v>
      </c>
      <c r="H25" s="135">
        <f t="shared" si="0"/>
        <v>-977346.37000000034</v>
      </c>
      <c r="I25" s="136"/>
      <c r="J25" s="2">
        <v>-977346.37</v>
      </c>
      <c r="M25" s="133"/>
    </row>
    <row r="26" spans="1:13" hidden="1" x14ac:dyDescent="0.2">
      <c r="A26" s="134">
        <f>'FERC Interest Rates'!A33</f>
        <v>42004</v>
      </c>
      <c r="D26" s="2">
        <v>50810.48</v>
      </c>
      <c r="F26" s="2">
        <f t="shared" ref="F26" si="4">ROUND(H25*VLOOKUP(A26,FERCINT14,2)/365*VLOOKUP(A26,FERCINT14,3),2)</f>
        <v>-2697.74</v>
      </c>
      <c r="H26" s="135">
        <f t="shared" si="0"/>
        <v>-929233.63000000035</v>
      </c>
      <c r="I26" s="136"/>
      <c r="J26" s="2">
        <v>-929233.63</v>
      </c>
      <c r="M26" s="133"/>
    </row>
    <row r="27" spans="1:13" hidden="1" x14ac:dyDescent="0.2">
      <c r="A27" s="134">
        <f>'FERC Interest Rates'!A34</f>
        <v>42035</v>
      </c>
      <c r="D27" s="2">
        <v>-1925336.63</v>
      </c>
      <c r="F27" s="2">
        <f t="shared" ref="F27:F39" si="5">ROUND(H26*VLOOKUP(A27,FERCINT15,2)/365*VLOOKUP(A27,FERCINT15,3),2)</f>
        <v>-2564.94</v>
      </c>
      <c r="H27" s="135">
        <f t="shared" si="0"/>
        <v>-2857135.2</v>
      </c>
      <c r="I27" s="136"/>
      <c r="J27" s="2">
        <v>-2857135.2</v>
      </c>
      <c r="M27" s="133"/>
    </row>
    <row r="28" spans="1:13" hidden="1" x14ac:dyDescent="0.2">
      <c r="A28" s="134">
        <f>'FERC Interest Rates'!A35</f>
        <v>42063</v>
      </c>
      <c r="D28" s="2">
        <v>-1353526.41</v>
      </c>
      <c r="F28" s="2">
        <f t="shared" si="5"/>
        <v>-7123.27</v>
      </c>
      <c r="H28" s="135">
        <f t="shared" si="0"/>
        <v>-4217784.88</v>
      </c>
      <c r="I28" s="136"/>
      <c r="J28" s="2">
        <v>-4217784.88</v>
      </c>
      <c r="M28" s="133"/>
    </row>
    <row r="29" spans="1:13" hidden="1" x14ac:dyDescent="0.2">
      <c r="A29" s="134">
        <f>'FERC Interest Rates'!A36</f>
        <v>42094</v>
      </c>
      <c r="D29" s="2">
        <v>-1683298.68</v>
      </c>
      <c r="F29" s="2">
        <f t="shared" si="5"/>
        <v>-11642.24</v>
      </c>
      <c r="H29" s="135">
        <f t="shared" si="0"/>
        <v>-5912725.7999999998</v>
      </c>
      <c r="I29" s="136"/>
      <c r="J29" s="2">
        <v>-5912725.7999999998</v>
      </c>
      <c r="M29" s="133"/>
    </row>
    <row r="30" spans="1:13" hidden="1" x14ac:dyDescent="0.2">
      <c r="A30" s="134">
        <f>'FERC Interest Rates'!A37</f>
        <v>42124</v>
      </c>
      <c r="D30" s="2">
        <v>-1792191.55</v>
      </c>
      <c r="F30" s="2">
        <f t="shared" si="5"/>
        <v>-15794.27</v>
      </c>
      <c r="H30" s="135">
        <f t="shared" si="0"/>
        <v>-7720711.6200000001</v>
      </c>
      <c r="I30" s="136"/>
      <c r="J30" s="2">
        <v>-7720711.6200000001</v>
      </c>
      <c r="M30" s="133"/>
    </row>
    <row r="31" spans="1:13" hidden="1" x14ac:dyDescent="0.2">
      <c r="A31" s="134">
        <f>'FERC Interest Rates'!A38</f>
        <v>42155</v>
      </c>
      <c r="D31" s="2">
        <v>-1388193.03</v>
      </c>
      <c r="F31" s="2">
        <f t="shared" si="5"/>
        <v>-21311.279999999999</v>
      </c>
      <c r="H31" s="135">
        <f t="shared" si="0"/>
        <v>-9130215.9299999997</v>
      </c>
      <c r="I31" s="136"/>
      <c r="J31" s="2">
        <v>-9130215.9299999997</v>
      </c>
      <c r="M31" s="133"/>
    </row>
    <row r="32" spans="1:13" hidden="1" x14ac:dyDescent="0.2">
      <c r="A32" s="134">
        <f>'FERC Interest Rates'!A39</f>
        <v>42185</v>
      </c>
      <c r="D32" s="2">
        <v>26234.13</v>
      </c>
      <c r="F32" s="2">
        <f t="shared" si="5"/>
        <v>-24388.93</v>
      </c>
      <c r="H32" s="135">
        <f t="shared" si="0"/>
        <v>-9128370.7300000004</v>
      </c>
      <c r="I32" s="136"/>
      <c r="J32" s="2">
        <v>-9128370.7300000004</v>
      </c>
      <c r="M32" s="133"/>
    </row>
    <row r="33" spans="1:13" hidden="1" x14ac:dyDescent="0.2">
      <c r="A33" s="134">
        <f>'FERC Interest Rates'!A40</f>
        <v>42216</v>
      </c>
      <c r="D33" s="2">
        <v>-864942.07999999996</v>
      </c>
      <c r="F33" s="2">
        <f t="shared" si="5"/>
        <v>-25196.799999999999</v>
      </c>
      <c r="H33" s="135">
        <f t="shared" si="0"/>
        <v>-10018509.610000001</v>
      </c>
      <c r="I33" s="136"/>
      <c r="J33" s="2">
        <v>-10018509.609999999</v>
      </c>
      <c r="M33" s="133"/>
    </row>
    <row r="34" spans="1:13" hidden="1" x14ac:dyDescent="0.2">
      <c r="A34" s="134">
        <f>'FERC Interest Rates'!A41</f>
        <v>42247</v>
      </c>
      <c r="D34" s="2">
        <v>-127139.21</v>
      </c>
      <c r="F34" s="2">
        <f t="shared" si="5"/>
        <v>-27653.83</v>
      </c>
      <c r="H34" s="135">
        <f t="shared" si="0"/>
        <v>-10173302.65</v>
      </c>
      <c r="I34" s="136"/>
      <c r="J34" s="2">
        <v>-10173302.65</v>
      </c>
      <c r="M34" s="133"/>
    </row>
    <row r="35" spans="1:13" hidden="1" x14ac:dyDescent="0.2">
      <c r="A35" s="137" t="s">
        <v>87</v>
      </c>
      <c r="B35" s="137"/>
      <c r="C35" s="137"/>
      <c r="D35" s="137"/>
      <c r="E35" s="137"/>
      <c r="F35" s="137"/>
      <c r="G35" s="2">
        <v>9178833.8800000008</v>
      </c>
      <c r="H35" s="135">
        <f t="shared" si="0"/>
        <v>-994468.76999999955</v>
      </c>
      <c r="I35" s="136"/>
      <c r="M35" s="133"/>
    </row>
    <row r="36" spans="1:13" hidden="1" x14ac:dyDescent="0.2">
      <c r="A36" s="134">
        <f>'FERC Interest Rates'!A42</f>
        <v>42277</v>
      </c>
      <c r="D36" s="2">
        <v>-585536.48</v>
      </c>
      <c r="F36" s="2">
        <f>ROUND(H35*VLOOKUP(A36,FERCINT15,2)/365*VLOOKUP(A36,FERCINT15,3),2)</f>
        <v>-2656.46</v>
      </c>
      <c r="H36" s="135">
        <f t="shared" si="0"/>
        <v>-1582661.7099999995</v>
      </c>
      <c r="I36" s="136"/>
      <c r="J36" s="2">
        <v>-1582661.71</v>
      </c>
      <c r="M36" s="133"/>
    </row>
    <row r="37" spans="1:13" hidden="1" x14ac:dyDescent="0.2">
      <c r="A37" s="134">
        <f>'FERC Interest Rates'!A43</f>
        <v>42308</v>
      </c>
      <c r="D37" s="2">
        <v>-465803</v>
      </c>
      <c r="F37" s="2">
        <f t="shared" si="5"/>
        <v>-4368.58</v>
      </c>
      <c r="H37" s="135">
        <f>H36+SUM(D37:G37)</f>
        <v>-2052833.2899999996</v>
      </c>
      <c r="I37" s="136"/>
      <c r="J37" s="2">
        <v>-2052833.29</v>
      </c>
      <c r="M37" s="133"/>
    </row>
    <row r="38" spans="1:13" hidden="1" x14ac:dyDescent="0.2">
      <c r="A38" s="134">
        <f>'FERC Interest Rates'!A44</f>
        <v>42338</v>
      </c>
      <c r="D38" s="2">
        <v>-1544843.34</v>
      </c>
      <c r="F38" s="2">
        <f t="shared" si="5"/>
        <v>-5483.6</v>
      </c>
      <c r="H38" s="135">
        <f>H37+SUM(D38:G38)</f>
        <v>-3603160.2299999995</v>
      </c>
      <c r="I38" s="136"/>
      <c r="J38" s="2">
        <v>-3603160.23</v>
      </c>
      <c r="M38" s="133"/>
    </row>
    <row r="39" spans="1:13" hidden="1" x14ac:dyDescent="0.2">
      <c r="A39" s="134">
        <f>'FERC Interest Rates'!A45</f>
        <v>42369</v>
      </c>
      <c r="D39" s="2">
        <v>-1645881.86</v>
      </c>
      <c r="F39" s="2">
        <f t="shared" si="5"/>
        <v>-9945.7099999999991</v>
      </c>
      <c r="H39" s="135">
        <f>H38+SUM(D39:G39)</f>
        <v>-5258987.8</v>
      </c>
      <c r="I39" s="136"/>
      <c r="J39" s="2">
        <v>-5258987.8</v>
      </c>
      <c r="M39" s="133"/>
    </row>
    <row r="40" spans="1:13" hidden="1" x14ac:dyDescent="0.2">
      <c r="A40" s="134">
        <f>'FERC Interest Rates'!A46</f>
        <v>42400</v>
      </c>
      <c r="D40" s="2">
        <v>-2154994.2799999998</v>
      </c>
      <c r="F40" s="2">
        <f t="shared" ref="F40:F52" si="6">ROUND(H39*VLOOKUP(A40,FERCINT16,2)/365*VLOOKUP(A40,FERCINT16,3),2)</f>
        <v>-14516.25</v>
      </c>
      <c r="H40" s="135">
        <f t="shared" si="0"/>
        <v>-7428498.3300000001</v>
      </c>
      <c r="I40" s="136"/>
      <c r="J40" s="2">
        <v>-7428498.3300000001</v>
      </c>
      <c r="M40" s="133"/>
    </row>
    <row r="41" spans="1:13" hidden="1" x14ac:dyDescent="0.2">
      <c r="A41" s="134">
        <f>'FERC Interest Rates'!A47</f>
        <v>42429</v>
      </c>
      <c r="D41" s="2">
        <v>-1476931.21</v>
      </c>
      <c r="F41" s="2">
        <f t="shared" si="6"/>
        <v>-19181.810000000001</v>
      </c>
      <c r="G41" s="2">
        <v>-99.96</v>
      </c>
      <c r="H41" s="135">
        <f t="shared" si="0"/>
        <v>-8924711.3100000005</v>
      </c>
      <c r="I41" s="136"/>
      <c r="J41" s="2">
        <v>-8924711.3100000005</v>
      </c>
      <c r="M41" s="133"/>
    </row>
    <row r="42" spans="1:13" hidden="1" x14ac:dyDescent="0.2">
      <c r="A42" s="134">
        <f>'FERC Interest Rates'!A48</f>
        <v>42460</v>
      </c>
      <c r="D42" s="2">
        <v>-1690305.69</v>
      </c>
      <c r="F42" s="2">
        <f t="shared" si="6"/>
        <v>-24634.65</v>
      </c>
      <c r="G42" s="2">
        <v>-6148.88</v>
      </c>
      <c r="H42" s="135">
        <f t="shared" si="0"/>
        <v>-10645800.530000001</v>
      </c>
      <c r="I42" s="136"/>
      <c r="J42" s="2">
        <v>-10645800.529999999</v>
      </c>
      <c r="M42" s="133"/>
    </row>
    <row r="43" spans="1:13" hidden="1" x14ac:dyDescent="0.2">
      <c r="A43" s="134">
        <f>'FERC Interest Rates'!A49</f>
        <v>42490</v>
      </c>
      <c r="D43" s="2">
        <v>-1904970.39</v>
      </c>
      <c r="F43" s="2">
        <f t="shared" si="6"/>
        <v>-30274.91</v>
      </c>
      <c r="G43" s="2">
        <v>-710.41</v>
      </c>
      <c r="H43" s="135">
        <f t="shared" si="0"/>
        <v>-12581756.24</v>
      </c>
      <c r="I43" s="136"/>
      <c r="J43" s="2">
        <v>-12581756.24</v>
      </c>
      <c r="M43" s="133"/>
    </row>
    <row r="44" spans="1:13" hidden="1" x14ac:dyDescent="0.2">
      <c r="A44" s="134">
        <f>'FERC Interest Rates'!A50</f>
        <v>42521</v>
      </c>
      <c r="D44" s="2">
        <v>-1147138.95</v>
      </c>
      <c r="F44" s="2">
        <f t="shared" si="6"/>
        <v>-36973.129999999997</v>
      </c>
      <c r="G44" s="2">
        <v>-389.13</v>
      </c>
      <c r="H44" s="135">
        <f t="shared" si="0"/>
        <v>-13766257.449999999</v>
      </c>
      <c r="I44" s="136"/>
      <c r="J44" s="2">
        <v>-13766257.449999999</v>
      </c>
      <c r="M44" s="133"/>
    </row>
    <row r="45" spans="1:13" hidden="1" x14ac:dyDescent="0.2">
      <c r="A45" s="134">
        <f>'FERC Interest Rates'!A51</f>
        <v>42551</v>
      </c>
      <c r="D45" s="2">
        <v>-588401.41</v>
      </c>
      <c r="F45" s="2">
        <f t="shared" si="6"/>
        <v>-39148.97</v>
      </c>
      <c r="G45" s="2">
        <v>-6060.87</v>
      </c>
      <c r="H45" s="135">
        <f t="shared" si="0"/>
        <v>-14399868.699999999</v>
      </c>
      <c r="I45" s="136"/>
      <c r="J45" s="2">
        <v>-14399868.699999999</v>
      </c>
      <c r="M45" s="133"/>
    </row>
    <row r="46" spans="1:13" hidden="1" x14ac:dyDescent="0.2">
      <c r="A46" s="134">
        <f>'FERC Interest Rates'!A52</f>
        <v>42582</v>
      </c>
      <c r="D46" s="2">
        <v>-455489.75</v>
      </c>
      <c r="F46" s="2">
        <f t="shared" si="6"/>
        <v>-42805.09</v>
      </c>
      <c r="G46" s="2">
        <f>-500654.43+42805.09+455489.75</f>
        <v>-2359.5899999999674</v>
      </c>
      <c r="H46" s="135">
        <f t="shared" si="0"/>
        <v>-14900523.129999999</v>
      </c>
      <c r="I46" s="136"/>
      <c r="J46" s="2">
        <v>-14900523.130000001</v>
      </c>
      <c r="M46" s="133"/>
    </row>
    <row r="47" spans="1:13" hidden="1" x14ac:dyDescent="0.2">
      <c r="A47" s="134">
        <f>'FERC Interest Rates'!A53</f>
        <v>42613</v>
      </c>
      <c r="D47" s="2">
        <v>-147435.35</v>
      </c>
      <c r="F47" s="2">
        <f t="shared" si="6"/>
        <v>-44293.34</v>
      </c>
      <c r="G47" s="2">
        <f>-192518.19+44293.34+147435.35</f>
        <v>-789.5</v>
      </c>
      <c r="H47" s="135">
        <f t="shared" si="0"/>
        <v>-15093041.319999998</v>
      </c>
      <c r="I47" s="136"/>
      <c r="J47" s="2">
        <v>-15093041.32</v>
      </c>
      <c r="M47" s="133"/>
    </row>
    <row r="48" spans="1:13" hidden="1" x14ac:dyDescent="0.2">
      <c r="A48" s="137" t="s">
        <v>88</v>
      </c>
      <c r="B48" s="137"/>
      <c r="C48" s="137"/>
      <c r="D48" s="137"/>
      <c r="E48" s="137"/>
      <c r="F48" s="137"/>
      <c r="G48" s="2">
        <v>14485606.119999999</v>
      </c>
      <c r="H48" s="135">
        <f t="shared" ref="H48" si="7">H47+SUM(D48:G48)</f>
        <v>-607435.19999999925</v>
      </c>
      <c r="I48" s="136"/>
      <c r="M48" s="133"/>
    </row>
    <row r="49" spans="1:13" hidden="1" x14ac:dyDescent="0.2">
      <c r="A49" s="134">
        <f>'FERC Interest Rates'!A54</f>
        <v>42643</v>
      </c>
      <c r="D49" s="2">
        <v>-199542.95</v>
      </c>
      <c r="F49" s="2">
        <f>ROUND(H48*VLOOKUP(A49,FERCINT16,2)/365*VLOOKUP(A49,FERCINT16,3),2)</f>
        <v>-1747.42</v>
      </c>
      <c r="G49" s="2">
        <f>-310.25-73.21-249.6-110.16-216.72-71.88</f>
        <v>-1031.82</v>
      </c>
      <c r="H49" s="135">
        <f>H48+SUM(D49:G49)</f>
        <v>-809757.38999999932</v>
      </c>
      <c r="I49" s="136"/>
      <c r="J49" s="2">
        <v>-809757.39</v>
      </c>
      <c r="M49" s="133"/>
    </row>
    <row r="50" spans="1:13" hidden="1" x14ac:dyDescent="0.2">
      <c r="A50" s="134">
        <f>'FERC Interest Rates'!A55</f>
        <v>42674</v>
      </c>
      <c r="D50" s="2">
        <v>-335397.51</v>
      </c>
      <c r="F50" s="2">
        <f t="shared" si="6"/>
        <v>-2407.09</v>
      </c>
      <c r="G50" s="2">
        <f>-30-310.25+71.88-71.88-246.4-71.88-47.92+74.63+310.25+323.5</f>
        <v>1.9300000000000637</v>
      </c>
      <c r="H50" s="135">
        <f t="shared" ref="H50:H89" si="8">H49+SUM(D50:G50)</f>
        <v>-1147560.0599999994</v>
      </c>
      <c r="I50" s="136"/>
      <c r="J50" s="2">
        <v>-1147560.06</v>
      </c>
      <c r="M50" s="133"/>
    </row>
    <row r="51" spans="1:13" hidden="1" x14ac:dyDescent="0.2">
      <c r="A51" s="134">
        <f>'FERC Interest Rates'!A56</f>
        <v>42704</v>
      </c>
      <c r="D51" s="2">
        <v>704713.46</v>
      </c>
      <c r="F51" s="2">
        <f t="shared" si="6"/>
        <v>-3301.2</v>
      </c>
      <c r="G51" s="2">
        <v>-447.57</v>
      </c>
      <c r="H51" s="135">
        <f t="shared" si="8"/>
        <v>-446595.3699999993</v>
      </c>
      <c r="I51" s="136"/>
      <c r="J51" s="2">
        <v>-446595.37</v>
      </c>
      <c r="M51" s="133"/>
    </row>
    <row r="52" spans="1:13" hidden="1" x14ac:dyDescent="0.2">
      <c r="A52" s="134">
        <f>'FERC Interest Rates'!A57</f>
        <v>42735</v>
      </c>
      <c r="D52" s="2">
        <f>3430803.48-399700.78</f>
        <v>3031102.7</v>
      </c>
      <c r="F52" s="2">
        <f t="shared" si="6"/>
        <v>-1327.55</v>
      </c>
      <c r="G52" s="2">
        <f>-647-1045.5-597-647-261.38-65.34-36.76-21.78-4.27</f>
        <v>-3326.0300000000007</v>
      </c>
      <c r="H52" s="135">
        <f t="shared" si="8"/>
        <v>2579853.7500000014</v>
      </c>
      <c r="I52" s="136"/>
      <c r="J52" s="2">
        <v>2579853.75</v>
      </c>
      <c r="M52" s="133"/>
    </row>
    <row r="53" spans="1:13" hidden="1" x14ac:dyDescent="0.2">
      <c r="A53" s="134">
        <f>'FERC Interest Rates'!A58</f>
        <v>42766</v>
      </c>
      <c r="D53" s="2">
        <v>4901066.0599999996</v>
      </c>
      <c r="F53" s="2">
        <f t="shared" ref="F53:F65" si="9">ROUND(H52*VLOOKUP(A53,FERCINT17,2)/365*VLOOKUP(A53,FERCINT17,3),2)</f>
        <v>7668.88</v>
      </c>
      <c r="G53" s="2">
        <f>-500-47.92-323.37-51.28-50-5.56-3.73+1045.5+47.92</f>
        <v>111.5600000000001</v>
      </c>
      <c r="H53" s="135">
        <f t="shared" si="8"/>
        <v>7488700.25</v>
      </c>
      <c r="I53" s="136"/>
      <c r="J53" s="2">
        <v>7488700.25</v>
      </c>
      <c r="M53" s="133"/>
    </row>
    <row r="54" spans="1:13" hidden="1" x14ac:dyDescent="0.2">
      <c r="A54" s="134">
        <f>'FERC Interest Rates'!A59</f>
        <v>42794</v>
      </c>
      <c r="D54" s="2">
        <v>1733602.92</v>
      </c>
      <c r="F54" s="2">
        <f t="shared" si="9"/>
        <v>20106.650000000001</v>
      </c>
      <c r="G54" s="2">
        <f>-278.19-174.25</f>
        <v>-452.44</v>
      </c>
      <c r="H54" s="135">
        <f t="shared" si="8"/>
        <v>9241957.379999999</v>
      </c>
      <c r="I54" s="136"/>
      <c r="J54" s="2">
        <v>9241957.3800000008</v>
      </c>
      <c r="M54" s="133"/>
    </row>
    <row r="55" spans="1:13" hidden="1" x14ac:dyDescent="0.2">
      <c r="A55" s="134">
        <f>'FERC Interest Rates'!A60</f>
        <v>42825</v>
      </c>
      <c r="D55" s="2">
        <v>-778930.47</v>
      </c>
      <c r="F55" s="2">
        <f t="shared" si="9"/>
        <v>27472.67</v>
      </c>
      <c r="G55" s="2">
        <f>-364.45+50</f>
        <v>-314.45</v>
      </c>
      <c r="H55" s="135">
        <f t="shared" si="8"/>
        <v>8490185.129999999</v>
      </c>
      <c r="I55" s="136"/>
      <c r="J55" s="2">
        <v>8490185.1300000008</v>
      </c>
      <c r="M55" s="133"/>
    </row>
    <row r="56" spans="1:13" hidden="1" x14ac:dyDescent="0.2">
      <c r="A56" s="134">
        <f>'FERC Interest Rates'!A61</f>
        <v>42855</v>
      </c>
      <c r="D56" s="2">
        <v>-354428.35</v>
      </c>
      <c r="F56" s="2">
        <f t="shared" si="9"/>
        <v>25889.25</v>
      </c>
      <c r="G56" s="2">
        <v>-2323.67</v>
      </c>
      <c r="H56" s="135">
        <f t="shared" si="8"/>
        <v>8159322.3599999994</v>
      </c>
      <c r="I56" s="136"/>
      <c r="J56" s="2">
        <v>8159322.3600000003</v>
      </c>
      <c r="M56" s="133"/>
    </row>
    <row r="57" spans="1:13" hidden="1" x14ac:dyDescent="0.2">
      <c r="A57" s="134">
        <f>'FERC Interest Rates'!A62</f>
        <v>42886</v>
      </c>
      <c r="D57" s="2">
        <v>-371160.81</v>
      </c>
      <c r="F57" s="2">
        <f t="shared" si="9"/>
        <v>25709.69</v>
      </c>
      <c r="G57" s="2">
        <f>-1494-717-2.79-15.87</f>
        <v>-2229.66</v>
      </c>
      <c r="H57" s="135">
        <f t="shared" si="8"/>
        <v>7811641.5799999991</v>
      </c>
      <c r="I57" s="136"/>
      <c r="J57" s="2">
        <v>7811641.5800000001</v>
      </c>
      <c r="M57" s="133"/>
    </row>
    <row r="58" spans="1:13" hidden="1" x14ac:dyDescent="0.2">
      <c r="A58" s="134">
        <f>'FERC Interest Rates'!A63</f>
        <v>42916</v>
      </c>
      <c r="D58" s="2">
        <v>734514.16</v>
      </c>
      <c r="F58" s="2">
        <f t="shared" si="9"/>
        <v>23820.16</v>
      </c>
      <c r="G58" s="2">
        <f>95.84-101.09-358.5-43.56-727-2.45</f>
        <v>-1136.76</v>
      </c>
      <c r="H58" s="135">
        <f t="shared" si="8"/>
        <v>8568839.1399999987</v>
      </c>
      <c r="I58" s="136"/>
      <c r="J58" s="2">
        <v>8568839.1400000006</v>
      </c>
      <c r="M58" s="133"/>
    </row>
    <row r="59" spans="1:13" hidden="1" x14ac:dyDescent="0.2">
      <c r="A59" s="134">
        <f>'FERC Interest Rates'!A64</f>
        <v>42947</v>
      </c>
      <c r="D59" s="2">
        <v>-589039.61</v>
      </c>
      <c r="F59" s="2">
        <f t="shared" si="9"/>
        <v>28819.47</v>
      </c>
      <c r="G59" s="2">
        <f>-2091-1434-197.63</f>
        <v>-3722.63</v>
      </c>
      <c r="H59" s="135">
        <f t="shared" si="8"/>
        <v>8004896.3699999992</v>
      </c>
      <c r="I59" s="136"/>
      <c r="J59" s="2">
        <v>8004896.3700000001</v>
      </c>
      <c r="M59" s="133"/>
    </row>
    <row r="60" spans="1:13" hidden="1" x14ac:dyDescent="0.2">
      <c r="A60" s="134">
        <f>'FERC Interest Rates'!A65</f>
        <v>42978</v>
      </c>
      <c r="D60" s="2">
        <v>104863.56</v>
      </c>
      <c r="F60" s="2">
        <f t="shared" si="9"/>
        <v>26922.77</v>
      </c>
      <c r="G60" s="2">
        <f>-3387.75+717+747</f>
        <v>-1923.75</v>
      </c>
      <c r="H60" s="135">
        <f t="shared" si="8"/>
        <v>8134758.9499999993</v>
      </c>
      <c r="I60" s="136"/>
      <c r="J60" s="2">
        <v>8134758.9500000002</v>
      </c>
      <c r="M60" s="133"/>
    </row>
    <row r="61" spans="1:13" hidden="1" x14ac:dyDescent="0.2">
      <c r="A61" s="134">
        <f>'FERC Interest Rates'!A66</f>
        <v>43008</v>
      </c>
      <c r="D61" s="2">
        <v>-157172.82</v>
      </c>
      <c r="F61" s="2">
        <f t="shared" si="9"/>
        <v>26476.97</v>
      </c>
      <c r="G61" s="2">
        <f>-717-32.09-47.43-18.66-2788</f>
        <v>-3603.18</v>
      </c>
      <c r="H61" s="135">
        <f t="shared" si="8"/>
        <v>8000459.919999999</v>
      </c>
      <c r="I61" s="136"/>
      <c r="J61" s="2">
        <v>8000459.9199999999</v>
      </c>
      <c r="M61" s="133"/>
    </row>
    <row r="62" spans="1:13" hidden="1" x14ac:dyDescent="0.2">
      <c r="A62" s="134">
        <f>'FERC Interest Rates'!A67</f>
        <v>43039</v>
      </c>
      <c r="D62" s="2">
        <v>-440869.09</v>
      </c>
      <c r="F62" s="2">
        <f t="shared" si="9"/>
        <v>28606.58</v>
      </c>
      <c r="G62" s="2">
        <v>0</v>
      </c>
      <c r="H62" s="135">
        <f t="shared" si="8"/>
        <v>7588197.4099999992</v>
      </c>
      <c r="I62" s="136"/>
      <c r="J62" s="2">
        <v>7588197.4100000001</v>
      </c>
      <c r="M62" s="133"/>
    </row>
    <row r="63" spans="1:13" hidden="1" x14ac:dyDescent="0.2">
      <c r="A63" s="137" t="s">
        <v>88</v>
      </c>
      <c r="B63" s="137"/>
      <c r="C63" s="137"/>
      <c r="D63" s="137"/>
      <c r="E63" s="137"/>
      <c r="F63" s="137"/>
      <c r="G63" s="2">
        <v>-8086773.2400000002</v>
      </c>
      <c r="H63" s="135">
        <f t="shared" si="8"/>
        <v>-498575.83000000101</v>
      </c>
      <c r="I63" s="136"/>
      <c r="M63" s="133"/>
    </row>
    <row r="64" spans="1:13" hidden="1" x14ac:dyDescent="0.2">
      <c r="A64" s="134">
        <f>'FERC Interest Rates'!A68</f>
        <v>43069</v>
      </c>
      <c r="B64" s="132"/>
      <c r="C64" s="132"/>
      <c r="D64" s="2">
        <v>538678.29</v>
      </c>
      <c r="E64" s="132"/>
      <c r="F64" s="2">
        <f>ROUND(H63*VLOOKUP(A64,FERCINT17,2)/365*VLOOKUP(A64,FERCINT17,3),2)</f>
        <v>-1725.21</v>
      </c>
      <c r="G64" s="2">
        <f>-13.34-313.65-808.75-161.75-7.03-46.69-62.13-560.25-2187.28-21.78</f>
        <v>-4182.6500000000005</v>
      </c>
      <c r="H64" s="135">
        <f t="shared" si="8"/>
        <v>34194.599999999045</v>
      </c>
      <c r="I64" s="136"/>
      <c r="J64" s="2">
        <v>34194.6</v>
      </c>
      <c r="M64" s="133"/>
    </row>
    <row r="65" spans="1:13" hidden="1" x14ac:dyDescent="0.2">
      <c r="A65" s="134">
        <f>'FERC Interest Rates'!A69</f>
        <v>43100</v>
      </c>
      <c r="B65" s="132"/>
      <c r="C65" s="132"/>
      <c r="D65" s="2">
        <v>1082015.6399999999</v>
      </c>
      <c r="E65" s="132"/>
      <c r="F65" s="2">
        <f t="shared" si="9"/>
        <v>122.27</v>
      </c>
      <c r="G65" s="2">
        <v>-4778.87</v>
      </c>
      <c r="H65" s="135">
        <f t="shared" si="8"/>
        <v>1111553.6399999987</v>
      </c>
      <c r="I65" s="136"/>
      <c r="J65" s="2">
        <v>1111553.6399999999</v>
      </c>
      <c r="M65" s="133"/>
    </row>
    <row r="66" spans="1:13" hidden="1" x14ac:dyDescent="0.2">
      <c r="A66" s="134">
        <f>'FERC Interest Rates'!A70</f>
        <v>43131</v>
      </c>
      <c r="B66" s="132"/>
      <c r="C66" s="132"/>
      <c r="D66" s="2">
        <v>653023.03</v>
      </c>
      <c r="E66" s="132"/>
      <c r="F66" s="2">
        <f t="shared" ref="F66:F75" si="10">ROUND(H65*VLOOKUP(A66,FERCINT18,2)/365*VLOOKUP(A66,FERCINT18,3),2)</f>
        <v>4012.25</v>
      </c>
      <c r="G66" s="2">
        <v>-1184.8599999999999</v>
      </c>
      <c r="H66" s="135">
        <f t="shared" si="8"/>
        <v>1767404.0599999987</v>
      </c>
      <c r="I66" s="136"/>
      <c r="J66" s="2">
        <v>1767404.06</v>
      </c>
      <c r="M66" s="133"/>
    </row>
    <row r="67" spans="1:13" hidden="1" x14ac:dyDescent="0.2">
      <c r="A67" s="134">
        <f>'FERC Interest Rates'!A71</f>
        <v>43159</v>
      </c>
      <c r="B67" s="132"/>
      <c r="C67" s="132"/>
      <c r="D67" s="2">
        <v>340119.88</v>
      </c>
      <c r="E67" s="132"/>
      <c r="F67" s="2">
        <f t="shared" si="10"/>
        <v>5762.22</v>
      </c>
      <c r="G67" s="2">
        <v>-744.36</v>
      </c>
      <c r="H67" s="135">
        <f t="shared" si="8"/>
        <v>2112541.7999999989</v>
      </c>
      <c r="I67" s="136"/>
      <c r="J67" s="2">
        <v>2112541.7999999998</v>
      </c>
      <c r="M67" s="133"/>
    </row>
    <row r="68" spans="1:13" hidden="1" x14ac:dyDescent="0.2">
      <c r="A68" s="134">
        <f>'FERC Interest Rates'!A72</f>
        <v>43190</v>
      </c>
      <c r="B68" s="132"/>
      <c r="C68" s="132"/>
      <c r="D68" s="2">
        <v>-1006779.36</v>
      </c>
      <c r="E68" s="132"/>
      <c r="F68" s="2">
        <f t="shared" si="10"/>
        <v>7625.41</v>
      </c>
      <c r="G68" s="2">
        <v>0</v>
      </c>
      <c r="H68" s="135">
        <f t="shared" si="8"/>
        <v>1113387.8499999989</v>
      </c>
      <c r="I68" s="136"/>
      <c r="J68" s="2">
        <v>1113387.8500000001</v>
      </c>
      <c r="M68" s="133"/>
    </row>
    <row r="69" spans="1:13" hidden="1" x14ac:dyDescent="0.2">
      <c r="A69" s="134">
        <f>'FERC Interest Rates'!A73</f>
        <v>43220</v>
      </c>
      <c r="B69" s="132"/>
      <c r="C69" s="132"/>
      <c r="D69" s="2">
        <v>-1246804.32</v>
      </c>
      <c r="E69" s="132"/>
      <c r="F69" s="2">
        <f t="shared" si="10"/>
        <v>4090.56</v>
      </c>
      <c r="G69" s="2">
        <f>-1394-562.95-687-281.48-30.63-156.83-1881.9-13.07</f>
        <v>-5007.8599999999997</v>
      </c>
      <c r="H69" s="135">
        <f t="shared" si="8"/>
        <v>-134333.77000000118</v>
      </c>
      <c r="I69" s="136"/>
      <c r="J69" s="2">
        <v>-134333.76999999999</v>
      </c>
      <c r="M69" s="133"/>
    </row>
    <row r="70" spans="1:13" hidden="1" x14ac:dyDescent="0.2">
      <c r="A70" s="134">
        <f>'FERC Interest Rates'!A74</f>
        <v>43251</v>
      </c>
      <c r="B70" s="132"/>
      <c r="C70" s="132"/>
      <c r="D70" s="2">
        <v>-717420.57</v>
      </c>
      <c r="E70" s="132"/>
      <c r="F70" s="2">
        <f t="shared" si="10"/>
        <v>-509.99</v>
      </c>
      <c r="G70" s="2">
        <f>-12.11+1394-705.71-122.52</f>
        <v>553.66000000000008</v>
      </c>
      <c r="H70" s="135">
        <f t="shared" si="8"/>
        <v>-851710.67000000109</v>
      </c>
      <c r="I70" s="136"/>
      <c r="J70" s="2">
        <v>-851710.67</v>
      </c>
      <c r="M70" s="133"/>
    </row>
    <row r="71" spans="1:13" hidden="1" x14ac:dyDescent="0.2">
      <c r="A71" s="134">
        <f>'FERC Interest Rates'!A75</f>
        <v>43281</v>
      </c>
      <c r="B71" s="132"/>
      <c r="C71" s="132"/>
      <c r="D71" s="2">
        <f>56498.47-605038.08</f>
        <v>-548539.61</v>
      </c>
      <c r="E71" s="132"/>
      <c r="F71" s="2">
        <f t="shared" si="10"/>
        <v>-3129.16</v>
      </c>
      <c r="G71" s="2">
        <f>-8.06-40.34-4.14</f>
        <v>-52.540000000000006</v>
      </c>
      <c r="H71" s="135">
        <f t="shared" si="8"/>
        <v>-1403431.9800000011</v>
      </c>
      <c r="I71" s="136"/>
      <c r="J71" s="2">
        <v>-1403431.98</v>
      </c>
      <c r="M71" s="133"/>
    </row>
    <row r="72" spans="1:13" hidden="1" x14ac:dyDescent="0.2">
      <c r="A72" s="134">
        <f>'FERC Interest Rates'!A76</f>
        <v>43312</v>
      </c>
      <c r="B72" s="132"/>
      <c r="C72" s="132"/>
      <c r="D72" s="2">
        <f>22301.5-78799.97-294908.89</f>
        <v>-351407.35999999999</v>
      </c>
      <c r="E72" s="132"/>
      <c r="F72" s="2">
        <f t="shared" si="10"/>
        <v>-5590.27</v>
      </c>
      <c r="G72" s="2">
        <f>-747-40.94-20.17+687-40.21-2.14-3.92-1.43-39.26</f>
        <v>-208.07</v>
      </c>
      <c r="H72" s="135">
        <f t="shared" si="8"/>
        <v>-1760637.6800000011</v>
      </c>
      <c r="I72" s="136"/>
      <c r="J72" s="2">
        <f>-1465728.79-294908.89</f>
        <v>-1760637.6800000002</v>
      </c>
      <c r="M72" s="133"/>
    </row>
    <row r="73" spans="1:13" hidden="1" x14ac:dyDescent="0.2">
      <c r="A73" s="134">
        <f>'FERC Interest Rates'!A77</f>
        <v>43343</v>
      </c>
      <c r="B73" s="132"/>
      <c r="C73" s="132"/>
      <c r="D73" s="2">
        <v>478516.1</v>
      </c>
      <c r="E73" s="132"/>
      <c r="F73" s="2">
        <f t="shared" si="10"/>
        <v>-7013.13</v>
      </c>
      <c r="G73" s="2">
        <f>1.43-257.63</f>
        <v>-256.2</v>
      </c>
      <c r="H73" s="135">
        <f t="shared" si="8"/>
        <v>-1289390.9100000011</v>
      </c>
      <c r="I73" s="136"/>
      <c r="J73" s="2">
        <v>-1289390.9099999999</v>
      </c>
      <c r="M73" s="133"/>
    </row>
    <row r="74" spans="1:13" hidden="1" x14ac:dyDescent="0.2">
      <c r="A74" s="134">
        <f>'FERC Interest Rates'!A78</f>
        <v>43373</v>
      </c>
      <c r="B74" s="132"/>
      <c r="C74" s="132"/>
      <c r="D74" s="2">
        <v>-569609.17000000004</v>
      </c>
      <c r="E74" s="132"/>
      <c r="F74" s="2">
        <f>ROUND(H73*VLOOKUP(A74,FERCINT18,2)/365*VLOOKUP(A74,FERCINT18,3),2)</f>
        <v>-4970.34</v>
      </c>
      <c r="G74" s="2">
        <f>-585886.09+4970.34+569609.17</f>
        <v>-11306.579999999958</v>
      </c>
      <c r="H74" s="135">
        <f t="shared" si="8"/>
        <v>-1875277.0000000009</v>
      </c>
      <c r="I74" s="136"/>
      <c r="J74" s="2">
        <v>-1875277</v>
      </c>
      <c r="M74" s="133"/>
    </row>
    <row r="75" spans="1:13" hidden="1" x14ac:dyDescent="0.2">
      <c r="A75" s="134">
        <f>'FERC Interest Rates'!A79</f>
        <v>43404</v>
      </c>
      <c r="B75" s="132"/>
      <c r="C75" s="132"/>
      <c r="D75" s="2">
        <v>600997.39</v>
      </c>
      <c r="E75" s="132"/>
      <c r="F75" s="2">
        <f t="shared" si="10"/>
        <v>-7899.8</v>
      </c>
      <c r="G75" s="2">
        <f>-1494-408.94-22.72-43.56-90.88-261.38</f>
        <v>-2321.48</v>
      </c>
      <c r="H75" s="135">
        <f t="shared" si="8"/>
        <v>-1284500.8900000011</v>
      </c>
      <c r="I75" s="136"/>
      <c r="J75" s="2">
        <v>-1284500.8899999999</v>
      </c>
      <c r="M75" s="133"/>
    </row>
    <row r="76" spans="1:13" hidden="1" x14ac:dyDescent="0.2">
      <c r="A76" s="137" t="s">
        <v>88</v>
      </c>
      <c r="B76" s="137"/>
      <c r="C76" s="137"/>
      <c r="D76" s="137"/>
      <c r="E76" s="137"/>
      <c r="F76" s="137"/>
      <c r="G76" s="2">
        <v>1781939.86</v>
      </c>
      <c r="H76" s="135">
        <f t="shared" si="8"/>
        <v>497438.96999999904</v>
      </c>
      <c r="I76" s="136"/>
      <c r="M76" s="133"/>
    </row>
    <row r="77" spans="1:13" hidden="1" x14ac:dyDescent="0.2">
      <c r="A77" s="134">
        <f>'FERC Interest Rates'!A80</f>
        <v>43434</v>
      </c>
      <c r="D77" s="2">
        <v>11481839.560000001</v>
      </c>
      <c r="F77" s="2">
        <f>ROUND(H76*VLOOKUP(A77,FERCINT18,2)/365*VLOOKUP(A77,FERCINT18,3),2)</f>
        <v>2027.92</v>
      </c>
      <c r="G77" s="2">
        <v>-2310.9</v>
      </c>
      <c r="H77" s="135">
        <f t="shared" si="8"/>
        <v>11978995.549999999</v>
      </c>
      <c r="I77" s="136"/>
      <c r="J77" s="2">
        <v>11978995.550000001</v>
      </c>
      <c r="M77" s="133"/>
    </row>
    <row r="78" spans="1:13" hidden="1" x14ac:dyDescent="0.2">
      <c r="A78" s="134">
        <f>'FERC Interest Rates'!A81</f>
        <v>43465</v>
      </c>
      <c r="D78" s="2">
        <f>26023479.29+1621876.21-88421.74</f>
        <v>27556933.760000002</v>
      </c>
      <c r="F78" s="2">
        <f>ROUND(H77*VLOOKUP(A78,FERCINT18,2)/365*VLOOKUP(A78,FERCINT18,3),2)</f>
        <v>50462.75</v>
      </c>
      <c r="G78" s="2">
        <f>-1333769.68+408.94</f>
        <v>-1333360.74</v>
      </c>
      <c r="H78" s="135">
        <f t="shared" si="8"/>
        <v>38253031.32</v>
      </c>
      <c r="I78" s="136"/>
      <c r="J78" s="2">
        <v>38253031.32</v>
      </c>
      <c r="M78" s="133"/>
    </row>
    <row r="79" spans="1:13" hidden="1" x14ac:dyDescent="0.2">
      <c r="A79" s="134">
        <f>'FERC Interest Rates'!A82</f>
        <v>43496</v>
      </c>
      <c r="D79" s="2">
        <v>11519106.91</v>
      </c>
      <c r="F79" s="2">
        <f t="shared" ref="F79:F89" si="11">ROUND(H78*VLOOKUP(A79,FERCINT19,2)/365*VLOOKUP(A79,FERCINT19,3),2)</f>
        <v>168292.38</v>
      </c>
      <c r="G79" s="2">
        <v>-1778416.72</v>
      </c>
      <c r="H79" s="135">
        <f t="shared" si="8"/>
        <v>48162013.890000001</v>
      </c>
      <c r="I79" s="136"/>
      <c r="J79" s="2">
        <v>48162013.890000001</v>
      </c>
      <c r="M79" s="133"/>
    </row>
    <row r="80" spans="1:13" hidden="1" x14ac:dyDescent="0.2">
      <c r="A80" s="134">
        <f>'FERC Interest Rates'!A83</f>
        <v>43524</v>
      </c>
      <c r="D80" s="2">
        <v>24127776.719999999</v>
      </c>
      <c r="F80" s="2">
        <f t="shared" si="11"/>
        <v>191381.33</v>
      </c>
      <c r="G80" s="2">
        <f>-13612.54+60.66+800.63+560.25</f>
        <v>-12191.000000000002</v>
      </c>
      <c r="H80" s="135">
        <f t="shared" si="8"/>
        <v>72468980.939999998</v>
      </c>
      <c r="I80" s="136"/>
      <c r="J80" s="2">
        <f>48341204.22+24127776.72</f>
        <v>72468980.939999998</v>
      </c>
      <c r="M80" s="133"/>
    </row>
    <row r="81" spans="1:13" hidden="1" x14ac:dyDescent="0.2">
      <c r="A81" s="134">
        <f>'FERC Interest Rates'!A84</f>
        <v>43555</v>
      </c>
      <c r="D81" s="2">
        <v>24278408.23</v>
      </c>
      <c r="F81" s="2">
        <f t="shared" si="11"/>
        <v>318823.81</v>
      </c>
      <c r="G81" s="2">
        <v>-1873251.5</v>
      </c>
      <c r="H81" s="135">
        <f t="shared" si="8"/>
        <v>95192961.479999989</v>
      </c>
      <c r="I81" s="136"/>
      <c r="J81" s="2">
        <v>95192961.480000004</v>
      </c>
      <c r="M81" s="133"/>
    </row>
    <row r="82" spans="1:13" x14ac:dyDescent="0.2">
      <c r="A82" s="137" t="s">
        <v>89</v>
      </c>
      <c r="B82" s="137"/>
      <c r="C82" s="137"/>
      <c r="D82" s="137"/>
      <c r="E82" s="137"/>
      <c r="F82" s="137"/>
      <c r="G82" s="2">
        <v>-48566123.659999996</v>
      </c>
      <c r="H82" s="135">
        <f>+H81+G82</f>
        <v>46626837.819999993</v>
      </c>
      <c r="I82" s="136"/>
      <c r="M82" s="133"/>
    </row>
    <row r="83" spans="1:13" x14ac:dyDescent="0.2">
      <c r="A83" s="134">
        <f>'FERC Interest Rates'!A85</f>
        <v>43585</v>
      </c>
      <c r="B83" s="132"/>
      <c r="C83" s="132"/>
      <c r="D83" s="2">
        <v>1254983.51</v>
      </c>
      <c r="E83" s="132"/>
      <c r="F83" s="2">
        <f>ROUND(H82*VLOOKUP(A83,FERCINT19,2)/365*VLOOKUP(A83,FERCINT19,3),2)</f>
        <v>208862.68</v>
      </c>
      <c r="G83" s="2">
        <f>-50572097.05+48566123.66+5871.58+120+582.18+7842.13+5399.6+2172.27</f>
        <v>-1983985.6300000006</v>
      </c>
      <c r="H83" s="135">
        <f>H82+SUM(D83:G83)</f>
        <v>46106698.379999995</v>
      </c>
      <c r="I83" s="136"/>
      <c r="J83" s="2">
        <v>46106698.380000003</v>
      </c>
      <c r="M83" s="133"/>
    </row>
    <row r="84" spans="1:13" x14ac:dyDescent="0.2">
      <c r="A84" s="134">
        <f>'FERC Interest Rates'!A86</f>
        <v>43616</v>
      </c>
      <c r="B84" s="132"/>
      <c r="C84" s="132"/>
      <c r="D84" s="2">
        <v>-472449</v>
      </c>
      <c r="E84" s="132"/>
      <c r="F84" s="2">
        <f t="shared" si="11"/>
        <v>213417.17</v>
      </c>
      <c r="G84" s="2">
        <f>-278.38+50.23</f>
        <v>-228.15</v>
      </c>
      <c r="H84" s="135">
        <f t="shared" si="8"/>
        <v>45847438.399999999</v>
      </c>
      <c r="I84" s="136"/>
      <c r="J84" s="2">
        <v>45847438.399999999</v>
      </c>
      <c r="M84" s="133"/>
    </row>
    <row r="85" spans="1:13" x14ac:dyDescent="0.2">
      <c r="A85" s="134">
        <f>'FERC Interest Rates'!A87</f>
        <v>43646</v>
      </c>
      <c r="B85" s="132"/>
      <c r="C85" s="132"/>
      <c r="D85" s="2">
        <v>-108065.09</v>
      </c>
      <c r="E85" s="132"/>
      <c r="F85" s="2">
        <f t="shared" si="11"/>
        <v>205371.4</v>
      </c>
      <c r="G85" s="2">
        <f>-5.48-2.61-135-174.25-348.5-41.28-34.85-247.95+705.71+10.21+13.07</f>
        <v>-260.93000000000006</v>
      </c>
      <c r="H85" s="135">
        <f t="shared" si="8"/>
        <v>45944483.780000001</v>
      </c>
      <c r="I85" s="136"/>
      <c r="J85" s="2">
        <f>46052548.87-108065.09</f>
        <v>45944483.779999994</v>
      </c>
      <c r="M85" s="133"/>
    </row>
    <row r="86" spans="1:13" x14ac:dyDescent="0.2">
      <c r="A86" s="134">
        <f>'FERC Interest Rates'!A88</f>
        <v>43677</v>
      </c>
      <c r="B86" s="132"/>
      <c r="C86" s="132"/>
      <c r="D86" s="2">
        <v>-71659.929999999993</v>
      </c>
      <c r="E86" s="132"/>
      <c r="F86" s="2">
        <f t="shared" si="11"/>
        <v>214617.38</v>
      </c>
      <c r="G86" s="2">
        <f>-14.52-552.75-8.55-6.3-456.98-840.38-313.65</f>
        <v>-2193.13</v>
      </c>
      <c r="H86" s="135">
        <f t="shared" si="8"/>
        <v>46085248.100000001</v>
      </c>
      <c r="I86" s="136"/>
      <c r="J86" s="2">
        <v>46085248.100000001</v>
      </c>
      <c r="M86" s="133"/>
    </row>
    <row r="87" spans="1:13" x14ac:dyDescent="0.2">
      <c r="A87" s="134">
        <f>'FERC Interest Rates'!A89</f>
        <v>43708</v>
      </c>
      <c r="B87" s="132"/>
      <c r="C87" s="132"/>
      <c r="D87" s="2">
        <f>-314.96-61.04-314.96+314.96+61.04+473954.35</f>
        <v>473639.38999999996</v>
      </c>
      <c r="E87" s="132"/>
      <c r="F87" s="2">
        <f t="shared" si="11"/>
        <v>215274.93</v>
      </c>
      <c r="G87" s="2">
        <f>-80.88-348.5-291.15-1200.6-186.75</f>
        <v>-2107.88</v>
      </c>
      <c r="H87" s="135">
        <f t="shared" si="8"/>
        <v>46772054.539999999</v>
      </c>
      <c r="I87" s="136"/>
      <c r="J87" s="2">
        <f>46298100.19+473954.35</f>
        <v>46772054.539999999</v>
      </c>
      <c r="M87" s="133"/>
    </row>
    <row r="88" spans="1:13" x14ac:dyDescent="0.2">
      <c r="A88" s="134">
        <f>'FERC Interest Rates'!A90</f>
        <v>43738</v>
      </c>
      <c r="B88" s="132"/>
      <c r="C88" s="132"/>
      <c r="D88" s="2">
        <v>-198684.5</v>
      </c>
      <c r="E88" s="132"/>
      <c r="F88" s="2">
        <f t="shared" si="11"/>
        <v>211435.32</v>
      </c>
      <c r="G88" s="2">
        <f>-277176.87+198684.5+120</f>
        <v>-78372.37</v>
      </c>
      <c r="H88" s="135">
        <f t="shared" si="8"/>
        <v>46706432.990000002</v>
      </c>
      <c r="I88" s="136"/>
      <c r="J88" s="2">
        <v>46706432.990000002</v>
      </c>
      <c r="M88" s="133"/>
    </row>
    <row r="89" spans="1:13" x14ac:dyDescent="0.2">
      <c r="A89" s="134">
        <f>'FERC Interest Rates'!A91</f>
        <v>43769</v>
      </c>
      <c r="B89" s="132"/>
      <c r="C89" s="132"/>
      <c r="D89" s="2">
        <v>1771461.07</v>
      </c>
      <c r="E89" s="132"/>
      <c r="F89" s="2">
        <f t="shared" si="11"/>
        <v>215003.15</v>
      </c>
      <c r="G89" s="2">
        <f>-13719.81+117.62</f>
        <v>-13602.189999999999</v>
      </c>
      <c r="H89" s="135">
        <f t="shared" si="8"/>
        <v>48679295.020000003</v>
      </c>
      <c r="I89" s="136"/>
      <c r="J89" s="2">
        <v>48679295.020000003</v>
      </c>
      <c r="M89" s="133"/>
    </row>
    <row r="90" spans="1:13" x14ac:dyDescent="0.2">
      <c r="A90" s="137" t="s">
        <v>90</v>
      </c>
      <c r="B90" s="137"/>
      <c r="C90" s="137"/>
      <c r="D90" s="137"/>
      <c r="E90" s="137"/>
      <c r="F90" s="137"/>
      <c r="G90" s="2">
        <v>-46723924.869999997</v>
      </c>
      <c r="H90" s="135">
        <f>+H89+G90</f>
        <v>1955370.150000006</v>
      </c>
      <c r="I90" s="136"/>
      <c r="M90" s="133"/>
    </row>
    <row r="91" spans="1:13" x14ac:dyDescent="0.2">
      <c r="A91" s="134">
        <f>'FERC Interest Rates'!A92</f>
        <v>43799</v>
      </c>
      <c r="B91" s="132"/>
      <c r="C91" s="132"/>
      <c r="D91" s="2">
        <f>2604231.94-84822.71</f>
        <v>2519409.23</v>
      </c>
      <c r="E91" s="132"/>
      <c r="F91" s="2">
        <f>ROUND(H90*VLOOKUP(A91,FERCINT19,2)/365*VLOOKUP(A91,FERCINT19,3),2)</f>
        <v>8710.77</v>
      </c>
      <c r="G91" s="2">
        <f>-46823558.58+46723924.87+552.75</f>
        <v>-99080.960000000894</v>
      </c>
      <c r="H91" s="135">
        <f>H90+SUM(D91:G91)</f>
        <v>4384409.1900000051</v>
      </c>
      <c r="I91" s="136"/>
      <c r="J91" s="2">
        <v>4384409.1900000004</v>
      </c>
      <c r="M91" s="133"/>
    </row>
    <row r="92" spans="1:13" x14ac:dyDescent="0.2">
      <c r="A92" s="134">
        <f>'FERC Interest Rates'!A93</f>
        <v>43830</v>
      </c>
      <c r="B92" s="132"/>
      <c r="C92" s="132"/>
      <c r="D92" s="2">
        <v>7443113.8300000001</v>
      </c>
      <c r="E92" s="132"/>
      <c r="F92" s="2">
        <f t="shared" ref="F92" si="12">ROUND(H91*VLOOKUP(A92,FERCINT19,2)/365*VLOOKUP(A92,FERCINT19,3),2)</f>
        <v>20182.7</v>
      </c>
      <c r="G92" s="2">
        <f>-393497.4+2545.2</f>
        <v>-390952.2</v>
      </c>
      <c r="H92" s="135">
        <f t="shared" ref="H92:H115" si="13">H91+SUM(D92:G92)</f>
        <v>11456753.520000005</v>
      </c>
      <c r="I92" s="136"/>
      <c r="J92" s="2">
        <v>11456753.52</v>
      </c>
      <c r="M92" s="133"/>
    </row>
    <row r="93" spans="1:13" x14ac:dyDescent="0.2">
      <c r="A93" s="134">
        <f>'FERC Interest Rates'!A94</f>
        <v>43861</v>
      </c>
      <c r="B93" s="132"/>
      <c r="C93" s="132"/>
      <c r="D93" s="2">
        <v>3722203.31</v>
      </c>
      <c r="E93" s="132"/>
      <c r="F93" s="2">
        <f t="shared" ref="F93:F105" si="14">ROUND(H92*VLOOKUP(A93,FERCINT20,2)/365*VLOOKUP(A93,FERCINT20,3),2)</f>
        <v>48262.75</v>
      </c>
      <c r="G93" s="2">
        <f>339730-356181.16</f>
        <v>-16451.159999999974</v>
      </c>
      <c r="H93" s="135">
        <f t="shared" si="13"/>
        <v>15210768.420000006</v>
      </c>
      <c r="I93" s="136"/>
      <c r="J93" s="2">
        <v>15210768.42</v>
      </c>
      <c r="M93" s="133"/>
    </row>
    <row r="94" spans="1:13" x14ac:dyDescent="0.2">
      <c r="A94" s="134">
        <f>'FERC Interest Rates'!A95</f>
        <v>43890</v>
      </c>
      <c r="B94" s="132"/>
      <c r="C94" s="132"/>
      <c r="D94" s="2">
        <v>1056427.6399999999</v>
      </c>
      <c r="E94" s="132"/>
      <c r="F94" s="2">
        <f t="shared" si="14"/>
        <v>59942.93</v>
      </c>
      <c r="G94" s="2">
        <f>-105944.03+0.56+180+3890</f>
        <v>-101873.47</v>
      </c>
      <c r="H94" s="135">
        <f t="shared" si="13"/>
        <v>16225265.520000005</v>
      </c>
      <c r="I94" s="136"/>
      <c r="J94" s="2">
        <v>16225265.52</v>
      </c>
      <c r="M94" s="133"/>
    </row>
    <row r="95" spans="1:13" x14ac:dyDescent="0.2">
      <c r="A95" s="134">
        <f>'FERC Interest Rates'!A96</f>
        <v>43921</v>
      </c>
      <c r="B95" s="132"/>
      <c r="C95" s="132"/>
      <c r="D95" s="2">
        <v>-965632.06</v>
      </c>
      <c r="E95" s="132"/>
      <c r="F95" s="2">
        <f t="shared" si="14"/>
        <v>68350.600000000006</v>
      </c>
      <c r="G95" s="2">
        <f>-470.48-39.21-1045.5</f>
        <v>-1555.19</v>
      </c>
      <c r="H95" s="135">
        <f t="shared" si="13"/>
        <v>15326428.870000005</v>
      </c>
      <c r="I95" s="136"/>
      <c r="J95" s="2">
        <v>15326428.869999999</v>
      </c>
      <c r="M95" s="133"/>
    </row>
    <row r="96" spans="1:13" x14ac:dyDescent="0.2">
      <c r="A96" s="134">
        <f>'FERC Interest Rates'!A97</f>
        <v>43951</v>
      </c>
      <c r="B96" s="132"/>
      <c r="C96" s="132"/>
      <c r="D96" s="2">
        <v>-1245846.81</v>
      </c>
      <c r="E96" s="132"/>
      <c r="F96" s="2">
        <f t="shared" si="14"/>
        <v>59836.06</v>
      </c>
      <c r="G96" s="2">
        <f>-28-42-737-618.3-17.18-545.03-323.39+747</f>
        <v>-1563.9</v>
      </c>
      <c r="H96" s="135">
        <f t="shared" si="13"/>
        <v>14138854.220000004</v>
      </c>
      <c r="I96" s="136"/>
      <c r="J96" s="2">
        <v>14138854.220000001</v>
      </c>
      <c r="M96" s="133"/>
    </row>
    <row r="97" spans="1:13" x14ac:dyDescent="0.2">
      <c r="A97" s="134">
        <f>'FERC Interest Rates'!A98</f>
        <v>43982</v>
      </c>
      <c r="B97" s="132"/>
      <c r="C97" s="132"/>
      <c r="D97" s="2">
        <v>-886512.27</v>
      </c>
      <c r="E97" s="132"/>
      <c r="F97" s="2">
        <f t="shared" si="14"/>
        <v>57039.62</v>
      </c>
      <c r="G97" s="2">
        <f>-888655.76+886512.27</f>
        <v>-2143.4899999999907</v>
      </c>
      <c r="H97" s="135">
        <f t="shared" si="13"/>
        <v>13307238.080000004</v>
      </c>
      <c r="I97" s="136"/>
      <c r="J97" s="2">
        <f>14193750.35-886512.27</f>
        <v>13307238.08</v>
      </c>
      <c r="M97" s="133"/>
    </row>
    <row r="98" spans="1:13" x14ac:dyDescent="0.2">
      <c r="A98" s="134">
        <f>'FERC Interest Rates'!A99</f>
        <v>44012</v>
      </c>
      <c r="B98" s="132"/>
      <c r="C98" s="132"/>
      <c r="D98" s="2">
        <v>-674060.38</v>
      </c>
      <c r="E98" s="132"/>
      <c r="F98" s="2">
        <f t="shared" si="14"/>
        <v>51952.92</v>
      </c>
      <c r="G98" s="2">
        <v>-4276.38</v>
      </c>
      <c r="H98" s="135">
        <f t="shared" si="13"/>
        <v>12680854.240000004</v>
      </c>
      <c r="I98" s="136"/>
      <c r="J98" s="2">
        <v>12680854.24</v>
      </c>
      <c r="M98" s="133"/>
    </row>
    <row r="99" spans="1:13" x14ac:dyDescent="0.2">
      <c r="A99" s="134">
        <f>'FERC Interest Rates'!A100</f>
        <v>44043</v>
      </c>
      <c r="B99" s="132"/>
      <c r="C99" s="132"/>
      <c r="D99" s="2">
        <v>-666024.26</v>
      </c>
      <c r="E99" s="132"/>
      <c r="F99" s="2">
        <f t="shared" si="14"/>
        <v>36941.24</v>
      </c>
      <c r="G99" s="2">
        <f>-5.25-2.42-117.62</f>
        <v>-125.29</v>
      </c>
      <c r="H99" s="135">
        <f t="shared" si="13"/>
        <v>12051645.930000003</v>
      </c>
      <c r="I99" s="136"/>
      <c r="J99" s="2">
        <v>12051645.93</v>
      </c>
      <c r="M99" s="133"/>
    </row>
    <row r="100" spans="1:13" x14ac:dyDescent="0.2">
      <c r="A100" s="134">
        <f>'FERC Interest Rates'!A101</f>
        <v>44074</v>
      </c>
      <c r="B100" s="132"/>
      <c r="C100" s="132"/>
      <c r="D100" s="2">
        <v>-413067.49</v>
      </c>
      <c r="E100" s="132"/>
      <c r="F100" s="2">
        <f t="shared" si="14"/>
        <v>35108.26</v>
      </c>
      <c r="G100" s="2">
        <f>-363.94+112.56</f>
        <v>-251.38</v>
      </c>
      <c r="H100" s="135">
        <f t="shared" si="13"/>
        <v>11673435.320000004</v>
      </c>
      <c r="I100" s="136"/>
      <c r="J100" s="2">
        <f>12086502.81-413067.49</f>
        <v>11673435.32</v>
      </c>
      <c r="M100" s="133"/>
    </row>
    <row r="101" spans="1:13" x14ac:dyDescent="0.2">
      <c r="A101" s="134">
        <f>'FERC Interest Rates'!A102</f>
        <v>44104</v>
      </c>
      <c r="B101" s="132"/>
      <c r="C101" s="132"/>
      <c r="D101" s="2">
        <v>-213096.86</v>
      </c>
      <c r="E101" s="132"/>
      <c r="F101" s="2">
        <f t="shared" si="14"/>
        <v>32909.49</v>
      </c>
      <c r="G101" s="2">
        <f>-232.45-1.94-1295.3-17.43-354.42-4.97-17.51</f>
        <v>-1924.0200000000002</v>
      </c>
      <c r="H101" s="135">
        <f t="shared" si="13"/>
        <v>11491323.930000003</v>
      </c>
      <c r="I101" s="136"/>
      <c r="J101" s="2">
        <v>11491323.93</v>
      </c>
      <c r="M101" s="133"/>
    </row>
    <row r="102" spans="1:13" x14ac:dyDescent="0.2">
      <c r="A102" s="134">
        <f>'FERC Interest Rates'!A103</f>
        <v>44135</v>
      </c>
      <c r="B102" s="132"/>
      <c r="C102" s="132"/>
      <c r="D102" s="2">
        <v>86188.21</v>
      </c>
      <c r="E102" s="132"/>
      <c r="F102" s="2">
        <f t="shared" si="14"/>
        <v>31719.200000000001</v>
      </c>
      <c r="G102" s="2">
        <v>-6085.13</v>
      </c>
      <c r="H102" s="135">
        <f t="shared" si="13"/>
        <v>11603146.210000003</v>
      </c>
      <c r="I102" s="136"/>
      <c r="J102" s="2">
        <v>11603146.210000001</v>
      </c>
      <c r="M102" s="133"/>
    </row>
    <row r="103" spans="1:13" x14ac:dyDescent="0.2">
      <c r="A103" s="137" t="s">
        <v>90</v>
      </c>
      <c r="B103" s="137"/>
      <c r="C103" s="137"/>
      <c r="D103" s="137"/>
      <c r="E103" s="137"/>
      <c r="F103" s="137"/>
      <c r="G103" s="2">
        <v>-12154285.710000001</v>
      </c>
      <c r="H103" s="135">
        <f t="shared" si="13"/>
        <v>-551139.49999999814</v>
      </c>
      <c r="I103" s="136"/>
      <c r="M103" s="133"/>
    </row>
    <row r="104" spans="1:13" x14ac:dyDescent="0.2">
      <c r="A104" s="134">
        <f>'FERC Interest Rates'!A104</f>
        <v>44165</v>
      </c>
      <c r="B104" s="132"/>
      <c r="C104" s="132"/>
      <c r="D104" s="2">
        <v>1863900.71</v>
      </c>
      <c r="E104" s="132"/>
      <c r="F104" s="2">
        <f t="shared" si="14"/>
        <v>-1472.22</v>
      </c>
      <c r="G104" s="2">
        <f>-126.04-10.65-2.27-168.08-7.46+426.97-72.79-4391.1-26.14+1196.89+476.13</f>
        <v>-2704.54</v>
      </c>
      <c r="H104" s="135">
        <f t="shared" si="13"/>
        <v>1308584.4500000018</v>
      </c>
      <c r="I104" s="136"/>
      <c r="J104" s="2">
        <v>1308584.45</v>
      </c>
      <c r="M104" s="133"/>
    </row>
    <row r="105" spans="1:13" x14ac:dyDescent="0.2">
      <c r="A105" s="134">
        <f>'FERC Interest Rates'!A105</f>
        <v>44196</v>
      </c>
      <c r="B105" s="132"/>
      <c r="C105" s="132"/>
      <c r="D105" s="2">
        <v>3091481.65</v>
      </c>
      <c r="E105" s="132"/>
      <c r="F105" s="2">
        <f t="shared" si="14"/>
        <v>3612.05</v>
      </c>
      <c r="G105" s="2">
        <f>-15.09-2.86-3.68-3761.1-246.15</f>
        <v>-4028.88</v>
      </c>
      <c r="H105" s="135">
        <f t="shared" si="13"/>
        <v>4399649.2700000014</v>
      </c>
      <c r="I105" s="136"/>
      <c r="J105" s="2">
        <v>4399649.2699999996</v>
      </c>
      <c r="M105" s="133"/>
    </row>
    <row r="106" spans="1:13" x14ac:dyDescent="0.2">
      <c r="A106" s="134">
        <f>'FERC Interest Rates'!A106</f>
        <v>44227</v>
      </c>
      <c r="B106" s="132"/>
      <c r="C106" s="132"/>
      <c r="D106" s="2">
        <v>2345649.2000000002</v>
      </c>
      <c r="E106" s="132"/>
      <c r="F106" s="2">
        <f t="shared" ref="F106:F115" si="15">ROUND(H105*VLOOKUP(A106,FERCINT21,2)/365*VLOOKUP(A106,FERCINT21,3),2)</f>
        <v>12144.24</v>
      </c>
      <c r="G106" s="2">
        <v>0</v>
      </c>
      <c r="H106" s="135">
        <f t="shared" si="13"/>
        <v>6757442.7100000018</v>
      </c>
      <c r="I106" s="136"/>
      <c r="J106" s="2">
        <v>6757442.71</v>
      </c>
      <c r="M106" s="133"/>
    </row>
    <row r="107" spans="1:13" x14ac:dyDescent="0.2">
      <c r="A107" s="134">
        <f>'FERC Interest Rates'!A107</f>
        <v>44255</v>
      </c>
      <c r="B107" s="132"/>
      <c r="C107" s="132"/>
      <c r="D107" s="2">
        <v>670189.91</v>
      </c>
      <c r="E107" s="132"/>
      <c r="F107" s="2">
        <f t="shared" si="15"/>
        <v>16847.32</v>
      </c>
      <c r="G107" s="2">
        <f>-10089.63+3761.1</f>
        <v>-6328.5299999999988</v>
      </c>
      <c r="H107" s="135">
        <f t="shared" si="13"/>
        <v>7438151.410000002</v>
      </c>
      <c r="I107" s="136"/>
      <c r="J107" s="2">
        <v>7438151.4100000001</v>
      </c>
      <c r="M107" s="133"/>
    </row>
    <row r="108" spans="1:13" x14ac:dyDescent="0.2">
      <c r="A108" s="134">
        <f>'FERC Interest Rates'!A108</f>
        <v>44286</v>
      </c>
      <c r="B108" s="132"/>
      <c r="C108" s="132"/>
      <c r="D108" s="2">
        <v>1002581.35</v>
      </c>
      <c r="E108" s="132"/>
      <c r="F108" s="2">
        <f t="shared" si="15"/>
        <v>20531.34</v>
      </c>
      <c r="G108" s="2">
        <v>-915172.19</v>
      </c>
      <c r="H108" s="135">
        <f t="shared" si="13"/>
        <v>7546091.910000002</v>
      </c>
      <c r="I108" s="136"/>
      <c r="J108" s="2">
        <v>7546091.9100000001</v>
      </c>
      <c r="M108" s="133"/>
    </row>
    <row r="109" spans="1:13" x14ac:dyDescent="0.2">
      <c r="A109" s="134">
        <f>'FERC Interest Rates'!A109</f>
        <v>44316</v>
      </c>
      <c r="B109" s="132"/>
      <c r="C109" s="132"/>
      <c r="D109" s="2">
        <v>-62818.49</v>
      </c>
      <c r="E109" s="132"/>
      <c r="F109" s="2">
        <f t="shared" si="15"/>
        <v>20157.37</v>
      </c>
      <c r="G109" s="2">
        <f>-119.31-940</f>
        <v>-1059.31</v>
      </c>
      <c r="H109" s="135">
        <f t="shared" si="13"/>
        <v>7502371.4800000023</v>
      </c>
      <c r="I109" s="136"/>
      <c r="J109" s="2">
        <v>7502371.4800000004</v>
      </c>
      <c r="M109" s="133"/>
    </row>
    <row r="110" spans="1:13" x14ac:dyDescent="0.2">
      <c r="A110" s="134">
        <f>'FERC Interest Rates'!A110</f>
        <v>44347</v>
      </c>
      <c r="B110" s="132"/>
      <c r="C110" s="132"/>
      <c r="D110" s="2">
        <v>30813.07</v>
      </c>
      <c r="E110" s="132"/>
      <c r="F110" s="2">
        <f t="shared" si="15"/>
        <v>20708.599999999999</v>
      </c>
      <c r="G110" s="2">
        <f>-1854.85+56.63</f>
        <v>-1798.2199999999998</v>
      </c>
      <c r="H110" s="135">
        <f t="shared" si="13"/>
        <v>7552094.9300000025</v>
      </c>
      <c r="I110" s="136"/>
      <c r="J110" s="2">
        <v>7552094.9299999997</v>
      </c>
      <c r="M110" s="133"/>
    </row>
    <row r="111" spans="1:13" x14ac:dyDescent="0.2">
      <c r="A111" s="134">
        <f>'FERC Interest Rates'!A111</f>
        <v>44377</v>
      </c>
      <c r="B111" s="132"/>
      <c r="C111" s="132"/>
      <c r="D111" s="2">
        <v>191543.67999999999</v>
      </c>
      <c r="E111" s="132"/>
      <c r="F111" s="2">
        <f t="shared" si="15"/>
        <v>20173.400000000001</v>
      </c>
      <c r="G111" s="2">
        <f>-262.38+19.32</f>
        <v>-243.06</v>
      </c>
      <c r="H111" s="135">
        <f t="shared" si="13"/>
        <v>7763568.950000002</v>
      </c>
      <c r="I111" s="136"/>
      <c r="J111" s="2">
        <v>7763568.9500000002</v>
      </c>
      <c r="M111" s="133"/>
    </row>
    <row r="112" spans="1:13" x14ac:dyDescent="0.2">
      <c r="A112" s="134">
        <f>'FERC Interest Rates'!A112</f>
        <v>44408</v>
      </c>
      <c r="B112" s="132"/>
      <c r="C112" s="132"/>
      <c r="D112" s="2">
        <v>-213097.11</v>
      </c>
      <c r="E112" s="132"/>
      <c r="F112" s="2">
        <f t="shared" si="15"/>
        <v>21429.58</v>
      </c>
      <c r="G112" s="2">
        <f>-7.35-686.55-587.4-460.02</f>
        <v>-1741.32</v>
      </c>
      <c r="H112" s="135">
        <f t="shared" si="13"/>
        <v>7570160.1000000024</v>
      </c>
      <c r="I112" s="136"/>
      <c r="J112" s="2">
        <v>7570160.0999999996</v>
      </c>
      <c r="M112" s="133"/>
    </row>
    <row r="113" spans="1:13" x14ac:dyDescent="0.2">
      <c r="A113" s="134">
        <f>'FERC Interest Rates'!A113</f>
        <v>44439</v>
      </c>
      <c r="B113" s="132"/>
      <c r="C113" s="132"/>
      <c r="D113" s="2">
        <v>974090.32</v>
      </c>
      <c r="E113" s="132"/>
      <c r="F113" s="2">
        <f t="shared" si="15"/>
        <v>20895.72</v>
      </c>
      <c r="G113" s="2">
        <f>-6697.31+30353.46</f>
        <v>23656.149999999998</v>
      </c>
      <c r="H113" s="135">
        <f t="shared" si="13"/>
        <v>8588802.2900000028</v>
      </c>
      <c r="I113" s="136"/>
      <c r="J113" s="2">
        <v>8588802.2899999991</v>
      </c>
      <c r="M113" s="133"/>
    </row>
    <row r="114" spans="1:13" x14ac:dyDescent="0.2">
      <c r="A114" s="134">
        <f>'FERC Interest Rates'!A114</f>
        <v>44469</v>
      </c>
      <c r="B114" s="132"/>
      <c r="C114" s="132"/>
      <c r="D114" s="2">
        <v>1457121.05</v>
      </c>
      <c r="E114" s="132"/>
      <c r="F114" s="2">
        <f t="shared" si="15"/>
        <v>22942.69</v>
      </c>
      <c r="G114" s="2">
        <f>-587.8+3.59+3.22</f>
        <v>-580.9899999999999</v>
      </c>
      <c r="H114" s="135">
        <f t="shared" si="13"/>
        <v>10068285.040000003</v>
      </c>
      <c r="I114" s="136"/>
      <c r="J114" s="2">
        <v>10068285.039999999</v>
      </c>
      <c r="M114" s="133"/>
    </row>
    <row r="115" spans="1:13" x14ac:dyDescent="0.2">
      <c r="A115" s="134">
        <f>'FERC Interest Rates'!A115</f>
        <v>44500</v>
      </c>
      <c r="B115" s="132"/>
      <c r="C115" s="132"/>
      <c r="E115" s="132"/>
      <c r="F115" s="2">
        <f t="shared" si="15"/>
        <v>27791.23</v>
      </c>
      <c r="H115" s="135">
        <f t="shared" si="13"/>
        <v>10096076.270000003</v>
      </c>
      <c r="I115" s="136"/>
      <c r="M115" s="133"/>
    </row>
    <row r="116" spans="1:13" x14ac:dyDescent="0.2">
      <c r="M116" s="133"/>
    </row>
  </sheetData>
  <mergeCells count="24">
    <mergeCell ref="A48:F48"/>
    <mergeCell ref="A63:F63"/>
    <mergeCell ref="A76:F76"/>
    <mergeCell ref="A82:F82"/>
    <mergeCell ref="A90:F90"/>
    <mergeCell ref="A103:F103"/>
    <mergeCell ref="A7:B7"/>
    <mergeCell ref="C7:H7"/>
    <mergeCell ref="D9:F9"/>
    <mergeCell ref="A11:G11"/>
    <mergeCell ref="A24:F24"/>
    <mergeCell ref="A35:F35"/>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87"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B229F-36F5-4096-A417-B05FD634B165}">
  <sheetPr>
    <pageSetUpPr fitToPage="1"/>
  </sheetPr>
  <dimension ref="A1:M115"/>
  <sheetViews>
    <sheetView tabSelected="1" view="pageBreakPreview" zoomScale="106" zoomScaleNormal="75" zoomScaleSheetLayoutView="106" workbookViewId="0">
      <pane xSplit="1" ySplit="10" topLeftCell="B84" activePane="bottomRight" state="frozen"/>
      <selection activeCell="N106" sqref="N106"/>
      <selection pane="topRight" activeCell="N106" sqref="N106"/>
      <selection pane="bottomLeft" activeCell="N106" sqref="N106"/>
      <selection pane="bottomRight" activeCell="N106" sqref="N106"/>
    </sheetView>
  </sheetViews>
  <sheetFormatPr defaultColWidth="8.88671875" defaultRowHeight="12.75" x14ac:dyDescent="0.2"/>
  <cols>
    <col min="1" max="1" width="9.6640625" style="2" bestFit="1" customWidth="1"/>
    <col min="2" max="2" width="8.77734375" style="2" customWidth="1"/>
    <col min="3" max="3" width="9.6640625" style="2" customWidth="1"/>
    <col min="4" max="4" width="9.33203125" style="2" customWidth="1"/>
    <col min="5" max="5" width="10.77734375" style="2" customWidth="1"/>
    <col min="6" max="6" width="8" style="2" customWidth="1"/>
    <col min="7" max="7" width="11.21875" style="2" customWidth="1"/>
    <col min="8" max="8" width="13.6640625" style="2" customWidth="1"/>
    <col min="9" max="9" width="1.21875" style="132" customWidth="1"/>
    <col min="10" max="10" width="11.21875" style="2" customWidth="1"/>
    <col min="11" max="11" width="9.77734375" style="2" customWidth="1"/>
    <col min="12" max="12" width="9" style="2" bestFit="1" customWidth="1"/>
    <col min="13" max="13" width="10.33203125" style="2" bestFit="1" customWidth="1"/>
    <col min="14" max="16384" width="8.88671875" style="2"/>
  </cols>
  <sheetData>
    <row r="1" spans="1:13" x14ac:dyDescent="0.2">
      <c r="A1" s="138" t="s">
        <v>58</v>
      </c>
      <c r="B1" s="139"/>
      <c r="C1" s="155" t="s">
        <v>59</v>
      </c>
      <c r="D1" s="155"/>
      <c r="E1" s="155"/>
      <c r="F1" s="155"/>
      <c r="G1" s="155"/>
      <c r="H1" s="156"/>
      <c r="I1" s="114"/>
    </row>
    <row r="2" spans="1:13" x14ac:dyDescent="0.2">
      <c r="A2" s="142" t="s">
        <v>60</v>
      </c>
      <c r="B2" s="117"/>
      <c r="C2" s="143" t="s">
        <v>128</v>
      </c>
      <c r="D2" s="143"/>
      <c r="E2" s="143"/>
      <c r="F2" s="143"/>
      <c r="G2" s="143"/>
      <c r="H2" s="144"/>
      <c r="I2" s="114"/>
    </row>
    <row r="3" spans="1:13" x14ac:dyDescent="0.2">
      <c r="A3" s="142" t="s">
        <v>62</v>
      </c>
      <c r="B3" s="117"/>
      <c r="C3" s="118" t="s">
        <v>13</v>
      </c>
      <c r="D3" s="118"/>
      <c r="E3" s="118"/>
      <c r="F3" s="118"/>
      <c r="G3" s="118"/>
      <c r="H3" s="120"/>
      <c r="I3" s="114"/>
    </row>
    <row r="4" spans="1:13" x14ac:dyDescent="0.2">
      <c r="A4" s="142" t="s">
        <v>63</v>
      </c>
      <c r="B4" s="117"/>
      <c r="C4" s="118" t="s">
        <v>64</v>
      </c>
      <c r="D4" s="118"/>
      <c r="E4" s="118"/>
      <c r="F4" s="118"/>
      <c r="G4" s="118"/>
      <c r="H4" s="120"/>
      <c r="I4" s="114"/>
    </row>
    <row r="5" spans="1:13" x14ac:dyDescent="0.2">
      <c r="A5" s="142" t="s">
        <v>65</v>
      </c>
      <c r="B5" s="117"/>
      <c r="C5" s="118" t="s">
        <v>66</v>
      </c>
      <c r="D5" s="118"/>
      <c r="E5" s="118"/>
      <c r="F5" s="118"/>
      <c r="G5" s="118"/>
      <c r="H5" s="120"/>
      <c r="I5" s="114"/>
    </row>
    <row r="6" spans="1:13" x14ac:dyDescent="0.2">
      <c r="A6" s="142" t="s">
        <v>67</v>
      </c>
      <c r="B6" s="117"/>
      <c r="C6" s="118" t="s">
        <v>95</v>
      </c>
      <c r="D6" s="118"/>
      <c r="E6" s="118"/>
      <c r="F6" s="118"/>
      <c r="G6" s="118"/>
      <c r="H6" s="120"/>
      <c r="I6" s="114"/>
    </row>
    <row r="7" spans="1:13" ht="13.5" thickBot="1" x14ac:dyDescent="0.25">
      <c r="A7" s="165" t="s">
        <v>69</v>
      </c>
      <c r="B7" s="166"/>
      <c r="C7" s="167" t="s">
        <v>129</v>
      </c>
      <c r="D7" s="167"/>
      <c r="E7" s="167"/>
      <c r="F7" s="167"/>
      <c r="G7" s="167"/>
      <c r="H7" s="168"/>
      <c r="I7" s="125"/>
    </row>
    <row r="8" spans="1:13" x14ac:dyDescent="0.2">
      <c r="A8" s="152"/>
      <c r="B8" s="152"/>
      <c r="C8" s="153"/>
      <c r="D8" s="153"/>
      <c r="E8" s="153"/>
      <c r="F8" s="153"/>
      <c r="G8" s="153"/>
      <c r="H8" s="153"/>
      <c r="I8" s="2"/>
      <c r="K8" s="114"/>
    </row>
    <row r="9" spans="1:13" x14ac:dyDescent="0.2">
      <c r="A9" s="7"/>
      <c r="D9" s="128" t="s">
        <v>72</v>
      </c>
      <c r="E9" s="128"/>
      <c r="F9" s="128"/>
      <c r="I9" s="2"/>
    </row>
    <row r="10" spans="1:13" s="10" customFormat="1" ht="24" customHeight="1" x14ac:dyDescent="0.2">
      <c r="A10" s="10" t="s">
        <v>22</v>
      </c>
      <c r="B10" s="10" t="s">
        <v>74</v>
      </c>
      <c r="C10" s="10" t="s">
        <v>51</v>
      </c>
      <c r="D10" s="10" t="s">
        <v>75</v>
      </c>
      <c r="E10" s="10" t="s">
        <v>76</v>
      </c>
      <c r="F10" s="10" t="s">
        <v>77</v>
      </c>
      <c r="G10" s="10" t="s">
        <v>78</v>
      </c>
      <c r="H10" s="10" t="s">
        <v>79</v>
      </c>
      <c r="I10" s="130"/>
      <c r="J10" s="10" t="s">
        <v>80</v>
      </c>
      <c r="L10" s="3"/>
      <c r="M10" s="3"/>
    </row>
    <row r="11" spans="1:13" hidden="1" x14ac:dyDescent="0.2">
      <c r="A11" s="131" t="s">
        <v>84</v>
      </c>
      <c r="B11" s="131"/>
      <c r="C11" s="131"/>
      <c r="D11" s="131"/>
      <c r="E11" s="131"/>
      <c r="F11" s="131"/>
      <c r="G11" s="131"/>
      <c r="H11" s="2">
        <v>123401.78</v>
      </c>
      <c r="L11" s="115"/>
      <c r="M11" s="133"/>
    </row>
    <row r="12" spans="1:13" hidden="1" x14ac:dyDescent="0.2">
      <c r="A12" s="154">
        <f>'FERC Interest Rates'!A20</f>
        <v>41608</v>
      </c>
      <c r="D12" s="2">
        <v>92494.35</v>
      </c>
      <c r="F12" s="2">
        <f t="shared" ref="F12:F13" si="0">ROUND(H11*VLOOKUP(A12,FERCINT13,2)/365*VLOOKUP(A12,FERCINT13,3),2)</f>
        <v>329.63</v>
      </c>
      <c r="H12" s="2">
        <f t="shared" ref="H12:H36" si="1">+SUM(D12:G12)+H11</f>
        <v>216225.76</v>
      </c>
      <c r="J12" s="2">
        <v>216225.76</v>
      </c>
      <c r="L12" s="115"/>
      <c r="M12" s="133"/>
    </row>
    <row r="13" spans="1:13" hidden="1" x14ac:dyDescent="0.2">
      <c r="A13" s="154">
        <f>'FERC Interest Rates'!A21</f>
        <v>41639</v>
      </c>
      <c r="D13" s="2">
        <v>71457.95</v>
      </c>
      <c r="F13" s="2">
        <f t="shared" si="0"/>
        <v>596.84</v>
      </c>
      <c r="H13" s="2">
        <f t="shared" si="1"/>
        <v>288280.55</v>
      </c>
      <c r="J13" s="2">
        <v>288280.55</v>
      </c>
      <c r="L13" s="115"/>
      <c r="M13" s="133"/>
    </row>
    <row r="14" spans="1:13" hidden="1" x14ac:dyDescent="0.2">
      <c r="A14" s="154">
        <f>'FERC Interest Rates'!A22</f>
        <v>41670</v>
      </c>
      <c r="D14" s="2">
        <v>24631.1</v>
      </c>
      <c r="F14" s="2">
        <f t="shared" ref="F14:F23" si="2">ROUND(H13*VLOOKUP(A14,FERCINT14,2)/365*VLOOKUP(A14,FERCINT14,3),2)</f>
        <v>795.73</v>
      </c>
      <c r="H14" s="2">
        <f t="shared" si="1"/>
        <v>313707.38</v>
      </c>
      <c r="J14" s="2">
        <v>313707.38</v>
      </c>
      <c r="L14" s="115"/>
      <c r="M14" s="133"/>
    </row>
    <row r="15" spans="1:13" hidden="1" x14ac:dyDescent="0.2">
      <c r="A15" s="154">
        <f>'FERC Interest Rates'!A23</f>
        <v>41698</v>
      </c>
      <c r="D15" s="2">
        <f>28783.35+26233.4</f>
        <v>55016.75</v>
      </c>
      <c r="F15" s="2">
        <f t="shared" si="2"/>
        <v>782.12</v>
      </c>
      <c r="H15" s="2">
        <f t="shared" si="1"/>
        <v>369506.25</v>
      </c>
      <c r="J15" s="2">
        <v>369590.05</v>
      </c>
      <c r="L15" s="115"/>
      <c r="M15" s="133"/>
    </row>
    <row r="16" spans="1:13" hidden="1" x14ac:dyDescent="0.2">
      <c r="A16" s="154">
        <f>'FERC Interest Rates'!A24</f>
        <v>41729</v>
      </c>
      <c r="D16" s="2">
        <f>29106+31118.65+3784.88+809.8+30132.6</f>
        <v>94951.93</v>
      </c>
      <c r="F16" s="2">
        <f t="shared" si="2"/>
        <v>1019.94</v>
      </c>
      <c r="H16" s="2">
        <f t="shared" si="1"/>
        <v>465478.12</v>
      </c>
      <c r="J16" s="2">
        <v>465562.15</v>
      </c>
      <c r="L16" s="115"/>
      <c r="M16" s="133"/>
    </row>
    <row r="17" spans="1:13" hidden="1" x14ac:dyDescent="0.2">
      <c r="A17" s="154">
        <f>'FERC Interest Rates'!A25</f>
        <v>41759</v>
      </c>
      <c r="D17" s="2">
        <v>49856.55</v>
      </c>
      <c r="F17" s="2">
        <f t="shared" si="2"/>
        <v>1243.4000000000001</v>
      </c>
      <c r="H17" s="2">
        <f t="shared" si="1"/>
        <v>516578.07</v>
      </c>
      <c r="J17" s="2">
        <v>516578.07</v>
      </c>
      <c r="L17" s="115"/>
      <c r="M17" s="133"/>
    </row>
    <row r="18" spans="1:13" hidden="1" x14ac:dyDescent="0.2">
      <c r="A18" s="154">
        <f>'FERC Interest Rates'!A26</f>
        <v>41790</v>
      </c>
      <c r="D18" s="2">
        <v>48539.6</v>
      </c>
      <c r="F18" s="2">
        <f t="shared" si="2"/>
        <v>1425.9</v>
      </c>
      <c r="H18" s="2">
        <f t="shared" si="1"/>
        <v>566543.57000000007</v>
      </c>
      <c r="J18" s="2">
        <v>566543.56999999995</v>
      </c>
      <c r="L18" s="115"/>
      <c r="M18" s="133"/>
    </row>
    <row r="19" spans="1:13" hidden="1" x14ac:dyDescent="0.2">
      <c r="A19" s="154">
        <f>'FERC Interest Rates'!A27</f>
        <v>41820</v>
      </c>
      <c r="D19" s="2">
        <v>24694.05</v>
      </c>
      <c r="F19" s="2">
        <f t="shared" si="2"/>
        <v>1513.37</v>
      </c>
      <c r="H19" s="2">
        <f t="shared" si="1"/>
        <v>592750.99000000011</v>
      </c>
      <c r="J19" s="2">
        <v>592750.99</v>
      </c>
      <c r="L19" s="115"/>
      <c r="M19" s="133"/>
    </row>
    <row r="20" spans="1:13" hidden="1" x14ac:dyDescent="0.2">
      <c r="A20" s="154">
        <f>'FERC Interest Rates'!A28</f>
        <v>41851</v>
      </c>
      <c r="D20" s="2">
        <v>13413.5</v>
      </c>
      <c r="F20" s="2">
        <f t="shared" si="2"/>
        <v>1636.16</v>
      </c>
      <c r="H20" s="2">
        <f t="shared" si="1"/>
        <v>607800.65000000014</v>
      </c>
      <c r="J20" s="2">
        <v>607800.65</v>
      </c>
      <c r="L20" s="115"/>
      <c r="M20" s="133"/>
    </row>
    <row r="21" spans="1:13" hidden="1" x14ac:dyDescent="0.2">
      <c r="A21" s="154">
        <f>'FERC Interest Rates'!A29</f>
        <v>41882</v>
      </c>
      <c r="D21" s="2">
        <v>27540.36</v>
      </c>
      <c r="F21" s="2">
        <f t="shared" si="2"/>
        <v>1677.7</v>
      </c>
      <c r="H21" s="2">
        <f t="shared" si="1"/>
        <v>637018.7100000002</v>
      </c>
      <c r="J21" s="2">
        <v>637018.71</v>
      </c>
      <c r="L21" s="115"/>
      <c r="M21" s="133"/>
    </row>
    <row r="22" spans="1:13" hidden="1" x14ac:dyDescent="0.2">
      <c r="A22" s="154">
        <f>'FERC Interest Rates'!A30</f>
        <v>41912</v>
      </c>
      <c r="D22" s="2">
        <v>66107.7</v>
      </c>
      <c r="F22" s="2">
        <f t="shared" si="2"/>
        <v>1701.63</v>
      </c>
      <c r="H22" s="2">
        <f t="shared" si="1"/>
        <v>704828.04000000015</v>
      </c>
      <c r="J22" s="2">
        <v>704828.04</v>
      </c>
      <c r="L22" s="115"/>
      <c r="M22" s="133"/>
    </row>
    <row r="23" spans="1:13" hidden="1" x14ac:dyDescent="0.2">
      <c r="A23" s="154">
        <f>'FERC Interest Rates'!A31</f>
        <v>41943</v>
      </c>
      <c r="D23" s="2">
        <v>20456.349999999999</v>
      </c>
      <c r="F23" s="2">
        <f t="shared" si="2"/>
        <v>1945.52</v>
      </c>
      <c r="H23" s="2">
        <f t="shared" si="1"/>
        <v>727229.91000000015</v>
      </c>
      <c r="I23" s="136"/>
      <c r="J23" s="2">
        <v>727229.91</v>
      </c>
      <c r="L23" s="115"/>
      <c r="M23" s="133"/>
    </row>
    <row r="24" spans="1:13" hidden="1" x14ac:dyDescent="0.2">
      <c r="A24" s="137" t="s">
        <v>122</v>
      </c>
      <c r="B24" s="137"/>
      <c r="C24" s="137"/>
      <c r="D24" s="137"/>
      <c r="E24" s="137"/>
      <c r="F24" s="137"/>
      <c r="G24" s="2">
        <v>-612793.23</v>
      </c>
      <c r="H24" s="2">
        <f t="shared" si="1"/>
        <v>114436.68000000017</v>
      </c>
      <c r="I24" s="136"/>
      <c r="M24" s="133"/>
    </row>
    <row r="25" spans="1:13" hidden="1" x14ac:dyDescent="0.2">
      <c r="A25" s="154">
        <f>'FERC Interest Rates'!A32</f>
        <v>41973</v>
      </c>
      <c r="D25" s="2">
        <v>21830.57</v>
      </c>
      <c r="F25" s="2">
        <f>ROUND(H24*VLOOKUP(A25,FERCINT14,2)/365*VLOOKUP(A25,FERCINT14,3),2)</f>
        <v>305.69</v>
      </c>
      <c r="H25" s="2">
        <f t="shared" si="1"/>
        <v>136572.94000000018</v>
      </c>
      <c r="I25" s="136"/>
      <c r="J25" s="2">
        <v>136572.94</v>
      </c>
      <c r="L25" s="115"/>
      <c r="M25" s="133"/>
    </row>
    <row r="26" spans="1:13" hidden="1" x14ac:dyDescent="0.2">
      <c r="A26" s="154">
        <f>'FERC Interest Rates'!A33</f>
        <v>42004</v>
      </c>
      <c r="D26" s="2">
        <v>18309.650000000001</v>
      </c>
      <c r="F26" s="2">
        <f>ROUND(H25*VLOOKUP(A26,FERCINT14,2)/365*VLOOKUP(A26,FERCINT14,3),2)</f>
        <v>376.98</v>
      </c>
      <c r="H26" s="2">
        <f t="shared" si="1"/>
        <v>155259.57000000018</v>
      </c>
      <c r="I26" s="136"/>
      <c r="J26" s="2">
        <v>155259.57</v>
      </c>
      <c r="L26" s="115"/>
      <c r="M26" s="133"/>
    </row>
    <row r="27" spans="1:13" hidden="1" x14ac:dyDescent="0.2">
      <c r="A27" s="154">
        <f>'FERC Interest Rates'!A34</f>
        <v>42035</v>
      </c>
      <c r="D27" s="2">
        <v>78034.990000000005</v>
      </c>
      <c r="F27" s="2">
        <f t="shared" ref="F27:F36" si="3">ROUND(H26*VLOOKUP(A27,FERCINT15,2)/365*VLOOKUP(A27,FERCINT15,3),2)</f>
        <v>428.56</v>
      </c>
      <c r="H27" s="2">
        <f t="shared" si="1"/>
        <v>233723.12000000017</v>
      </c>
      <c r="I27" s="136"/>
      <c r="J27" s="2">
        <v>233723.12</v>
      </c>
      <c r="L27" s="115"/>
      <c r="M27" s="133"/>
    </row>
    <row r="28" spans="1:13" hidden="1" x14ac:dyDescent="0.2">
      <c r="A28" s="154">
        <f>'FERC Interest Rates'!A35</f>
        <v>42063</v>
      </c>
      <c r="D28" s="2">
        <v>37942</v>
      </c>
      <c r="F28" s="2">
        <f t="shared" si="3"/>
        <v>582.71</v>
      </c>
      <c r="H28" s="2">
        <f t="shared" si="1"/>
        <v>272247.83000000019</v>
      </c>
      <c r="I28" s="136"/>
      <c r="J28" s="2">
        <v>272247.83</v>
      </c>
      <c r="L28" s="115"/>
      <c r="M28" s="133"/>
    </row>
    <row r="29" spans="1:13" hidden="1" x14ac:dyDescent="0.2">
      <c r="A29" s="154">
        <f>'FERC Interest Rates'!A36</f>
        <v>42094</v>
      </c>
      <c r="D29" s="2">
        <v>72240.350000000006</v>
      </c>
      <c r="F29" s="2">
        <f t="shared" si="3"/>
        <v>751.48</v>
      </c>
      <c r="H29" s="2">
        <f t="shared" si="1"/>
        <v>345239.66000000021</v>
      </c>
      <c r="I29" s="136"/>
      <c r="J29" s="2">
        <v>345239.66</v>
      </c>
      <c r="L29" s="115"/>
      <c r="M29" s="133"/>
    </row>
    <row r="30" spans="1:13" hidden="1" x14ac:dyDescent="0.2">
      <c r="A30" s="154">
        <f>'FERC Interest Rates'!A37</f>
        <v>42124</v>
      </c>
      <c r="D30" s="2">
        <v>44553.95</v>
      </c>
      <c r="F30" s="2">
        <f t="shared" si="3"/>
        <v>922.22</v>
      </c>
      <c r="H30" s="2">
        <f t="shared" si="1"/>
        <v>390715.83000000019</v>
      </c>
      <c r="I30" s="136"/>
      <c r="J30" s="2">
        <v>390715.83</v>
      </c>
      <c r="L30" s="115"/>
      <c r="M30" s="133"/>
    </row>
    <row r="31" spans="1:13" hidden="1" x14ac:dyDescent="0.2">
      <c r="A31" s="154">
        <f>'FERC Interest Rates'!A38</f>
        <v>42155</v>
      </c>
      <c r="D31" s="2">
        <v>26451.119999999999</v>
      </c>
      <c r="F31" s="2">
        <f t="shared" si="3"/>
        <v>1078.48</v>
      </c>
      <c r="H31" s="2">
        <f t="shared" si="1"/>
        <v>418245.43000000017</v>
      </c>
      <c r="I31" s="136"/>
      <c r="J31" s="2">
        <v>418245.43</v>
      </c>
      <c r="L31" s="115"/>
      <c r="M31" s="133"/>
    </row>
    <row r="32" spans="1:13" hidden="1" x14ac:dyDescent="0.2">
      <c r="A32" s="154">
        <f>'FERC Interest Rates'!A39</f>
        <v>42185</v>
      </c>
      <c r="D32" s="2">
        <v>29239.200000000001</v>
      </c>
      <c r="F32" s="2">
        <f t="shared" si="3"/>
        <v>1117.23</v>
      </c>
      <c r="H32" s="2">
        <f t="shared" si="1"/>
        <v>448601.86000000016</v>
      </c>
      <c r="I32" s="136"/>
      <c r="J32" s="2">
        <v>448601.86</v>
      </c>
      <c r="L32" s="115"/>
      <c r="M32" s="133"/>
    </row>
    <row r="33" spans="1:13" hidden="1" x14ac:dyDescent="0.2">
      <c r="A33" s="154">
        <f>'FERC Interest Rates'!A40</f>
        <v>42216</v>
      </c>
      <c r="D33" s="2">
        <v>56499.4</v>
      </c>
      <c r="F33" s="2">
        <f t="shared" si="3"/>
        <v>1238.26</v>
      </c>
      <c r="H33" s="2">
        <f t="shared" si="1"/>
        <v>506339.52000000014</v>
      </c>
      <c r="I33" s="136"/>
      <c r="J33" s="2">
        <v>506339.52</v>
      </c>
      <c r="L33" s="115"/>
      <c r="M33" s="133"/>
    </row>
    <row r="34" spans="1:13" hidden="1" x14ac:dyDescent="0.2">
      <c r="A34" s="154">
        <f>'FERC Interest Rates'!A41</f>
        <v>42247</v>
      </c>
      <c r="D34" s="2">
        <v>45176.800000000003</v>
      </c>
      <c r="F34" s="2">
        <f t="shared" si="3"/>
        <v>1397.64</v>
      </c>
      <c r="H34" s="2">
        <f t="shared" si="1"/>
        <v>552913.9600000002</v>
      </c>
      <c r="I34" s="136"/>
      <c r="J34" s="2">
        <v>552913.96</v>
      </c>
      <c r="L34" s="115"/>
      <c r="M34" s="133"/>
    </row>
    <row r="35" spans="1:13" hidden="1" x14ac:dyDescent="0.2">
      <c r="A35" s="154">
        <f>'FERC Interest Rates'!A42</f>
        <v>42277</v>
      </c>
      <c r="D35" s="2">
        <v>18010.5</v>
      </c>
      <c r="F35" s="2">
        <f t="shared" si="3"/>
        <v>1476.96</v>
      </c>
      <c r="H35" s="2">
        <f t="shared" si="1"/>
        <v>572401.42000000016</v>
      </c>
      <c r="I35" s="136"/>
      <c r="J35" s="2">
        <v>572401.42000000004</v>
      </c>
      <c r="L35" s="115"/>
      <c r="M35" s="133"/>
    </row>
    <row r="36" spans="1:13" hidden="1" x14ac:dyDescent="0.2">
      <c r="A36" s="154">
        <f>'FERC Interest Rates'!A43</f>
        <v>42308</v>
      </c>
      <c r="D36" s="2">
        <v>44723.15</v>
      </c>
      <c r="F36" s="2">
        <f t="shared" si="3"/>
        <v>1579.98</v>
      </c>
      <c r="H36" s="2">
        <f t="shared" si="1"/>
        <v>618704.55000000016</v>
      </c>
      <c r="I36" s="136"/>
      <c r="J36" s="2">
        <v>618704.55000000005</v>
      </c>
      <c r="L36" s="115"/>
      <c r="M36" s="133"/>
    </row>
    <row r="37" spans="1:13" hidden="1" x14ac:dyDescent="0.2">
      <c r="A37" s="154">
        <f>'FERC Interest Rates'!A44</f>
        <v>42338</v>
      </c>
      <c r="D37" s="2">
        <v>14074.8</v>
      </c>
      <c r="F37" s="2">
        <f t="shared" ref="F37:F39" si="4">ROUND(H36*VLOOKUP(A37,FERCINT15,2)/365*VLOOKUP(A37,FERCINT15,3),2)</f>
        <v>1652.7</v>
      </c>
      <c r="H37" s="2">
        <f t="shared" ref="H37:H75" si="5">+SUM(D37:G37)+H36</f>
        <v>634432.05000000016</v>
      </c>
      <c r="I37" s="136"/>
      <c r="J37" s="2">
        <v>634432.05000000005</v>
      </c>
      <c r="L37" s="115"/>
      <c r="M37" s="133"/>
    </row>
    <row r="38" spans="1:13" hidden="1" x14ac:dyDescent="0.2">
      <c r="A38" s="137" t="s">
        <v>123</v>
      </c>
      <c r="B38" s="137"/>
      <c r="C38" s="137"/>
      <c r="D38" s="137"/>
      <c r="E38" s="137"/>
      <c r="F38" s="137"/>
      <c r="G38" s="2">
        <v>-511862.34</v>
      </c>
      <c r="H38" s="2">
        <f t="shared" si="5"/>
        <v>122569.71000000014</v>
      </c>
      <c r="I38" s="136"/>
      <c r="L38" s="115"/>
      <c r="M38" s="133"/>
    </row>
    <row r="39" spans="1:13" hidden="1" x14ac:dyDescent="0.2">
      <c r="A39" s="154">
        <f>'FERC Interest Rates'!A45</f>
        <v>42369</v>
      </c>
      <c r="D39" s="2">
        <v>22978.2</v>
      </c>
      <c r="F39" s="2">
        <f t="shared" si="4"/>
        <v>338.33</v>
      </c>
      <c r="H39" s="2">
        <f t="shared" si="5"/>
        <v>145886.24000000014</v>
      </c>
      <c r="I39" s="136"/>
      <c r="J39" s="2">
        <v>145886.24</v>
      </c>
      <c r="L39" s="115"/>
      <c r="M39" s="133"/>
    </row>
    <row r="40" spans="1:13" hidden="1" x14ac:dyDescent="0.2">
      <c r="A40" s="154">
        <f>'FERC Interest Rates'!A46</f>
        <v>42400</v>
      </c>
      <c r="D40" s="2">
        <v>90067.05</v>
      </c>
      <c r="F40" s="2">
        <f t="shared" ref="F40:F52" si="6">ROUND(H39*VLOOKUP(A40,FERCINT16,2)/365*VLOOKUP(A40,FERCINT16,3),2)</f>
        <v>402.69</v>
      </c>
      <c r="H40" s="2">
        <f t="shared" si="5"/>
        <v>236355.98000000016</v>
      </c>
      <c r="I40" s="136"/>
      <c r="J40" s="2">
        <v>236355.98</v>
      </c>
      <c r="L40" s="115"/>
      <c r="M40" s="133"/>
    </row>
    <row r="41" spans="1:13" hidden="1" x14ac:dyDescent="0.2">
      <c r="A41" s="154">
        <f>'FERC Interest Rates'!A47</f>
        <v>42429</v>
      </c>
      <c r="D41" s="2">
        <v>24303.35</v>
      </c>
      <c r="F41" s="2">
        <f t="shared" si="6"/>
        <v>610.32000000000005</v>
      </c>
      <c r="H41" s="2">
        <f t="shared" si="5"/>
        <v>261269.65000000014</v>
      </c>
      <c r="I41" s="136"/>
      <c r="J41" s="2">
        <v>261269.65</v>
      </c>
      <c r="L41" s="115"/>
      <c r="M41" s="133"/>
    </row>
    <row r="42" spans="1:13" hidden="1" x14ac:dyDescent="0.2">
      <c r="A42" s="154">
        <f>'FERC Interest Rates'!A48</f>
        <v>42460</v>
      </c>
      <c r="D42" s="2">
        <v>33571.15</v>
      </c>
      <c r="F42" s="2">
        <f t="shared" si="6"/>
        <v>721.18</v>
      </c>
      <c r="H42" s="2">
        <f t="shared" si="5"/>
        <v>295561.98000000016</v>
      </c>
      <c r="I42" s="136"/>
      <c r="J42" s="2">
        <v>295561.98</v>
      </c>
      <c r="L42" s="115"/>
      <c r="M42" s="133"/>
    </row>
    <row r="43" spans="1:13" hidden="1" x14ac:dyDescent="0.2">
      <c r="A43" s="154">
        <f>'FERC Interest Rates'!A49</f>
        <v>42490</v>
      </c>
      <c r="D43" s="2">
        <v>24642.5</v>
      </c>
      <c r="F43" s="2">
        <f t="shared" si="6"/>
        <v>840.53</v>
      </c>
      <c r="H43" s="2">
        <f t="shared" si="5"/>
        <v>321045.01000000013</v>
      </c>
      <c r="I43" s="136"/>
      <c r="J43" s="2">
        <v>321045.01</v>
      </c>
      <c r="L43" s="115"/>
      <c r="M43" s="133"/>
    </row>
    <row r="44" spans="1:13" hidden="1" x14ac:dyDescent="0.2">
      <c r="A44" s="154">
        <f>'FERC Interest Rates'!A50</f>
        <v>42521</v>
      </c>
      <c r="D44" s="2">
        <v>20473.349999999999</v>
      </c>
      <c r="F44" s="2">
        <f t="shared" si="6"/>
        <v>943.43</v>
      </c>
      <c r="H44" s="2">
        <f t="shared" si="5"/>
        <v>342461.79000000015</v>
      </c>
      <c r="I44" s="136"/>
      <c r="J44" s="2">
        <v>342461.79</v>
      </c>
      <c r="L44" s="115"/>
      <c r="M44" s="133"/>
    </row>
    <row r="45" spans="1:13" hidden="1" x14ac:dyDescent="0.2">
      <c r="A45" s="154">
        <f>'FERC Interest Rates'!A51</f>
        <v>42551</v>
      </c>
      <c r="D45" s="2">
        <v>73125.02</v>
      </c>
      <c r="F45" s="2">
        <f t="shared" si="6"/>
        <v>973.91</v>
      </c>
      <c r="H45" s="2">
        <f t="shared" si="5"/>
        <v>416560.72000000015</v>
      </c>
      <c r="I45" s="136"/>
      <c r="J45" s="2">
        <v>416560.72</v>
      </c>
      <c r="L45" s="115"/>
      <c r="M45" s="133"/>
    </row>
    <row r="46" spans="1:13" hidden="1" x14ac:dyDescent="0.2">
      <c r="A46" s="154">
        <f>'FERC Interest Rates'!A52</f>
        <v>42582</v>
      </c>
      <c r="D46" s="2">
        <f>21555.92-1238.27</f>
        <v>20317.649999999998</v>
      </c>
      <c r="F46" s="2">
        <f t="shared" si="6"/>
        <v>1238.27</v>
      </c>
      <c r="H46" s="2">
        <f t="shared" si="5"/>
        <v>438116.64000000013</v>
      </c>
      <c r="I46" s="136"/>
      <c r="J46" s="2">
        <v>438116.64</v>
      </c>
      <c r="L46" s="115"/>
      <c r="M46" s="133"/>
    </row>
    <row r="47" spans="1:13" hidden="1" x14ac:dyDescent="0.2">
      <c r="A47" s="154">
        <f>'FERC Interest Rates'!A53</f>
        <v>42613</v>
      </c>
      <c r="D47" s="2">
        <f>44092.2-1302.35</f>
        <v>42789.85</v>
      </c>
      <c r="F47" s="2">
        <f t="shared" si="6"/>
        <v>1302.3499999999999</v>
      </c>
      <c r="H47" s="2">
        <f t="shared" si="5"/>
        <v>482208.84000000014</v>
      </c>
      <c r="I47" s="136"/>
      <c r="J47" s="2">
        <v>482208.84</v>
      </c>
      <c r="L47" s="115"/>
      <c r="M47" s="133"/>
    </row>
    <row r="48" spans="1:13" hidden="1" x14ac:dyDescent="0.2">
      <c r="A48" s="154">
        <f>'FERC Interest Rates'!A54</f>
        <v>42643</v>
      </c>
      <c r="D48" s="2">
        <f>43161.73-1387.18</f>
        <v>41774.550000000003</v>
      </c>
      <c r="F48" s="2">
        <f t="shared" si="6"/>
        <v>1387.18</v>
      </c>
      <c r="H48" s="2">
        <f t="shared" si="5"/>
        <v>525370.57000000018</v>
      </c>
      <c r="I48" s="136"/>
      <c r="J48" s="2">
        <v>525370.56999999995</v>
      </c>
      <c r="L48" s="115"/>
      <c r="M48" s="133"/>
    </row>
    <row r="49" spans="1:13" hidden="1" x14ac:dyDescent="0.2">
      <c r="A49" s="154">
        <f>'FERC Interest Rates'!A55</f>
        <v>42674</v>
      </c>
      <c r="D49" s="2">
        <f>47970.22-1561.72</f>
        <v>46408.5</v>
      </c>
      <c r="F49" s="2">
        <f t="shared" si="6"/>
        <v>1561.72</v>
      </c>
      <c r="H49" s="2">
        <f t="shared" si="5"/>
        <v>573340.79000000015</v>
      </c>
      <c r="I49" s="136"/>
      <c r="J49" s="2">
        <v>573340.79</v>
      </c>
      <c r="L49" s="115"/>
      <c r="M49" s="133"/>
    </row>
    <row r="50" spans="1:13" hidden="1" x14ac:dyDescent="0.2">
      <c r="A50" s="137" t="s">
        <v>124</v>
      </c>
      <c r="B50" s="137"/>
      <c r="C50" s="137"/>
      <c r="D50" s="137"/>
      <c r="E50" s="137"/>
      <c r="F50" s="137"/>
      <c r="G50" s="2">
        <v>-441993.05</v>
      </c>
      <c r="H50" s="2">
        <f t="shared" si="5"/>
        <v>131347.74000000017</v>
      </c>
      <c r="I50" s="136"/>
      <c r="L50" s="115"/>
      <c r="M50" s="133"/>
    </row>
    <row r="51" spans="1:13" hidden="1" x14ac:dyDescent="0.2">
      <c r="A51" s="154">
        <f>'FERC Interest Rates'!A56</f>
        <v>42704</v>
      </c>
      <c r="D51" s="2">
        <v>39639.699999999997</v>
      </c>
      <c r="F51" s="2">
        <f t="shared" si="6"/>
        <v>377.85</v>
      </c>
      <c r="H51" s="2">
        <f t="shared" si="5"/>
        <v>171365.29000000015</v>
      </c>
      <c r="I51" s="136"/>
      <c r="J51" s="2">
        <v>170987.44</v>
      </c>
      <c r="L51" s="115"/>
      <c r="M51" s="133"/>
    </row>
    <row r="52" spans="1:13" hidden="1" x14ac:dyDescent="0.2">
      <c r="A52" s="154">
        <f>'FERC Interest Rates'!A57</f>
        <v>42735</v>
      </c>
      <c r="D52" s="2">
        <f>24154.85-509.4-377.85</f>
        <v>23267.599999999999</v>
      </c>
      <c r="F52" s="2">
        <f t="shared" si="6"/>
        <v>509.4</v>
      </c>
      <c r="H52" s="2">
        <f t="shared" si="5"/>
        <v>195142.29000000015</v>
      </c>
      <c r="I52" s="136"/>
      <c r="J52" s="2">
        <v>195142.29</v>
      </c>
      <c r="L52" s="115"/>
      <c r="M52" s="133"/>
    </row>
    <row r="53" spans="1:13" hidden="1" x14ac:dyDescent="0.2">
      <c r="A53" s="154">
        <f>'FERC Interest Rates'!A58</f>
        <v>42766</v>
      </c>
      <c r="D53" s="2">
        <f>22372.88-580.08</f>
        <v>21792.799999999999</v>
      </c>
      <c r="F53" s="2">
        <f t="shared" ref="F53:F62" si="7">ROUND(H52*VLOOKUP(A53,FERCINT17,2)/365*VLOOKUP(A53,FERCINT17,3),2)</f>
        <v>580.08000000000004</v>
      </c>
      <c r="H53" s="2">
        <f t="shared" si="5"/>
        <v>217515.17000000016</v>
      </c>
      <c r="I53" s="136"/>
      <c r="J53" s="2">
        <v>217515.17</v>
      </c>
      <c r="L53" s="115"/>
      <c r="M53" s="133"/>
    </row>
    <row r="54" spans="1:13" hidden="1" x14ac:dyDescent="0.2">
      <c r="A54" s="154">
        <f>'FERC Interest Rates'!A59</f>
        <v>42794</v>
      </c>
      <c r="D54" s="2">
        <f>61654.31-584.01</f>
        <v>61070.299999999996</v>
      </c>
      <c r="F54" s="2">
        <f t="shared" si="7"/>
        <v>584.01</v>
      </c>
      <c r="H54" s="2">
        <f t="shared" si="5"/>
        <v>279169.48000000016</v>
      </c>
      <c r="I54" s="136"/>
      <c r="J54" s="2">
        <v>279169.48</v>
      </c>
      <c r="L54" s="115"/>
      <c r="M54" s="133"/>
    </row>
    <row r="55" spans="1:13" hidden="1" x14ac:dyDescent="0.2">
      <c r="A55" s="154">
        <f>'FERC Interest Rates'!A60</f>
        <v>42825</v>
      </c>
      <c r="D55" s="2">
        <v>73979.3</v>
      </c>
      <c r="F55" s="2">
        <f t="shared" si="7"/>
        <v>829.86</v>
      </c>
      <c r="H55" s="2">
        <f t="shared" si="5"/>
        <v>353978.64000000013</v>
      </c>
      <c r="I55" s="136"/>
      <c r="J55" s="2">
        <v>353978.64</v>
      </c>
      <c r="L55" s="115"/>
      <c r="M55" s="133"/>
    </row>
    <row r="56" spans="1:13" hidden="1" x14ac:dyDescent="0.2">
      <c r="A56" s="154">
        <f>'FERC Interest Rates'!A61</f>
        <v>42855</v>
      </c>
      <c r="D56" s="2">
        <f>53972.34-1079.39-500</f>
        <v>52392.95</v>
      </c>
      <c r="F56" s="2">
        <f t="shared" si="7"/>
        <v>1079.3900000000001</v>
      </c>
      <c r="H56" s="2">
        <f t="shared" si="5"/>
        <v>407450.9800000001</v>
      </c>
      <c r="I56" s="136"/>
      <c r="J56" s="2">
        <v>407450.98</v>
      </c>
      <c r="L56" s="115"/>
      <c r="M56" s="133"/>
    </row>
    <row r="57" spans="1:13" hidden="1" x14ac:dyDescent="0.2">
      <c r="A57" s="154">
        <f>'FERC Interest Rates'!A62</f>
        <v>42886</v>
      </c>
      <c r="D57" s="2">
        <f>102558.31-1283.86</f>
        <v>101274.45</v>
      </c>
      <c r="F57" s="2">
        <f t="shared" si="7"/>
        <v>1283.8599999999999</v>
      </c>
      <c r="H57" s="2">
        <f t="shared" si="5"/>
        <v>510009.2900000001</v>
      </c>
      <c r="I57" s="136"/>
      <c r="J57" s="2">
        <v>510009.29</v>
      </c>
      <c r="L57" s="115"/>
      <c r="M57" s="133"/>
    </row>
    <row r="58" spans="1:13" hidden="1" x14ac:dyDescent="0.2">
      <c r="A58" s="154">
        <f>'FERC Interest Rates'!A63</f>
        <v>42916</v>
      </c>
      <c r="D58" s="2">
        <f>73340.63-1555.18</f>
        <v>71785.450000000012</v>
      </c>
      <c r="F58" s="2">
        <f t="shared" si="7"/>
        <v>1555.18</v>
      </c>
      <c r="H58" s="2">
        <f t="shared" si="5"/>
        <v>583349.92000000016</v>
      </c>
      <c r="I58" s="136"/>
      <c r="J58" s="2">
        <v>583349.92000000004</v>
      </c>
      <c r="L58" s="115"/>
      <c r="M58" s="133"/>
    </row>
    <row r="59" spans="1:13" hidden="1" x14ac:dyDescent="0.2">
      <c r="A59" s="154">
        <f>'FERC Interest Rates'!A64</f>
        <v>42947</v>
      </c>
      <c r="D59" s="2">
        <f>78793.37-1055.35-1961.97</f>
        <v>75776.049999999988</v>
      </c>
      <c r="F59" s="2">
        <f t="shared" si="7"/>
        <v>1961.97</v>
      </c>
      <c r="H59" s="2">
        <f t="shared" si="5"/>
        <v>661087.94000000018</v>
      </c>
      <c r="I59" s="136"/>
      <c r="J59" s="2">
        <v>661087.93999999994</v>
      </c>
      <c r="L59" s="115"/>
      <c r="M59" s="133"/>
    </row>
    <row r="60" spans="1:13" hidden="1" x14ac:dyDescent="0.2">
      <c r="A60" s="154">
        <f>'FERC Interest Rates'!A65</f>
        <v>42978</v>
      </c>
      <c r="D60" s="2">
        <f>77626.88-250-2223.43</f>
        <v>75153.450000000012</v>
      </c>
      <c r="F60" s="2">
        <f t="shared" si="7"/>
        <v>2223.4299999999998</v>
      </c>
      <c r="H60" s="2">
        <f t="shared" si="5"/>
        <v>738464.82000000018</v>
      </c>
      <c r="I60" s="136"/>
      <c r="J60" s="2">
        <v>738464.82</v>
      </c>
      <c r="L60" s="115"/>
      <c r="M60" s="133"/>
    </row>
    <row r="61" spans="1:13" hidden="1" x14ac:dyDescent="0.2">
      <c r="A61" s="154">
        <f>'FERC Interest Rates'!A66</f>
        <v>43008</v>
      </c>
      <c r="D61" s="2">
        <f>120516.7-2403.55</f>
        <v>118113.15</v>
      </c>
      <c r="F61" s="2">
        <f t="shared" si="7"/>
        <v>2403.5500000000002</v>
      </c>
      <c r="H61" s="2">
        <f t="shared" si="5"/>
        <v>858981.52000000014</v>
      </c>
      <c r="I61" s="136"/>
      <c r="J61" s="2">
        <v>858981.52</v>
      </c>
      <c r="L61" s="115"/>
      <c r="M61" s="133"/>
    </row>
    <row r="62" spans="1:13" hidden="1" x14ac:dyDescent="0.2">
      <c r="A62" s="154">
        <f>'FERC Interest Rates'!A67</f>
        <v>43039</v>
      </c>
      <c r="D62" s="2">
        <f>131763.09-3071.39</f>
        <v>128691.7</v>
      </c>
      <c r="F62" s="2">
        <f t="shared" si="7"/>
        <v>3071.39</v>
      </c>
      <c r="H62" s="2">
        <f t="shared" si="5"/>
        <v>990744.6100000001</v>
      </c>
      <c r="I62" s="136"/>
      <c r="J62" s="2">
        <v>990744.61</v>
      </c>
      <c r="L62" s="115"/>
      <c r="M62" s="133"/>
    </row>
    <row r="63" spans="1:13" hidden="1" x14ac:dyDescent="0.2">
      <c r="A63" s="137" t="s">
        <v>124</v>
      </c>
      <c r="B63" s="137"/>
      <c r="C63" s="137"/>
      <c r="D63" s="137"/>
      <c r="E63" s="137"/>
      <c r="F63" s="137"/>
      <c r="G63" s="2">
        <v>-667849.78</v>
      </c>
      <c r="H63" s="2">
        <f t="shared" si="5"/>
        <v>322894.83000000007</v>
      </c>
      <c r="I63" s="136"/>
      <c r="L63" s="115"/>
      <c r="M63" s="133"/>
    </row>
    <row r="64" spans="1:13" hidden="1" x14ac:dyDescent="0.2">
      <c r="A64" s="154">
        <f>'FERC Interest Rates'!A68</f>
        <v>43069</v>
      </c>
      <c r="D64" s="2">
        <f>139687.5-28631-3428.25</f>
        <v>107628.25</v>
      </c>
      <c r="F64" s="2">
        <f>ROUND(H63*VLOOKUP(A64,FERCINT17,2)/365*VLOOKUP(A64,FERCINT17,3),2)</f>
        <v>1117.3</v>
      </c>
      <c r="H64" s="2">
        <f t="shared" si="5"/>
        <v>431640.38000000006</v>
      </c>
      <c r="I64" s="136"/>
      <c r="J64" s="2">
        <v>431640.38</v>
      </c>
      <c r="L64" s="115"/>
      <c r="M64" s="133"/>
    </row>
    <row r="65" spans="1:13" hidden="1" x14ac:dyDescent="0.2">
      <c r="A65" s="154">
        <f>'FERC Interest Rates'!A69</f>
        <v>43100</v>
      </c>
      <c r="D65" s="2">
        <f>270204.88-1543.38-1326</f>
        <v>267335.5</v>
      </c>
      <c r="F65" s="2">
        <f>ROUND(H64*VLOOKUP(A65,FERCINT17,2)/365*VLOOKUP(A65,FERCINT17,3),2)</f>
        <v>1543.38</v>
      </c>
      <c r="H65" s="2">
        <f t="shared" si="5"/>
        <v>700519.26</v>
      </c>
      <c r="I65" s="136"/>
      <c r="J65" s="2">
        <v>700519.26</v>
      </c>
      <c r="L65" s="115"/>
      <c r="M65" s="133"/>
    </row>
    <row r="66" spans="1:13" hidden="1" x14ac:dyDescent="0.2">
      <c r="A66" s="154">
        <f>'FERC Interest Rates'!A70</f>
        <v>43131</v>
      </c>
      <c r="D66" s="2">
        <v>105703</v>
      </c>
      <c r="F66" s="2">
        <f t="shared" ref="F66:F78" si="8">ROUND(H65*VLOOKUP(A66,FERCINT18,2)/365*VLOOKUP(A66,FERCINT18,3),2)</f>
        <v>2528.59</v>
      </c>
      <c r="H66" s="2">
        <f t="shared" si="5"/>
        <v>808750.85</v>
      </c>
      <c r="I66" s="136"/>
      <c r="J66" s="2">
        <v>808750.85</v>
      </c>
      <c r="L66" s="115"/>
      <c r="M66" s="133"/>
    </row>
    <row r="67" spans="1:13" hidden="1" x14ac:dyDescent="0.2">
      <c r="A67" s="154">
        <f>'FERC Interest Rates'!A71</f>
        <v>43159</v>
      </c>
      <c r="D67" s="2">
        <v>144603.5</v>
      </c>
      <c r="F67" s="2">
        <f t="shared" si="8"/>
        <v>2636.75</v>
      </c>
      <c r="H67" s="2">
        <f t="shared" si="5"/>
        <v>955991.1</v>
      </c>
      <c r="I67" s="136"/>
      <c r="J67" s="2">
        <v>955991.1</v>
      </c>
      <c r="L67" s="115"/>
      <c r="M67" s="133"/>
    </row>
    <row r="68" spans="1:13" hidden="1" x14ac:dyDescent="0.2">
      <c r="A68" s="154">
        <f>'FERC Interest Rates'!A72</f>
        <v>43190</v>
      </c>
      <c r="D68" s="2">
        <v>144000.65</v>
      </c>
      <c r="F68" s="2">
        <f t="shared" si="8"/>
        <v>3450.73</v>
      </c>
      <c r="H68" s="2">
        <f t="shared" si="5"/>
        <v>1103442.48</v>
      </c>
      <c r="I68" s="136"/>
      <c r="J68" s="2">
        <v>1103442.48</v>
      </c>
      <c r="L68" s="115"/>
      <c r="M68" s="133"/>
    </row>
    <row r="69" spans="1:13" hidden="1" x14ac:dyDescent="0.2">
      <c r="A69" s="154">
        <f>'FERC Interest Rates'!A73</f>
        <v>43220</v>
      </c>
      <c r="D69" s="2">
        <v>228192.75</v>
      </c>
      <c r="F69" s="2">
        <f t="shared" si="8"/>
        <v>4054.02</v>
      </c>
      <c r="H69" s="2">
        <f t="shared" si="5"/>
        <v>1335689.25</v>
      </c>
      <c r="I69" s="136"/>
      <c r="J69" s="2">
        <v>1335689.25</v>
      </c>
      <c r="L69" s="115"/>
      <c r="M69" s="133"/>
    </row>
    <row r="70" spans="1:13" hidden="1" x14ac:dyDescent="0.2">
      <c r="A70" s="154">
        <f>'FERC Interest Rates'!A74</f>
        <v>43251</v>
      </c>
      <c r="D70" s="2">
        <v>250114</v>
      </c>
      <c r="F70" s="2">
        <f t="shared" si="8"/>
        <v>5070.8599999999997</v>
      </c>
      <c r="H70" s="2">
        <f t="shared" si="5"/>
        <v>1590874.1099999999</v>
      </c>
      <c r="I70" s="136"/>
      <c r="J70" s="2">
        <v>1590874.11</v>
      </c>
      <c r="L70" s="115"/>
      <c r="M70" s="133"/>
    </row>
    <row r="71" spans="1:13" hidden="1" x14ac:dyDescent="0.2">
      <c r="A71" s="154">
        <f>'FERC Interest Rates'!A75</f>
        <v>43281</v>
      </c>
      <c r="D71" s="2">
        <v>253400.25</v>
      </c>
      <c r="F71" s="2">
        <f t="shared" si="8"/>
        <v>5844.83</v>
      </c>
      <c r="H71" s="2">
        <f t="shared" si="5"/>
        <v>1850119.19</v>
      </c>
      <c r="I71" s="136"/>
      <c r="J71" s="2">
        <v>1850119.19</v>
      </c>
      <c r="L71" s="115"/>
      <c r="M71" s="133"/>
    </row>
    <row r="72" spans="1:13" hidden="1" x14ac:dyDescent="0.2">
      <c r="A72" s="154">
        <f>'FERC Interest Rates'!A76</f>
        <v>43312</v>
      </c>
      <c r="D72" s="2">
        <v>289291.75</v>
      </c>
      <c r="F72" s="2">
        <f t="shared" si="8"/>
        <v>7369.56</v>
      </c>
      <c r="H72" s="2">
        <f t="shared" si="5"/>
        <v>2146780.5</v>
      </c>
      <c r="I72" s="136"/>
      <c r="J72" s="2">
        <v>2146780.5</v>
      </c>
      <c r="L72" s="115"/>
      <c r="M72" s="133"/>
    </row>
    <row r="73" spans="1:13" hidden="1" x14ac:dyDescent="0.2">
      <c r="A73" s="154">
        <f>'FERC Interest Rates'!A77</f>
        <v>43343</v>
      </c>
      <c r="D73" s="2">
        <v>234419.5</v>
      </c>
      <c r="F73" s="2">
        <f t="shared" si="8"/>
        <v>8551.24</v>
      </c>
      <c r="H73" s="2">
        <f t="shared" si="5"/>
        <v>2389751.2400000002</v>
      </c>
      <c r="I73" s="136"/>
      <c r="J73" s="2">
        <v>2389751.2400000002</v>
      </c>
      <c r="L73" s="115"/>
      <c r="M73" s="133"/>
    </row>
    <row r="74" spans="1:13" hidden="1" x14ac:dyDescent="0.2">
      <c r="A74" s="154">
        <f>'FERC Interest Rates'!A78</f>
        <v>43373</v>
      </c>
      <c r="D74" s="2">
        <v>209083.25</v>
      </c>
      <c r="F74" s="2">
        <f t="shared" si="8"/>
        <v>9212</v>
      </c>
      <c r="H74" s="2">
        <f t="shared" si="5"/>
        <v>2608046.4900000002</v>
      </c>
      <c r="I74" s="136"/>
      <c r="J74" s="2">
        <v>2608046.4900000002</v>
      </c>
      <c r="L74" s="115"/>
      <c r="M74" s="133"/>
    </row>
    <row r="75" spans="1:13" hidden="1" x14ac:dyDescent="0.2">
      <c r="A75" s="154">
        <f>'FERC Interest Rates'!A79</f>
        <v>43404</v>
      </c>
      <c r="D75" s="2">
        <v>218477.25</v>
      </c>
      <c r="F75" s="2">
        <f t="shared" si="8"/>
        <v>10986.66</v>
      </c>
      <c r="H75" s="2">
        <f t="shared" si="5"/>
        <v>2837510.4000000004</v>
      </c>
      <c r="I75" s="136"/>
      <c r="J75" s="2">
        <v>2837510.4</v>
      </c>
      <c r="L75" s="115"/>
      <c r="M75" s="133"/>
    </row>
    <row r="76" spans="1:13" hidden="1" x14ac:dyDescent="0.2">
      <c r="A76" s="137" t="s">
        <v>124</v>
      </c>
      <c r="B76" s="137"/>
      <c r="C76" s="137"/>
      <c r="D76" s="137"/>
      <c r="E76" s="137"/>
      <c r="F76" s="137"/>
      <c r="G76" s="2">
        <v>-2172754.66</v>
      </c>
      <c r="H76" s="2">
        <f t="shared" ref="H76:H89" si="9">+SUM(D76:G76)+H75</f>
        <v>664755.74000000022</v>
      </c>
      <c r="I76" s="136"/>
      <c r="L76" s="115"/>
      <c r="M76" s="133"/>
    </row>
    <row r="77" spans="1:13" hidden="1" x14ac:dyDescent="0.2">
      <c r="A77" s="154">
        <f>'FERC Interest Rates'!A80</f>
        <v>43434</v>
      </c>
      <c r="D77" s="2">
        <v>178840.25</v>
      </c>
      <c r="F77" s="2">
        <f t="shared" si="8"/>
        <v>2710.02</v>
      </c>
      <c r="H77" s="2">
        <f t="shared" si="9"/>
        <v>846306.01000000024</v>
      </c>
      <c r="I77" s="136"/>
      <c r="J77" s="2">
        <v>846306.01</v>
      </c>
      <c r="L77" s="115"/>
      <c r="M77" s="133"/>
    </row>
    <row r="78" spans="1:13" hidden="1" x14ac:dyDescent="0.2">
      <c r="A78" s="154">
        <f>'FERC Interest Rates'!A81</f>
        <v>43465</v>
      </c>
      <c r="D78" s="2">
        <v>220767.75</v>
      </c>
      <c r="F78" s="2">
        <f t="shared" si="8"/>
        <v>3565.15</v>
      </c>
      <c r="H78" s="2">
        <f t="shared" si="9"/>
        <v>1070638.9100000001</v>
      </c>
      <c r="I78" s="136"/>
      <c r="J78" s="2">
        <v>1070638.9099999999</v>
      </c>
      <c r="L78" s="115"/>
      <c r="M78" s="133"/>
    </row>
    <row r="79" spans="1:13" hidden="1" x14ac:dyDescent="0.2">
      <c r="A79" s="154">
        <f>'FERC Interest Rates'!A82</f>
        <v>43496</v>
      </c>
      <c r="D79" s="2">
        <v>235311.5</v>
      </c>
      <c r="F79" s="2">
        <f t="shared" ref="F79:F88" si="10">ROUND(H78*VLOOKUP(A79,FERCINT19,2)/365*VLOOKUP(A79,FERCINT19,3),2)</f>
        <v>4710.22</v>
      </c>
      <c r="H79" s="2">
        <f t="shared" si="9"/>
        <v>1310660.6300000001</v>
      </c>
      <c r="I79" s="136"/>
      <c r="J79" s="2">
        <v>1310660.6299999999</v>
      </c>
      <c r="L79" s="115"/>
      <c r="M79" s="133"/>
    </row>
    <row r="80" spans="1:13" hidden="1" x14ac:dyDescent="0.2">
      <c r="A80" s="154">
        <f>'FERC Interest Rates'!A83</f>
        <v>43524</v>
      </c>
      <c r="D80" s="2">
        <v>188649.5</v>
      </c>
      <c r="F80" s="2">
        <f t="shared" si="10"/>
        <v>5208.17</v>
      </c>
      <c r="H80" s="2">
        <f t="shared" si="9"/>
        <v>1504518.3</v>
      </c>
      <c r="I80" s="136"/>
      <c r="J80" s="2">
        <v>1504518.3</v>
      </c>
      <c r="L80" s="115"/>
      <c r="M80" s="133"/>
    </row>
    <row r="81" spans="1:13" hidden="1" x14ac:dyDescent="0.2">
      <c r="A81" s="154">
        <f>'FERC Interest Rates'!A84</f>
        <v>43555</v>
      </c>
      <c r="D81" s="2">
        <v>142898</v>
      </c>
      <c r="F81" s="2">
        <f t="shared" si="10"/>
        <v>6619.06</v>
      </c>
      <c r="H81" s="2">
        <f t="shared" si="9"/>
        <v>1654035.36</v>
      </c>
      <c r="I81" s="136"/>
      <c r="J81" s="2">
        <v>1654035.36</v>
      </c>
      <c r="L81" s="115"/>
      <c r="M81" s="133"/>
    </row>
    <row r="82" spans="1:13" hidden="1" x14ac:dyDescent="0.2">
      <c r="A82" s="154">
        <f>'FERC Interest Rates'!A85</f>
        <v>43585</v>
      </c>
      <c r="D82" s="2">
        <v>260434.89</v>
      </c>
      <c r="F82" s="2">
        <f t="shared" si="10"/>
        <v>7409.17</v>
      </c>
      <c r="H82" s="2">
        <f t="shared" si="9"/>
        <v>1921879.4200000002</v>
      </c>
      <c r="I82" s="136"/>
      <c r="J82" s="2">
        <v>1921879.42</v>
      </c>
      <c r="L82" s="115"/>
      <c r="M82" s="133"/>
    </row>
    <row r="83" spans="1:13" hidden="1" x14ac:dyDescent="0.2">
      <c r="A83" s="154">
        <f>'FERC Interest Rates'!A86</f>
        <v>43616</v>
      </c>
      <c r="D83" s="2">
        <v>185922</v>
      </c>
      <c r="F83" s="2">
        <f t="shared" si="10"/>
        <v>8895.93</v>
      </c>
      <c r="H83" s="2">
        <f t="shared" si="9"/>
        <v>2116697.35</v>
      </c>
      <c r="I83" s="136"/>
      <c r="J83" s="2">
        <v>2116697.35</v>
      </c>
      <c r="L83" s="115"/>
      <c r="M83" s="133"/>
    </row>
    <row r="84" spans="1:13" x14ac:dyDescent="0.2">
      <c r="A84" s="154">
        <f>'FERC Interest Rates'!A87</f>
        <v>43646</v>
      </c>
      <c r="B84" s="132"/>
      <c r="C84" s="132"/>
      <c r="D84" s="2">
        <v>173010.15</v>
      </c>
      <c r="E84" s="132"/>
      <c r="F84" s="2">
        <f t="shared" si="10"/>
        <v>9481.64</v>
      </c>
      <c r="H84" s="2">
        <f t="shared" si="9"/>
        <v>2299189.14</v>
      </c>
      <c r="I84" s="136"/>
      <c r="J84" s="2">
        <v>2299189.14</v>
      </c>
      <c r="L84" s="115"/>
      <c r="M84" s="133"/>
    </row>
    <row r="85" spans="1:13" x14ac:dyDescent="0.2">
      <c r="A85" s="154">
        <f>'FERC Interest Rates'!A88</f>
        <v>43677</v>
      </c>
      <c r="B85" s="132"/>
      <c r="C85" s="132"/>
      <c r="D85" s="2">
        <v>177642.5</v>
      </c>
      <c r="E85" s="132"/>
      <c r="F85" s="2">
        <f t="shared" si="10"/>
        <v>10740.05</v>
      </c>
      <c r="H85" s="2">
        <f t="shared" si="9"/>
        <v>2487571.69</v>
      </c>
      <c r="I85" s="136"/>
      <c r="J85" s="2">
        <v>2487571.69</v>
      </c>
      <c r="L85" s="115"/>
      <c r="M85" s="133"/>
    </row>
    <row r="86" spans="1:13" x14ac:dyDescent="0.2">
      <c r="A86" s="154">
        <f>'FERC Interest Rates'!A89</f>
        <v>43708</v>
      </c>
      <c r="B86" s="132"/>
      <c r="C86" s="132"/>
      <c r="D86" s="2">
        <v>150400.85</v>
      </c>
      <c r="E86" s="132"/>
      <c r="F86" s="2">
        <f t="shared" si="10"/>
        <v>11620.03</v>
      </c>
      <c r="H86" s="2">
        <f t="shared" si="9"/>
        <v>2649592.5699999998</v>
      </c>
      <c r="I86" s="136"/>
      <c r="J86" s="2">
        <v>2649592.5699999998</v>
      </c>
      <c r="L86" s="115"/>
      <c r="M86" s="133"/>
    </row>
    <row r="87" spans="1:13" x14ac:dyDescent="0.2">
      <c r="A87" s="154">
        <f>'FERC Interest Rates'!A90</f>
        <v>43738</v>
      </c>
      <c r="B87" s="132"/>
      <c r="C87" s="132"/>
      <c r="D87" s="2">
        <v>192093.73</v>
      </c>
      <c r="E87" s="132"/>
      <c r="F87" s="2">
        <f t="shared" si="10"/>
        <v>11977.61</v>
      </c>
      <c r="H87" s="2">
        <f t="shared" si="9"/>
        <v>2853663.9099999997</v>
      </c>
      <c r="I87" s="136"/>
      <c r="J87" s="2">
        <v>2853663.91</v>
      </c>
      <c r="L87" s="115"/>
      <c r="M87" s="133"/>
    </row>
    <row r="88" spans="1:13" x14ac:dyDescent="0.2">
      <c r="A88" s="154">
        <f>'FERC Interest Rates'!A91</f>
        <v>43769</v>
      </c>
      <c r="B88" s="132"/>
      <c r="C88" s="132"/>
      <c r="D88" s="2">
        <v>181875.7</v>
      </c>
      <c r="E88" s="132"/>
      <c r="F88" s="2">
        <f t="shared" si="10"/>
        <v>13136.24</v>
      </c>
      <c r="H88" s="2">
        <f t="shared" si="9"/>
        <v>3048675.8499999996</v>
      </c>
      <c r="I88" s="136"/>
      <c r="J88" s="2">
        <v>3048675.85</v>
      </c>
      <c r="L88" s="115"/>
      <c r="M88" s="133"/>
    </row>
    <row r="89" spans="1:13" x14ac:dyDescent="0.2">
      <c r="A89" s="137" t="s">
        <v>124</v>
      </c>
      <c r="B89" s="137"/>
      <c r="C89" s="137"/>
      <c r="D89" s="137"/>
      <c r="E89" s="137"/>
      <c r="F89" s="137"/>
      <c r="G89" s="2">
        <v>-2522045.9500000002</v>
      </c>
      <c r="H89" s="2">
        <f t="shared" si="9"/>
        <v>526629.89999999944</v>
      </c>
      <c r="I89" s="136"/>
      <c r="L89" s="115"/>
      <c r="M89" s="133"/>
    </row>
    <row r="90" spans="1:13" x14ac:dyDescent="0.2">
      <c r="A90" s="154">
        <f>'FERC Interest Rates'!A92</f>
        <v>43799</v>
      </c>
      <c r="B90" s="132"/>
      <c r="C90" s="132"/>
      <c r="D90" s="2">
        <v>159074.45000000001</v>
      </c>
      <c r="E90" s="132"/>
      <c r="F90" s="2">
        <f>ROUND(H89*VLOOKUP(A90,FERCINT19,2)/365*VLOOKUP(A90,FERCINT19,3),2)</f>
        <v>2346.0300000000002</v>
      </c>
      <c r="H90" s="2">
        <f>+SUM(D90:G90)+H89</f>
        <v>688050.37999999942</v>
      </c>
      <c r="I90" s="136"/>
      <c r="J90" s="2">
        <v>688050.38</v>
      </c>
      <c r="L90" s="115"/>
      <c r="M90" s="133"/>
    </row>
    <row r="91" spans="1:13" x14ac:dyDescent="0.2">
      <c r="A91" s="154">
        <f>'FERC Interest Rates'!A93</f>
        <v>43830</v>
      </c>
      <c r="B91" s="132"/>
      <c r="C91" s="132"/>
      <c r="D91" s="2">
        <v>190372.41</v>
      </c>
      <c r="E91" s="132"/>
      <c r="F91" s="2">
        <f t="shared" ref="F91" si="11">ROUND(H90*VLOOKUP(A91,FERCINT19,2)/365*VLOOKUP(A91,FERCINT19,3),2)</f>
        <v>3167.29</v>
      </c>
      <c r="H91" s="2">
        <f t="shared" ref="H91:H114" si="12">+SUM(D91:G91)+H90</f>
        <v>881590.07999999938</v>
      </c>
      <c r="I91" s="136"/>
      <c r="J91" s="2">
        <v>881590.08</v>
      </c>
      <c r="L91" s="115"/>
      <c r="M91" s="133"/>
    </row>
    <row r="92" spans="1:13" x14ac:dyDescent="0.2">
      <c r="A92" s="154">
        <f>'FERC Interest Rates'!A94</f>
        <v>43861</v>
      </c>
      <c r="B92" s="132"/>
      <c r="C92" s="132"/>
      <c r="D92" s="2">
        <v>236416.9</v>
      </c>
      <c r="E92" s="132"/>
      <c r="F92" s="2">
        <f t="shared" ref="F92:F104" si="13">ROUND(H91*VLOOKUP(A92,FERCINT20,2)/365*VLOOKUP(A92,FERCINT20,3),2)</f>
        <v>3713.79</v>
      </c>
      <c r="H92" s="2">
        <f t="shared" si="12"/>
        <v>1121720.7699999993</v>
      </c>
      <c r="I92" s="136"/>
      <c r="J92" s="2">
        <v>1121720.77</v>
      </c>
      <c r="L92" s="115"/>
      <c r="M92" s="133"/>
    </row>
    <row r="93" spans="1:13" x14ac:dyDescent="0.2">
      <c r="A93" s="154">
        <f>'FERC Interest Rates'!A95</f>
        <v>43890</v>
      </c>
      <c r="B93" s="132"/>
      <c r="C93" s="132"/>
      <c r="D93" s="2">
        <v>117081.5</v>
      </c>
      <c r="E93" s="132"/>
      <c r="F93" s="2">
        <f t="shared" si="13"/>
        <v>4420.5</v>
      </c>
      <c r="H93" s="2">
        <f t="shared" si="12"/>
        <v>1243222.7699999993</v>
      </c>
      <c r="I93" s="136"/>
      <c r="J93" s="2">
        <v>1243222.77</v>
      </c>
      <c r="L93" s="115"/>
      <c r="M93" s="133"/>
    </row>
    <row r="94" spans="1:13" x14ac:dyDescent="0.2">
      <c r="A94" s="154">
        <f>'FERC Interest Rates'!A96</f>
        <v>43921</v>
      </c>
      <c r="B94" s="132"/>
      <c r="C94" s="132"/>
      <c r="D94" s="2">
        <v>277700.39</v>
      </c>
      <c r="E94" s="132"/>
      <c r="F94" s="2">
        <f t="shared" si="13"/>
        <v>5237.2</v>
      </c>
      <c r="H94" s="2">
        <f t="shared" si="12"/>
        <v>1526160.3599999994</v>
      </c>
      <c r="I94" s="136"/>
      <c r="J94" s="2">
        <v>1526160.36</v>
      </c>
      <c r="L94" s="115"/>
      <c r="M94" s="133"/>
    </row>
    <row r="95" spans="1:13" x14ac:dyDescent="0.2">
      <c r="A95" s="154">
        <f>'FERC Interest Rates'!A97</f>
        <v>43951</v>
      </c>
      <c r="B95" s="132"/>
      <c r="C95" s="132"/>
      <c r="D95" s="2">
        <v>190791</v>
      </c>
      <c r="E95" s="132"/>
      <c r="F95" s="2">
        <f t="shared" si="13"/>
        <v>5958.3</v>
      </c>
      <c r="H95" s="2">
        <f t="shared" si="12"/>
        <v>1722909.6599999995</v>
      </c>
      <c r="I95" s="136"/>
      <c r="J95" s="2">
        <v>1722909.66</v>
      </c>
      <c r="L95" s="115"/>
      <c r="M95" s="133"/>
    </row>
    <row r="96" spans="1:13" x14ac:dyDescent="0.2">
      <c r="A96" s="154">
        <f>'FERC Interest Rates'!A98</f>
        <v>43982</v>
      </c>
      <c r="B96" s="132"/>
      <c r="C96" s="132"/>
      <c r="D96" s="2">
        <v>292034.40000000002</v>
      </c>
      <c r="E96" s="132"/>
      <c r="F96" s="2">
        <f t="shared" si="13"/>
        <v>6950.64</v>
      </c>
      <c r="H96" s="2">
        <f t="shared" si="12"/>
        <v>2021894.6999999995</v>
      </c>
      <c r="I96" s="136"/>
      <c r="J96" s="2">
        <v>2021894.7</v>
      </c>
      <c r="L96" s="115"/>
      <c r="M96" s="133"/>
    </row>
    <row r="97" spans="1:13" x14ac:dyDescent="0.2">
      <c r="A97" s="154">
        <f>'FERC Interest Rates'!A99</f>
        <v>44012</v>
      </c>
      <c r="B97" s="132"/>
      <c r="C97" s="132"/>
      <c r="D97" s="2">
        <v>216779.3</v>
      </c>
      <c r="E97" s="132"/>
      <c r="F97" s="2">
        <f t="shared" si="13"/>
        <v>7893.7</v>
      </c>
      <c r="H97" s="2">
        <f t="shared" si="12"/>
        <v>2246567.6999999993</v>
      </c>
      <c r="I97" s="136"/>
      <c r="J97" s="2">
        <v>2246567.7000000002</v>
      </c>
      <c r="L97" s="115"/>
      <c r="M97" s="133"/>
    </row>
    <row r="98" spans="1:13" x14ac:dyDescent="0.2">
      <c r="A98" s="154">
        <f>'FERC Interest Rates'!A100</f>
        <v>44043</v>
      </c>
      <c r="B98" s="132"/>
      <c r="C98" s="132"/>
      <c r="D98" s="2">
        <v>145430.39999999999</v>
      </c>
      <c r="E98" s="132"/>
      <c r="F98" s="2">
        <f t="shared" si="13"/>
        <v>6544.59</v>
      </c>
      <c r="H98" s="2">
        <f t="shared" si="12"/>
        <v>2398542.6899999995</v>
      </c>
      <c r="I98" s="136"/>
      <c r="J98" s="2">
        <v>2398542.69</v>
      </c>
      <c r="L98" s="115"/>
      <c r="M98" s="133"/>
    </row>
    <row r="99" spans="1:13" x14ac:dyDescent="0.2">
      <c r="A99" s="154">
        <f>'FERC Interest Rates'!A101</f>
        <v>44074</v>
      </c>
      <c r="B99" s="132"/>
      <c r="C99" s="132"/>
      <c r="D99" s="2">
        <v>82398.95</v>
      </c>
      <c r="E99" s="132"/>
      <c r="F99" s="2">
        <f t="shared" si="13"/>
        <v>6987.32</v>
      </c>
      <c r="H99" s="2">
        <f t="shared" si="12"/>
        <v>2487928.9599999995</v>
      </c>
      <c r="I99" s="136"/>
      <c r="J99" s="2">
        <v>2487928.96</v>
      </c>
      <c r="L99" s="115"/>
      <c r="M99" s="133"/>
    </row>
    <row r="100" spans="1:13" x14ac:dyDescent="0.2">
      <c r="A100" s="154">
        <f>'FERC Interest Rates'!A102</f>
        <v>44104</v>
      </c>
      <c r="B100" s="132"/>
      <c r="C100" s="132"/>
      <c r="D100" s="2">
        <v>198627.85</v>
      </c>
      <c r="E100" s="132"/>
      <c r="F100" s="2">
        <f t="shared" si="13"/>
        <v>7013.91</v>
      </c>
      <c r="H100" s="2">
        <f t="shared" si="12"/>
        <v>2693570.7199999997</v>
      </c>
      <c r="I100" s="136"/>
      <c r="J100" s="2">
        <v>2693570.72</v>
      </c>
      <c r="L100" s="115"/>
      <c r="M100" s="133"/>
    </row>
    <row r="101" spans="1:13" x14ac:dyDescent="0.2">
      <c r="A101" s="154">
        <f>'FERC Interest Rates'!A103</f>
        <v>44135</v>
      </c>
      <c r="B101" s="132"/>
      <c r="C101" s="132"/>
      <c r="D101" s="2">
        <v>177935.7</v>
      </c>
      <c r="E101" s="132"/>
      <c r="F101" s="2">
        <f t="shared" si="13"/>
        <v>7434.99</v>
      </c>
      <c r="H101" s="2">
        <f t="shared" si="12"/>
        <v>2878941.4099999997</v>
      </c>
      <c r="I101" s="136"/>
      <c r="J101" s="2">
        <v>2878941.41</v>
      </c>
      <c r="L101" s="115"/>
      <c r="M101" s="133"/>
    </row>
    <row r="102" spans="1:13" x14ac:dyDescent="0.2">
      <c r="A102" s="137" t="s">
        <v>124</v>
      </c>
      <c r="B102" s="137"/>
      <c r="C102" s="137"/>
      <c r="D102" s="137"/>
      <c r="E102" s="137"/>
      <c r="F102" s="137"/>
      <c r="G102" s="2">
        <v>-2418970.27</v>
      </c>
      <c r="H102" s="2">
        <f t="shared" si="12"/>
        <v>459971.13999999966</v>
      </c>
      <c r="I102" s="136"/>
      <c r="L102" s="115"/>
      <c r="M102" s="133"/>
    </row>
    <row r="103" spans="1:13" x14ac:dyDescent="0.2">
      <c r="A103" s="154">
        <f>'FERC Interest Rates'!A104</f>
        <v>44165</v>
      </c>
      <c r="B103" s="132"/>
      <c r="C103" s="132"/>
      <c r="D103" s="2">
        <v>141234.75</v>
      </c>
      <c r="E103" s="132"/>
      <c r="F103" s="2">
        <f t="shared" si="13"/>
        <v>1228.69</v>
      </c>
      <c r="H103" s="2">
        <f t="shared" si="12"/>
        <v>602434.57999999961</v>
      </c>
      <c r="I103" s="136"/>
      <c r="J103" s="2">
        <v>602434.57999999996</v>
      </c>
      <c r="L103" s="115"/>
      <c r="M103" s="133"/>
    </row>
    <row r="104" spans="1:13" x14ac:dyDescent="0.2">
      <c r="A104" s="154">
        <f>'FERC Interest Rates'!A105</f>
        <v>44196</v>
      </c>
      <c r="B104" s="132"/>
      <c r="C104" s="132"/>
      <c r="D104" s="2">
        <v>154653.20000000001</v>
      </c>
      <c r="E104" s="132"/>
      <c r="F104" s="2">
        <f t="shared" si="13"/>
        <v>1662.88</v>
      </c>
      <c r="H104" s="2">
        <f t="shared" si="12"/>
        <v>758750.65999999968</v>
      </c>
      <c r="I104" s="136"/>
      <c r="J104" s="2">
        <v>758750.66</v>
      </c>
      <c r="L104" s="115"/>
      <c r="M104" s="133"/>
    </row>
    <row r="105" spans="1:13" x14ac:dyDescent="0.2">
      <c r="A105" s="154">
        <f>'FERC Interest Rates'!A106</f>
        <v>44227</v>
      </c>
      <c r="B105" s="132"/>
      <c r="C105" s="132"/>
      <c r="D105" s="2">
        <v>282288.8</v>
      </c>
      <c r="E105" s="132"/>
      <c r="F105" s="2">
        <f t="shared" ref="F105:F114" si="14">ROUND(H104*VLOOKUP(A105,FERCINT21,2)/365*VLOOKUP(A105,FERCINT21,3),2)</f>
        <v>2094.36</v>
      </c>
      <c r="H105" s="2">
        <f t="shared" si="12"/>
        <v>1043133.8199999996</v>
      </c>
      <c r="I105" s="136"/>
      <c r="J105" s="2">
        <v>1043133.82</v>
      </c>
      <c r="L105" s="115"/>
      <c r="M105" s="133"/>
    </row>
    <row r="106" spans="1:13" x14ac:dyDescent="0.2">
      <c r="A106" s="154">
        <f>'FERC Interest Rates'!A107</f>
        <v>44255</v>
      </c>
      <c r="B106" s="132"/>
      <c r="C106" s="132"/>
      <c r="D106" s="2">
        <v>275119.95</v>
      </c>
      <c r="E106" s="132"/>
      <c r="F106" s="2">
        <f t="shared" si="14"/>
        <v>2600.69</v>
      </c>
      <c r="H106" s="2">
        <f t="shared" si="12"/>
        <v>1320854.4599999995</v>
      </c>
      <c r="I106" s="136"/>
      <c r="J106" s="2">
        <v>1320854.46</v>
      </c>
      <c r="L106" s="115"/>
      <c r="M106" s="133"/>
    </row>
    <row r="107" spans="1:13" x14ac:dyDescent="0.2">
      <c r="A107" s="154">
        <f>'FERC Interest Rates'!A108</f>
        <v>44286</v>
      </c>
      <c r="B107" s="132"/>
      <c r="C107" s="132"/>
      <c r="D107" s="2">
        <v>399709.71</v>
      </c>
      <c r="E107" s="132"/>
      <c r="F107" s="2">
        <f t="shared" si="14"/>
        <v>3645.92</v>
      </c>
      <c r="H107" s="2">
        <f t="shared" si="12"/>
        <v>1724210.0899999994</v>
      </c>
      <c r="I107" s="136"/>
      <c r="J107" s="2">
        <v>1724210.09</v>
      </c>
      <c r="L107" s="115"/>
      <c r="M107" s="133"/>
    </row>
    <row r="108" spans="1:13" x14ac:dyDescent="0.2">
      <c r="A108" s="154">
        <f>'FERC Interest Rates'!A109</f>
        <v>44316</v>
      </c>
      <c r="B108" s="132"/>
      <c r="C108" s="132"/>
      <c r="D108" s="2">
        <v>206139.8</v>
      </c>
      <c r="E108" s="132"/>
      <c r="F108" s="2">
        <f t="shared" si="14"/>
        <v>4605.7700000000004</v>
      </c>
      <c r="H108" s="2">
        <f t="shared" si="12"/>
        <v>1934955.6599999995</v>
      </c>
      <c r="I108" s="136"/>
      <c r="J108" s="2">
        <v>1934955.66</v>
      </c>
      <c r="L108" s="115"/>
      <c r="M108" s="133"/>
    </row>
    <row r="109" spans="1:13" x14ac:dyDescent="0.2">
      <c r="A109" s="154">
        <f>'FERC Interest Rates'!A110</f>
        <v>44347</v>
      </c>
      <c r="B109" s="132"/>
      <c r="C109" s="132"/>
      <c r="D109" s="2">
        <v>245171.15</v>
      </c>
      <c r="E109" s="132"/>
      <c r="F109" s="2">
        <f t="shared" si="14"/>
        <v>5341.01</v>
      </c>
      <c r="H109" s="2">
        <f t="shared" si="12"/>
        <v>2185467.8199999994</v>
      </c>
      <c r="I109" s="136"/>
      <c r="J109" s="2">
        <v>2185467.8199999998</v>
      </c>
      <c r="L109" s="115"/>
      <c r="M109" s="133"/>
    </row>
    <row r="110" spans="1:13" x14ac:dyDescent="0.2">
      <c r="A110" s="154">
        <f>'FERC Interest Rates'!A111</f>
        <v>44377</v>
      </c>
      <c r="B110" s="132"/>
      <c r="C110" s="132"/>
      <c r="D110" s="2">
        <v>240621.63</v>
      </c>
      <c r="E110" s="132"/>
      <c r="F110" s="2">
        <f t="shared" si="14"/>
        <v>5837.89</v>
      </c>
      <c r="H110" s="2">
        <f t="shared" si="12"/>
        <v>2431927.3399999994</v>
      </c>
      <c r="I110" s="136"/>
      <c r="J110" s="2">
        <v>2431927.34</v>
      </c>
      <c r="L110" s="115"/>
      <c r="M110" s="133"/>
    </row>
    <row r="111" spans="1:13" x14ac:dyDescent="0.2">
      <c r="A111" s="154">
        <f>'FERC Interest Rates'!A112</f>
        <v>44408</v>
      </c>
      <c r="B111" s="132"/>
      <c r="C111" s="132"/>
      <c r="D111" s="2">
        <v>172193.63</v>
      </c>
      <c r="E111" s="132"/>
      <c r="F111" s="2">
        <f t="shared" si="14"/>
        <v>6712.79</v>
      </c>
      <c r="H111" s="2">
        <f t="shared" si="12"/>
        <v>2610833.7599999993</v>
      </c>
      <c r="I111" s="136"/>
      <c r="J111" s="2">
        <v>2610833.7599999998</v>
      </c>
      <c r="L111" s="115"/>
      <c r="M111" s="133"/>
    </row>
    <row r="112" spans="1:13" x14ac:dyDescent="0.2">
      <c r="A112" s="154">
        <f>'FERC Interest Rates'!A113</f>
        <v>44439</v>
      </c>
      <c r="B112" s="132"/>
      <c r="C112" s="132"/>
      <c r="D112" s="2">
        <v>164167.57</v>
      </c>
      <c r="E112" s="132"/>
      <c r="F112" s="2">
        <f t="shared" si="14"/>
        <v>7206.62</v>
      </c>
      <c r="H112" s="2">
        <f t="shared" si="12"/>
        <v>2782207.9499999993</v>
      </c>
      <c r="I112" s="136"/>
      <c r="J112" s="2">
        <v>2782207.95</v>
      </c>
      <c r="L112" s="115"/>
      <c r="M112" s="133"/>
    </row>
    <row r="113" spans="1:13" x14ac:dyDescent="0.2">
      <c r="A113" s="154">
        <f>'FERC Interest Rates'!A114</f>
        <v>44469</v>
      </c>
      <c r="B113" s="132"/>
      <c r="C113" s="132"/>
      <c r="D113" s="2">
        <v>266840.51</v>
      </c>
      <c r="E113" s="132"/>
      <c r="F113" s="2">
        <f t="shared" si="14"/>
        <v>7431.93</v>
      </c>
      <c r="H113" s="2">
        <f t="shared" si="12"/>
        <v>3056480.3899999992</v>
      </c>
      <c r="I113" s="136"/>
      <c r="J113" s="2">
        <v>3056480.39</v>
      </c>
      <c r="L113" s="115"/>
      <c r="M113" s="133"/>
    </row>
    <row r="114" spans="1:13" x14ac:dyDescent="0.2">
      <c r="A114" s="154">
        <f>'FERC Interest Rates'!A115</f>
        <v>44500</v>
      </c>
      <c r="B114" s="132"/>
      <c r="C114" s="132"/>
      <c r="E114" s="132"/>
      <c r="F114" s="2">
        <f t="shared" si="14"/>
        <v>8436.7199999999993</v>
      </c>
      <c r="H114" s="2">
        <f t="shared" si="12"/>
        <v>3064917.1099999994</v>
      </c>
      <c r="I114" s="136"/>
      <c r="L114" s="115"/>
      <c r="M114" s="133"/>
    </row>
    <row r="115" spans="1:13" x14ac:dyDescent="0.2">
      <c r="I115" s="136"/>
    </row>
  </sheetData>
  <mergeCells count="23">
    <mergeCell ref="A50:F50"/>
    <mergeCell ref="A63:F63"/>
    <mergeCell ref="A76:F76"/>
    <mergeCell ref="A89:F89"/>
    <mergeCell ref="A102:F102"/>
    <mergeCell ref="A7:B7"/>
    <mergeCell ref="C7:H7"/>
    <mergeCell ref="D9:F9"/>
    <mergeCell ref="A11:G11"/>
    <mergeCell ref="A24:F24"/>
    <mergeCell ref="A38:F38"/>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88"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B9FA7-FC80-41DA-BE22-2BAF3ECA25EF}">
  <sheetPr>
    <pageSetUpPr fitToPage="1"/>
  </sheetPr>
  <dimension ref="A1:T115"/>
  <sheetViews>
    <sheetView tabSelected="1" view="pageBreakPreview" zoomScale="96" zoomScaleNormal="75" zoomScaleSheetLayoutView="96" workbookViewId="0">
      <pane xSplit="1" ySplit="10" topLeftCell="B48" activePane="bottomRight" state="frozen"/>
      <selection activeCell="N106" sqref="N106"/>
      <selection pane="topRight" activeCell="N106" sqref="N106"/>
      <selection pane="bottomLeft" activeCell="N106" sqref="N106"/>
      <selection pane="bottomRight" activeCell="N106" sqref="N106"/>
    </sheetView>
  </sheetViews>
  <sheetFormatPr defaultColWidth="8.88671875" defaultRowHeight="12.75" x14ac:dyDescent="0.2"/>
  <cols>
    <col min="1" max="1" width="9.33203125" style="2" customWidth="1"/>
    <col min="2" max="2" width="7" style="2" bestFit="1" customWidth="1"/>
    <col min="3" max="3" width="10.77734375" style="2" customWidth="1"/>
    <col min="4" max="4" width="14.77734375" style="2" bestFit="1" customWidth="1"/>
    <col min="5" max="5" width="9.77734375" style="2" bestFit="1" customWidth="1"/>
    <col min="6" max="6" width="8.88671875" style="2" bestFit="1" customWidth="1"/>
    <col min="7" max="7" width="10.109375" style="2" bestFit="1" customWidth="1"/>
    <col min="8" max="8" width="12.77734375" style="2" bestFit="1" customWidth="1"/>
    <col min="9" max="9" width="1.21875" style="2" customWidth="1"/>
    <col min="10" max="10" width="13.21875" style="2" customWidth="1"/>
    <col min="11" max="11" width="10.6640625" style="2" customWidth="1"/>
    <col min="12" max="12" width="9" style="115" bestFit="1" customWidth="1"/>
    <col min="13" max="13" width="10.33203125" style="2" bestFit="1" customWidth="1"/>
    <col min="14" max="14" width="33.21875" style="2" customWidth="1"/>
    <col min="15" max="15" width="8.88671875" style="2"/>
    <col min="16" max="16" width="10.109375" style="2" bestFit="1" customWidth="1"/>
    <col min="17" max="19" width="8.88671875" style="2"/>
    <col min="20" max="20" width="10.109375" style="2" bestFit="1" customWidth="1"/>
    <col min="21" max="16384" width="8.88671875" style="2"/>
  </cols>
  <sheetData>
    <row r="1" spans="1:20" x14ac:dyDescent="0.2">
      <c r="A1" s="138" t="s">
        <v>58</v>
      </c>
      <c r="B1" s="139"/>
      <c r="C1" s="155" t="s">
        <v>59</v>
      </c>
      <c r="D1" s="155"/>
      <c r="E1" s="155"/>
      <c r="F1" s="155"/>
      <c r="G1" s="155"/>
      <c r="H1" s="156"/>
      <c r="I1" s="114"/>
    </row>
    <row r="2" spans="1:20" x14ac:dyDescent="0.2">
      <c r="A2" s="142" t="s">
        <v>60</v>
      </c>
      <c r="B2" s="117"/>
      <c r="C2" s="118" t="s">
        <v>94</v>
      </c>
      <c r="D2" s="118"/>
      <c r="E2" s="118"/>
      <c r="F2" s="118"/>
      <c r="G2" s="118"/>
      <c r="H2" s="120"/>
      <c r="I2" s="114"/>
    </row>
    <row r="3" spans="1:20" x14ac:dyDescent="0.2">
      <c r="A3" s="142" t="s">
        <v>62</v>
      </c>
      <c r="B3" s="117"/>
      <c r="C3" s="118" t="s">
        <v>14</v>
      </c>
      <c r="D3" s="118"/>
      <c r="E3" s="118"/>
      <c r="F3" s="118"/>
      <c r="G3" s="118"/>
      <c r="H3" s="120"/>
      <c r="I3" s="114"/>
    </row>
    <row r="4" spans="1:20" x14ac:dyDescent="0.2">
      <c r="A4" s="142" t="s">
        <v>63</v>
      </c>
      <c r="B4" s="117"/>
      <c r="C4" s="118" t="s">
        <v>64</v>
      </c>
      <c r="D4" s="118"/>
      <c r="E4" s="118"/>
      <c r="F4" s="118"/>
      <c r="G4" s="118"/>
      <c r="H4" s="120"/>
      <c r="I4" s="114"/>
    </row>
    <row r="5" spans="1:20" x14ac:dyDescent="0.2">
      <c r="A5" s="142" t="s">
        <v>65</v>
      </c>
      <c r="B5" s="117"/>
      <c r="C5" s="118" t="s">
        <v>66</v>
      </c>
      <c r="D5" s="118"/>
      <c r="E5" s="118"/>
      <c r="F5" s="118"/>
      <c r="G5" s="118"/>
      <c r="H5" s="120"/>
      <c r="I5" s="114"/>
    </row>
    <row r="6" spans="1:20" x14ac:dyDescent="0.2">
      <c r="A6" s="142" t="s">
        <v>67</v>
      </c>
      <c r="B6" s="117"/>
      <c r="C6" s="118" t="s">
        <v>95</v>
      </c>
      <c r="D6" s="118"/>
      <c r="E6" s="118"/>
      <c r="F6" s="118"/>
      <c r="G6" s="118"/>
      <c r="H6" s="120"/>
      <c r="I6" s="114"/>
    </row>
    <row r="7" spans="1:20" ht="13.5" thickBot="1" x14ac:dyDescent="0.25">
      <c r="A7" s="145" t="s">
        <v>69</v>
      </c>
      <c r="B7" s="146"/>
      <c r="C7" s="147" t="s">
        <v>96</v>
      </c>
      <c r="D7" s="147"/>
      <c r="E7" s="147"/>
      <c r="F7" s="147"/>
      <c r="G7" s="147"/>
      <c r="H7" s="148"/>
      <c r="I7" s="125"/>
    </row>
    <row r="8" spans="1:20" x14ac:dyDescent="0.2">
      <c r="A8" s="152"/>
      <c r="B8" s="152"/>
      <c r="C8" s="153"/>
      <c r="D8" s="153"/>
      <c r="E8" s="153"/>
      <c r="F8" s="153"/>
      <c r="G8" s="153"/>
      <c r="H8" s="153"/>
      <c r="K8" s="114"/>
    </row>
    <row r="9" spans="1:20" x14ac:dyDescent="0.2">
      <c r="A9" s="7"/>
      <c r="D9" s="128" t="s">
        <v>72</v>
      </c>
      <c r="E9" s="128"/>
      <c r="F9" s="128"/>
    </row>
    <row r="10" spans="1:20" s="10" customFormat="1" ht="25.5" customHeight="1" x14ac:dyDescent="0.2">
      <c r="A10" s="10" t="s">
        <v>22</v>
      </c>
      <c r="B10" s="10" t="s">
        <v>74</v>
      </c>
      <c r="C10" s="10" t="s">
        <v>51</v>
      </c>
      <c r="D10" s="10" t="s">
        <v>75</v>
      </c>
      <c r="E10" s="10" t="s">
        <v>76</v>
      </c>
      <c r="F10" s="10" t="s">
        <v>77</v>
      </c>
      <c r="G10" s="10" t="s">
        <v>78</v>
      </c>
      <c r="H10" s="10" t="s">
        <v>79</v>
      </c>
      <c r="I10" s="130"/>
      <c r="J10" s="10" t="s">
        <v>80</v>
      </c>
      <c r="L10" s="3"/>
      <c r="M10" s="3"/>
    </row>
    <row r="11" spans="1:20" hidden="1" x14ac:dyDescent="0.2">
      <c r="A11" s="131" t="s">
        <v>97</v>
      </c>
      <c r="B11" s="131"/>
      <c r="C11" s="131"/>
      <c r="D11" s="131"/>
      <c r="E11" s="131"/>
      <c r="F11" s="131"/>
      <c r="G11" s="131"/>
      <c r="H11" s="2">
        <v>0</v>
      </c>
      <c r="I11" s="132"/>
      <c r="M11" s="133"/>
    </row>
    <row r="12" spans="1:20" hidden="1" x14ac:dyDescent="0.2">
      <c r="A12" s="154">
        <f>'FERC Interest Rates'!A54</f>
        <v>42643</v>
      </c>
      <c r="D12" s="2">
        <v>11987.21</v>
      </c>
      <c r="F12" s="2">
        <f>ROUND(H11*VLOOKUP(A12,FERCINT16,2)/365*VLOOKUP(A12,FERCINT16,3),2)</f>
        <v>0</v>
      </c>
      <c r="H12" s="2">
        <f>+SUM(D12:G12)+H11</f>
        <v>11987.21</v>
      </c>
      <c r="I12" s="132"/>
      <c r="J12" s="2">
        <v>20479.23</v>
      </c>
      <c r="M12" s="133"/>
      <c r="P12" s="2">
        <v>20479.23</v>
      </c>
      <c r="R12" s="2">
        <v>0</v>
      </c>
      <c r="T12" s="2">
        <v>20479.23</v>
      </c>
    </row>
    <row r="13" spans="1:20" hidden="1" x14ac:dyDescent="0.2">
      <c r="A13" s="154">
        <f>'FERC Interest Rates'!A55</f>
        <v>42674</v>
      </c>
      <c r="D13" s="2">
        <v>106762.45</v>
      </c>
      <c r="F13" s="2">
        <f>ROUND(H12*VLOOKUP(A13,FERCINT16,2)/365*VLOOKUP(A13,FERCINT16,3),2)</f>
        <v>35.630000000000003</v>
      </c>
      <c r="H13" s="2">
        <f t="shared" ref="H13:H38" si="0">+SUM(D13:G13)+H12</f>
        <v>118785.29000000001</v>
      </c>
      <c r="I13" s="132"/>
      <c r="J13" s="2">
        <v>143649.13</v>
      </c>
      <c r="M13" s="133"/>
      <c r="P13" s="2">
        <v>123109.02</v>
      </c>
      <c r="R13" s="2">
        <v>60.88</v>
      </c>
      <c r="T13" s="2">
        <v>143649.13</v>
      </c>
    </row>
    <row r="14" spans="1:20" hidden="1" x14ac:dyDescent="0.2">
      <c r="A14" s="154">
        <f>'FERC Interest Rates'!A56</f>
        <v>42704</v>
      </c>
      <c r="D14" s="2">
        <v>1565078.06</v>
      </c>
      <c r="F14" s="2">
        <f>ROUND(H13*VLOOKUP(A14,FERCINT16,2)/365*VLOOKUP(A14,FERCINT16,3),2)</f>
        <v>341.71</v>
      </c>
      <c r="H14" s="2">
        <f t="shared" si="0"/>
        <v>1684205.06</v>
      </c>
      <c r="I14" s="132"/>
      <c r="J14" s="2">
        <v>1732329.49</v>
      </c>
      <c r="M14" s="133"/>
      <c r="P14" s="2">
        <v>1588267.12</v>
      </c>
      <c r="R14" s="2">
        <v>413.24</v>
      </c>
      <c r="T14" s="2">
        <v>1732329.4900000002</v>
      </c>
    </row>
    <row r="15" spans="1:20" hidden="1" x14ac:dyDescent="0.2">
      <c r="A15" s="154">
        <f>'FERC Interest Rates'!A57</f>
        <v>42735</v>
      </c>
      <c r="D15" s="2">
        <v>-1878222.42</v>
      </c>
      <c r="F15" s="2">
        <f>ROUND(H14*VLOOKUP(A15,FERCINT16,2)/365*VLOOKUP(A15,FERCINT16,3),2)</f>
        <v>5006.47</v>
      </c>
      <c r="H15" s="2">
        <f t="shared" si="0"/>
        <v>-189010.8899999999</v>
      </c>
      <c r="I15" s="132"/>
      <c r="J15" s="2">
        <v>-92332.800000000003</v>
      </c>
      <c r="M15" s="133"/>
      <c r="P15" s="2">
        <v>-1829811.82</v>
      </c>
      <c r="R15" s="2">
        <v>5149.53</v>
      </c>
      <c r="T15" s="2">
        <v>-92332.799999999814</v>
      </c>
    </row>
    <row r="16" spans="1:20" hidden="1" x14ac:dyDescent="0.2">
      <c r="A16" s="154">
        <f>'FERC Interest Rates'!A58</f>
        <v>42766</v>
      </c>
      <c r="D16" s="2">
        <v>-3172497.17</v>
      </c>
      <c r="F16" s="2">
        <f t="shared" ref="F16:F28" si="1">ROUND(H15*VLOOKUP(A16,FERCINT17,2)/365*VLOOKUP(A16,FERCINT17,3),2)</f>
        <v>-561.85</v>
      </c>
      <c r="H16" s="2">
        <f t="shared" si="0"/>
        <v>-3362069.91</v>
      </c>
      <c r="I16" s="132"/>
      <c r="J16" s="2">
        <v>-3213213.43</v>
      </c>
      <c r="M16" s="133"/>
      <c r="P16" s="2">
        <v>-3120606.16</v>
      </c>
      <c r="R16" s="2">
        <v>-274.47000000000003</v>
      </c>
      <c r="T16" s="2">
        <v>-3213213.43</v>
      </c>
    </row>
    <row r="17" spans="1:20" hidden="1" x14ac:dyDescent="0.2">
      <c r="A17" s="154">
        <f>'FERC Interest Rates'!A59</f>
        <v>42794</v>
      </c>
      <c r="D17" s="2">
        <v>-1296785.68</v>
      </c>
      <c r="F17" s="2">
        <f t="shared" si="1"/>
        <v>-9026.93</v>
      </c>
      <c r="H17" s="2">
        <f t="shared" si="0"/>
        <v>-4667882.5199999996</v>
      </c>
      <c r="I17" s="132"/>
      <c r="J17" s="2">
        <v>-4481018.49</v>
      </c>
      <c r="M17" s="133"/>
      <c r="P17" s="2">
        <v>-1259177.8</v>
      </c>
      <c r="R17" s="2">
        <v>-8627.26</v>
      </c>
      <c r="T17" s="2">
        <v>-4481018.49</v>
      </c>
    </row>
    <row r="18" spans="1:20" hidden="1" x14ac:dyDescent="0.2">
      <c r="A18" s="154">
        <f>'FERC Interest Rates'!A60</f>
        <v>42825</v>
      </c>
      <c r="D18" s="2">
        <v>-644163.9</v>
      </c>
      <c r="F18" s="2">
        <f t="shared" si="1"/>
        <v>-13875.76</v>
      </c>
      <c r="H18" s="2">
        <f t="shared" si="0"/>
        <v>-5325922.18</v>
      </c>
      <c r="I18" s="132"/>
      <c r="J18" s="2">
        <v>-5108995.66</v>
      </c>
      <c r="M18" s="133"/>
      <c r="P18" s="2">
        <v>-614656.88</v>
      </c>
      <c r="R18" s="2">
        <v>-13320.29</v>
      </c>
      <c r="T18" s="2">
        <v>-5108995.66</v>
      </c>
    </row>
    <row r="19" spans="1:20" hidden="1" x14ac:dyDescent="0.2">
      <c r="A19" s="154">
        <f>'FERC Interest Rates'!A61</f>
        <v>42855</v>
      </c>
      <c r="D19" s="2">
        <v>-800040.13</v>
      </c>
      <c r="F19" s="2">
        <f t="shared" si="1"/>
        <v>-16240.41</v>
      </c>
      <c r="H19" s="2">
        <f t="shared" si="0"/>
        <v>-6142202.7199999997</v>
      </c>
      <c r="I19" s="132"/>
      <c r="J19" s="2">
        <v>-5904265.2999999998</v>
      </c>
      <c r="M19" s="133"/>
      <c r="P19" s="2">
        <v>-779690.7</v>
      </c>
      <c r="R19" s="2">
        <v>-15578.94</v>
      </c>
      <c r="T19" s="2">
        <v>-5904265.2999999998</v>
      </c>
    </row>
    <row r="20" spans="1:20" hidden="1" x14ac:dyDescent="0.2">
      <c r="A20" s="154">
        <f>'FERC Interest Rates'!A62</f>
        <v>42886</v>
      </c>
      <c r="D20" s="2">
        <v>-358834.1</v>
      </c>
      <c r="F20" s="2">
        <f t="shared" si="1"/>
        <v>-19353.830000000002</v>
      </c>
      <c r="H20" s="2">
        <f t="shared" si="0"/>
        <v>-6520390.6499999994</v>
      </c>
      <c r="I20" s="132"/>
      <c r="J20" s="2">
        <v>-6268739.46</v>
      </c>
      <c r="M20" s="133"/>
      <c r="P20" s="2">
        <v>-345870.06</v>
      </c>
      <c r="R20" s="2">
        <v>-18604.099999999999</v>
      </c>
      <c r="T20" s="2">
        <v>-6268739.46</v>
      </c>
    </row>
    <row r="21" spans="1:20" hidden="1" x14ac:dyDescent="0.2">
      <c r="A21" s="154">
        <f>'FERC Interest Rates'!A63</f>
        <v>42916</v>
      </c>
      <c r="D21" s="2">
        <v>736242.69</v>
      </c>
      <c r="F21" s="2">
        <f t="shared" si="1"/>
        <v>-19882.73</v>
      </c>
      <c r="H21" s="2">
        <f t="shared" si="0"/>
        <v>-5804030.6899999995</v>
      </c>
      <c r="I21" s="132"/>
      <c r="J21" s="2">
        <v>-5546462.7699999996</v>
      </c>
      <c r="M21" s="133"/>
      <c r="P21" s="2">
        <v>741392.05</v>
      </c>
      <c r="R21" s="2">
        <v>-19115.36</v>
      </c>
      <c r="T21" s="2">
        <v>-5546462.7699999996</v>
      </c>
    </row>
    <row r="22" spans="1:20" hidden="1" x14ac:dyDescent="0.2">
      <c r="A22" s="154">
        <f>'FERC Interest Rates'!A64</f>
        <v>42947</v>
      </c>
      <c r="D22" s="2">
        <v>133175.96</v>
      </c>
      <c r="F22" s="2">
        <f t="shared" si="1"/>
        <v>-19520.62</v>
      </c>
      <c r="H22" s="2">
        <f t="shared" si="0"/>
        <v>-5690375.3499999996</v>
      </c>
      <c r="I22" s="132"/>
      <c r="J22" s="2">
        <v>-5425327.8200000003</v>
      </c>
      <c r="M22" s="133"/>
      <c r="P22" s="2">
        <v>139789.29999999999</v>
      </c>
      <c r="R22" s="2">
        <v>-18654.349999999999</v>
      </c>
      <c r="T22" s="2">
        <v>-5425327.8199999994</v>
      </c>
    </row>
    <row r="23" spans="1:20" hidden="1" x14ac:dyDescent="0.2">
      <c r="A23" s="154">
        <f>'FERC Interest Rates'!A65</f>
        <v>42978</v>
      </c>
      <c r="D23" s="2">
        <v>493325.73</v>
      </c>
      <c r="F23" s="2">
        <f t="shared" si="1"/>
        <v>-19138.37</v>
      </c>
      <c r="H23" s="2">
        <f t="shared" si="0"/>
        <v>-5216187.9899999993</v>
      </c>
      <c r="I23" s="136"/>
      <c r="J23" s="2">
        <v>-4944456.72</v>
      </c>
      <c r="M23" s="133"/>
      <c r="P23" s="2">
        <v>499118.04</v>
      </c>
      <c r="R23" s="2">
        <v>-18246.939999999999</v>
      </c>
      <c r="T23" s="2">
        <v>-4944456.72</v>
      </c>
    </row>
    <row r="24" spans="1:20" hidden="1" x14ac:dyDescent="0.2">
      <c r="A24" s="154">
        <f>'FERC Interest Rates'!A66</f>
        <v>43008</v>
      </c>
      <c r="D24" s="2">
        <v>-32838.199999999997</v>
      </c>
      <c r="F24" s="2">
        <f t="shared" si="1"/>
        <v>-16977.62</v>
      </c>
      <c r="H24" s="2">
        <f t="shared" si="0"/>
        <v>-5266003.8099999996</v>
      </c>
      <c r="I24" s="136"/>
      <c r="J24" s="2">
        <v>-4984571.5999999996</v>
      </c>
      <c r="M24" s="133"/>
      <c r="P24" s="2">
        <v>-24021.69</v>
      </c>
      <c r="R24" s="2">
        <v>-16093.19</v>
      </c>
      <c r="T24" s="2">
        <v>-4984571.5999999996</v>
      </c>
    </row>
    <row r="25" spans="1:20" hidden="1" x14ac:dyDescent="0.2">
      <c r="A25" s="154">
        <f>'FERC Interest Rates'!A67</f>
        <v>43039</v>
      </c>
      <c r="D25" s="2">
        <v>-89282.54</v>
      </c>
      <c r="F25" s="2">
        <f t="shared" si="1"/>
        <v>-18829.21</v>
      </c>
      <c r="H25" s="2">
        <f t="shared" si="0"/>
        <v>-5374115.5599999996</v>
      </c>
      <c r="I25" s="136"/>
      <c r="J25" s="2">
        <v>-5374115.5599999996</v>
      </c>
      <c r="M25" s="133"/>
    </row>
    <row r="26" spans="1:20" hidden="1" x14ac:dyDescent="0.2">
      <c r="A26" s="137" t="s">
        <v>98</v>
      </c>
      <c r="B26" s="137"/>
      <c r="C26" s="137"/>
      <c r="D26" s="137"/>
      <c r="E26" s="137"/>
      <c r="F26" s="137"/>
      <c r="G26" s="2">
        <v>195037.47</v>
      </c>
      <c r="H26" s="2">
        <f t="shared" si="0"/>
        <v>-5179078.09</v>
      </c>
      <c r="I26" s="136"/>
      <c r="M26" s="133"/>
    </row>
    <row r="27" spans="1:20" hidden="1" x14ac:dyDescent="0.2">
      <c r="A27" s="154">
        <f>'FERC Interest Rates'!A68</f>
        <v>43069</v>
      </c>
      <c r="B27" s="132"/>
      <c r="C27" s="132"/>
      <c r="D27" s="2">
        <v>-64892.24</v>
      </c>
      <c r="F27" s="2">
        <f>ROUND(H26*VLOOKUP(A27,FERCINT17,2)/365*VLOOKUP(A27,FERCINT17,3),2)</f>
        <v>-17921.03</v>
      </c>
      <c r="H27" s="2">
        <f t="shared" si="0"/>
        <v>-5261891.3599999994</v>
      </c>
      <c r="I27" s="136"/>
      <c r="J27" s="2">
        <v>-5261891.3600000003</v>
      </c>
      <c r="M27" s="133"/>
    </row>
    <row r="28" spans="1:20" hidden="1" x14ac:dyDescent="0.2">
      <c r="A28" s="154">
        <f>'FERC Interest Rates'!A69</f>
        <v>43100</v>
      </c>
      <c r="B28" s="132"/>
      <c r="C28" s="132"/>
      <c r="D28" s="2">
        <v>-618556.96</v>
      </c>
      <c r="E28" s="2">
        <v>-680.9</v>
      </c>
      <c r="F28" s="2">
        <f t="shared" si="1"/>
        <v>-18814.509999999998</v>
      </c>
      <c r="H28" s="2">
        <f t="shared" si="0"/>
        <v>-5899943.7299999995</v>
      </c>
      <c r="I28" s="136"/>
      <c r="J28" s="2">
        <v>-5899262.8300000001</v>
      </c>
      <c r="M28" s="133"/>
    </row>
    <row r="29" spans="1:20" hidden="1" x14ac:dyDescent="0.2">
      <c r="A29" s="154">
        <f>'FERC Interest Rates'!A70</f>
        <v>43131</v>
      </c>
      <c r="B29" s="132"/>
      <c r="C29" s="132"/>
      <c r="D29" s="2">
        <v>254921.14</v>
      </c>
      <c r="F29" s="2">
        <f t="shared" ref="F29:F41" si="2">ROUND(H28*VLOOKUP(A29,FERCINT18,2)/365*VLOOKUP(A29,FERCINT18,3),2)</f>
        <v>-21296.37</v>
      </c>
      <c r="H29" s="2">
        <f t="shared" si="0"/>
        <v>-5666318.959999999</v>
      </c>
      <c r="I29" s="136"/>
      <c r="J29" s="2">
        <v>-5665638.0599999996</v>
      </c>
      <c r="M29" s="133"/>
    </row>
    <row r="30" spans="1:20" hidden="1" x14ac:dyDescent="0.2">
      <c r="A30" s="154">
        <f>'FERC Interest Rates'!A71</f>
        <v>43159</v>
      </c>
      <c r="B30" s="132"/>
      <c r="C30" s="132"/>
      <c r="D30" s="2">
        <v>-811118.47</v>
      </c>
      <c r="F30" s="2">
        <f t="shared" si="2"/>
        <v>-18473.75</v>
      </c>
      <c r="H30" s="2">
        <f t="shared" si="0"/>
        <v>-6495911.1799999988</v>
      </c>
      <c r="I30" s="136"/>
      <c r="J30" s="2">
        <v>-6495911.1799999997</v>
      </c>
      <c r="M30" s="133"/>
    </row>
    <row r="31" spans="1:20" hidden="1" x14ac:dyDescent="0.2">
      <c r="A31" s="154">
        <f>'FERC Interest Rates'!A72</f>
        <v>43190</v>
      </c>
      <c r="B31" s="132"/>
      <c r="C31" s="132"/>
      <c r="D31" s="2">
        <v>-448352.57</v>
      </c>
      <c r="F31" s="2">
        <f t="shared" si="2"/>
        <v>-23447.57</v>
      </c>
      <c r="H31" s="2">
        <f t="shared" si="0"/>
        <v>-6967711.3199999984</v>
      </c>
      <c r="I31" s="136"/>
      <c r="J31" s="2">
        <v>-6967711.3200000003</v>
      </c>
      <c r="M31" s="133"/>
    </row>
    <row r="32" spans="1:20" hidden="1" x14ac:dyDescent="0.2">
      <c r="A32" s="154">
        <f>'FERC Interest Rates'!A73</f>
        <v>43220</v>
      </c>
      <c r="B32" s="132"/>
      <c r="C32" s="132"/>
      <c r="D32" s="2">
        <v>-552354.38</v>
      </c>
      <c r="F32" s="2">
        <f t="shared" si="2"/>
        <v>-25599.18</v>
      </c>
      <c r="H32" s="2">
        <f t="shared" si="0"/>
        <v>-7545664.879999999</v>
      </c>
      <c r="I32" s="136"/>
      <c r="J32" s="2">
        <v>-7545664.8799999999</v>
      </c>
      <c r="M32" s="133"/>
    </row>
    <row r="33" spans="1:13" hidden="1" x14ac:dyDescent="0.2">
      <c r="A33" s="154">
        <f>'FERC Interest Rates'!A74</f>
        <v>43251</v>
      </c>
      <c r="B33" s="132"/>
      <c r="C33" s="132"/>
      <c r="D33" s="2">
        <v>546739.6</v>
      </c>
      <c r="F33" s="2">
        <f t="shared" si="2"/>
        <v>-28646.65</v>
      </c>
      <c r="H33" s="2">
        <f t="shared" si="0"/>
        <v>-7027571.9299999988</v>
      </c>
      <c r="I33" s="136"/>
      <c r="J33" s="2">
        <v>-7027571.9299999997</v>
      </c>
      <c r="M33" s="133"/>
    </row>
    <row r="34" spans="1:13" hidden="1" x14ac:dyDescent="0.2">
      <c r="A34" s="154">
        <f>'FERC Interest Rates'!A75</f>
        <v>43281</v>
      </c>
      <c r="B34" s="132"/>
      <c r="C34" s="132"/>
      <c r="D34" s="2">
        <v>-92773.67</v>
      </c>
      <c r="F34" s="2">
        <f t="shared" si="2"/>
        <v>-25819.11</v>
      </c>
      <c r="H34" s="2">
        <f t="shared" si="0"/>
        <v>-7146164.709999999</v>
      </c>
      <c r="I34" s="136"/>
      <c r="J34" s="2">
        <v>-7146164.71</v>
      </c>
      <c r="M34" s="133"/>
    </row>
    <row r="35" spans="1:13" hidden="1" x14ac:dyDescent="0.2">
      <c r="A35" s="154">
        <f>'FERC Interest Rates'!A76</f>
        <v>43312</v>
      </c>
      <c r="B35" s="132"/>
      <c r="C35" s="132"/>
      <c r="D35" s="2">
        <v>23270.85</v>
      </c>
      <c r="F35" s="2">
        <f t="shared" si="2"/>
        <v>-28465.23</v>
      </c>
      <c r="H35" s="2">
        <f t="shared" si="0"/>
        <v>-7151359.0899999989</v>
      </c>
      <c r="I35" s="136"/>
      <c r="J35" s="2">
        <v>-7151359.0899999999</v>
      </c>
      <c r="M35" s="133"/>
    </row>
    <row r="36" spans="1:13" hidden="1" x14ac:dyDescent="0.2">
      <c r="A36" s="154">
        <f>'FERC Interest Rates'!A77</f>
        <v>43343</v>
      </c>
      <c r="B36" s="132"/>
      <c r="C36" s="132"/>
      <c r="D36" s="2">
        <v>450457.18</v>
      </c>
      <c r="F36" s="2">
        <f t="shared" si="2"/>
        <v>-28485.919999999998</v>
      </c>
      <c r="H36" s="2">
        <f t="shared" si="0"/>
        <v>-6729387.8299999991</v>
      </c>
      <c r="I36" s="136"/>
      <c r="J36" s="2">
        <v>-6729387.8300000001</v>
      </c>
      <c r="M36" s="133"/>
    </row>
    <row r="37" spans="1:13" hidden="1" x14ac:dyDescent="0.2">
      <c r="A37" s="154">
        <f>'FERC Interest Rates'!A78</f>
        <v>43373</v>
      </c>
      <c r="B37" s="132"/>
      <c r="C37" s="132"/>
      <c r="D37" s="2">
        <v>-83303.360000000001</v>
      </c>
      <c r="F37" s="2">
        <f t="shared" si="2"/>
        <v>-25940.41</v>
      </c>
      <c r="H37" s="2">
        <f t="shared" si="0"/>
        <v>-6838631.5999999987</v>
      </c>
      <c r="I37" s="136"/>
      <c r="J37" s="2">
        <v>-6838631.5999999996</v>
      </c>
      <c r="M37" s="133"/>
    </row>
    <row r="38" spans="1:13" hidden="1" x14ac:dyDescent="0.2">
      <c r="A38" s="154">
        <f>'FERC Interest Rates'!A79</f>
        <v>43404</v>
      </c>
      <c r="B38" s="132"/>
      <c r="C38" s="132"/>
      <c r="D38" s="2">
        <v>302039.75</v>
      </c>
      <c r="F38" s="2">
        <f t="shared" si="2"/>
        <v>-28808.44</v>
      </c>
      <c r="H38" s="2">
        <f t="shared" si="0"/>
        <v>-6565400.2899999991</v>
      </c>
      <c r="I38" s="136"/>
      <c r="J38" s="2">
        <v>-6565400.29</v>
      </c>
      <c r="M38" s="133"/>
    </row>
    <row r="39" spans="1:13" x14ac:dyDescent="0.2">
      <c r="A39" s="137" t="s">
        <v>98</v>
      </c>
      <c r="B39" s="137"/>
      <c r="C39" s="137"/>
      <c r="D39" s="137"/>
      <c r="E39" s="137"/>
      <c r="F39" s="137"/>
      <c r="G39" s="2">
        <v>6125923.8899999997</v>
      </c>
      <c r="H39" s="2">
        <f t="shared" ref="H39:H51" si="3">+SUM(D39:G39)+H38</f>
        <v>-439476.39999999944</v>
      </c>
      <c r="I39" s="136"/>
      <c r="M39" s="133"/>
    </row>
    <row r="40" spans="1:13" x14ac:dyDescent="0.2">
      <c r="A40" s="154">
        <f>'FERC Interest Rates'!A80</f>
        <v>43434</v>
      </c>
      <c r="B40" s="132"/>
      <c r="C40" s="132"/>
      <c r="D40" s="2">
        <v>347558.7</v>
      </c>
      <c r="E40" s="132"/>
      <c r="F40" s="2">
        <f t="shared" si="2"/>
        <v>-1791.62</v>
      </c>
      <c r="H40" s="2">
        <f t="shared" si="3"/>
        <v>-93709.319999999425</v>
      </c>
      <c r="I40" s="136"/>
      <c r="J40" s="2">
        <v>-93709.32</v>
      </c>
      <c r="M40" s="133"/>
    </row>
    <row r="41" spans="1:13" x14ac:dyDescent="0.2">
      <c r="A41" s="154">
        <f>'FERC Interest Rates'!A81</f>
        <v>43465</v>
      </c>
      <c r="B41" s="132"/>
      <c r="C41" s="132"/>
      <c r="D41" s="2">
        <f>1003283.44+104523.81</f>
        <v>1107807.25</v>
      </c>
      <c r="E41" s="132"/>
      <c r="F41" s="2">
        <f t="shared" si="2"/>
        <v>-394.76</v>
      </c>
      <c r="H41" s="2">
        <f t="shared" si="3"/>
        <v>1013703.1700000006</v>
      </c>
      <c r="I41" s="136"/>
      <c r="J41" s="2">
        <v>1013703.17</v>
      </c>
      <c r="M41" s="133"/>
    </row>
    <row r="42" spans="1:13" x14ac:dyDescent="0.2">
      <c r="A42" s="154">
        <f>'FERC Interest Rates'!A82</f>
        <v>43496</v>
      </c>
      <c r="B42" s="132"/>
      <c r="C42" s="132"/>
      <c r="D42" s="2">
        <v>843959.23</v>
      </c>
      <c r="E42" s="132"/>
      <c r="F42" s="2">
        <f t="shared" ref="F42:F51" si="4">ROUND(H41*VLOOKUP(A42,FERCINT19,2)/365*VLOOKUP(A42,FERCINT19,3),2)</f>
        <v>4459.74</v>
      </c>
      <c r="H42" s="2">
        <f t="shared" si="3"/>
        <v>1862122.1400000006</v>
      </c>
      <c r="I42" s="136"/>
      <c r="J42" s="2">
        <v>1862122.14</v>
      </c>
      <c r="M42" s="133"/>
    </row>
    <row r="43" spans="1:13" x14ac:dyDescent="0.2">
      <c r="A43" s="154">
        <f>'FERC Interest Rates'!A83</f>
        <v>43524</v>
      </c>
      <c r="B43" s="132"/>
      <c r="C43" s="132"/>
      <c r="D43" s="2">
        <v>-3745264.02</v>
      </c>
      <c r="E43" s="132"/>
      <c r="F43" s="2">
        <f t="shared" si="4"/>
        <v>7399.51</v>
      </c>
      <c r="H43" s="2">
        <f t="shared" si="3"/>
        <v>-1875742.3699999996</v>
      </c>
      <c r="I43" s="136"/>
      <c r="J43" s="2">
        <v>-1875742.37</v>
      </c>
      <c r="M43" s="133"/>
    </row>
    <row r="44" spans="1:13" x14ac:dyDescent="0.2">
      <c r="A44" s="154">
        <f>'FERC Interest Rates'!A84</f>
        <v>43555</v>
      </c>
      <c r="B44" s="132"/>
      <c r="C44" s="132"/>
      <c r="D44" s="2">
        <v>-1400603.7</v>
      </c>
      <c r="E44" s="132"/>
      <c r="F44" s="2">
        <f t="shared" si="4"/>
        <v>-8252.24</v>
      </c>
      <c r="H44" s="2">
        <f t="shared" si="3"/>
        <v>-3284598.3099999996</v>
      </c>
      <c r="I44" s="136"/>
      <c r="J44" s="2">
        <v>-3284598.31</v>
      </c>
      <c r="M44" s="133"/>
    </row>
    <row r="45" spans="1:13" x14ac:dyDescent="0.2">
      <c r="A45" s="154">
        <f>'FERC Interest Rates'!A85</f>
        <v>43585</v>
      </c>
      <c r="B45" s="132"/>
      <c r="C45" s="132"/>
      <c r="D45" s="2">
        <v>412427.72</v>
      </c>
      <c r="E45" s="132"/>
      <c r="F45" s="2">
        <f t="shared" si="4"/>
        <v>-14713.2</v>
      </c>
      <c r="H45" s="2">
        <f t="shared" si="3"/>
        <v>-2886883.7899999996</v>
      </c>
      <c r="I45" s="136"/>
      <c r="J45" s="2">
        <v>-2886883.79</v>
      </c>
      <c r="M45" s="133"/>
    </row>
    <row r="46" spans="1:13" x14ac:dyDescent="0.2">
      <c r="A46" s="154">
        <f>'FERC Interest Rates'!A86</f>
        <v>43616</v>
      </c>
      <c r="B46" s="132"/>
      <c r="C46" s="132"/>
      <c r="D46" s="2">
        <v>-54642.65</v>
      </c>
      <c r="E46" s="132"/>
      <c r="F46" s="2">
        <f t="shared" si="4"/>
        <v>-13362.71</v>
      </c>
      <c r="H46" s="2">
        <f t="shared" si="3"/>
        <v>-2954889.1499999994</v>
      </c>
      <c r="I46" s="136"/>
      <c r="J46" s="2">
        <v>-2954889.15</v>
      </c>
      <c r="M46" s="133"/>
    </row>
    <row r="47" spans="1:13" x14ac:dyDescent="0.2">
      <c r="A47" s="154">
        <f>'FERC Interest Rates'!A87</f>
        <v>43646</v>
      </c>
      <c r="B47" s="132"/>
      <c r="C47" s="132"/>
      <c r="D47" s="2">
        <v>42807.88</v>
      </c>
      <c r="E47" s="132"/>
      <c r="F47" s="2">
        <f t="shared" si="4"/>
        <v>-13236.28</v>
      </c>
      <c r="H47" s="2">
        <f t="shared" si="3"/>
        <v>-2925317.5499999993</v>
      </c>
      <c r="I47" s="136"/>
      <c r="J47" s="2">
        <v>-2925317.55</v>
      </c>
      <c r="M47" s="133"/>
    </row>
    <row r="48" spans="1:13" x14ac:dyDescent="0.2">
      <c r="A48" s="154">
        <f>'FERC Interest Rates'!A88</f>
        <v>43677</v>
      </c>
      <c r="B48" s="132"/>
      <c r="C48" s="132"/>
      <c r="D48" s="2">
        <v>-172084.6</v>
      </c>
      <c r="E48" s="132"/>
      <c r="F48" s="2">
        <f t="shared" si="4"/>
        <v>-13664.84</v>
      </c>
      <c r="H48" s="2">
        <f t="shared" si="3"/>
        <v>-3111066.9899999993</v>
      </c>
      <c r="I48" s="136"/>
      <c r="J48" s="2">
        <v>-3111066.99</v>
      </c>
      <c r="M48" s="133"/>
    </row>
    <row r="49" spans="1:17" x14ac:dyDescent="0.2">
      <c r="A49" s="154">
        <f>'FERC Interest Rates'!A89</f>
        <v>43708</v>
      </c>
      <c r="B49" s="132"/>
      <c r="C49" s="132"/>
      <c r="D49" s="2">
        <v>273699.83</v>
      </c>
      <c r="E49" s="132"/>
      <c r="F49" s="2">
        <f t="shared" si="4"/>
        <v>-14532.52</v>
      </c>
      <c r="H49" s="2">
        <f t="shared" si="3"/>
        <v>-2851899.6799999992</v>
      </c>
      <c r="I49" s="136"/>
      <c r="J49" s="2">
        <f>-3125599.51+273699.83</f>
        <v>-2851899.6799999997</v>
      </c>
      <c r="M49" s="133"/>
    </row>
    <row r="50" spans="1:17" ht="12.75" customHeight="1" x14ac:dyDescent="0.2">
      <c r="A50" s="154">
        <f>'FERC Interest Rates'!A90</f>
        <v>43738</v>
      </c>
      <c r="B50" s="132"/>
      <c r="C50" s="132"/>
      <c r="D50" s="2">
        <f>-346148.83+1255.78</f>
        <v>-344893.05</v>
      </c>
      <c r="E50" s="132"/>
      <c r="F50" s="2">
        <f t="shared" si="4"/>
        <v>-12892.15</v>
      </c>
      <c r="H50" s="2">
        <f t="shared" si="3"/>
        <v>-3209684.8799999994</v>
      </c>
      <c r="I50" s="136"/>
      <c r="J50" s="2">
        <f>-3210940.66+1255.78</f>
        <v>-3209684.8800000004</v>
      </c>
      <c r="M50" s="133"/>
      <c r="N50" s="157"/>
      <c r="O50" s="158"/>
      <c r="P50" s="158"/>
      <c r="Q50" s="158"/>
    </row>
    <row r="51" spans="1:17" x14ac:dyDescent="0.2">
      <c r="A51" s="154">
        <f>'FERC Interest Rates'!A91</f>
        <v>43769</v>
      </c>
      <c r="B51" s="132"/>
      <c r="C51" s="132"/>
      <c r="D51" s="2">
        <f>-937908.66-21152.96</f>
        <v>-959061.62</v>
      </c>
      <c r="E51" s="132"/>
      <c r="F51" s="2">
        <f t="shared" si="4"/>
        <v>-14775.1</v>
      </c>
      <c r="H51" s="2">
        <f t="shared" si="3"/>
        <v>-4183521.5999999996</v>
      </c>
      <c r="I51" s="136"/>
      <c r="J51" s="2">
        <f>-4163630.2-21152.96</f>
        <v>-4184783.16</v>
      </c>
      <c r="M51" s="133"/>
      <c r="N51" s="157"/>
      <c r="O51" s="158"/>
      <c r="P51" s="158"/>
      <c r="Q51" s="158"/>
    </row>
    <row r="52" spans="1:17" x14ac:dyDescent="0.2">
      <c r="A52" s="137" t="s">
        <v>98</v>
      </c>
      <c r="B52" s="137"/>
      <c r="C52" s="137"/>
      <c r="D52" s="137"/>
      <c r="E52" s="137"/>
      <c r="F52" s="137"/>
      <c r="G52" s="2">
        <v>-1060071.47</v>
      </c>
      <c r="H52" s="2">
        <f t="shared" ref="H52" si="5">+SUM(D52:G52)+H51</f>
        <v>-5243593.0699999994</v>
      </c>
      <c r="I52" s="136"/>
      <c r="M52" s="133"/>
    </row>
    <row r="53" spans="1:17" x14ac:dyDescent="0.2">
      <c r="A53" s="154">
        <f>'FERC Interest Rates'!A92</f>
        <v>43799</v>
      </c>
      <c r="B53" s="132"/>
      <c r="C53" s="132"/>
      <c r="D53" s="2">
        <f>-7744.99-145362.63</f>
        <v>-153107.62</v>
      </c>
      <c r="E53" s="132"/>
      <c r="F53" s="2">
        <f>ROUND(H52*VLOOKUP(A53,FERCINT19,2)/365*VLOOKUP(A53,FERCINT19,3),2)</f>
        <v>-23359.13</v>
      </c>
      <c r="H53" s="2">
        <f>+SUM(D53:G53)+H52</f>
        <v>-5420059.8199999994</v>
      </c>
      <c r="I53" s="136"/>
      <c r="J53" s="2">
        <v>-5420059.8200000003</v>
      </c>
      <c r="M53" s="133"/>
    </row>
    <row r="54" spans="1:17" x14ac:dyDescent="0.2">
      <c r="A54" s="154">
        <f>'FERC Interest Rates'!A93</f>
        <v>43830</v>
      </c>
      <c r="B54" s="132"/>
      <c r="C54" s="132"/>
      <c r="D54" s="2">
        <v>1034787.49</v>
      </c>
      <c r="E54" s="132"/>
      <c r="F54" s="2">
        <f t="shared" ref="F54" si="6">ROUND(H53*VLOOKUP(A54,FERCINT19,2)/365*VLOOKUP(A54,FERCINT19,3),2)</f>
        <v>-24950.09</v>
      </c>
      <c r="H54" s="2">
        <f t="shared" ref="H54:H77" si="7">+SUM(D54:G54)+H53</f>
        <v>-4410222.419999999</v>
      </c>
      <c r="I54" s="136"/>
      <c r="J54" s="2">
        <v>-4410222.42</v>
      </c>
      <c r="M54" s="133"/>
    </row>
    <row r="55" spans="1:17" x14ac:dyDescent="0.2">
      <c r="A55" s="154">
        <f>'FERC Interest Rates'!A94</f>
        <v>43861</v>
      </c>
      <c r="B55" s="132"/>
      <c r="C55" s="132"/>
      <c r="D55" s="2">
        <v>500433.38</v>
      </c>
      <c r="E55" s="132"/>
      <c r="F55" s="2">
        <f t="shared" ref="F55:F64" si="8">ROUND(H54*VLOOKUP(A55,FERCINT20,2)/365*VLOOKUP(A55,FERCINT20,3),2)</f>
        <v>-18578.52</v>
      </c>
      <c r="H55" s="2">
        <f t="shared" si="7"/>
        <v>-3928367.5599999991</v>
      </c>
      <c r="I55" s="136"/>
      <c r="J55" s="2">
        <v>-3928367.56</v>
      </c>
      <c r="M55" s="133"/>
    </row>
    <row r="56" spans="1:17" x14ac:dyDescent="0.2">
      <c r="A56" s="154">
        <f>'FERC Interest Rates'!A95</f>
        <v>43890</v>
      </c>
      <c r="B56" s="132"/>
      <c r="C56" s="132"/>
      <c r="D56" s="2">
        <v>-569740.23</v>
      </c>
      <c r="E56" s="132"/>
      <c r="F56" s="2">
        <f t="shared" si="8"/>
        <v>-15481</v>
      </c>
      <c r="H56" s="2">
        <f t="shared" si="7"/>
        <v>-4513588.7899999991</v>
      </c>
      <c r="I56" s="136"/>
      <c r="J56" s="2">
        <v>-4513588.79</v>
      </c>
      <c r="M56" s="133"/>
    </row>
    <row r="57" spans="1:17" x14ac:dyDescent="0.2">
      <c r="A57" s="154">
        <f>'FERC Interest Rates'!A96</f>
        <v>43921</v>
      </c>
      <c r="B57" s="132"/>
      <c r="C57" s="132"/>
      <c r="D57" s="2">
        <v>-482236.64</v>
      </c>
      <c r="E57" s="132"/>
      <c r="F57" s="2">
        <f t="shared" si="8"/>
        <v>-19013.96</v>
      </c>
      <c r="H57" s="2">
        <f t="shared" si="7"/>
        <v>-5014839.3899999987</v>
      </c>
      <c r="I57" s="136"/>
      <c r="J57" s="2">
        <v>-5014839.3899999997</v>
      </c>
      <c r="M57" s="133"/>
    </row>
    <row r="58" spans="1:17" x14ac:dyDescent="0.2">
      <c r="A58" s="154">
        <f>'FERC Interest Rates'!A97</f>
        <v>43951</v>
      </c>
      <c r="B58" s="132"/>
      <c r="C58" s="132"/>
      <c r="D58" s="2">
        <f>37500+981679.98</f>
        <v>1019179.98</v>
      </c>
      <c r="E58" s="132"/>
      <c r="F58" s="2">
        <f t="shared" si="8"/>
        <v>-19578.48</v>
      </c>
      <c r="H58" s="2">
        <f t="shared" si="7"/>
        <v>-4015237.8899999987</v>
      </c>
      <c r="I58" s="136"/>
      <c r="J58" s="2">
        <v>-4015237.89</v>
      </c>
      <c r="M58" s="133"/>
    </row>
    <row r="59" spans="1:17" x14ac:dyDescent="0.2">
      <c r="A59" s="154">
        <f>'FERC Interest Rates'!A98</f>
        <v>43982</v>
      </c>
      <c r="B59" s="132"/>
      <c r="C59" s="132"/>
      <c r="D59" s="2">
        <v>375263.28</v>
      </c>
      <c r="E59" s="132"/>
      <c r="F59" s="2">
        <f t="shared" si="8"/>
        <v>-16198.46</v>
      </c>
      <c r="H59" s="2">
        <f t="shared" si="7"/>
        <v>-3656173.0699999989</v>
      </c>
      <c r="I59" s="136"/>
      <c r="J59" s="2">
        <v>-3656173.07</v>
      </c>
      <c r="M59" s="133"/>
    </row>
    <row r="60" spans="1:17" x14ac:dyDescent="0.2">
      <c r="A60" s="154">
        <f>'FERC Interest Rates'!A99</f>
        <v>44012</v>
      </c>
      <c r="B60" s="132"/>
      <c r="C60" s="132"/>
      <c r="D60" s="2">
        <v>182095.13</v>
      </c>
      <c r="E60" s="132"/>
      <c r="F60" s="2">
        <f t="shared" si="8"/>
        <v>-14274.1</v>
      </c>
      <c r="H60" s="2">
        <f t="shared" si="7"/>
        <v>-3488352.0399999991</v>
      </c>
      <c r="I60" s="136"/>
      <c r="J60" s="2">
        <v>-3488352.04</v>
      </c>
      <c r="M60" s="133"/>
    </row>
    <row r="61" spans="1:17" x14ac:dyDescent="0.2">
      <c r="A61" s="154">
        <f>'FERC Interest Rates'!A100</f>
        <v>44043</v>
      </c>
      <c r="B61" s="132"/>
      <c r="C61" s="132"/>
      <c r="D61" s="2">
        <v>-205920.71</v>
      </c>
      <c r="E61" s="132"/>
      <c r="F61" s="2">
        <f t="shared" si="8"/>
        <v>-10162.1</v>
      </c>
      <c r="H61" s="2">
        <f t="shared" si="7"/>
        <v>-3704434.8499999992</v>
      </c>
      <c r="I61" s="136"/>
      <c r="J61" s="2">
        <v>-3704434.85</v>
      </c>
      <c r="M61" s="133"/>
    </row>
    <row r="62" spans="1:17" x14ac:dyDescent="0.2">
      <c r="A62" s="154">
        <f>'FERC Interest Rates'!A101</f>
        <v>44074</v>
      </c>
      <c r="B62" s="132"/>
      <c r="C62" s="132"/>
      <c r="D62" s="2">
        <v>-906718.23</v>
      </c>
      <c r="E62" s="132"/>
      <c r="F62" s="2">
        <f t="shared" si="8"/>
        <v>-10791.58</v>
      </c>
      <c r="H62" s="2">
        <f t="shared" si="7"/>
        <v>-4621944.6599999992</v>
      </c>
      <c r="I62" s="136"/>
      <c r="J62" s="2">
        <v>-4621944.66</v>
      </c>
      <c r="M62" s="133"/>
    </row>
    <row r="63" spans="1:17" x14ac:dyDescent="0.2">
      <c r="A63" s="154">
        <f>'FERC Interest Rates'!A102</f>
        <v>44104</v>
      </c>
      <c r="B63" s="132"/>
      <c r="C63" s="132"/>
      <c r="D63" s="2">
        <f>37500+392761.08</f>
        <v>430261.08</v>
      </c>
      <c r="E63" s="132"/>
      <c r="F63" s="2">
        <f t="shared" si="8"/>
        <v>-13030.09</v>
      </c>
      <c r="H63" s="2">
        <f t="shared" si="7"/>
        <v>-4204713.669999999</v>
      </c>
      <c r="I63" s="136"/>
      <c r="J63" s="2">
        <v>-4204713.67</v>
      </c>
      <c r="M63" s="133"/>
    </row>
    <row r="64" spans="1:17" x14ac:dyDescent="0.2">
      <c r="A64" s="154">
        <f>'FERC Interest Rates'!A103</f>
        <v>44135</v>
      </c>
      <c r="B64" s="132"/>
      <c r="C64" s="132"/>
      <c r="D64" s="2">
        <v>329062.48</v>
      </c>
      <c r="E64" s="132"/>
      <c r="F64" s="2">
        <f t="shared" si="8"/>
        <v>-11606.16</v>
      </c>
      <c r="H64" s="2">
        <f t="shared" si="7"/>
        <v>-3887257.3499999992</v>
      </c>
      <c r="I64" s="136"/>
      <c r="J64" s="2">
        <v>-3887257.35</v>
      </c>
      <c r="M64" s="133"/>
    </row>
    <row r="65" spans="1:13" x14ac:dyDescent="0.2">
      <c r="A65" s="137" t="s">
        <v>98</v>
      </c>
      <c r="B65" s="137"/>
      <c r="C65" s="137"/>
      <c r="D65" s="137"/>
      <c r="E65" s="137"/>
      <c r="F65" s="137"/>
      <c r="G65" s="2">
        <v>4569822.54</v>
      </c>
      <c r="H65" s="2">
        <f t="shared" si="7"/>
        <v>682565.19000000088</v>
      </c>
      <c r="I65" s="136"/>
      <c r="M65" s="133"/>
    </row>
    <row r="66" spans="1:13" x14ac:dyDescent="0.2">
      <c r="A66" s="154">
        <f>'FERC Interest Rates'!A104</f>
        <v>44165</v>
      </c>
      <c r="B66" s="132"/>
      <c r="C66" s="132"/>
      <c r="D66" s="2">
        <v>951120.65</v>
      </c>
      <c r="E66" s="132"/>
      <c r="F66" s="2">
        <f>ROUND(H65*VLOOKUP(A66,FERCINT20,2)/365*VLOOKUP(A66,FERCINT20,3),2)</f>
        <v>1823.29</v>
      </c>
      <c r="H66" s="2">
        <f t="shared" si="7"/>
        <v>1635509.1300000008</v>
      </c>
      <c r="I66" s="136"/>
      <c r="J66" s="2">
        <v>1635509.13</v>
      </c>
      <c r="M66" s="133"/>
    </row>
    <row r="67" spans="1:13" x14ac:dyDescent="0.2">
      <c r="A67" s="154">
        <f>'FERC Interest Rates'!A105</f>
        <v>44196</v>
      </c>
      <c r="B67" s="132"/>
      <c r="C67" s="132"/>
      <c r="D67" s="2">
        <v>1681193.77</v>
      </c>
      <c r="E67" s="132"/>
      <c r="F67" s="2">
        <f>ROUND(H66*VLOOKUP(A67,FERCINT20,2)/365*VLOOKUP(A67,FERCINT20,3),2)</f>
        <v>4514.45</v>
      </c>
      <c r="H67" s="2">
        <f t="shared" si="7"/>
        <v>3321217.3500000006</v>
      </c>
      <c r="I67" s="136"/>
      <c r="J67" s="2">
        <v>3321217.35</v>
      </c>
      <c r="M67" s="133"/>
    </row>
    <row r="68" spans="1:13" x14ac:dyDescent="0.2">
      <c r="A68" s="154">
        <f>'FERC Interest Rates'!A106</f>
        <v>44227</v>
      </c>
      <c r="B68" s="132"/>
      <c r="C68" s="132"/>
      <c r="D68" s="2">
        <v>2111092.09</v>
      </c>
      <c r="E68" s="132"/>
      <c r="F68" s="2">
        <f t="shared" ref="F68:F77" si="9">ROUND(H67*VLOOKUP(A68,FERCINT21,2)/365*VLOOKUP(A68,FERCINT21,3),2)</f>
        <v>9167.4699999999993</v>
      </c>
      <c r="H68" s="2">
        <f t="shared" si="7"/>
        <v>5441476.9100000001</v>
      </c>
      <c r="I68" s="136"/>
      <c r="J68" s="2">
        <v>5441476.9100000001</v>
      </c>
      <c r="M68" s="133"/>
    </row>
    <row r="69" spans="1:13" x14ac:dyDescent="0.2">
      <c r="A69" s="154">
        <f>'FERC Interest Rates'!A107</f>
        <v>44255</v>
      </c>
      <c r="B69" s="132"/>
      <c r="C69" s="132"/>
      <c r="D69" s="2">
        <v>-427092.64</v>
      </c>
      <c r="E69" s="132"/>
      <c r="F69" s="2">
        <f t="shared" si="9"/>
        <v>13566.42</v>
      </c>
      <c r="H69" s="2">
        <f t="shared" si="7"/>
        <v>5027950.6900000004</v>
      </c>
      <c r="I69" s="136"/>
      <c r="J69" s="2">
        <v>5027950.6900000004</v>
      </c>
      <c r="M69" s="133"/>
    </row>
    <row r="70" spans="1:13" x14ac:dyDescent="0.2">
      <c r="A70" s="154">
        <f>'FERC Interest Rates'!A108</f>
        <v>44286</v>
      </c>
      <c r="B70" s="132"/>
      <c r="C70" s="132"/>
      <c r="D70" s="2">
        <f>37500-199632.77</f>
        <v>-162132.76999999999</v>
      </c>
      <c r="E70" s="132"/>
      <c r="F70" s="2">
        <f t="shared" si="9"/>
        <v>13878.52</v>
      </c>
      <c r="H70" s="2">
        <f t="shared" si="7"/>
        <v>4879696.4400000004</v>
      </c>
      <c r="I70" s="136"/>
      <c r="J70" s="2">
        <v>4879696.4400000004</v>
      </c>
      <c r="M70" s="133"/>
    </row>
    <row r="71" spans="1:13" x14ac:dyDescent="0.2">
      <c r="A71" s="154">
        <f>'FERC Interest Rates'!A109</f>
        <v>44316</v>
      </c>
      <c r="B71" s="132"/>
      <c r="C71" s="132"/>
      <c r="D71" s="2">
        <v>962312.97</v>
      </c>
      <c r="E71" s="132"/>
      <c r="F71" s="2">
        <f t="shared" si="9"/>
        <v>13034.81</v>
      </c>
      <c r="H71" s="2">
        <f t="shared" si="7"/>
        <v>5855044.2200000007</v>
      </c>
      <c r="I71" s="136"/>
      <c r="J71" s="2">
        <v>5855044.2199999997</v>
      </c>
      <c r="M71" s="133"/>
    </row>
    <row r="72" spans="1:13" x14ac:dyDescent="0.2">
      <c r="A72" s="154">
        <f>'FERC Interest Rates'!A110</f>
        <v>44347</v>
      </c>
      <c r="B72" s="132"/>
      <c r="C72" s="132"/>
      <c r="D72" s="2">
        <v>257692.88</v>
      </c>
      <c r="E72" s="132"/>
      <c r="F72" s="2">
        <f t="shared" si="9"/>
        <v>16161.53</v>
      </c>
      <c r="H72" s="2">
        <f t="shared" si="7"/>
        <v>6128898.6300000008</v>
      </c>
      <c r="I72" s="136"/>
      <c r="J72" s="2">
        <v>6128898.6299999999</v>
      </c>
      <c r="M72" s="133"/>
    </row>
    <row r="73" spans="1:13" x14ac:dyDescent="0.2">
      <c r="A73" s="154">
        <f>'FERC Interest Rates'!A111</f>
        <v>44377</v>
      </c>
      <c r="B73" s="132"/>
      <c r="C73" s="132"/>
      <c r="D73" s="2">
        <v>490428.96</v>
      </c>
      <c r="E73" s="132"/>
      <c r="F73" s="2">
        <f t="shared" si="9"/>
        <v>16371.72</v>
      </c>
      <c r="H73" s="2">
        <f t="shared" si="7"/>
        <v>6635699.3100000005</v>
      </c>
      <c r="I73" s="136"/>
      <c r="J73" s="2">
        <v>6635699.3099999996</v>
      </c>
      <c r="M73" s="133"/>
    </row>
    <row r="74" spans="1:13" x14ac:dyDescent="0.2">
      <c r="A74" s="154">
        <f>'FERC Interest Rates'!A112</f>
        <v>44408</v>
      </c>
      <c r="B74" s="132"/>
      <c r="C74" s="132"/>
      <c r="D74" s="2">
        <v>-355005.49</v>
      </c>
      <c r="E74" s="132"/>
      <c r="F74" s="2">
        <f t="shared" si="9"/>
        <v>18316.349999999999</v>
      </c>
      <c r="H74" s="2">
        <f t="shared" si="7"/>
        <v>6299010.1700000009</v>
      </c>
      <c r="I74" s="136"/>
      <c r="J74" s="2">
        <v>6299010.1699999999</v>
      </c>
      <c r="M74" s="133"/>
    </row>
    <row r="75" spans="1:13" x14ac:dyDescent="0.2">
      <c r="A75" s="154">
        <f>'FERC Interest Rates'!A113</f>
        <v>44439</v>
      </c>
      <c r="B75" s="132"/>
      <c r="C75" s="132"/>
      <c r="D75" s="2">
        <v>264387.98</v>
      </c>
      <c r="E75" s="132"/>
      <c r="F75" s="2">
        <f t="shared" si="9"/>
        <v>17386.990000000002</v>
      </c>
      <c r="H75" s="2">
        <f t="shared" si="7"/>
        <v>6580785.1400000006</v>
      </c>
      <c r="I75" s="136"/>
      <c r="J75" s="2">
        <v>6580785.1399999997</v>
      </c>
      <c r="M75" s="133"/>
    </row>
    <row r="76" spans="1:13" x14ac:dyDescent="0.2">
      <c r="A76" s="154">
        <f>'FERC Interest Rates'!A114</f>
        <v>44469</v>
      </c>
      <c r="B76" s="132"/>
      <c r="C76" s="132"/>
      <c r="D76" s="2">
        <v>60005.87</v>
      </c>
      <c r="E76" s="132"/>
      <c r="F76" s="2">
        <f t="shared" si="9"/>
        <v>17578.810000000001</v>
      </c>
      <c r="H76" s="2">
        <f t="shared" si="7"/>
        <v>6658369.8200000003</v>
      </c>
      <c r="I76" s="136"/>
      <c r="J76" s="2">
        <v>6658369.8200000003</v>
      </c>
      <c r="M76" s="133"/>
    </row>
    <row r="77" spans="1:13" x14ac:dyDescent="0.2">
      <c r="A77" s="154">
        <f>'FERC Interest Rates'!A115</f>
        <v>44500</v>
      </c>
      <c r="B77" s="132"/>
      <c r="C77" s="132"/>
      <c r="E77" s="132"/>
      <c r="F77" s="2">
        <f t="shared" si="9"/>
        <v>18378.919999999998</v>
      </c>
      <c r="H77" s="2">
        <f t="shared" si="7"/>
        <v>6676748.7400000002</v>
      </c>
      <c r="I77" s="136"/>
      <c r="M77" s="133"/>
    </row>
    <row r="78" spans="1:13" x14ac:dyDescent="0.2">
      <c r="A78" s="154"/>
      <c r="I78" s="136"/>
    </row>
    <row r="79" spans="1:13" x14ac:dyDescent="0.2">
      <c r="A79" s="154"/>
      <c r="I79" s="136"/>
    </row>
    <row r="80" spans="1:13" x14ac:dyDescent="0.2">
      <c r="I80" s="136"/>
    </row>
    <row r="81" spans="9:9" x14ac:dyDescent="0.2">
      <c r="I81" s="136"/>
    </row>
    <row r="82" spans="9:9" x14ac:dyDescent="0.2">
      <c r="I82" s="136"/>
    </row>
    <row r="83" spans="9:9" x14ac:dyDescent="0.2">
      <c r="I83" s="136"/>
    </row>
    <row r="84" spans="9:9" x14ac:dyDescent="0.2">
      <c r="I84" s="136"/>
    </row>
    <row r="85" spans="9:9" x14ac:dyDescent="0.2">
      <c r="I85" s="136"/>
    </row>
    <row r="86" spans="9:9" x14ac:dyDescent="0.2">
      <c r="I86" s="136"/>
    </row>
    <row r="87" spans="9:9" x14ac:dyDescent="0.2">
      <c r="I87" s="136"/>
    </row>
    <row r="88" spans="9:9" x14ac:dyDescent="0.2">
      <c r="I88" s="136"/>
    </row>
    <row r="89" spans="9:9" x14ac:dyDescent="0.2">
      <c r="I89" s="136"/>
    </row>
    <row r="90" spans="9:9" x14ac:dyDescent="0.2">
      <c r="I90" s="136"/>
    </row>
    <row r="91" spans="9:9" x14ac:dyDescent="0.2">
      <c r="I91" s="136"/>
    </row>
    <row r="92" spans="9:9" x14ac:dyDescent="0.2">
      <c r="I92" s="136"/>
    </row>
    <row r="93" spans="9:9" x14ac:dyDescent="0.2">
      <c r="I93" s="136"/>
    </row>
    <row r="94" spans="9:9" x14ac:dyDescent="0.2">
      <c r="I94" s="136"/>
    </row>
    <row r="95" spans="9:9" x14ac:dyDescent="0.2">
      <c r="I95" s="136"/>
    </row>
    <row r="96" spans="9:9" x14ac:dyDescent="0.2">
      <c r="I96" s="136"/>
    </row>
    <row r="97" spans="9:9" x14ac:dyDescent="0.2">
      <c r="I97" s="136"/>
    </row>
    <row r="98" spans="9:9" x14ac:dyDescent="0.2">
      <c r="I98" s="136"/>
    </row>
    <row r="99" spans="9:9" x14ac:dyDescent="0.2">
      <c r="I99" s="136"/>
    </row>
    <row r="100" spans="9:9" x14ac:dyDescent="0.2">
      <c r="I100" s="136"/>
    </row>
    <row r="101" spans="9:9" x14ac:dyDescent="0.2">
      <c r="I101" s="136"/>
    </row>
    <row r="102" spans="9:9" x14ac:dyDescent="0.2">
      <c r="I102" s="136"/>
    </row>
    <row r="103" spans="9:9" x14ac:dyDescent="0.2">
      <c r="I103" s="136"/>
    </row>
    <row r="104" spans="9:9" x14ac:dyDescent="0.2">
      <c r="I104" s="136"/>
    </row>
    <row r="105" spans="9:9" x14ac:dyDescent="0.2">
      <c r="I105" s="136"/>
    </row>
    <row r="106" spans="9:9" x14ac:dyDescent="0.2">
      <c r="I106" s="136"/>
    </row>
    <row r="107" spans="9:9" x14ac:dyDescent="0.2">
      <c r="I107" s="136"/>
    </row>
    <row r="108" spans="9:9" x14ac:dyDescent="0.2">
      <c r="I108" s="136"/>
    </row>
    <row r="109" spans="9:9" x14ac:dyDescent="0.2">
      <c r="I109" s="136"/>
    </row>
    <row r="110" spans="9:9" x14ac:dyDescent="0.2">
      <c r="I110" s="136"/>
    </row>
    <row r="111" spans="9:9" x14ac:dyDescent="0.2">
      <c r="I111" s="136"/>
    </row>
    <row r="112" spans="9:9" x14ac:dyDescent="0.2">
      <c r="I112" s="136"/>
    </row>
    <row r="113" spans="9:9" x14ac:dyDescent="0.2">
      <c r="I113" s="136"/>
    </row>
    <row r="114" spans="9:9" x14ac:dyDescent="0.2">
      <c r="I114" s="136"/>
    </row>
    <row r="115" spans="9:9" x14ac:dyDescent="0.2">
      <c r="I115" s="136"/>
    </row>
  </sheetData>
  <mergeCells count="21">
    <mergeCell ref="N50:N51"/>
    <mergeCell ref="A52:F52"/>
    <mergeCell ref="A65:F65"/>
    <mergeCell ref="A7:B7"/>
    <mergeCell ref="C7:H7"/>
    <mergeCell ref="D9:F9"/>
    <mergeCell ref="A11:G11"/>
    <mergeCell ref="A26:F26"/>
    <mergeCell ref="A39:F39"/>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84"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5751-1CCD-43A4-849A-7705419AAE4B}">
  <sheetPr>
    <pageSetUpPr fitToPage="1"/>
  </sheetPr>
  <dimension ref="A1:L122"/>
  <sheetViews>
    <sheetView showGridLines="0" tabSelected="1" view="pageBreakPreview" zoomScale="106" zoomScaleNormal="60" zoomScaleSheetLayoutView="106" workbookViewId="0">
      <pane ySplit="10" topLeftCell="A11" activePane="bottomLeft" state="frozen"/>
      <selection activeCell="N106" sqref="N106"/>
      <selection pane="bottomLeft" activeCell="N106" sqref="N106"/>
    </sheetView>
  </sheetViews>
  <sheetFormatPr defaultColWidth="8.88671875" defaultRowHeight="12.75" x14ac:dyDescent="0.2"/>
  <cols>
    <col min="1" max="1" width="10.77734375" style="2" customWidth="1"/>
    <col min="2" max="2" width="8.77734375" style="2" customWidth="1"/>
    <col min="3" max="3" width="10.77734375" style="2" customWidth="1"/>
    <col min="4" max="4" width="9.6640625" style="2" bestFit="1" customWidth="1"/>
    <col min="5" max="5" width="9.77734375" style="2" bestFit="1" customWidth="1"/>
    <col min="6" max="6" width="6.21875" style="2" bestFit="1" customWidth="1"/>
    <col min="7" max="7" width="17" style="2" customWidth="1"/>
    <col min="8" max="8" width="11.21875" style="2" bestFit="1" customWidth="1"/>
    <col min="9" max="9" width="15.109375" style="2" bestFit="1" customWidth="1"/>
    <col min="10" max="10" width="16.21875" style="2" bestFit="1" customWidth="1"/>
    <col min="11" max="11" width="11.21875" style="2" customWidth="1"/>
    <col min="12" max="12" width="10.33203125" style="2" bestFit="1" customWidth="1"/>
    <col min="13" max="16384" width="8.88671875" style="2"/>
  </cols>
  <sheetData>
    <row r="1" spans="1:12" x14ac:dyDescent="0.2">
      <c r="A1" s="138" t="s">
        <v>58</v>
      </c>
      <c r="B1" s="139"/>
      <c r="C1" s="140" t="s">
        <v>59</v>
      </c>
      <c r="D1" s="140"/>
      <c r="E1" s="140"/>
      <c r="F1" s="140"/>
      <c r="G1" s="140"/>
      <c r="H1" s="141"/>
    </row>
    <row r="2" spans="1:12" x14ac:dyDescent="0.2">
      <c r="A2" s="142" t="s">
        <v>60</v>
      </c>
      <c r="B2" s="117"/>
      <c r="C2" s="118" t="s">
        <v>99</v>
      </c>
      <c r="D2" s="118"/>
      <c r="E2" s="118"/>
      <c r="F2" s="118"/>
      <c r="G2" s="118"/>
      <c r="H2" s="120"/>
    </row>
    <row r="3" spans="1:12" x14ac:dyDescent="0.2">
      <c r="A3" s="142" t="s">
        <v>62</v>
      </c>
      <c r="B3" s="117"/>
      <c r="C3" s="118" t="s">
        <v>100</v>
      </c>
      <c r="D3" s="118"/>
      <c r="E3" s="118"/>
      <c r="F3" s="118"/>
      <c r="G3" s="118"/>
      <c r="H3" s="120"/>
    </row>
    <row r="4" spans="1:12" x14ac:dyDescent="0.2">
      <c r="A4" s="142" t="s">
        <v>63</v>
      </c>
      <c r="B4" s="117"/>
      <c r="C4" s="143" t="s">
        <v>101</v>
      </c>
      <c r="D4" s="143"/>
      <c r="E4" s="143"/>
      <c r="F4" s="143"/>
      <c r="G4" s="143"/>
      <c r="H4" s="144"/>
    </row>
    <row r="5" spans="1:12" x14ac:dyDescent="0.2">
      <c r="A5" s="142" t="s">
        <v>65</v>
      </c>
      <c r="B5" s="117"/>
      <c r="C5" s="118" t="s">
        <v>102</v>
      </c>
      <c r="D5" s="118"/>
      <c r="E5" s="118"/>
      <c r="F5" s="118"/>
      <c r="G5" s="118"/>
      <c r="H5" s="120"/>
    </row>
    <row r="6" spans="1:12" x14ac:dyDescent="0.2">
      <c r="A6" s="142" t="s">
        <v>67</v>
      </c>
      <c r="B6" s="117"/>
      <c r="C6" s="118" t="s">
        <v>68</v>
      </c>
      <c r="D6" s="118"/>
      <c r="E6" s="118"/>
      <c r="F6" s="118"/>
      <c r="G6" s="118"/>
      <c r="H6" s="120"/>
    </row>
    <row r="7" spans="1:12" ht="28.5" customHeight="1" thickBot="1" x14ac:dyDescent="0.25">
      <c r="A7" s="145" t="s">
        <v>69</v>
      </c>
      <c r="B7" s="146"/>
      <c r="C7" s="147" t="s">
        <v>103</v>
      </c>
      <c r="D7" s="147"/>
      <c r="E7" s="147"/>
      <c r="F7" s="147"/>
      <c r="G7" s="147"/>
      <c r="H7" s="148"/>
    </row>
    <row r="8" spans="1:12" x14ac:dyDescent="0.2">
      <c r="A8" s="152"/>
      <c r="B8" s="152"/>
      <c r="C8" s="153"/>
      <c r="D8" s="153"/>
      <c r="E8" s="153"/>
      <c r="F8" s="153"/>
      <c r="G8" s="153"/>
      <c r="H8" s="153"/>
      <c r="J8" s="114"/>
    </row>
    <row r="9" spans="1:12" x14ac:dyDescent="0.2">
      <c r="A9" s="7"/>
      <c r="D9" s="128" t="s">
        <v>72</v>
      </c>
      <c r="E9" s="128"/>
      <c r="F9" s="128"/>
    </row>
    <row r="10" spans="1:12" s="10" customFormat="1" x14ac:dyDescent="0.2">
      <c r="A10" s="10" t="s">
        <v>22</v>
      </c>
      <c r="B10" s="10" t="s">
        <v>74</v>
      </c>
      <c r="C10" s="10" t="s">
        <v>51</v>
      </c>
      <c r="D10" s="10" t="s">
        <v>75</v>
      </c>
      <c r="E10" s="10" t="s">
        <v>76</v>
      </c>
      <c r="F10" s="10" t="s">
        <v>77</v>
      </c>
      <c r="G10" s="10" t="s">
        <v>78</v>
      </c>
      <c r="H10" s="10" t="s">
        <v>79</v>
      </c>
      <c r="I10" s="3" t="s">
        <v>80</v>
      </c>
      <c r="J10" s="3" t="s">
        <v>81</v>
      </c>
      <c r="K10" s="3" t="s">
        <v>82</v>
      </c>
      <c r="L10" s="3" t="s">
        <v>83</v>
      </c>
    </row>
    <row r="11" spans="1:12" hidden="1" x14ac:dyDescent="0.2">
      <c r="A11" s="131" t="s">
        <v>84</v>
      </c>
      <c r="B11" s="131"/>
      <c r="C11" s="131"/>
      <c r="D11" s="131"/>
      <c r="E11" s="131"/>
      <c r="F11" s="131"/>
      <c r="G11" s="131"/>
      <c r="H11" s="2">
        <v>1561129.49</v>
      </c>
      <c r="K11" s="115"/>
      <c r="L11" s="133"/>
    </row>
    <row r="12" spans="1:12" hidden="1" x14ac:dyDescent="0.2">
      <c r="A12" s="154">
        <f>'FERC Interest Rates'!A20</f>
        <v>41608</v>
      </c>
      <c r="B12" s="159"/>
      <c r="C12" s="96"/>
      <c r="D12" s="2">
        <v>18496</v>
      </c>
      <c r="H12" s="2">
        <f t="shared" ref="H12:H23" si="0">H11+SUM(D12:G12)</f>
        <v>1579625.49</v>
      </c>
      <c r="K12" s="115"/>
      <c r="L12" s="133"/>
    </row>
    <row r="13" spans="1:12" hidden="1" x14ac:dyDescent="0.2">
      <c r="A13" s="154">
        <f>'FERC Interest Rates'!A21</f>
        <v>41639</v>
      </c>
      <c r="B13" s="159"/>
      <c r="C13" s="96"/>
      <c r="D13" s="2">
        <v>445761.54</v>
      </c>
      <c r="H13" s="2">
        <f t="shared" si="0"/>
        <v>2025387.03</v>
      </c>
      <c r="I13" s="115" t="s">
        <v>104</v>
      </c>
      <c r="J13" s="115" t="s">
        <v>104</v>
      </c>
      <c r="K13" s="115" t="s">
        <v>85</v>
      </c>
      <c r="L13" s="133">
        <v>41690</v>
      </c>
    </row>
    <row r="14" spans="1:12" hidden="1" x14ac:dyDescent="0.2">
      <c r="A14" s="154">
        <f>'FERC Interest Rates'!A22</f>
        <v>41670</v>
      </c>
      <c r="B14" s="159"/>
      <c r="C14" s="96"/>
      <c r="D14" s="2">
        <v>132734.78</v>
      </c>
      <c r="H14" s="2">
        <f t="shared" si="0"/>
        <v>2158121.81</v>
      </c>
      <c r="K14" s="115"/>
      <c r="L14" s="133"/>
    </row>
    <row r="15" spans="1:12" hidden="1" x14ac:dyDescent="0.2">
      <c r="A15" s="154">
        <f>'FERC Interest Rates'!A23</f>
        <v>41698</v>
      </c>
      <c r="B15" s="159"/>
      <c r="C15" s="96"/>
      <c r="D15" s="2">
        <v>0</v>
      </c>
      <c r="H15" s="2">
        <f t="shared" si="0"/>
        <v>2158121.81</v>
      </c>
      <c r="K15" s="115"/>
      <c r="L15" s="133"/>
    </row>
    <row r="16" spans="1:12" hidden="1" x14ac:dyDescent="0.2">
      <c r="A16" s="154">
        <f>'FERC Interest Rates'!A24</f>
        <v>41729</v>
      </c>
      <c r="B16" s="159"/>
      <c r="C16" s="96"/>
      <c r="D16" s="2">
        <v>0</v>
      </c>
      <c r="H16" s="2">
        <f t="shared" si="0"/>
        <v>2158121.81</v>
      </c>
      <c r="K16" s="115"/>
      <c r="L16" s="133"/>
    </row>
    <row r="17" spans="1:12" hidden="1" x14ac:dyDescent="0.2">
      <c r="A17" s="154">
        <f>'FERC Interest Rates'!A25</f>
        <v>41759</v>
      </c>
      <c r="B17" s="159"/>
      <c r="C17" s="96"/>
      <c r="D17" s="2">
        <v>164688.67000000001</v>
      </c>
      <c r="H17" s="2">
        <f t="shared" si="0"/>
        <v>2322810.48</v>
      </c>
      <c r="K17" s="115"/>
      <c r="L17" s="133"/>
    </row>
    <row r="18" spans="1:12" hidden="1" x14ac:dyDescent="0.2">
      <c r="A18" s="154">
        <f>'FERC Interest Rates'!A26</f>
        <v>41790</v>
      </c>
      <c r="B18" s="159"/>
      <c r="C18" s="96"/>
      <c r="D18" s="2">
        <v>61067.51</v>
      </c>
      <c r="H18" s="2">
        <f t="shared" si="0"/>
        <v>2383877.9899999998</v>
      </c>
      <c r="K18" s="115"/>
      <c r="L18" s="133"/>
    </row>
    <row r="19" spans="1:12" hidden="1" x14ac:dyDescent="0.2">
      <c r="A19" s="154">
        <f>'FERC Interest Rates'!A27</f>
        <v>41820</v>
      </c>
      <c r="B19" s="159"/>
      <c r="C19" s="96"/>
      <c r="D19" s="2">
        <v>0</v>
      </c>
      <c r="H19" s="2">
        <f t="shared" si="0"/>
        <v>2383877.9899999998</v>
      </c>
      <c r="K19" s="115"/>
      <c r="L19" s="133"/>
    </row>
    <row r="20" spans="1:12" hidden="1" x14ac:dyDescent="0.2">
      <c r="A20" s="154">
        <f>'FERC Interest Rates'!A28</f>
        <v>41851</v>
      </c>
      <c r="B20" s="159"/>
      <c r="C20" s="96"/>
      <c r="D20" s="2">
        <v>0</v>
      </c>
      <c r="H20" s="2">
        <f t="shared" si="0"/>
        <v>2383877.9899999998</v>
      </c>
      <c r="K20" s="115"/>
      <c r="L20" s="133"/>
    </row>
    <row r="21" spans="1:12" hidden="1" x14ac:dyDescent="0.2">
      <c r="A21" s="154">
        <f>'FERC Interest Rates'!A29</f>
        <v>41882</v>
      </c>
      <c r="B21" s="159"/>
      <c r="C21" s="96"/>
      <c r="D21" s="2">
        <v>411216.08</v>
      </c>
      <c r="H21" s="2">
        <f t="shared" si="0"/>
        <v>2795094.07</v>
      </c>
      <c r="K21" s="115"/>
      <c r="L21" s="133"/>
    </row>
    <row r="22" spans="1:12" hidden="1" x14ac:dyDescent="0.2">
      <c r="A22" s="154">
        <f>'FERC Interest Rates'!A30</f>
        <v>41912</v>
      </c>
      <c r="B22" s="159"/>
      <c r="C22" s="96"/>
      <c r="D22" s="2">
        <v>0</v>
      </c>
      <c r="H22" s="2">
        <f t="shared" si="0"/>
        <v>2795094.07</v>
      </c>
      <c r="K22" s="115"/>
      <c r="L22" s="133"/>
    </row>
    <row r="23" spans="1:12" hidden="1" x14ac:dyDescent="0.2">
      <c r="A23" s="154">
        <f>'FERC Interest Rates'!A31</f>
        <v>41943</v>
      </c>
      <c r="B23" s="159"/>
      <c r="C23" s="96"/>
      <c r="D23" s="2">
        <v>0</v>
      </c>
      <c r="H23" s="2">
        <f t="shared" si="0"/>
        <v>2795094.07</v>
      </c>
      <c r="K23" s="115"/>
      <c r="L23" s="133"/>
    </row>
    <row r="24" spans="1:12" hidden="1" x14ac:dyDescent="0.2">
      <c r="A24" s="154"/>
      <c r="B24" s="159"/>
      <c r="C24" s="96"/>
      <c r="K24" s="115"/>
      <c r="L24" s="133"/>
    </row>
    <row r="25" spans="1:12" hidden="1" x14ac:dyDescent="0.2">
      <c r="A25" s="154">
        <f>'FERC Interest Rates'!A32</f>
        <v>41973</v>
      </c>
      <c r="B25" s="159"/>
      <c r="C25" s="96"/>
      <c r="D25" s="2">
        <v>70700.33</v>
      </c>
      <c r="H25" s="2">
        <f>H23+SUM(D25:G25)</f>
        <v>2865794.4</v>
      </c>
      <c r="K25" s="115"/>
      <c r="L25" s="133"/>
    </row>
    <row r="26" spans="1:12" hidden="1" x14ac:dyDescent="0.2">
      <c r="A26" s="154">
        <f>'FERC Interest Rates'!A33</f>
        <v>42004</v>
      </c>
      <c r="B26" s="159"/>
      <c r="C26" s="96"/>
      <c r="D26" s="2">
        <v>375</v>
      </c>
      <c r="H26" s="2">
        <f>H25+SUM(D26:G26)</f>
        <v>2866169.4</v>
      </c>
      <c r="K26" s="115"/>
      <c r="L26" s="133"/>
    </row>
    <row r="27" spans="1:12" hidden="1" x14ac:dyDescent="0.2">
      <c r="A27" s="154">
        <f>'FERC Interest Rates'!A34</f>
        <v>42035</v>
      </c>
      <c r="B27" s="159"/>
      <c r="C27" s="96"/>
      <c r="D27" s="2">
        <v>64785.25</v>
      </c>
      <c r="H27" s="2">
        <f t="shared" ref="H27:H83" si="1">H26+SUM(D27:G27)</f>
        <v>2930954.65</v>
      </c>
      <c r="K27" s="115"/>
      <c r="L27" s="133"/>
    </row>
    <row r="28" spans="1:12" hidden="1" x14ac:dyDescent="0.2">
      <c r="A28" s="154">
        <f>'FERC Interest Rates'!A35</f>
        <v>42063</v>
      </c>
      <c r="B28" s="159"/>
      <c r="C28" s="96"/>
      <c r="D28" s="2">
        <v>0</v>
      </c>
      <c r="H28" s="2">
        <f t="shared" si="1"/>
        <v>2930954.65</v>
      </c>
      <c r="K28" s="115"/>
      <c r="L28" s="133"/>
    </row>
    <row r="29" spans="1:12" hidden="1" x14ac:dyDescent="0.2">
      <c r="A29" s="154">
        <f>'FERC Interest Rates'!A36</f>
        <v>42094</v>
      </c>
      <c r="B29" s="159"/>
      <c r="C29" s="96"/>
      <c r="D29" s="2">
        <v>46236.06</v>
      </c>
      <c r="H29" s="2">
        <f t="shared" si="1"/>
        <v>2977190.71</v>
      </c>
      <c r="K29" s="115"/>
      <c r="L29" s="133"/>
    </row>
    <row r="30" spans="1:12" hidden="1" x14ac:dyDescent="0.2">
      <c r="A30" s="154">
        <f>'FERC Interest Rates'!A37</f>
        <v>42124</v>
      </c>
      <c r="B30" s="159"/>
      <c r="C30" s="96"/>
      <c r="D30" s="2">
        <v>0</v>
      </c>
      <c r="H30" s="2">
        <f t="shared" si="1"/>
        <v>2977190.71</v>
      </c>
      <c r="K30" s="115"/>
      <c r="L30" s="133"/>
    </row>
    <row r="31" spans="1:12" hidden="1" x14ac:dyDescent="0.2">
      <c r="A31" s="154">
        <f>'FERC Interest Rates'!A38</f>
        <v>42155</v>
      </c>
      <c r="B31" s="159"/>
      <c r="C31" s="96"/>
      <c r="D31" s="2">
        <v>95291.22</v>
      </c>
      <c r="H31" s="2">
        <f t="shared" si="1"/>
        <v>3072481.93</v>
      </c>
      <c r="K31" s="115"/>
      <c r="L31" s="133"/>
    </row>
    <row r="32" spans="1:12" hidden="1" x14ac:dyDescent="0.2">
      <c r="A32" s="154">
        <f>'FERC Interest Rates'!A39</f>
        <v>42185</v>
      </c>
      <c r="B32" s="159"/>
      <c r="C32" s="96"/>
      <c r="D32" s="2">
        <v>31332</v>
      </c>
      <c r="H32" s="2">
        <f t="shared" si="1"/>
        <v>3103813.93</v>
      </c>
      <c r="K32" s="115"/>
      <c r="L32" s="133"/>
    </row>
    <row r="33" spans="1:12" hidden="1" x14ac:dyDescent="0.2">
      <c r="A33" s="154">
        <f>'FERC Interest Rates'!A40</f>
        <v>42216</v>
      </c>
      <c r="B33" s="159"/>
      <c r="C33" s="96"/>
      <c r="D33" s="2">
        <v>11728.75</v>
      </c>
      <c r="H33" s="2">
        <f t="shared" si="1"/>
        <v>3115542.68</v>
      </c>
      <c r="K33" s="115"/>
      <c r="L33" s="133"/>
    </row>
    <row r="34" spans="1:12" hidden="1" x14ac:dyDescent="0.2">
      <c r="A34" s="154">
        <f>'FERC Interest Rates'!A41</f>
        <v>42247</v>
      </c>
      <c r="B34" s="159"/>
      <c r="C34" s="96"/>
      <c r="D34" s="2">
        <v>97584.58</v>
      </c>
      <c r="H34" s="2">
        <f t="shared" si="1"/>
        <v>3213127.2600000002</v>
      </c>
      <c r="K34" s="115"/>
      <c r="L34" s="133"/>
    </row>
    <row r="35" spans="1:12" hidden="1" x14ac:dyDescent="0.2">
      <c r="A35" s="154">
        <f>'FERC Interest Rates'!A42</f>
        <v>42277</v>
      </c>
      <c r="B35" s="159"/>
      <c r="C35" s="96"/>
      <c r="D35" s="2">
        <v>10794.14</v>
      </c>
      <c r="H35" s="2">
        <f t="shared" si="1"/>
        <v>3223921.4000000004</v>
      </c>
      <c r="K35" s="115"/>
      <c r="L35" s="133"/>
    </row>
    <row r="36" spans="1:12" hidden="1" x14ac:dyDescent="0.2">
      <c r="A36" s="154">
        <f>'FERC Interest Rates'!A43</f>
        <v>42308</v>
      </c>
      <c r="B36" s="159"/>
      <c r="C36" s="96"/>
      <c r="D36" s="2">
        <v>7169.98</v>
      </c>
      <c r="H36" s="2">
        <f t="shared" si="1"/>
        <v>3231091.3800000004</v>
      </c>
      <c r="K36" s="115"/>
      <c r="L36" s="133"/>
    </row>
    <row r="37" spans="1:12" hidden="1" x14ac:dyDescent="0.2">
      <c r="A37" s="154">
        <f>'FERC Interest Rates'!A44</f>
        <v>42338</v>
      </c>
      <c r="B37" s="159"/>
      <c r="C37" s="96"/>
      <c r="D37" s="2">
        <v>20721.48</v>
      </c>
      <c r="H37" s="2">
        <f t="shared" si="1"/>
        <v>3251812.8600000003</v>
      </c>
      <c r="K37" s="115"/>
      <c r="L37" s="133"/>
    </row>
    <row r="38" spans="1:12" hidden="1" x14ac:dyDescent="0.2">
      <c r="A38" s="154">
        <f>'FERC Interest Rates'!A45</f>
        <v>42369</v>
      </c>
      <c r="B38" s="159"/>
      <c r="C38" s="96"/>
      <c r="D38" s="2">
        <v>63879.35</v>
      </c>
      <c r="H38" s="2">
        <f t="shared" si="1"/>
        <v>3315692.2100000004</v>
      </c>
      <c r="K38" s="115"/>
      <c r="L38" s="133"/>
    </row>
    <row r="39" spans="1:12" hidden="1" x14ac:dyDescent="0.2">
      <c r="A39" s="154">
        <f>'FERC Interest Rates'!A46</f>
        <v>42400</v>
      </c>
      <c r="B39" s="159"/>
      <c r="C39" s="96"/>
      <c r="D39" s="2">
        <v>50825.77</v>
      </c>
      <c r="H39" s="2">
        <f t="shared" si="1"/>
        <v>3366517.9800000004</v>
      </c>
      <c r="K39" s="115"/>
      <c r="L39" s="133"/>
    </row>
    <row r="40" spans="1:12" hidden="1" x14ac:dyDescent="0.2">
      <c r="A40" s="154">
        <f>'FERC Interest Rates'!A47</f>
        <v>42429</v>
      </c>
      <c r="B40" s="159"/>
      <c r="C40" s="96"/>
      <c r="D40" s="2">
        <v>1291.75</v>
      </c>
      <c r="H40" s="2">
        <f t="shared" si="1"/>
        <v>3367809.7300000004</v>
      </c>
      <c r="K40" s="115"/>
      <c r="L40" s="133"/>
    </row>
    <row r="41" spans="1:12" hidden="1" x14ac:dyDescent="0.2">
      <c r="A41" s="154">
        <f>'FERC Interest Rates'!A48</f>
        <v>42460</v>
      </c>
      <c r="B41" s="159"/>
      <c r="C41" s="96"/>
      <c r="D41" s="2">
        <v>42972.18</v>
      </c>
      <c r="H41" s="2">
        <f t="shared" si="1"/>
        <v>3410781.9100000006</v>
      </c>
      <c r="K41" s="115"/>
      <c r="L41" s="133"/>
    </row>
    <row r="42" spans="1:12" hidden="1" x14ac:dyDescent="0.2">
      <c r="A42" s="154">
        <f>'FERC Interest Rates'!A49</f>
        <v>42490</v>
      </c>
      <c r="B42" s="159"/>
      <c r="C42" s="96"/>
      <c r="D42" s="2">
        <v>26863.82</v>
      </c>
      <c r="H42" s="2">
        <f t="shared" si="1"/>
        <v>3437645.7300000004</v>
      </c>
      <c r="K42" s="115"/>
      <c r="L42" s="133"/>
    </row>
    <row r="43" spans="1:12" hidden="1" x14ac:dyDescent="0.2">
      <c r="A43" s="154">
        <f>'FERC Interest Rates'!A50</f>
        <v>42521</v>
      </c>
      <c r="B43" s="159"/>
      <c r="C43" s="96"/>
      <c r="D43" s="2">
        <v>55065.13</v>
      </c>
      <c r="H43" s="2">
        <f t="shared" si="1"/>
        <v>3492710.8600000003</v>
      </c>
      <c r="K43" s="115"/>
      <c r="L43" s="133"/>
    </row>
    <row r="44" spans="1:12" hidden="1" x14ac:dyDescent="0.2">
      <c r="A44" s="154">
        <f>'FERC Interest Rates'!A51</f>
        <v>42551</v>
      </c>
      <c r="B44" s="159"/>
      <c r="C44" s="96"/>
      <c r="D44" s="2">
        <v>-284137.8</v>
      </c>
      <c r="H44" s="2">
        <f t="shared" si="1"/>
        <v>3208573.0600000005</v>
      </c>
      <c r="K44" s="115"/>
      <c r="L44" s="133"/>
    </row>
    <row r="45" spans="1:12" hidden="1" x14ac:dyDescent="0.2">
      <c r="A45" s="154">
        <f>'FERC Interest Rates'!A52</f>
        <v>42582</v>
      </c>
      <c r="B45" s="159"/>
      <c r="C45" s="96"/>
      <c r="D45" s="2">
        <v>-101619.41</v>
      </c>
      <c r="H45" s="2">
        <f t="shared" si="1"/>
        <v>3106953.6500000004</v>
      </c>
      <c r="K45" s="115"/>
      <c r="L45" s="133"/>
    </row>
    <row r="46" spans="1:12" hidden="1" x14ac:dyDescent="0.2">
      <c r="A46" s="154">
        <f>'FERC Interest Rates'!A53</f>
        <v>42613</v>
      </c>
      <c r="B46" s="159"/>
      <c r="C46" s="96"/>
      <c r="D46" s="2">
        <v>94859</v>
      </c>
      <c r="H46" s="2">
        <f t="shared" si="1"/>
        <v>3201812.6500000004</v>
      </c>
      <c r="K46" s="115"/>
      <c r="L46" s="133"/>
    </row>
    <row r="47" spans="1:12" hidden="1" x14ac:dyDescent="0.2">
      <c r="A47" s="154">
        <f>'FERC Interest Rates'!A54</f>
        <v>42643</v>
      </c>
      <c r="B47" s="159"/>
      <c r="C47" s="96"/>
      <c r="D47" s="2">
        <v>63322.83</v>
      </c>
      <c r="H47" s="2">
        <f t="shared" si="1"/>
        <v>3265135.4800000004</v>
      </c>
      <c r="K47" s="115"/>
      <c r="L47" s="133"/>
    </row>
    <row r="48" spans="1:12" hidden="1" x14ac:dyDescent="0.2">
      <c r="A48" s="154">
        <f>'FERC Interest Rates'!A55</f>
        <v>42674</v>
      </c>
      <c r="B48" s="159"/>
      <c r="C48" s="96"/>
      <c r="D48" s="2">
        <v>37300.550000000003</v>
      </c>
      <c r="H48" s="2">
        <f t="shared" si="1"/>
        <v>3302436.0300000003</v>
      </c>
      <c r="K48" s="115"/>
      <c r="L48" s="133"/>
    </row>
    <row r="49" spans="1:12" hidden="1" x14ac:dyDescent="0.2">
      <c r="A49" s="154">
        <f>'FERC Interest Rates'!A56</f>
        <v>42704</v>
      </c>
      <c r="B49" s="159"/>
      <c r="C49" s="96"/>
      <c r="D49" s="2">
        <v>52672.08</v>
      </c>
      <c r="H49" s="2">
        <f t="shared" si="1"/>
        <v>3355108.1100000003</v>
      </c>
      <c r="K49" s="115"/>
      <c r="L49" s="133"/>
    </row>
    <row r="50" spans="1:12" hidden="1" x14ac:dyDescent="0.2">
      <c r="A50" s="154">
        <f>'FERC Interest Rates'!A57</f>
        <v>42735</v>
      </c>
      <c r="B50" s="159"/>
      <c r="C50" s="96"/>
      <c r="D50" s="2">
        <v>19398.919999999998</v>
      </c>
      <c r="H50" s="2">
        <f t="shared" si="1"/>
        <v>3374507.0300000003</v>
      </c>
      <c r="K50" s="115"/>
      <c r="L50" s="133"/>
    </row>
    <row r="51" spans="1:12" hidden="1" x14ac:dyDescent="0.2">
      <c r="A51" s="154">
        <f>'FERC Interest Rates'!A58</f>
        <v>42766</v>
      </c>
      <c r="B51" s="159"/>
      <c r="C51" s="96"/>
      <c r="D51" s="2">
        <v>34540.6</v>
      </c>
      <c r="H51" s="2">
        <f t="shared" si="1"/>
        <v>3409047.6300000004</v>
      </c>
      <c r="K51" s="115"/>
      <c r="L51" s="133"/>
    </row>
    <row r="52" spans="1:12" hidden="1" x14ac:dyDescent="0.2">
      <c r="A52" s="154">
        <f>'FERC Interest Rates'!A59</f>
        <v>42794</v>
      </c>
      <c r="B52" s="159"/>
      <c r="C52" s="96"/>
      <c r="D52" s="2">
        <v>-418947.67</v>
      </c>
      <c r="H52" s="2">
        <f t="shared" si="1"/>
        <v>2990099.9600000004</v>
      </c>
      <c r="K52" s="115"/>
      <c r="L52" s="133"/>
    </row>
    <row r="53" spans="1:12" hidden="1" x14ac:dyDescent="0.2">
      <c r="A53" s="154">
        <f>'FERC Interest Rates'!A60</f>
        <v>42825</v>
      </c>
      <c r="B53" s="159"/>
      <c r="C53" s="96"/>
      <c r="D53" s="2">
        <v>60038.36</v>
      </c>
      <c r="H53" s="2">
        <f t="shared" si="1"/>
        <v>3050138.3200000003</v>
      </c>
      <c r="K53" s="115"/>
      <c r="L53" s="133"/>
    </row>
    <row r="54" spans="1:12" hidden="1" x14ac:dyDescent="0.2">
      <c r="A54" s="154">
        <f>'FERC Interest Rates'!A61</f>
        <v>42855</v>
      </c>
      <c r="B54" s="159"/>
      <c r="C54" s="96"/>
      <c r="D54" s="2">
        <v>-510619.67</v>
      </c>
      <c r="H54" s="2">
        <f t="shared" si="1"/>
        <v>2539518.6500000004</v>
      </c>
      <c r="K54" s="115"/>
      <c r="L54" s="133"/>
    </row>
    <row r="55" spans="1:12" hidden="1" x14ac:dyDescent="0.2">
      <c r="A55" s="154">
        <f>'FERC Interest Rates'!A62</f>
        <v>42886</v>
      </c>
      <c r="B55" s="159"/>
      <c r="C55" s="96"/>
      <c r="D55" s="2">
        <v>-82959.19</v>
      </c>
      <c r="H55" s="2">
        <f t="shared" si="1"/>
        <v>2456559.4600000004</v>
      </c>
      <c r="K55" s="115"/>
      <c r="L55" s="133"/>
    </row>
    <row r="56" spans="1:12" hidden="1" x14ac:dyDescent="0.2">
      <c r="A56" s="154">
        <f>'FERC Interest Rates'!A63</f>
        <v>42916</v>
      </c>
      <c r="B56" s="159"/>
      <c r="C56" s="96"/>
      <c r="D56" s="2">
        <v>17313.11</v>
      </c>
      <c r="H56" s="2">
        <f t="shared" si="1"/>
        <v>2473872.5700000003</v>
      </c>
      <c r="K56" s="115"/>
      <c r="L56" s="133"/>
    </row>
    <row r="57" spans="1:12" hidden="1" x14ac:dyDescent="0.2">
      <c r="A57" s="154">
        <f>'FERC Interest Rates'!A64</f>
        <v>42947</v>
      </c>
      <c r="B57" s="159"/>
      <c r="C57" s="96"/>
      <c r="D57" s="2">
        <v>154607.78</v>
      </c>
      <c r="H57" s="2">
        <f t="shared" si="1"/>
        <v>2628480.35</v>
      </c>
      <c r="K57" s="115"/>
      <c r="L57" s="133"/>
    </row>
    <row r="58" spans="1:12" hidden="1" x14ac:dyDescent="0.2">
      <c r="A58" s="154">
        <f>'FERC Interest Rates'!A65</f>
        <v>42978</v>
      </c>
      <c r="B58" s="159"/>
      <c r="C58" s="96"/>
      <c r="D58" s="2">
        <v>81561.8</v>
      </c>
      <c r="H58" s="2">
        <f t="shared" si="1"/>
        <v>2710042.15</v>
      </c>
      <c r="K58" s="115"/>
      <c r="L58" s="133"/>
    </row>
    <row r="59" spans="1:12" hidden="1" x14ac:dyDescent="0.2">
      <c r="A59" s="154">
        <f>'FERC Interest Rates'!A66</f>
        <v>43008</v>
      </c>
      <c r="B59" s="159"/>
      <c r="C59" s="96"/>
      <c r="D59" s="2">
        <v>204939.67</v>
      </c>
      <c r="H59" s="2">
        <f t="shared" si="1"/>
        <v>2914981.82</v>
      </c>
      <c r="K59" s="115"/>
      <c r="L59" s="133"/>
    </row>
    <row r="60" spans="1:12" hidden="1" x14ac:dyDescent="0.2">
      <c r="A60" s="154">
        <f>'FERC Interest Rates'!A67</f>
        <v>43039</v>
      </c>
      <c r="B60" s="159"/>
      <c r="C60" s="96"/>
      <c r="D60" s="2">
        <v>657073.1</v>
      </c>
      <c r="H60" s="2">
        <f t="shared" si="1"/>
        <v>3572054.92</v>
      </c>
      <c r="K60" s="115"/>
      <c r="L60" s="133"/>
    </row>
    <row r="61" spans="1:12" hidden="1" x14ac:dyDescent="0.2">
      <c r="A61" s="154">
        <f>'FERC Interest Rates'!A68</f>
        <v>43069</v>
      </c>
      <c r="B61" s="159"/>
      <c r="C61" s="96"/>
      <c r="D61" s="2">
        <v>126911.39</v>
      </c>
      <c r="H61" s="2">
        <f t="shared" si="1"/>
        <v>3698966.31</v>
      </c>
      <c r="K61" s="115"/>
      <c r="L61" s="133"/>
    </row>
    <row r="62" spans="1:12" hidden="1" x14ac:dyDescent="0.2">
      <c r="A62" s="154">
        <f>'FERC Interest Rates'!A69</f>
        <v>43100</v>
      </c>
      <c r="B62" s="159"/>
      <c r="C62" s="96"/>
      <c r="D62" s="2">
        <v>231337.86</v>
      </c>
      <c r="H62" s="2">
        <f t="shared" si="1"/>
        <v>3930304.17</v>
      </c>
      <c r="K62" s="115"/>
      <c r="L62" s="133"/>
    </row>
    <row r="63" spans="1:12" hidden="1" x14ac:dyDescent="0.2">
      <c r="A63" s="154">
        <f>'FERC Interest Rates'!A70</f>
        <v>43131</v>
      </c>
      <c r="B63" s="159"/>
      <c r="C63" s="96"/>
      <c r="D63" s="2">
        <f>3344.38-11535.01</f>
        <v>-8190.63</v>
      </c>
      <c r="H63" s="2">
        <f t="shared" si="1"/>
        <v>3922113.54</v>
      </c>
      <c r="K63" s="115"/>
      <c r="L63" s="133"/>
    </row>
    <row r="64" spans="1:12" hidden="1" x14ac:dyDescent="0.2">
      <c r="A64" s="154">
        <f>'FERC Interest Rates'!A71</f>
        <v>43159</v>
      </c>
      <c r="B64" s="159"/>
      <c r="C64" s="96"/>
      <c r="D64" s="2">
        <f>99819.67+3034.6-27553.77</f>
        <v>75300.5</v>
      </c>
      <c r="H64" s="2">
        <f t="shared" si="1"/>
        <v>3997414.04</v>
      </c>
      <c r="K64" s="115"/>
      <c r="L64" s="133"/>
    </row>
    <row r="65" spans="1:12" hidden="1" x14ac:dyDescent="0.2">
      <c r="A65" s="154">
        <f>'FERC Interest Rates'!A72</f>
        <v>43190</v>
      </c>
      <c r="B65" s="159"/>
      <c r="C65" s="96"/>
      <c r="D65" s="2">
        <f>17015.64-91926.63</f>
        <v>-74910.990000000005</v>
      </c>
      <c r="H65" s="2">
        <f t="shared" si="1"/>
        <v>3922503.05</v>
      </c>
      <c r="K65" s="115"/>
      <c r="L65" s="133"/>
    </row>
    <row r="66" spans="1:12" hidden="1" x14ac:dyDescent="0.2">
      <c r="A66" s="154">
        <f>'FERC Interest Rates'!A73</f>
        <v>43220</v>
      </c>
      <c r="B66" s="159"/>
      <c r="C66" s="96"/>
      <c r="D66" s="2">
        <f>28467.42+185683.64</f>
        <v>214151.06</v>
      </c>
      <c r="H66" s="2">
        <f t="shared" si="1"/>
        <v>4136654.11</v>
      </c>
      <c r="K66" s="115"/>
      <c r="L66" s="133"/>
    </row>
    <row r="67" spans="1:12" hidden="1" x14ac:dyDescent="0.2">
      <c r="A67" s="154">
        <f>'FERC Interest Rates'!A74</f>
        <v>43251</v>
      </c>
      <c r="B67" s="159"/>
      <c r="C67" s="96"/>
      <c r="D67" s="2">
        <f>-93154.26+86445.4</f>
        <v>-6708.8600000000006</v>
      </c>
      <c r="H67" s="2">
        <f t="shared" si="1"/>
        <v>4129945.25</v>
      </c>
      <c r="K67" s="115"/>
      <c r="L67" s="133"/>
    </row>
    <row r="68" spans="1:12" hidden="1" x14ac:dyDescent="0.2">
      <c r="A68" s="154">
        <f>'FERC Interest Rates'!A75</f>
        <v>43281</v>
      </c>
      <c r="B68" s="159"/>
      <c r="C68" s="96"/>
      <c r="D68" s="2">
        <f>0+109220.73</f>
        <v>109220.73</v>
      </c>
      <c r="H68" s="2">
        <f t="shared" si="1"/>
        <v>4239165.9800000004</v>
      </c>
      <c r="K68" s="115"/>
      <c r="L68" s="133"/>
    </row>
    <row r="69" spans="1:12" hidden="1" x14ac:dyDescent="0.2">
      <c r="A69" s="154">
        <f>'FERC Interest Rates'!A76</f>
        <v>43312</v>
      </c>
      <c r="B69" s="159"/>
      <c r="C69" s="96"/>
      <c r="D69" s="2">
        <f>3364.79+96680.36</f>
        <v>100045.15</v>
      </c>
      <c r="H69" s="2">
        <f t="shared" si="1"/>
        <v>4339211.1300000008</v>
      </c>
      <c r="K69" s="115"/>
      <c r="L69" s="133"/>
    </row>
    <row r="70" spans="1:12" hidden="1" x14ac:dyDescent="0.2">
      <c r="A70" s="154">
        <f>'FERC Interest Rates'!A77</f>
        <v>43343</v>
      </c>
      <c r="B70" s="159"/>
      <c r="C70" s="96"/>
      <c r="D70" s="2">
        <f>-645469.82+419388.57-13030.01</f>
        <v>-239111.25999999995</v>
      </c>
      <c r="H70" s="2">
        <f t="shared" si="1"/>
        <v>4100099.870000001</v>
      </c>
      <c r="K70" s="115"/>
      <c r="L70" s="133"/>
    </row>
    <row r="71" spans="1:12" hidden="1" x14ac:dyDescent="0.2">
      <c r="A71" s="154">
        <f>'FERC Interest Rates'!A78</f>
        <v>43373</v>
      </c>
      <c r="B71" s="159"/>
      <c r="C71" s="96"/>
      <c r="D71" s="2">
        <f>7786.5+93292.97</f>
        <v>101079.47</v>
      </c>
      <c r="H71" s="2">
        <f t="shared" si="1"/>
        <v>4201179.3400000008</v>
      </c>
      <c r="K71" s="115"/>
      <c r="L71" s="133"/>
    </row>
    <row r="72" spans="1:12" hidden="1" x14ac:dyDescent="0.2">
      <c r="A72" s="154">
        <f>'FERC Interest Rates'!A79</f>
        <v>43404</v>
      </c>
      <c r="B72" s="159"/>
      <c r="C72" s="96"/>
      <c r="D72" s="2">
        <f>-1442976.8+90606.51</f>
        <v>-1352370.29</v>
      </c>
      <c r="H72" s="2">
        <f t="shared" si="1"/>
        <v>2848809.0500000007</v>
      </c>
      <c r="K72" s="115"/>
      <c r="L72" s="133"/>
    </row>
    <row r="73" spans="1:12" x14ac:dyDescent="0.2">
      <c r="A73" s="154">
        <f>'FERC Interest Rates'!A80</f>
        <v>43434</v>
      </c>
      <c r="B73" s="160"/>
      <c r="C73" s="161"/>
      <c r="D73" s="2">
        <f>22093.5+131857.04</f>
        <v>153950.54</v>
      </c>
      <c r="H73" s="2">
        <f t="shared" si="1"/>
        <v>3002759.5900000008</v>
      </c>
      <c r="K73" s="115"/>
      <c r="L73" s="133"/>
    </row>
    <row r="74" spans="1:12" x14ac:dyDescent="0.2">
      <c r="A74" s="154">
        <f>'FERC Interest Rates'!A81</f>
        <v>43465</v>
      </c>
      <c r="B74" s="160"/>
      <c r="C74" s="161"/>
      <c r="D74" s="2">
        <f>0+160623.6</f>
        <v>160623.6</v>
      </c>
      <c r="H74" s="2">
        <f t="shared" si="1"/>
        <v>3163383.1900000009</v>
      </c>
      <c r="K74" s="115"/>
      <c r="L74" s="133"/>
    </row>
    <row r="75" spans="1:12" x14ac:dyDescent="0.2">
      <c r="A75" s="154">
        <f>'FERC Interest Rates'!A82</f>
        <v>43496</v>
      </c>
      <c r="B75" s="160"/>
      <c r="C75" s="161"/>
      <c r="D75" s="2">
        <f>31633.52+13740.18</f>
        <v>45373.7</v>
      </c>
      <c r="E75" s="132"/>
      <c r="F75" s="132"/>
      <c r="H75" s="2">
        <f t="shared" si="1"/>
        <v>3208756.8900000011</v>
      </c>
      <c r="J75" s="11" t="s">
        <v>105</v>
      </c>
      <c r="K75" s="2">
        <v>-6364769</v>
      </c>
    </row>
    <row r="76" spans="1:12" x14ac:dyDescent="0.2">
      <c r="A76" s="154">
        <f>'FERC Interest Rates'!A83</f>
        <v>43524</v>
      </c>
      <c r="B76" s="160"/>
      <c r="C76" s="161"/>
      <c r="D76" s="2">
        <f>2666+68480.25</f>
        <v>71146.25</v>
      </c>
      <c r="E76" s="132"/>
      <c r="F76" s="132"/>
      <c r="H76" s="2">
        <f t="shared" si="1"/>
        <v>3279903.1400000011</v>
      </c>
      <c r="J76" s="11" t="s">
        <v>106</v>
      </c>
      <c r="K76" s="2">
        <f>-4910000-1525000-290100-830000</f>
        <v>-7555100</v>
      </c>
    </row>
    <row r="77" spans="1:12" x14ac:dyDescent="0.2">
      <c r="A77" s="154">
        <f>'FERC Interest Rates'!A84</f>
        <v>43555</v>
      </c>
      <c r="B77" s="160"/>
      <c r="C77" s="161"/>
      <c r="D77" s="2">
        <f>-13614.21+113826.91</f>
        <v>100212.70000000001</v>
      </c>
      <c r="E77" s="132"/>
      <c r="F77" s="132"/>
      <c r="H77" s="2">
        <f t="shared" si="1"/>
        <v>3380115.8400000012</v>
      </c>
      <c r="J77" s="11" t="s">
        <v>107</v>
      </c>
      <c r="K77" s="2">
        <f>SUM(D11:D13)</f>
        <v>464257.54</v>
      </c>
      <c r="L77" s="2">
        <f>K77-K76-K75</f>
        <v>14384126.539999999</v>
      </c>
    </row>
    <row r="78" spans="1:12" x14ac:dyDescent="0.2">
      <c r="A78" s="154">
        <f>'FERC Interest Rates'!A85</f>
        <v>43585</v>
      </c>
      <c r="B78" s="160"/>
      <c r="C78" s="161"/>
      <c r="D78" s="2">
        <f>-961179.55+158775.15</f>
        <v>-802404.4</v>
      </c>
      <c r="E78" s="132"/>
      <c r="F78" s="132"/>
      <c r="H78" s="2">
        <f t="shared" si="1"/>
        <v>2577711.4400000013</v>
      </c>
      <c r="J78" s="11" t="s">
        <v>108</v>
      </c>
      <c r="K78" s="75">
        <f>SUM(K75:K77)</f>
        <v>-13455611.460000001</v>
      </c>
    </row>
    <row r="79" spans="1:12" x14ac:dyDescent="0.2">
      <c r="A79" s="154">
        <f>'FERC Interest Rates'!A86</f>
        <v>43616</v>
      </c>
      <c r="B79" s="160"/>
      <c r="C79" s="161"/>
      <c r="D79" s="2">
        <f>25854.5+60019.84</f>
        <v>85874.34</v>
      </c>
      <c r="E79" s="132"/>
      <c r="F79" s="132"/>
      <c r="H79" s="2">
        <f t="shared" si="1"/>
        <v>2663585.7800000012</v>
      </c>
      <c r="J79" s="11" t="s">
        <v>109</v>
      </c>
      <c r="K79" s="2">
        <v>-13089869</v>
      </c>
      <c r="L79" s="2">
        <f>L77+K79</f>
        <v>1294257.5399999991</v>
      </c>
    </row>
    <row r="80" spans="1:12" x14ac:dyDescent="0.2">
      <c r="A80" s="154">
        <f>'FERC Interest Rates'!A87</f>
        <v>43646</v>
      </c>
      <c r="B80" s="160"/>
      <c r="C80" s="161"/>
      <c r="D80" s="2">
        <f>6497.64+54057.75</f>
        <v>60555.39</v>
      </c>
      <c r="E80" s="132"/>
      <c r="F80" s="132"/>
      <c r="H80" s="2">
        <f t="shared" si="1"/>
        <v>2724141.1700000013</v>
      </c>
      <c r="J80" s="11" t="s">
        <v>110</v>
      </c>
      <c r="K80" s="75">
        <f>K79-K78</f>
        <v>365742.46000000089</v>
      </c>
      <c r="L80" s="2">
        <f>-K77</f>
        <v>-464257.54</v>
      </c>
    </row>
    <row r="81" spans="1:12" x14ac:dyDescent="0.2">
      <c r="A81" s="154">
        <f>'FERC Interest Rates'!A88</f>
        <v>43677</v>
      </c>
      <c r="B81" s="160"/>
      <c r="C81" s="161"/>
      <c r="D81" s="2">
        <f>1425+60019.78</f>
        <v>61444.78</v>
      </c>
      <c r="E81" s="132"/>
      <c r="F81" s="132"/>
      <c r="H81" s="2">
        <f t="shared" si="1"/>
        <v>2785585.9500000011</v>
      </c>
      <c r="L81" s="75">
        <f>SUM(L79:L80)</f>
        <v>829999.99999999907</v>
      </c>
    </row>
    <row r="82" spans="1:12" x14ac:dyDescent="0.2">
      <c r="A82" s="154">
        <f>'FERC Interest Rates'!A89</f>
        <v>43708</v>
      </c>
      <c r="B82" s="160"/>
      <c r="C82" s="161"/>
      <c r="D82" s="2">
        <f>-368607.71+84650</f>
        <v>-283957.71000000002</v>
      </c>
      <c r="E82" s="132"/>
      <c r="F82" s="132"/>
      <c r="H82" s="2">
        <f t="shared" si="1"/>
        <v>2501628.2400000012</v>
      </c>
    </row>
    <row r="83" spans="1:12" x14ac:dyDescent="0.2">
      <c r="A83" s="154">
        <f>'FERC Interest Rates'!A90</f>
        <v>43738</v>
      </c>
      <c r="B83" s="160"/>
      <c r="C83" s="161"/>
      <c r="D83" s="2">
        <f>6981.38+113142.1</f>
        <v>120123.48000000001</v>
      </c>
      <c r="E83" s="132"/>
      <c r="F83" s="132"/>
      <c r="H83" s="2">
        <f t="shared" si="1"/>
        <v>2621751.7200000011</v>
      </c>
    </row>
    <row r="84" spans="1:12" x14ac:dyDescent="0.2">
      <c r="A84" s="154">
        <f>'FERC Interest Rates'!A91</f>
        <v>43769</v>
      </c>
      <c r="B84" s="160"/>
      <c r="C84" s="161"/>
      <c r="D84" s="2">
        <f>3066+207845.78</f>
        <v>210911.78</v>
      </c>
      <c r="E84" s="132"/>
      <c r="F84" s="132"/>
      <c r="H84" s="2">
        <f t="shared" ref="H84:H108" si="2">H83+SUM(D84:G84)</f>
        <v>2832663.5000000009</v>
      </c>
    </row>
    <row r="85" spans="1:12" x14ac:dyDescent="0.2">
      <c r="A85" s="154">
        <f>'FERC Interest Rates'!A92</f>
        <v>43799</v>
      </c>
      <c r="B85" s="160"/>
      <c r="C85" s="161"/>
      <c r="D85" s="2">
        <f>148.87+72175.65</f>
        <v>72324.51999999999</v>
      </c>
      <c r="E85" s="132"/>
      <c r="F85" s="132"/>
      <c r="H85" s="2">
        <f t="shared" si="2"/>
        <v>2904988.0200000009</v>
      </c>
    </row>
    <row r="86" spans="1:12" x14ac:dyDescent="0.2">
      <c r="A86" s="154">
        <f>'FERC Interest Rates'!A93</f>
        <v>43830</v>
      </c>
      <c r="B86" s="160"/>
      <c r="C86" s="161"/>
      <c r="D86" s="2">
        <f>-261243.84+278037.29</f>
        <v>16793.449999999983</v>
      </c>
      <c r="E86" s="132"/>
      <c r="F86" s="132"/>
      <c r="H86" s="2">
        <f t="shared" si="2"/>
        <v>2921781.4700000011</v>
      </c>
    </row>
    <row r="87" spans="1:12" x14ac:dyDescent="0.2">
      <c r="A87" s="154">
        <f>'FERC Interest Rates'!A94</f>
        <v>43861</v>
      </c>
      <c r="B87" s="160"/>
      <c r="C87" s="161"/>
      <c r="D87" s="2">
        <f>4729.43+34871.17</f>
        <v>39600.6</v>
      </c>
      <c r="E87" s="132"/>
      <c r="F87" s="132"/>
      <c r="H87" s="2">
        <f t="shared" si="2"/>
        <v>2961382.0700000012</v>
      </c>
    </row>
    <row r="88" spans="1:12" x14ac:dyDescent="0.2">
      <c r="A88" s="154">
        <f>'FERC Interest Rates'!A95</f>
        <v>43890</v>
      </c>
      <c r="B88" s="160"/>
      <c r="C88" s="161"/>
      <c r="D88" s="2">
        <f>2099+48978.34</f>
        <v>51077.34</v>
      </c>
      <c r="E88" s="132"/>
      <c r="F88" s="132"/>
      <c r="H88" s="2">
        <f t="shared" si="2"/>
        <v>3012459.4100000011</v>
      </c>
    </row>
    <row r="89" spans="1:12" x14ac:dyDescent="0.2">
      <c r="A89" s="154">
        <f>'FERC Interest Rates'!A96</f>
        <v>43921</v>
      </c>
      <c r="B89" s="160"/>
      <c r="C89" s="161"/>
      <c r="D89" s="2">
        <f>4566+79044.09</f>
        <v>83610.09</v>
      </c>
      <c r="E89" s="132"/>
      <c r="F89" s="132"/>
      <c r="H89" s="2">
        <f t="shared" si="2"/>
        <v>3096069.5000000009</v>
      </c>
    </row>
    <row r="90" spans="1:12" x14ac:dyDescent="0.2">
      <c r="A90" s="154">
        <f>'FERC Interest Rates'!A97</f>
        <v>43951</v>
      </c>
      <c r="B90" s="160"/>
      <c r="C90" s="161"/>
      <c r="D90" s="2">
        <f>10196.22+107566.5</f>
        <v>117762.72</v>
      </c>
      <c r="E90" s="132"/>
      <c r="F90" s="132"/>
      <c r="H90" s="2">
        <f t="shared" si="2"/>
        <v>3213832.2200000011</v>
      </c>
    </row>
    <row r="91" spans="1:12" x14ac:dyDescent="0.2">
      <c r="A91" s="154">
        <f>'FERC Interest Rates'!A98</f>
        <v>43982</v>
      </c>
      <c r="B91" s="160"/>
      <c r="C91" s="161"/>
      <c r="D91" s="2">
        <f>-362309.57+116238.89</f>
        <v>-246070.68</v>
      </c>
      <c r="E91" s="132"/>
      <c r="F91" s="132"/>
      <c r="H91" s="2">
        <f t="shared" si="2"/>
        <v>2967761.540000001</v>
      </c>
    </row>
    <row r="92" spans="1:12" x14ac:dyDescent="0.2">
      <c r="A92" s="154">
        <f>'FERC Interest Rates'!A99</f>
        <v>44012</v>
      </c>
      <c r="B92" s="160"/>
      <c r="C92" s="161"/>
      <c r="D92" s="2">
        <f>-521052.64+188249.79</f>
        <v>-332802.84999999998</v>
      </c>
      <c r="E92" s="132"/>
      <c r="F92" s="132"/>
      <c r="H92" s="2">
        <f t="shared" si="2"/>
        <v>2634958.6900000009</v>
      </c>
    </row>
    <row r="93" spans="1:12" x14ac:dyDescent="0.2">
      <c r="A93" s="154">
        <f>'FERC Interest Rates'!A100</f>
        <v>44043</v>
      </c>
      <c r="B93" s="160"/>
      <c r="C93" s="161"/>
      <c r="D93" s="2">
        <f>6445.43+130946.34</f>
        <v>137391.76999999999</v>
      </c>
      <c r="E93" s="132"/>
      <c r="F93" s="132"/>
      <c r="H93" s="2">
        <f t="shared" si="2"/>
        <v>2772350.4600000009</v>
      </c>
    </row>
    <row r="94" spans="1:12" x14ac:dyDescent="0.2">
      <c r="A94" s="154">
        <f>'FERC Interest Rates'!A101</f>
        <v>44074</v>
      </c>
      <c r="B94" s="160"/>
      <c r="C94" s="161"/>
      <c r="D94" s="2">
        <f>3264+261568.62</f>
        <v>264832.62</v>
      </c>
      <c r="E94" s="132"/>
      <c r="F94" s="132"/>
      <c r="H94" s="2">
        <f t="shared" si="2"/>
        <v>3037183.080000001</v>
      </c>
    </row>
    <row r="95" spans="1:12" x14ac:dyDescent="0.2">
      <c r="A95" s="154">
        <f>'FERC Interest Rates'!A102</f>
        <v>44104</v>
      </c>
      <c r="B95" s="160"/>
      <c r="C95" s="161"/>
      <c r="D95" s="2">
        <f>6838+84821.75</f>
        <v>91659.75</v>
      </c>
      <c r="E95" s="132"/>
      <c r="F95" s="132"/>
      <c r="H95" s="2">
        <f t="shared" si="2"/>
        <v>3128842.830000001</v>
      </c>
    </row>
    <row r="96" spans="1:12" x14ac:dyDescent="0.2">
      <c r="A96" s="154">
        <f>'FERC Interest Rates'!A103</f>
        <v>44135</v>
      </c>
      <c r="B96" s="160"/>
      <c r="C96" s="161"/>
      <c r="D96" s="2">
        <f>39774.63+64964.41</f>
        <v>104739.04000000001</v>
      </c>
      <c r="E96" s="132"/>
      <c r="F96" s="132"/>
      <c r="H96" s="2">
        <f t="shared" si="2"/>
        <v>3233581.870000001</v>
      </c>
    </row>
    <row r="97" spans="1:8" x14ac:dyDescent="0.2">
      <c r="A97" s="154">
        <f>'FERC Interest Rates'!A104</f>
        <v>44165</v>
      </c>
      <c r="B97" s="160"/>
      <c r="C97" s="161"/>
      <c r="D97" s="2">
        <f>-304036.62-19918.91</f>
        <v>-323955.52999999997</v>
      </c>
      <c r="E97" s="132"/>
      <c r="F97" s="132"/>
      <c r="H97" s="2">
        <f t="shared" si="2"/>
        <v>2909626.3400000012</v>
      </c>
    </row>
    <row r="98" spans="1:8" x14ac:dyDescent="0.2">
      <c r="A98" s="154">
        <f>'FERC Interest Rates'!A105</f>
        <v>44196</v>
      </c>
      <c r="B98" s="160"/>
      <c r="C98" s="161"/>
      <c r="D98" s="2">
        <f>8692+55438.27</f>
        <v>64130.27</v>
      </c>
      <c r="E98" s="132"/>
      <c r="F98" s="132"/>
      <c r="H98" s="2">
        <f t="shared" si="2"/>
        <v>2973756.6100000013</v>
      </c>
    </row>
    <row r="99" spans="1:8" x14ac:dyDescent="0.2">
      <c r="A99" s="154">
        <f>'FERC Interest Rates'!A106</f>
        <v>44227</v>
      </c>
      <c r="B99" s="160"/>
      <c r="C99" s="161"/>
      <c r="D99" s="2">
        <f>-36+51686.47</f>
        <v>51650.47</v>
      </c>
      <c r="E99" s="132"/>
      <c r="F99" s="132"/>
      <c r="H99" s="2">
        <f t="shared" si="2"/>
        <v>3025407.0800000015</v>
      </c>
    </row>
    <row r="100" spans="1:8" x14ac:dyDescent="0.2">
      <c r="A100" s="154">
        <f>'FERC Interest Rates'!A107</f>
        <v>44255</v>
      </c>
      <c r="B100" s="160"/>
      <c r="C100" s="161"/>
      <c r="D100" s="2">
        <f>-467288.19+43311</f>
        <v>-423977.19</v>
      </c>
      <c r="E100" s="132"/>
      <c r="F100" s="132"/>
      <c r="H100" s="2">
        <f t="shared" si="2"/>
        <v>2601429.8900000015</v>
      </c>
    </row>
    <row r="101" spans="1:8" x14ac:dyDescent="0.2">
      <c r="A101" s="154">
        <f>'FERC Interest Rates'!A108</f>
        <v>44286</v>
      </c>
      <c r="B101" s="160"/>
      <c r="C101" s="161"/>
      <c r="D101" s="2">
        <f>11229.5+21788.78</f>
        <v>33018.28</v>
      </c>
      <c r="E101" s="132"/>
      <c r="F101" s="132"/>
      <c r="H101" s="2">
        <f t="shared" si="2"/>
        <v>2634448.1700000013</v>
      </c>
    </row>
    <row r="102" spans="1:8" x14ac:dyDescent="0.2">
      <c r="A102" s="154">
        <f>'FERC Interest Rates'!A109</f>
        <v>44316</v>
      </c>
      <c r="B102" s="160"/>
      <c r="C102" s="161"/>
      <c r="D102" s="2">
        <f>14234+101860.81</f>
        <v>116094.81</v>
      </c>
      <c r="E102" s="132"/>
      <c r="F102" s="132"/>
      <c r="H102" s="2">
        <f t="shared" si="2"/>
        <v>2750542.9800000014</v>
      </c>
    </row>
    <row r="103" spans="1:8" x14ac:dyDescent="0.2">
      <c r="A103" s="154">
        <f>'FERC Interest Rates'!A110</f>
        <v>44347</v>
      </c>
      <c r="B103" s="160"/>
      <c r="C103" s="161"/>
      <c r="D103" s="2">
        <f>-231211.11+36997</f>
        <v>-194214.11</v>
      </c>
      <c r="E103" s="132"/>
      <c r="F103" s="132"/>
      <c r="H103" s="2">
        <f t="shared" si="2"/>
        <v>2556328.8700000015</v>
      </c>
    </row>
    <row r="104" spans="1:8" x14ac:dyDescent="0.2">
      <c r="A104" s="154">
        <f>'FERC Interest Rates'!A111</f>
        <v>44377</v>
      </c>
      <c r="B104" s="160"/>
      <c r="C104" s="161"/>
      <c r="D104" s="2">
        <f>5480.19+264411.13</f>
        <v>269891.32</v>
      </c>
      <c r="E104" s="132"/>
      <c r="F104" s="132"/>
      <c r="H104" s="2">
        <f t="shared" si="2"/>
        <v>2826220.1900000013</v>
      </c>
    </row>
    <row r="105" spans="1:8" x14ac:dyDescent="0.2">
      <c r="A105" s="154">
        <f>'FERC Interest Rates'!A112</f>
        <v>44408</v>
      </c>
      <c r="B105" s="160"/>
      <c r="C105" s="161"/>
      <c r="D105" s="2">
        <f>10081+80993.3</f>
        <v>91074.3</v>
      </c>
      <c r="E105" s="132"/>
      <c r="F105" s="132"/>
      <c r="H105" s="2">
        <f t="shared" si="2"/>
        <v>2917294.4900000012</v>
      </c>
    </row>
    <row r="106" spans="1:8" x14ac:dyDescent="0.2">
      <c r="A106" s="154">
        <f>'FERC Interest Rates'!A113</f>
        <v>44439</v>
      </c>
      <c r="B106" s="160"/>
      <c r="C106" s="161"/>
      <c r="D106" s="2">
        <f>-3312.5+62094.51</f>
        <v>58782.01</v>
      </c>
      <c r="E106" s="132"/>
      <c r="F106" s="132"/>
      <c r="H106" s="2">
        <f t="shared" si="2"/>
        <v>2976076.5000000009</v>
      </c>
    </row>
    <row r="107" spans="1:8" x14ac:dyDescent="0.2">
      <c r="A107" s="154">
        <f>'FERC Interest Rates'!A114</f>
        <v>44469</v>
      </c>
      <c r="B107" s="160"/>
      <c r="C107" s="161"/>
      <c r="D107" s="2">
        <f>-183636.79+105045</f>
        <v>-78591.790000000008</v>
      </c>
      <c r="E107" s="132"/>
      <c r="F107" s="132"/>
      <c r="H107" s="2">
        <f t="shared" si="2"/>
        <v>2897484.7100000009</v>
      </c>
    </row>
    <row r="108" spans="1:8" x14ac:dyDescent="0.2">
      <c r="A108" s="154">
        <f>'FERC Interest Rates'!A115</f>
        <v>44500</v>
      </c>
      <c r="B108" s="160"/>
      <c r="C108" s="161"/>
      <c r="E108" s="132"/>
      <c r="F108" s="132"/>
      <c r="H108" s="2">
        <f t="shared" si="2"/>
        <v>2897484.7100000009</v>
      </c>
    </row>
    <row r="109" spans="1:8" x14ac:dyDescent="0.2">
      <c r="A109" s="154"/>
      <c r="B109" s="159"/>
      <c r="C109" s="96"/>
    </row>
    <row r="110" spans="1:8" x14ac:dyDescent="0.2">
      <c r="A110" s="154"/>
      <c r="B110" s="159"/>
      <c r="C110" s="96"/>
    </row>
    <row r="111" spans="1:8" x14ac:dyDescent="0.2">
      <c r="A111" s="154"/>
      <c r="B111" s="159"/>
      <c r="C111" s="96"/>
    </row>
    <row r="112" spans="1:8" x14ac:dyDescent="0.2">
      <c r="A112" s="154"/>
      <c r="B112" s="159"/>
      <c r="C112" s="96"/>
    </row>
    <row r="113" spans="1:3" x14ac:dyDescent="0.2">
      <c r="A113" s="154"/>
      <c r="B113" s="159"/>
      <c r="C113" s="96"/>
    </row>
    <row r="114" spans="1:3" x14ac:dyDescent="0.2">
      <c r="A114" s="154"/>
      <c r="B114" s="159"/>
      <c r="C114" s="96"/>
    </row>
    <row r="115" spans="1:3" x14ac:dyDescent="0.2">
      <c r="A115" s="154"/>
      <c r="B115" s="159"/>
      <c r="C115" s="96"/>
    </row>
    <row r="116" spans="1:3" x14ac:dyDescent="0.2">
      <c r="A116" s="154"/>
      <c r="B116" s="159"/>
      <c r="C116" s="96"/>
    </row>
    <row r="117" spans="1:3" x14ac:dyDescent="0.2">
      <c r="A117" s="154"/>
      <c r="B117" s="159"/>
      <c r="C117" s="96"/>
    </row>
    <row r="118" spans="1:3" x14ac:dyDescent="0.2">
      <c r="A118" s="154"/>
      <c r="B118" s="159"/>
      <c r="C118" s="96"/>
    </row>
    <row r="119" spans="1:3" x14ac:dyDescent="0.2">
      <c r="A119" s="154"/>
      <c r="B119" s="159"/>
      <c r="C119" s="96"/>
    </row>
    <row r="120" spans="1:3" x14ac:dyDescent="0.2">
      <c r="A120" s="154"/>
      <c r="B120" s="159"/>
      <c r="C120" s="96"/>
    </row>
    <row r="121" spans="1:3" x14ac:dyDescent="0.2">
      <c r="A121" s="154"/>
      <c r="B121" s="159"/>
      <c r="C121" s="96"/>
    </row>
    <row r="122" spans="1:3" x14ac:dyDescent="0.2">
      <c r="A122" s="154"/>
      <c r="B122" s="159"/>
      <c r="C122" s="96"/>
    </row>
  </sheetData>
  <mergeCells count="16">
    <mergeCell ref="A7:B7"/>
    <mergeCell ref="C7:H7"/>
    <mergeCell ref="D9:F9"/>
    <mergeCell ref="A11:G11"/>
    <mergeCell ref="A4:B4"/>
    <mergeCell ref="C4:H4"/>
    <mergeCell ref="A5:B5"/>
    <mergeCell ref="C5:H5"/>
    <mergeCell ref="A6:B6"/>
    <mergeCell ref="C6:H6"/>
    <mergeCell ref="A1:B1"/>
    <mergeCell ref="C1:H1"/>
    <mergeCell ref="A2:B2"/>
    <mergeCell ref="C2:H2"/>
    <mergeCell ref="A3:B3"/>
    <mergeCell ref="C3:H3"/>
  </mergeCells>
  <printOptions gridLinesSet="0"/>
  <pageMargins left="0.5" right="0.25" top="0.5" bottom="0.25" header="0.5" footer="0.5"/>
  <pageSetup scale="98" fitToHeight="0" orientation="portrait" r:id="rId1"/>
  <headerFooter alignWithMargins="0">
    <oddFooter>&amp;L&amp;B&amp;"Calibri(Body)"&amp;10 Cascade Natural Gas Corporation&amp;C&amp;B&amp;"Calibri(Body)"&amp;10 Page &amp;P of &amp;N&amp;R&amp;B&amp;"Calibri(Body)"&amp;10 Washington Deferral Accounts</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10B1-BF2E-49C6-94C0-40E6688305B1}">
  <dimension ref="A1:V115"/>
  <sheetViews>
    <sheetView tabSelected="1" view="pageBreakPreview" zoomScaleNormal="100" zoomScaleSheetLayoutView="100" workbookViewId="0">
      <pane ySplit="7" topLeftCell="A8" activePane="bottomLeft" state="frozen"/>
      <selection activeCell="N106" sqref="N106"/>
      <selection pane="bottomLeft" activeCell="N106" sqref="N106"/>
    </sheetView>
  </sheetViews>
  <sheetFormatPr defaultColWidth="8.88671875" defaultRowHeight="12.75" x14ac:dyDescent="0.2"/>
  <cols>
    <col min="1" max="2" width="8.88671875" style="2"/>
    <col min="3" max="3" width="10.109375" style="2" customWidth="1"/>
    <col min="4" max="4" width="8.88671875" style="2"/>
    <col min="5" max="5" width="14.109375" style="2" customWidth="1"/>
    <col min="6" max="6" width="8.88671875" style="2"/>
    <col min="7" max="7" width="10.88671875" style="2" customWidth="1"/>
    <col min="8" max="8" width="11.6640625" style="2" customWidth="1"/>
    <col min="9" max="9" width="1.21875" style="132" customWidth="1"/>
    <col min="10" max="10" width="10.88671875" style="2" customWidth="1"/>
    <col min="11" max="11" width="10.109375" style="2" customWidth="1"/>
    <col min="12" max="12" width="9" style="115" bestFit="1" customWidth="1"/>
    <col min="13" max="13" width="10.33203125" style="115" bestFit="1" customWidth="1"/>
    <col min="14" max="15" width="8.88671875" style="2"/>
    <col min="16" max="17" width="8.109375" style="2" bestFit="1" customWidth="1"/>
    <col min="18" max="18" width="7.33203125" style="2" customWidth="1"/>
    <col min="19" max="19" width="7.33203125" style="2" bestFit="1" customWidth="1"/>
    <col min="20" max="20" width="6.21875" style="2" bestFit="1" customWidth="1"/>
    <col min="21" max="21" width="8.109375" style="2" bestFit="1" customWidth="1"/>
    <col min="22" max="16384" width="8.88671875" style="2"/>
  </cols>
  <sheetData>
    <row r="1" spans="1:22" x14ac:dyDescent="0.2">
      <c r="A1" s="138" t="s">
        <v>58</v>
      </c>
      <c r="B1" s="139"/>
      <c r="C1" s="169" t="s">
        <v>59</v>
      </c>
      <c r="D1" s="169"/>
      <c r="E1" s="169"/>
      <c r="F1" s="169"/>
      <c r="G1" s="169"/>
      <c r="H1" s="170"/>
      <c r="I1" s="114"/>
      <c r="J1" s="171"/>
    </row>
    <row r="2" spans="1:22" x14ac:dyDescent="0.2">
      <c r="A2" s="142" t="s">
        <v>60</v>
      </c>
      <c r="B2" s="117"/>
      <c r="C2" s="172" t="s">
        <v>150</v>
      </c>
      <c r="D2" s="172"/>
      <c r="E2" s="172"/>
      <c r="F2" s="172"/>
      <c r="G2" s="172"/>
      <c r="H2" s="173"/>
      <c r="I2" s="114"/>
      <c r="J2" s="171"/>
    </row>
    <row r="3" spans="1:22" x14ac:dyDescent="0.2">
      <c r="A3" s="142" t="s">
        <v>62</v>
      </c>
      <c r="B3" s="117"/>
      <c r="C3" s="172" t="s">
        <v>6</v>
      </c>
      <c r="D3" s="172"/>
      <c r="E3" s="172"/>
      <c r="F3" s="172"/>
      <c r="G3" s="172"/>
      <c r="H3" s="173"/>
      <c r="I3" s="114"/>
      <c r="J3" s="171"/>
    </row>
    <row r="4" spans="1:22" x14ac:dyDescent="0.2">
      <c r="A4" s="142" t="s">
        <v>63</v>
      </c>
      <c r="B4" s="117"/>
      <c r="C4" s="172" t="s">
        <v>64</v>
      </c>
      <c r="D4" s="172"/>
      <c r="E4" s="172"/>
      <c r="F4" s="172"/>
      <c r="G4" s="172"/>
      <c r="H4" s="173"/>
      <c r="I4" s="114"/>
      <c r="J4" s="171"/>
    </row>
    <row r="5" spans="1:22" x14ac:dyDescent="0.2">
      <c r="A5" s="142" t="s">
        <v>65</v>
      </c>
      <c r="B5" s="117"/>
      <c r="C5" s="172" t="s">
        <v>151</v>
      </c>
      <c r="D5" s="172"/>
      <c r="E5" s="172"/>
      <c r="F5" s="172"/>
      <c r="G5" s="172"/>
      <c r="H5" s="173"/>
      <c r="I5" s="114"/>
      <c r="J5" s="171"/>
    </row>
    <row r="6" spans="1:22" x14ac:dyDescent="0.2">
      <c r="A6" s="142" t="s">
        <v>67</v>
      </c>
      <c r="B6" s="117"/>
      <c r="C6" s="172" t="s">
        <v>152</v>
      </c>
      <c r="D6" s="172"/>
      <c r="E6" s="172"/>
      <c r="F6" s="172"/>
      <c r="G6" s="172"/>
      <c r="H6" s="173"/>
      <c r="I6" s="114"/>
      <c r="J6" s="171"/>
    </row>
    <row r="7" spans="1:22" ht="13.5" thickBot="1" x14ac:dyDescent="0.25">
      <c r="A7" s="145" t="s">
        <v>69</v>
      </c>
      <c r="B7" s="146"/>
      <c r="C7" s="174" t="s">
        <v>153</v>
      </c>
      <c r="D7" s="174"/>
      <c r="E7" s="174"/>
      <c r="F7" s="174"/>
      <c r="G7" s="174"/>
      <c r="H7" s="175"/>
      <c r="I7" s="125"/>
      <c r="J7" s="176"/>
    </row>
    <row r="8" spans="1:22" x14ac:dyDescent="0.2">
      <c r="A8" s="152"/>
      <c r="B8" s="152"/>
      <c r="C8" s="153"/>
      <c r="D8" s="153"/>
      <c r="E8" s="153"/>
      <c r="F8" s="153"/>
      <c r="G8" s="153"/>
      <c r="H8" s="153"/>
      <c r="I8" s="2"/>
      <c r="K8" s="114"/>
    </row>
    <row r="9" spans="1:22" x14ac:dyDescent="0.2">
      <c r="A9" s="7"/>
      <c r="D9" s="128" t="s">
        <v>72</v>
      </c>
      <c r="E9" s="128"/>
      <c r="F9" s="128"/>
      <c r="I9" s="2"/>
    </row>
    <row r="10" spans="1:22" s="10" customFormat="1" ht="27.75" customHeight="1" x14ac:dyDescent="0.2">
      <c r="A10" s="10" t="s">
        <v>22</v>
      </c>
      <c r="B10" s="10" t="s">
        <v>74</v>
      </c>
      <c r="C10" s="10" t="s">
        <v>51</v>
      </c>
      <c r="D10" s="10" t="s">
        <v>75</v>
      </c>
      <c r="E10" s="10" t="s">
        <v>76</v>
      </c>
      <c r="F10" s="10" t="s">
        <v>77</v>
      </c>
      <c r="G10" s="10" t="s">
        <v>78</v>
      </c>
      <c r="H10" s="10" t="s">
        <v>79</v>
      </c>
      <c r="I10" s="130"/>
      <c r="J10" s="10" t="s">
        <v>80</v>
      </c>
      <c r="L10" s="3"/>
      <c r="M10" s="3"/>
      <c r="N10" s="282"/>
      <c r="O10" s="282"/>
      <c r="P10" s="282"/>
      <c r="Q10" s="282"/>
      <c r="R10" s="282"/>
      <c r="S10" s="282"/>
      <c r="T10" s="282"/>
      <c r="U10" s="282"/>
      <c r="V10" s="282"/>
    </row>
    <row r="11" spans="1:22" hidden="1" x14ac:dyDescent="0.2">
      <c r="A11" s="177"/>
      <c r="B11" s="177"/>
      <c r="C11" s="177"/>
      <c r="D11" s="177"/>
      <c r="E11" s="177"/>
      <c r="F11" s="177"/>
      <c r="G11" s="177"/>
      <c r="H11" s="178"/>
      <c r="J11" s="176"/>
      <c r="N11" s="281"/>
      <c r="O11" s="281"/>
      <c r="P11" s="281"/>
      <c r="Q11" s="281"/>
      <c r="R11" s="281"/>
      <c r="S11" s="281"/>
      <c r="T11" s="281"/>
      <c r="U11" s="281"/>
      <c r="V11" s="281"/>
    </row>
    <row r="12" spans="1:22" hidden="1" x14ac:dyDescent="0.2">
      <c r="A12" s="179" t="s">
        <v>154</v>
      </c>
      <c r="B12" s="179"/>
      <c r="C12" s="179"/>
      <c r="D12" s="179"/>
      <c r="E12" s="179"/>
      <c r="F12" s="179"/>
      <c r="G12" s="178">
        <v>519697.25</v>
      </c>
      <c r="H12" s="178"/>
      <c r="J12" s="180"/>
      <c r="K12" s="135"/>
      <c r="N12" s="281"/>
      <c r="O12" s="281"/>
      <c r="P12" s="281"/>
      <c r="Q12" s="281"/>
      <c r="R12" s="281"/>
      <c r="S12" s="281"/>
      <c r="T12" s="281"/>
      <c r="U12" s="281"/>
      <c r="V12" s="281"/>
    </row>
    <row r="13" spans="1:22" hidden="1" x14ac:dyDescent="0.2">
      <c r="A13" s="179" t="s">
        <v>155</v>
      </c>
      <c r="B13" s="179"/>
      <c r="C13" s="179"/>
      <c r="D13" s="179"/>
      <c r="E13" s="179"/>
      <c r="F13" s="179"/>
      <c r="G13" s="178">
        <v>90886.69</v>
      </c>
      <c r="H13" s="178"/>
      <c r="J13" s="180"/>
      <c r="K13" s="135"/>
      <c r="N13" s="281"/>
      <c r="O13" s="281"/>
      <c r="P13" s="281"/>
      <c r="Q13" s="281"/>
      <c r="R13" s="281"/>
      <c r="S13" s="281"/>
      <c r="T13" s="281"/>
      <c r="U13" s="281"/>
      <c r="V13" s="281"/>
    </row>
    <row r="14" spans="1:22" hidden="1" x14ac:dyDescent="0.2">
      <c r="A14" s="179" t="s">
        <v>156</v>
      </c>
      <c r="B14" s="179"/>
      <c r="C14" s="179"/>
      <c r="D14" s="179"/>
      <c r="E14" s="179"/>
      <c r="F14" s="179"/>
      <c r="G14" s="178">
        <v>1915128.08</v>
      </c>
      <c r="H14" s="178"/>
      <c r="J14" s="180"/>
      <c r="K14" s="135"/>
      <c r="N14" s="281"/>
      <c r="O14" s="281"/>
      <c r="P14" s="281"/>
      <c r="Q14" s="281"/>
      <c r="R14" s="281"/>
      <c r="S14" s="281"/>
      <c r="T14" s="281"/>
      <c r="U14" s="281"/>
      <c r="V14" s="281"/>
    </row>
    <row r="15" spans="1:22" hidden="1" x14ac:dyDescent="0.2">
      <c r="A15" s="179" t="s">
        <v>157</v>
      </c>
      <c r="B15" s="179"/>
      <c r="C15" s="179"/>
      <c r="D15" s="179"/>
      <c r="E15" s="179"/>
      <c r="F15" s="179"/>
      <c r="G15" s="178">
        <v>441993.05</v>
      </c>
      <c r="H15" s="178"/>
      <c r="J15" s="176"/>
      <c r="N15" s="281"/>
      <c r="O15" s="281"/>
      <c r="P15" s="281"/>
      <c r="Q15" s="281"/>
      <c r="R15" s="281"/>
      <c r="S15" s="281"/>
      <c r="T15" s="281"/>
      <c r="U15" s="281"/>
      <c r="V15" s="281"/>
    </row>
    <row r="16" spans="1:22" hidden="1" x14ac:dyDescent="0.2">
      <c r="A16" s="179" t="s">
        <v>158</v>
      </c>
      <c r="B16" s="179"/>
      <c r="C16" s="179"/>
      <c r="D16" s="179"/>
      <c r="E16" s="179"/>
      <c r="F16" s="179"/>
      <c r="G16" s="193">
        <v>581148.86</v>
      </c>
      <c r="H16" s="178"/>
      <c r="J16" s="176"/>
      <c r="N16" s="281"/>
      <c r="O16" s="281"/>
      <c r="P16" s="281"/>
      <c r="Q16" s="281"/>
      <c r="R16" s="281"/>
      <c r="S16" s="281"/>
      <c r="T16" s="281"/>
      <c r="U16" s="281"/>
      <c r="V16" s="281"/>
    </row>
    <row r="17" spans="1:22" hidden="1" x14ac:dyDescent="0.2">
      <c r="A17" s="183"/>
      <c r="B17" s="178"/>
      <c r="C17" s="178"/>
      <c r="D17" s="178"/>
      <c r="E17" s="178"/>
      <c r="F17" s="178"/>
      <c r="G17" s="178"/>
      <c r="H17" s="178">
        <f>SUM(G12:G16)</f>
        <v>3548853.9299999997</v>
      </c>
      <c r="J17" s="176"/>
      <c r="N17" s="281"/>
      <c r="O17" s="281"/>
      <c r="P17" s="281"/>
      <c r="Q17" s="281"/>
      <c r="R17" s="281"/>
      <c r="S17" s="281"/>
      <c r="T17" s="281"/>
      <c r="U17" s="281"/>
      <c r="V17" s="281"/>
    </row>
    <row r="18" spans="1:22" hidden="1" x14ac:dyDescent="0.2">
      <c r="A18" s="154">
        <f>'FERC Interest Rates'!A56</f>
        <v>42704</v>
      </c>
      <c r="B18" s="188" t="s">
        <v>139</v>
      </c>
      <c r="C18" s="182">
        <f>'Therm Sales'!I41</f>
        <v>14546209</v>
      </c>
      <c r="D18" s="185"/>
      <c r="E18" s="178">
        <f>(9630311*-0.01027)+(4915898*-0.01364)</f>
        <v>-165956.14269000001</v>
      </c>
      <c r="F18" s="180">
        <f>ROUND(H17*VLOOKUP(A18,FERCINT16,2)/365*VLOOKUP(A18,FERCINT16,3),2)</f>
        <v>10209.030000000001</v>
      </c>
      <c r="G18" s="178"/>
      <c r="H18" s="178">
        <f>H17+SUM(E18:G18)</f>
        <v>3393106.8173099998</v>
      </c>
      <c r="J18" s="180">
        <v>3393106.82</v>
      </c>
      <c r="K18" s="135"/>
      <c r="M18" s="186"/>
      <c r="N18" s="281"/>
      <c r="O18" s="281"/>
      <c r="P18" s="281"/>
      <c r="Q18" s="281"/>
      <c r="R18" s="281"/>
      <c r="S18" s="281"/>
      <c r="T18" s="281"/>
      <c r="U18" s="281"/>
      <c r="V18" s="281"/>
    </row>
    <row r="19" spans="1:22" hidden="1" x14ac:dyDescent="0.2">
      <c r="A19" s="154">
        <f>'FERC Interest Rates'!A57</f>
        <v>42735</v>
      </c>
      <c r="B19" s="194">
        <v>-1.3639999999999999E-2</v>
      </c>
      <c r="C19" s="182">
        <f>'Therm Sales'!I42</f>
        <v>29320569</v>
      </c>
      <c r="D19" s="190"/>
      <c r="E19" s="189">
        <f>ROUND(C19*B19,2)-0.01</f>
        <v>-399932.57</v>
      </c>
      <c r="F19" s="180">
        <f>ROUND(H18*VLOOKUP(A19,FERCINT16,2)/365*VLOOKUP(A19,FERCINT16,3),2)</f>
        <v>10086.36</v>
      </c>
      <c r="G19" s="176"/>
      <c r="H19" s="191">
        <f>H18+SUM(D19:G19)</f>
        <v>3003260.6073099999</v>
      </c>
      <c r="J19" s="180">
        <v>3003260.61</v>
      </c>
      <c r="K19" s="135"/>
      <c r="M19" s="186"/>
      <c r="N19" s="281"/>
      <c r="O19" s="281"/>
      <c r="P19" s="281"/>
      <c r="Q19" s="281"/>
      <c r="R19" s="281"/>
      <c r="S19" s="281"/>
      <c r="T19" s="281"/>
      <c r="U19" s="281"/>
      <c r="V19" s="281"/>
    </row>
    <row r="20" spans="1:22" hidden="1" x14ac:dyDescent="0.2">
      <c r="A20" s="154">
        <f>'FERC Interest Rates'!A58</f>
        <v>42766</v>
      </c>
      <c r="B20" s="194">
        <v>-1.3639999999999999E-2</v>
      </c>
      <c r="C20" s="182">
        <f>'Therm Sales'!I43</f>
        <v>50070976</v>
      </c>
      <c r="D20" s="190"/>
      <c r="E20" s="189">
        <f>ROUND(C20*B20,2)+0.01</f>
        <v>-682968.1</v>
      </c>
      <c r="F20" s="135">
        <f>ROUND(H19*VLOOKUP(A20,FERCINT17,2)/365*VLOOKUP(A20,FERCINT17,3),2)</f>
        <v>8927.5</v>
      </c>
      <c r="G20" s="176"/>
      <c r="H20" s="191">
        <f t="shared" ref="H20:H42" si="0">H19+SUM(D20:G20)</f>
        <v>2329220.0073099998</v>
      </c>
      <c r="J20" s="2">
        <v>2329220.0099999998</v>
      </c>
      <c r="K20" s="135"/>
      <c r="M20" s="186"/>
      <c r="N20" s="281"/>
      <c r="O20" s="281"/>
      <c r="P20" s="281"/>
      <c r="Q20" s="281"/>
      <c r="R20" s="281"/>
      <c r="S20" s="281"/>
      <c r="T20" s="281"/>
      <c r="U20" s="281"/>
      <c r="V20" s="281"/>
    </row>
    <row r="21" spans="1:22" hidden="1" x14ac:dyDescent="0.2">
      <c r="A21" s="154">
        <f>'FERC Interest Rates'!A59</f>
        <v>42794</v>
      </c>
      <c r="B21" s="194">
        <v>-1.3639999999999999E-2</v>
      </c>
      <c r="C21" s="182">
        <f>'Therm Sales'!I44</f>
        <v>39357111</v>
      </c>
      <c r="D21" s="190"/>
      <c r="E21" s="180">
        <f t="shared" ref="E21:E41" si="1">ROUND(C21*B21,2)</f>
        <v>-536830.99</v>
      </c>
      <c r="F21" s="180">
        <f t="shared" ref="F21:F29" si="2">ROUND(H20*VLOOKUP(A21,FERCINT17,2)/365*VLOOKUP(A21,FERCINT17,3),2)</f>
        <v>6253.8</v>
      </c>
      <c r="G21" s="176"/>
      <c r="H21" s="191">
        <f t="shared" si="0"/>
        <v>1798642.8173099998</v>
      </c>
      <c r="J21" s="2">
        <v>1798642.82</v>
      </c>
      <c r="K21" s="135"/>
      <c r="M21" s="186"/>
      <c r="N21" s="281"/>
      <c r="O21" s="281"/>
      <c r="P21" s="281"/>
      <c r="Q21" s="281"/>
      <c r="R21" s="281"/>
      <c r="S21" s="281"/>
      <c r="T21" s="281"/>
      <c r="U21" s="281"/>
      <c r="V21" s="281"/>
    </row>
    <row r="22" spans="1:22" hidden="1" x14ac:dyDescent="0.2">
      <c r="A22" s="154">
        <f>'FERC Interest Rates'!A60</f>
        <v>42825</v>
      </c>
      <c r="B22" s="194">
        <v>-1.3639999999999999E-2</v>
      </c>
      <c r="C22" s="182">
        <f>'Therm Sales'!I45</f>
        <v>35872415</v>
      </c>
      <c r="D22" s="190"/>
      <c r="E22" s="180">
        <f t="shared" si="1"/>
        <v>-489299.74</v>
      </c>
      <c r="F22" s="180">
        <f t="shared" si="2"/>
        <v>5346.65</v>
      </c>
      <c r="G22" s="176"/>
      <c r="H22" s="191">
        <f t="shared" si="0"/>
        <v>1314689.72731</v>
      </c>
      <c r="J22" s="2">
        <v>1314689.73</v>
      </c>
      <c r="K22" s="135"/>
      <c r="M22" s="186"/>
      <c r="N22" s="281"/>
      <c r="O22" s="281"/>
      <c r="P22" s="281"/>
      <c r="Q22" s="281"/>
      <c r="R22" s="281"/>
      <c r="S22" s="281"/>
      <c r="T22" s="281"/>
      <c r="U22" s="281"/>
      <c r="V22" s="281"/>
    </row>
    <row r="23" spans="1:22" hidden="1" x14ac:dyDescent="0.2">
      <c r="A23" s="154">
        <f>'FERC Interest Rates'!A61</f>
        <v>42855</v>
      </c>
      <c r="B23" s="194">
        <v>-1.3639999999999999E-2</v>
      </c>
      <c r="C23" s="182">
        <f>'Therm Sales'!I46</f>
        <v>21376214</v>
      </c>
      <c r="D23" s="190"/>
      <c r="E23" s="180">
        <f t="shared" si="1"/>
        <v>-291571.56</v>
      </c>
      <c r="F23" s="180">
        <f t="shared" si="2"/>
        <v>4008.9</v>
      </c>
      <c r="G23" s="176"/>
      <c r="H23" s="191">
        <f t="shared" si="0"/>
        <v>1027127.0673100001</v>
      </c>
      <c r="I23" s="136"/>
      <c r="J23" s="2">
        <v>1027127.07</v>
      </c>
      <c r="K23" s="135"/>
      <c r="M23" s="186"/>
      <c r="N23" s="281"/>
      <c r="O23" s="281"/>
      <c r="P23" s="281"/>
      <c r="Q23" s="281"/>
      <c r="R23" s="281"/>
      <c r="S23" s="281"/>
      <c r="T23" s="281"/>
      <c r="U23" s="281"/>
      <c r="V23" s="281"/>
    </row>
    <row r="24" spans="1:22" hidden="1" x14ac:dyDescent="0.2">
      <c r="A24" s="154">
        <f>'FERC Interest Rates'!A62</f>
        <v>42886</v>
      </c>
      <c r="B24" s="194">
        <v>-1.3639999999999999E-2</v>
      </c>
      <c r="C24" s="182">
        <f>'Therm Sales'!I47</f>
        <v>15973162</v>
      </c>
      <c r="D24" s="190"/>
      <c r="E24" s="180">
        <f t="shared" si="1"/>
        <v>-217873.93</v>
      </c>
      <c r="F24" s="180">
        <f t="shared" si="2"/>
        <v>3236.44</v>
      </c>
      <c r="G24" s="176"/>
      <c r="H24" s="191">
        <f t="shared" si="0"/>
        <v>812489.57731000008</v>
      </c>
      <c r="I24" s="136"/>
      <c r="J24" s="2">
        <v>812489.58</v>
      </c>
      <c r="K24" s="135"/>
      <c r="M24" s="186"/>
      <c r="N24" s="281"/>
      <c r="O24" s="281"/>
      <c r="P24" s="281"/>
      <c r="Q24" s="281"/>
      <c r="R24" s="281"/>
      <c r="S24" s="281"/>
      <c r="T24" s="281"/>
      <c r="U24" s="281"/>
      <c r="V24" s="281"/>
    </row>
    <row r="25" spans="1:22" hidden="1" x14ac:dyDescent="0.2">
      <c r="A25" s="154">
        <f>'FERC Interest Rates'!A63</f>
        <v>42916</v>
      </c>
      <c r="B25" s="194">
        <v>-1.3639999999999999E-2</v>
      </c>
      <c r="C25" s="182">
        <f>'Therm Sales'!I48</f>
        <v>10444773</v>
      </c>
      <c r="D25" s="162"/>
      <c r="E25" s="180">
        <f t="shared" si="1"/>
        <v>-142466.70000000001</v>
      </c>
      <c r="F25" s="180">
        <f t="shared" si="2"/>
        <v>2477.54</v>
      </c>
      <c r="H25" s="191">
        <f t="shared" si="0"/>
        <v>672500.41731000005</v>
      </c>
      <c r="I25" s="136"/>
      <c r="J25" s="2">
        <v>672500.42</v>
      </c>
      <c r="K25" s="135"/>
      <c r="M25" s="186"/>
      <c r="N25" s="281"/>
      <c r="O25" s="281"/>
      <c r="P25" s="281"/>
      <c r="Q25" s="281"/>
      <c r="R25" s="281"/>
      <c r="S25" s="281"/>
      <c r="T25" s="281"/>
      <c r="U25" s="281"/>
      <c r="V25" s="281"/>
    </row>
    <row r="26" spans="1:22" hidden="1" x14ac:dyDescent="0.2">
      <c r="A26" s="154">
        <f>'FERC Interest Rates'!A64</f>
        <v>42947</v>
      </c>
      <c r="B26" s="194">
        <v>-1.3639999999999999E-2</v>
      </c>
      <c r="C26" s="182">
        <f>'Therm Sales'!I49</f>
        <v>6810348</v>
      </c>
      <c r="D26" s="162"/>
      <c r="E26" s="189">
        <f>ROUND(C26*B26,2)-0.01</f>
        <v>-92893.159999999989</v>
      </c>
      <c r="F26" s="180">
        <f t="shared" si="2"/>
        <v>2261.81</v>
      </c>
      <c r="H26" s="191">
        <f t="shared" si="0"/>
        <v>581869.06731000007</v>
      </c>
      <c r="I26" s="136"/>
      <c r="J26" s="2">
        <v>581869.06999999995</v>
      </c>
      <c r="K26" s="135"/>
      <c r="M26" s="186"/>
      <c r="N26" s="281"/>
      <c r="O26" s="281"/>
      <c r="P26" s="281"/>
      <c r="Q26" s="281"/>
      <c r="R26" s="281"/>
      <c r="S26" s="281"/>
      <c r="T26" s="281"/>
      <c r="U26" s="281"/>
      <c r="V26" s="281"/>
    </row>
    <row r="27" spans="1:22" hidden="1" x14ac:dyDescent="0.2">
      <c r="A27" s="154">
        <f>'FERC Interest Rates'!A65</f>
        <v>42978</v>
      </c>
      <c r="B27" s="194">
        <v>-1.3639999999999999E-2</v>
      </c>
      <c r="C27" s="182">
        <f>'Therm Sales'!I50</f>
        <v>6787724</v>
      </c>
      <c r="D27" s="162"/>
      <c r="E27" s="189">
        <f>ROUND(C27*B27,2)+0.01</f>
        <v>-92584.55</v>
      </c>
      <c r="F27" s="180">
        <f t="shared" si="2"/>
        <v>1956.99</v>
      </c>
      <c r="H27" s="191">
        <f t="shared" si="0"/>
        <v>491241.50731000007</v>
      </c>
      <c r="I27" s="136"/>
      <c r="J27" s="2">
        <v>491241.51</v>
      </c>
      <c r="K27" s="135"/>
      <c r="M27" s="186"/>
      <c r="N27" s="281"/>
      <c r="O27" s="281"/>
      <c r="P27" s="281"/>
      <c r="Q27" s="281"/>
      <c r="R27" s="281"/>
      <c r="S27" s="281"/>
      <c r="T27" s="281"/>
      <c r="U27" s="281"/>
      <c r="V27" s="281"/>
    </row>
    <row r="28" spans="1:22" hidden="1" x14ac:dyDescent="0.2">
      <c r="A28" s="154">
        <f>'FERC Interest Rates'!A66</f>
        <v>43008</v>
      </c>
      <c r="B28" s="194">
        <v>-1.3639999999999999E-2</v>
      </c>
      <c r="C28" s="182">
        <f>'Therm Sales'!I51</f>
        <v>6429137</v>
      </c>
      <c r="D28" s="162"/>
      <c r="E28" s="189">
        <f>ROUND(C28*B28,2)+0.01</f>
        <v>-87693.42</v>
      </c>
      <c r="F28" s="180">
        <f t="shared" si="2"/>
        <v>1598.89</v>
      </c>
      <c r="H28" s="191">
        <f t="shared" si="0"/>
        <v>405146.9773100001</v>
      </c>
      <c r="I28" s="136"/>
      <c r="J28" s="2">
        <v>405146.98</v>
      </c>
      <c r="K28" s="135"/>
      <c r="M28" s="186"/>
      <c r="N28" s="281"/>
      <c r="O28" s="281"/>
      <c r="P28" s="283">
        <v>503</v>
      </c>
      <c r="Q28" s="283">
        <v>504</v>
      </c>
      <c r="R28" s="283">
        <v>505</v>
      </c>
      <c r="S28" s="283">
        <v>511</v>
      </c>
      <c r="T28" s="283">
        <v>570</v>
      </c>
      <c r="U28" s="283" t="s">
        <v>9</v>
      </c>
      <c r="V28" s="281"/>
    </row>
    <row r="29" spans="1:22" hidden="1" x14ac:dyDescent="0.2">
      <c r="A29" s="154">
        <f>'FERC Interest Rates'!A67</f>
        <v>43039</v>
      </c>
      <c r="B29" s="194">
        <v>-1.3639999999999999E-2</v>
      </c>
      <c r="C29" s="182">
        <f>'Therm Sales'!I52</f>
        <v>11413067</v>
      </c>
      <c r="D29" s="162"/>
      <c r="E29" s="189">
        <f>ROUND(C29*B29,2)-0.01</f>
        <v>-155674.24000000002</v>
      </c>
      <c r="F29" s="180">
        <f t="shared" si="2"/>
        <v>1448.65</v>
      </c>
      <c r="H29" s="191">
        <f t="shared" si="0"/>
        <v>250921.38731000008</v>
      </c>
      <c r="I29" s="136"/>
      <c r="J29" s="2">
        <v>250921.39</v>
      </c>
      <c r="K29" s="135"/>
      <c r="M29" s="186"/>
      <c r="N29" s="281"/>
      <c r="O29" s="281" t="s">
        <v>135</v>
      </c>
      <c r="P29" s="284">
        <v>6713843</v>
      </c>
      <c r="Q29" s="284">
        <v>4550202</v>
      </c>
      <c r="R29" s="284">
        <v>687511</v>
      </c>
      <c r="S29" s="284">
        <f>560996+175575</f>
        <v>736571</v>
      </c>
      <c r="T29" s="284">
        <v>0</v>
      </c>
      <c r="U29" s="284">
        <f>SUM(P29:T29)</f>
        <v>12688127</v>
      </c>
      <c r="V29" s="281"/>
    </row>
    <row r="30" spans="1:22" hidden="1" x14ac:dyDescent="0.2">
      <c r="A30" s="137" t="s">
        <v>159</v>
      </c>
      <c r="B30" s="137"/>
      <c r="C30" s="137"/>
      <c r="D30" s="137"/>
      <c r="E30" s="137"/>
      <c r="F30" s="137"/>
      <c r="G30" s="2">
        <v>2813642.63</v>
      </c>
      <c r="H30" s="191">
        <f t="shared" si="0"/>
        <v>3064564.01731</v>
      </c>
      <c r="I30" s="136"/>
      <c r="K30" s="135"/>
      <c r="M30" s="186"/>
      <c r="N30" s="281"/>
      <c r="O30" s="281" t="s">
        <v>137</v>
      </c>
      <c r="P30" s="284">
        <v>3745285</v>
      </c>
      <c r="Q30" s="284">
        <f>2334076+1372</f>
        <v>2335448</v>
      </c>
      <c r="R30" s="284">
        <f>372+298875</f>
        <v>299247</v>
      </c>
      <c r="S30" s="284">
        <f>373602+116927</f>
        <v>490529</v>
      </c>
      <c r="T30" s="284">
        <v>212628</v>
      </c>
      <c r="U30" s="284">
        <f>SUM(P30:T30)</f>
        <v>7083137</v>
      </c>
      <c r="V30" s="281"/>
    </row>
    <row r="31" spans="1:22" hidden="1" x14ac:dyDescent="0.2">
      <c r="A31" s="154">
        <f>'FERC Interest Rates'!A68</f>
        <v>43069</v>
      </c>
      <c r="B31" s="194" t="s">
        <v>139</v>
      </c>
      <c r="C31" s="182">
        <f>'Therm Sales'!I53</f>
        <v>19831096</v>
      </c>
      <c r="D31" s="162"/>
      <c r="E31" s="195">
        <f>ROUND((7119326*-0.01305)+(12711770*-0.01364),2)-0.01</f>
        <v>-266295.76</v>
      </c>
      <c r="F31" s="180">
        <f>ROUND(H30*VLOOKUP(A31,FERCINT17,2)/365*VLOOKUP(A31,FERCINT17,3),2)</f>
        <v>10604.23</v>
      </c>
      <c r="H31" s="191">
        <f t="shared" si="0"/>
        <v>2808872.4873100002</v>
      </c>
      <c r="I31" s="136"/>
      <c r="J31" s="2">
        <v>2808872.49</v>
      </c>
      <c r="K31" s="135"/>
      <c r="M31" s="186"/>
      <c r="N31" s="281"/>
      <c r="O31" s="281" t="s">
        <v>9</v>
      </c>
      <c r="P31" s="285">
        <f t="shared" ref="P31:T31" si="3">SUM(P29:P30)</f>
        <v>10459128</v>
      </c>
      <c r="Q31" s="285">
        <f t="shared" si="3"/>
        <v>6885650</v>
      </c>
      <c r="R31" s="285">
        <f t="shared" si="3"/>
        <v>986758</v>
      </c>
      <c r="S31" s="285">
        <f t="shared" si="3"/>
        <v>1227100</v>
      </c>
      <c r="T31" s="285">
        <f t="shared" si="3"/>
        <v>212628</v>
      </c>
      <c r="U31" s="285">
        <f>SUM(U29:U30)</f>
        <v>19771264</v>
      </c>
      <c r="V31" s="281"/>
    </row>
    <row r="32" spans="1:22" hidden="1" x14ac:dyDescent="0.2">
      <c r="A32" s="154">
        <f>'FERC Interest Rates'!A69</f>
        <v>43100</v>
      </c>
      <c r="B32" s="194">
        <v>-1.3050000000000001E-2</v>
      </c>
      <c r="C32" s="182">
        <f>'Therm Sales'!I54</f>
        <v>29973671</v>
      </c>
      <c r="D32" s="162"/>
      <c r="E32" s="189">
        <f>ROUND(C32*B32,2)+0.01</f>
        <v>-391156.39999999997</v>
      </c>
      <c r="F32" s="180">
        <f>ROUND(H31*VLOOKUP(A32,FERCINT17,2)/365*VLOOKUP(A32,FERCINT17,3),2)</f>
        <v>10043.450000000001</v>
      </c>
      <c r="H32" s="191">
        <f t="shared" si="0"/>
        <v>2427759.5373100005</v>
      </c>
      <c r="I32" s="136"/>
      <c r="J32" s="2">
        <v>2427759.54</v>
      </c>
      <c r="K32" s="135"/>
      <c r="M32" s="186"/>
      <c r="N32" s="281"/>
      <c r="O32" s="281"/>
      <c r="P32" s="281"/>
      <c r="Q32" s="281"/>
      <c r="R32" s="281"/>
      <c r="S32" s="281"/>
      <c r="T32" s="281"/>
      <c r="U32" s="281"/>
      <c r="V32" s="281"/>
    </row>
    <row r="33" spans="1:22" hidden="1" x14ac:dyDescent="0.2">
      <c r="A33" s="154">
        <f>'FERC Interest Rates'!A70</f>
        <v>43131</v>
      </c>
      <c r="B33" s="194">
        <v>-1.3050000000000001E-2</v>
      </c>
      <c r="C33" s="182">
        <f>'Therm Sales'!I55+'Therm Sales'!Q55+'Therm Sales'!R55</f>
        <v>35051211</v>
      </c>
      <c r="D33" s="162"/>
      <c r="E33" s="180">
        <f t="shared" si="1"/>
        <v>-457418.3</v>
      </c>
      <c r="F33" s="180">
        <f>ROUND(H32*VLOOKUP(A33,FERCINT18,2)/365*VLOOKUP(A33,FERCINT18,3),2)</f>
        <v>8763.2099999999991</v>
      </c>
      <c r="H33" s="191">
        <f t="shared" si="0"/>
        <v>1979104.4473100007</v>
      </c>
      <c r="I33" s="136"/>
      <c r="J33" s="2">
        <v>1979104.45</v>
      </c>
      <c r="K33" s="135"/>
      <c r="M33" s="186"/>
      <c r="N33" s="281"/>
      <c r="O33" s="281"/>
      <c r="P33" s="281"/>
      <c r="Q33" s="281"/>
      <c r="R33" s="281"/>
      <c r="S33" s="281"/>
      <c r="T33" s="281"/>
      <c r="U33" s="281"/>
      <c r="V33" s="281"/>
    </row>
    <row r="34" spans="1:22" hidden="1" x14ac:dyDescent="0.2">
      <c r="A34" s="154">
        <f>'FERC Interest Rates'!A71</f>
        <v>43159</v>
      </c>
      <c r="B34" s="194">
        <v>-1.3050000000000001E-2</v>
      </c>
      <c r="C34" s="182">
        <f>'Therm Sales'!I56+'Therm Sales'!Q56+'Therm Sales'!R56</f>
        <v>33069193</v>
      </c>
      <c r="D34" s="162"/>
      <c r="E34" s="189">
        <f>ROUND(C34*B34,2)-0.02</f>
        <v>-431552.99</v>
      </c>
      <c r="F34" s="180">
        <f t="shared" ref="F34:F45" si="4">ROUND(H33*VLOOKUP(A34,FERCINT18,2)/365*VLOOKUP(A34,FERCINT18,3),2)</f>
        <v>6452.42</v>
      </c>
      <c r="H34" s="191">
        <f t="shared" si="0"/>
        <v>1554003.8773100006</v>
      </c>
      <c r="I34" s="136"/>
      <c r="J34" s="2">
        <v>1554003.88</v>
      </c>
      <c r="K34" s="135"/>
      <c r="M34" s="186"/>
      <c r="N34" s="281"/>
      <c r="O34" s="281"/>
      <c r="P34" s="281"/>
      <c r="Q34" s="281"/>
      <c r="R34" s="281"/>
      <c r="S34" s="281"/>
      <c r="T34" s="281"/>
      <c r="U34" s="281"/>
      <c r="V34" s="281"/>
    </row>
    <row r="35" spans="1:22" hidden="1" x14ac:dyDescent="0.2">
      <c r="A35" s="154">
        <f>'FERC Interest Rates'!A72</f>
        <v>43190</v>
      </c>
      <c r="B35" s="194">
        <v>-1.3050000000000001E-2</v>
      </c>
      <c r="C35" s="182">
        <f>'Therm Sales'!I57+'Therm Sales'!Q57+'Therm Sales'!R57</f>
        <v>26847264</v>
      </c>
      <c r="D35" s="162"/>
      <c r="E35" s="189">
        <f>ROUND(C35*B35,2)+0.01</f>
        <v>-350356.79</v>
      </c>
      <c r="F35" s="180">
        <f t="shared" si="4"/>
        <v>5609.32</v>
      </c>
      <c r="H35" s="191">
        <f t="shared" si="0"/>
        <v>1209256.4073100006</v>
      </c>
      <c r="I35" s="136"/>
      <c r="J35" s="2">
        <v>1209256.4099999999</v>
      </c>
      <c r="K35" s="135"/>
      <c r="M35" s="186"/>
      <c r="N35" s="281"/>
      <c r="O35" s="281"/>
      <c r="P35" s="281"/>
      <c r="Q35" s="281"/>
      <c r="R35" s="281"/>
      <c r="S35" s="281"/>
      <c r="T35" s="281"/>
      <c r="U35" s="281"/>
      <c r="V35" s="281"/>
    </row>
    <row r="36" spans="1:22" hidden="1" x14ac:dyDescent="0.2">
      <c r="A36" s="154">
        <f>'FERC Interest Rates'!A73</f>
        <v>43220</v>
      </c>
      <c r="B36" s="194">
        <v>-1.3050000000000001E-2</v>
      </c>
      <c r="C36" s="182">
        <f>'Therm Sales'!I58+'Therm Sales'!Q58+'Therm Sales'!R58</f>
        <v>18420877</v>
      </c>
      <c r="D36" s="162"/>
      <c r="E36" s="180">
        <f t="shared" si="1"/>
        <v>-240392.44</v>
      </c>
      <c r="F36" s="180">
        <f t="shared" si="4"/>
        <v>4442.7700000000004</v>
      </c>
      <c r="H36" s="191">
        <f t="shared" si="0"/>
        <v>973306.73731000058</v>
      </c>
      <c r="I36" s="136"/>
      <c r="J36" s="2">
        <v>973306.74</v>
      </c>
      <c r="K36" s="135"/>
      <c r="M36" s="186"/>
      <c r="N36" s="281"/>
      <c r="O36" s="281"/>
      <c r="P36" s="281"/>
      <c r="Q36" s="281"/>
      <c r="R36" s="281"/>
      <c r="S36" s="281"/>
      <c r="T36" s="281"/>
      <c r="U36" s="281"/>
      <c r="V36" s="281"/>
    </row>
    <row r="37" spans="1:22" hidden="1" x14ac:dyDescent="0.2">
      <c r="A37" s="154">
        <f>'FERC Interest Rates'!A74</f>
        <v>43251</v>
      </c>
      <c r="B37" s="194">
        <v>-1.3050000000000001E-2</v>
      </c>
      <c r="C37" s="182">
        <f>'Therm Sales'!I59+'Therm Sales'!Q59+'Therm Sales'!R59</f>
        <v>9123371</v>
      </c>
      <c r="D37" s="162"/>
      <c r="E37" s="189">
        <f>ROUND(C37*B37,2)+0.01</f>
        <v>-119059.98000000001</v>
      </c>
      <c r="F37" s="180">
        <f t="shared" si="4"/>
        <v>3695.1</v>
      </c>
      <c r="H37" s="191">
        <f t="shared" si="0"/>
        <v>857941.85731000057</v>
      </c>
      <c r="I37" s="136"/>
      <c r="J37" s="2">
        <v>857941.86</v>
      </c>
      <c r="K37" s="135"/>
      <c r="M37" s="186"/>
      <c r="N37" s="281"/>
      <c r="O37" s="281"/>
      <c r="P37" s="281"/>
      <c r="Q37" s="281"/>
      <c r="R37" s="281"/>
      <c r="S37" s="281"/>
      <c r="T37" s="281"/>
      <c r="U37" s="281"/>
      <c r="V37" s="281"/>
    </row>
    <row r="38" spans="1:22" hidden="1" x14ac:dyDescent="0.2">
      <c r="A38" s="154">
        <f>'FERC Interest Rates'!A75</f>
        <v>43281</v>
      </c>
      <c r="B38" s="194">
        <v>-1.3050000000000001E-2</v>
      </c>
      <c r="C38" s="182">
        <f>'Therm Sales'!I60+'Therm Sales'!Q60+'Therm Sales'!R60</f>
        <v>8475556</v>
      </c>
      <c r="D38" s="162"/>
      <c r="E38" s="189">
        <f>ROUND(C38*B38,2)-0.01</f>
        <v>-110606.01999999999</v>
      </c>
      <c r="F38" s="180">
        <f t="shared" si="4"/>
        <v>3152.05</v>
      </c>
      <c r="H38" s="191">
        <f t="shared" si="0"/>
        <v>750487.8873100006</v>
      </c>
      <c r="I38" s="136"/>
      <c r="J38" s="2">
        <v>750487.89</v>
      </c>
      <c r="K38" s="135"/>
      <c r="M38" s="186"/>
      <c r="N38" s="281"/>
      <c r="O38" s="281"/>
      <c r="P38" s="281"/>
      <c r="Q38" s="281"/>
      <c r="R38" s="281"/>
      <c r="S38" s="281"/>
      <c r="T38" s="281"/>
      <c r="U38" s="281"/>
      <c r="V38" s="281"/>
    </row>
    <row r="39" spans="1:22" hidden="1" x14ac:dyDescent="0.2">
      <c r="A39" s="154">
        <f>'FERC Interest Rates'!A76</f>
        <v>43312</v>
      </c>
      <c r="B39" s="194">
        <v>-1.3050000000000001E-2</v>
      </c>
      <c r="C39" s="182">
        <f>'Therm Sales'!I61+'Therm Sales'!Q61+'Therm Sales'!R61</f>
        <v>7002546</v>
      </c>
      <c r="D39" s="162"/>
      <c r="E39" s="189">
        <f>ROUND(C39*B39,2)+0.01+0.01</f>
        <v>-91383.21</v>
      </c>
      <c r="F39" s="180">
        <f t="shared" si="4"/>
        <v>2989.41</v>
      </c>
      <c r="H39" s="191">
        <f t="shared" si="0"/>
        <v>662094.08731000056</v>
      </c>
      <c r="I39" s="136"/>
      <c r="J39" s="2">
        <v>662139.71</v>
      </c>
      <c r="K39" s="135"/>
      <c r="M39" s="186"/>
      <c r="N39" s="281"/>
      <c r="O39" s="281"/>
      <c r="P39" s="281"/>
      <c r="Q39" s="281"/>
      <c r="R39" s="281"/>
      <c r="S39" s="281"/>
      <c r="T39" s="281"/>
      <c r="U39" s="281"/>
      <c r="V39" s="281"/>
    </row>
    <row r="40" spans="1:22" hidden="1" x14ac:dyDescent="0.2">
      <c r="A40" s="154">
        <f>'FERC Interest Rates'!A77</f>
        <v>43343</v>
      </c>
      <c r="B40" s="194">
        <v>-1.3050000000000001E-2</v>
      </c>
      <c r="C40" s="182">
        <f>'Therm Sales'!I62+'Therm Sales'!Q62+'Therm Sales'!R62</f>
        <v>4282904</v>
      </c>
      <c r="D40" s="162"/>
      <c r="E40" s="180">
        <f t="shared" si="1"/>
        <v>-55891.9</v>
      </c>
      <c r="F40" s="180">
        <f t="shared" si="4"/>
        <v>2637.31</v>
      </c>
      <c r="H40" s="191">
        <f t="shared" si="0"/>
        <v>608839.49731000059</v>
      </c>
      <c r="I40" s="136"/>
      <c r="J40" s="2">
        <v>608839.5</v>
      </c>
      <c r="K40" s="135"/>
      <c r="M40" s="186"/>
      <c r="N40" s="281"/>
      <c r="O40" s="281"/>
      <c r="P40" s="281"/>
      <c r="Q40" s="281"/>
      <c r="R40" s="281"/>
      <c r="S40" s="281"/>
      <c r="T40" s="281"/>
      <c r="U40" s="281"/>
      <c r="V40" s="281"/>
    </row>
    <row r="41" spans="1:22" hidden="1" x14ac:dyDescent="0.2">
      <c r="A41" s="154">
        <f>'FERC Interest Rates'!A78</f>
        <v>43373</v>
      </c>
      <c r="B41" s="194">
        <v>-1.3050000000000001E-2</v>
      </c>
      <c r="C41" s="182">
        <f>'Therm Sales'!I63+'Therm Sales'!Q63+'Therm Sales'!R63</f>
        <v>8899792</v>
      </c>
      <c r="D41" s="162"/>
      <c r="E41" s="180">
        <f t="shared" si="1"/>
        <v>-116142.29</v>
      </c>
      <c r="F41" s="180">
        <f t="shared" si="4"/>
        <v>2346.9499999999998</v>
      </c>
      <c r="H41" s="191">
        <f t="shared" si="0"/>
        <v>495044.15731000062</v>
      </c>
      <c r="I41" s="136"/>
      <c r="J41" s="2">
        <v>495044.16</v>
      </c>
      <c r="K41" s="135"/>
      <c r="M41" s="186"/>
      <c r="N41" s="281"/>
      <c r="O41" s="281"/>
      <c r="P41" s="283">
        <v>503</v>
      </c>
      <c r="Q41" s="283">
        <v>504</v>
      </c>
      <c r="R41" s="283">
        <v>505</v>
      </c>
      <c r="S41" s="283">
        <v>511</v>
      </c>
      <c r="T41" s="283">
        <v>570</v>
      </c>
      <c r="U41" s="283" t="s">
        <v>9</v>
      </c>
      <c r="V41" s="281"/>
    </row>
    <row r="42" spans="1:22" hidden="1" x14ac:dyDescent="0.2">
      <c r="A42" s="154">
        <f>'FERC Interest Rates'!A79</f>
        <v>43404</v>
      </c>
      <c r="B42" s="194">
        <v>-1.3050000000000001E-2</v>
      </c>
      <c r="C42" s="182">
        <f>'Therm Sales'!I64+'Therm Sales'!Q64+'Therm Sales'!R64</f>
        <v>16882992</v>
      </c>
      <c r="D42" s="162"/>
      <c r="E42" s="189">
        <f>ROUND(C42*B42,2)+0.01</f>
        <v>-220323.03999999998</v>
      </c>
      <c r="F42" s="180">
        <f t="shared" si="4"/>
        <v>2085.42</v>
      </c>
      <c r="H42" s="191">
        <f t="shared" si="0"/>
        <v>276806.53731000063</v>
      </c>
      <c r="I42" s="136"/>
      <c r="J42" s="2">
        <v>276806.53999999998</v>
      </c>
      <c r="K42" s="135"/>
      <c r="M42" s="186"/>
      <c r="N42" s="281"/>
      <c r="O42" s="297" t="s">
        <v>160</v>
      </c>
      <c r="P42" s="284">
        <v>955454</v>
      </c>
      <c r="Q42" s="284">
        <v>-392656</v>
      </c>
      <c r="R42" s="284">
        <v>691277</v>
      </c>
      <c r="S42" s="284">
        <f>107458+459820</f>
        <v>567278</v>
      </c>
      <c r="T42" s="284">
        <v>0</v>
      </c>
      <c r="U42" s="284">
        <f>SUM(P42:T42)</f>
        <v>1821353</v>
      </c>
      <c r="V42" s="281"/>
    </row>
    <row r="43" spans="1:22" hidden="1" x14ac:dyDescent="0.2">
      <c r="A43" s="137" t="s">
        <v>159</v>
      </c>
      <c r="B43" s="137"/>
      <c r="C43" s="137"/>
      <c r="D43" s="137"/>
      <c r="E43" s="137"/>
      <c r="F43" s="137"/>
      <c r="G43" s="2">
        <v>5836279.6399999997</v>
      </c>
      <c r="H43" s="191">
        <f t="shared" ref="H43:H54" si="5">H42+SUM(D43:G43)</f>
        <v>6113086.1773100002</v>
      </c>
      <c r="I43" s="136"/>
      <c r="K43" s="135"/>
      <c r="M43" s="186"/>
      <c r="N43" s="281"/>
      <c r="O43" s="297" t="s">
        <v>161</v>
      </c>
      <c r="P43" s="284">
        <v>14539817</v>
      </c>
      <c r="Q43" s="284">
        <f>10738274+3464</f>
        <v>10741738</v>
      </c>
      <c r="R43" s="284">
        <f>298083+63</f>
        <v>298146</v>
      </c>
      <c r="S43" s="284">
        <f>77569+331925</f>
        <v>409494</v>
      </c>
      <c r="T43" s="284">
        <v>217688</v>
      </c>
      <c r="U43" s="284">
        <f>SUM(P43:T43)</f>
        <v>26206883</v>
      </c>
      <c r="V43" s="281"/>
    </row>
    <row r="44" spans="1:22" hidden="1" x14ac:dyDescent="0.2">
      <c r="A44" s="154">
        <f>'FERC Interest Rates'!A80</f>
        <v>43434</v>
      </c>
      <c r="B44" s="194" t="s">
        <v>139</v>
      </c>
      <c r="C44" s="182">
        <f>'Therm Sales'!I65+'Therm Sales'!Q65+'Therm Sales'!R65</f>
        <v>28028236</v>
      </c>
      <c r="D44" s="162"/>
      <c r="E44" s="178">
        <f>ROUND((U42*-0.01305)+(U43*-0.02634),2)</f>
        <v>-714057.95</v>
      </c>
      <c r="F44" s="180">
        <f t="shared" si="4"/>
        <v>24921.29</v>
      </c>
      <c r="H44" s="191">
        <f t="shared" si="5"/>
        <v>5423949.51731</v>
      </c>
      <c r="I44" s="136"/>
      <c r="J44" s="2">
        <v>5423949.5199999996</v>
      </c>
      <c r="K44" s="135"/>
      <c r="M44" s="186"/>
      <c r="N44" s="281"/>
      <c r="O44" s="297" t="s">
        <v>9</v>
      </c>
      <c r="P44" s="285">
        <f t="shared" ref="P44:T44" si="6">SUM(P42:P43)</f>
        <v>15495271</v>
      </c>
      <c r="Q44" s="285">
        <f t="shared" si="6"/>
        <v>10349082</v>
      </c>
      <c r="R44" s="285">
        <f t="shared" si="6"/>
        <v>989423</v>
      </c>
      <c r="S44" s="285">
        <f t="shared" si="6"/>
        <v>976772</v>
      </c>
      <c r="T44" s="285">
        <f t="shared" si="6"/>
        <v>217688</v>
      </c>
      <c r="U44" s="285">
        <f>SUM(U42:U43)</f>
        <v>28028236</v>
      </c>
      <c r="V44" s="281"/>
    </row>
    <row r="45" spans="1:22" hidden="1" x14ac:dyDescent="0.2">
      <c r="A45" s="154">
        <f>'FERC Interest Rates'!A81</f>
        <v>43465</v>
      </c>
      <c r="B45" s="194">
        <v>-2.6339999999999999E-2</v>
      </c>
      <c r="C45" s="182">
        <f>'Therm Sales'!I66+'Therm Sales'!Q66+'Therm Sales'!R66</f>
        <v>35902771</v>
      </c>
      <c r="D45" s="162"/>
      <c r="E45" s="135">
        <f>ROUND(C45*B45,2)</f>
        <v>-945678.99</v>
      </c>
      <c r="F45" s="180">
        <f t="shared" si="4"/>
        <v>22848.94</v>
      </c>
      <c r="H45" s="191">
        <f t="shared" si="5"/>
        <v>4501119.4673100002</v>
      </c>
      <c r="I45" s="136"/>
      <c r="J45" s="2">
        <v>4501119.47</v>
      </c>
      <c r="K45" s="135"/>
      <c r="M45" s="186"/>
      <c r="N45" s="281"/>
      <c r="O45" s="281"/>
      <c r="P45" s="281"/>
      <c r="Q45" s="281"/>
      <c r="R45" s="281"/>
      <c r="S45" s="281"/>
      <c r="T45" s="281"/>
      <c r="U45" s="281"/>
      <c r="V45" s="281"/>
    </row>
    <row r="46" spans="1:22" hidden="1" x14ac:dyDescent="0.2">
      <c r="A46" s="154">
        <f>'FERC Interest Rates'!A82</f>
        <v>43496</v>
      </c>
      <c r="B46" s="194">
        <v>-2.6339999999999999E-2</v>
      </c>
      <c r="C46" s="182">
        <f>'Therm Sales'!I67+'Therm Sales'!Q67+'Therm Sales'!R67</f>
        <v>36009901</v>
      </c>
      <c r="D46" s="162"/>
      <c r="E46" s="189">
        <f>ROUND(C46*B46,2)+0.02</f>
        <v>-948500.77</v>
      </c>
      <c r="F46" s="180">
        <f t="shared" ref="F46:F54" si="7">ROUND(H45*VLOOKUP(A46,FERCINT19,2)/365*VLOOKUP(A46,FERCINT19,3),2)</f>
        <v>19802.46</v>
      </c>
      <c r="H46" s="191">
        <f t="shared" si="5"/>
        <v>3572421.1573100002</v>
      </c>
      <c r="I46" s="136"/>
      <c r="J46" s="2">
        <v>3572421.16</v>
      </c>
      <c r="K46" s="135"/>
      <c r="M46" s="186"/>
      <c r="N46" s="281"/>
      <c r="O46" s="281"/>
      <c r="P46" s="281"/>
      <c r="Q46" s="281"/>
      <c r="R46" s="281"/>
      <c r="S46" s="281"/>
      <c r="T46" s="281"/>
      <c r="U46" s="281"/>
      <c r="V46" s="281"/>
    </row>
    <row r="47" spans="1:22" hidden="1" x14ac:dyDescent="0.2">
      <c r="A47" s="154">
        <f>'FERC Interest Rates'!A83</f>
        <v>43524</v>
      </c>
      <c r="B47" s="194">
        <v>-2.6339999999999999E-2</v>
      </c>
      <c r="C47" s="182">
        <f>'Therm Sales'!I68+'Therm Sales'!Q68+'Therm Sales'!R68</f>
        <v>44489208</v>
      </c>
      <c r="D47" s="162"/>
      <c r="E47" s="135">
        <f t="shared" ref="E47:E53" si="8">ROUND(C47*B47,2)</f>
        <v>-1171845.74</v>
      </c>
      <c r="F47" s="180">
        <f t="shared" si="7"/>
        <v>14195.73</v>
      </c>
      <c r="H47" s="191">
        <f t="shared" si="5"/>
        <v>2414771.1473099999</v>
      </c>
      <c r="I47" s="136"/>
      <c r="J47" s="2">
        <v>2414771.15</v>
      </c>
      <c r="K47" s="135"/>
      <c r="M47" s="186"/>
      <c r="N47" s="281"/>
      <c r="O47" s="281"/>
      <c r="P47" s="281"/>
      <c r="Q47" s="281"/>
      <c r="R47" s="281"/>
      <c r="S47" s="281"/>
      <c r="T47" s="281"/>
      <c r="U47" s="281"/>
      <c r="V47" s="281"/>
    </row>
    <row r="48" spans="1:22" hidden="1" x14ac:dyDescent="0.2">
      <c r="A48" s="154">
        <f>'FERC Interest Rates'!A84</f>
        <v>43555</v>
      </c>
      <c r="B48" s="194">
        <v>-2.6339999999999999E-2</v>
      </c>
      <c r="C48" s="182">
        <f>'Therm Sales'!I69+'Therm Sales'!Q69+'Therm Sales'!R69</f>
        <v>32248157</v>
      </c>
      <c r="D48" s="162"/>
      <c r="E48" s="135">
        <f t="shared" si="8"/>
        <v>-849416.46</v>
      </c>
      <c r="F48" s="180">
        <f t="shared" si="7"/>
        <v>10623.67</v>
      </c>
      <c r="H48" s="191">
        <f t="shared" si="5"/>
        <v>1575978.3573099999</v>
      </c>
      <c r="I48" s="136"/>
      <c r="J48" s="2">
        <v>1575978.36</v>
      </c>
      <c r="K48" s="135"/>
      <c r="M48" s="186"/>
      <c r="N48" s="281"/>
      <c r="O48" s="281"/>
      <c r="P48" s="281"/>
      <c r="Q48" s="281"/>
      <c r="R48" s="281"/>
      <c r="S48" s="281"/>
      <c r="T48" s="281"/>
      <c r="U48" s="281"/>
      <c r="V48" s="281"/>
    </row>
    <row r="49" spans="1:22" hidden="1" x14ac:dyDescent="0.2">
      <c r="A49" s="154">
        <f>'FERC Interest Rates'!A85</f>
        <v>43585</v>
      </c>
      <c r="B49" s="194">
        <v>-2.6339999999999999E-2</v>
      </c>
      <c r="C49" s="182">
        <f>'Therm Sales'!I70+'Therm Sales'!Q70+'Therm Sales'!R70</f>
        <v>15035211</v>
      </c>
      <c r="D49" s="162"/>
      <c r="E49" s="189">
        <f>ROUND(C49*B49,2)+0.01</f>
        <v>-396027.45</v>
      </c>
      <c r="F49" s="180">
        <f t="shared" si="7"/>
        <v>7059.52</v>
      </c>
      <c r="H49" s="191">
        <f t="shared" si="5"/>
        <v>1187010.4273099999</v>
      </c>
      <c r="I49" s="136"/>
      <c r="J49" s="2">
        <v>1187010.43</v>
      </c>
      <c r="K49" s="135"/>
      <c r="M49" s="186"/>
      <c r="N49" s="281"/>
      <c r="O49" s="281"/>
      <c r="P49" s="281"/>
      <c r="Q49" s="281"/>
      <c r="R49" s="281"/>
      <c r="S49" s="281"/>
      <c r="T49" s="281"/>
      <c r="U49" s="281"/>
      <c r="V49" s="281"/>
    </row>
    <row r="50" spans="1:22" hidden="1" x14ac:dyDescent="0.2">
      <c r="A50" s="154">
        <f>'FERC Interest Rates'!A86</f>
        <v>43616</v>
      </c>
      <c r="B50" s="194">
        <v>-2.6339999999999999E-2</v>
      </c>
      <c r="C50" s="182">
        <f>'Therm Sales'!I71+'Therm Sales'!Q71+'Therm Sales'!R71</f>
        <v>10264483</v>
      </c>
      <c r="D50" s="162"/>
      <c r="E50" s="135">
        <f t="shared" si="8"/>
        <v>-270366.48</v>
      </c>
      <c r="F50" s="180">
        <f t="shared" si="7"/>
        <v>5494.39</v>
      </c>
      <c r="H50" s="191">
        <f t="shared" si="5"/>
        <v>922138.33730999997</v>
      </c>
      <c r="I50" s="136"/>
      <c r="J50" s="2">
        <v>922138.34</v>
      </c>
      <c r="K50" s="135"/>
      <c r="M50" s="186"/>
      <c r="N50" s="281"/>
      <c r="O50" s="281"/>
      <c r="P50" s="281"/>
      <c r="Q50" s="281"/>
      <c r="R50" s="281"/>
      <c r="S50" s="281"/>
      <c r="T50" s="281"/>
      <c r="U50" s="281"/>
      <c r="V50" s="281"/>
    </row>
    <row r="51" spans="1:22" x14ac:dyDescent="0.2">
      <c r="A51" s="154">
        <f>'FERC Interest Rates'!A87</f>
        <v>43646</v>
      </c>
      <c r="B51" s="194">
        <v>-2.6339999999999999E-2</v>
      </c>
      <c r="C51" s="182">
        <f>'Therm Sales'!I72+'Therm Sales'!Q72+'Therm Sales'!R72</f>
        <v>7217178</v>
      </c>
      <c r="D51" s="162"/>
      <c r="E51" s="135">
        <f t="shared" si="8"/>
        <v>-190100.47</v>
      </c>
      <c r="F51" s="180">
        <f t="shared" si="7"/>
        <v>4130.67</v>
      </c>
      <c r="H51" s="191">
        <f t="shared" si="5"/>
        <v>736168.53731000004</v>
      </c>
      <c r="I51" s="136"/>
      <c r="J51" s="2">
        <v>736168.54</v>
      </c>
      <c r="K51" s="135"/>
      <c r="M51" s="186"/>
      <c r="N51" s="281"/>
      <c r="O51" s="281"/>
      <c r="P51" s="281"/>
      <c r="Q51" s="281"/>
      <c r="R51" s="281"/>
      <c r="S51" s="281"/>
      <c r="T51" s="281"/>
      <c r="U51" s="281"/>
      <c r="V51" s="281"/>
    </row>
    <row r="52" spans="1:22" x14ac:dyDescent="0.2">
      <c r="A52" s="154">
        <f>'FERC Interest Rates'!A88</f>
        <v>43677</v>
      </c>
      <c r="B52" s="194">
        <v>-2.6339999999999999E-2</v>
      </c>
      <c r="C52" s="182">
        <f>'Therm Sales'!I73+'Therm Sales'!Q73+'Therm Sales'!R73</f>
        <v>7606624</v>
      </c>
      <c r="D52" s="162"/>
      <c r="E52" s="135">
        <f t="shared" si="8"/>
        <v>-200358.48</v>
      </c>
      <c r="F52" s="180">
        <f t="shared" si="7"/>
        <v>3438.81</v>
      </c>
      <c r="H52" s="191">
        <f t="shared" si="5"/>
        <v>539248.86731</v>
      </c>
      <c r="I52" s="136"/>
      <c r="J52" s="2">
        <v>539248.87</v>
      </c>
      <c r="K52" s="135"/>
      <c r="M52" s="186"/>
      <c r="N52" s="281"/>
      <c r="O52" s="281"/>
      <c r="P52" s="281"/>
      <c r="Q52" s="281"/>
      <c r="R52" s="281"/>
      <c r="S52" s="281"/>
      <c r="T52" s="281"/>
      <c r="U52" s="281"/>
      <c r="V52" s="281"/>
    </row>
    <row r="53" spans="1:22" x14ac:dyDescent="0.2">
      <c r="A53" s="154">
        <f>'FERC Interest Rates'!A89</f>
        <v>43708</v>
      </c>
      <c r="B53" s="194">
        <v>-2.6339999999999999E-2</v>
      </c>
      <c r="C53" s="182">
        <f>'Therm Sales'!I74+'Therm Sales'!Q74+'Therm Sales'!R74</f>
        <v>5078924</v>
      </c>
      <c r="D53" s="162"/>
      <c r="E53" s="135">
        <f t="shared" si="8"/>
        <v>-133778.85999999999</v>
      </c>
      <c r="F53" s="180">
        <f t="shared" si="7"/>
        <v>2518.96</v>
      </c>
      <c r="H53" s="191">
        <f t="shared" si="5"/>
        <v>407988.96730999998</v>
      </c>
      <c r="I53" s="136"/>
      <c r="J53" s="2">
        <v>407988.97</v>
      </c>
      <c r="K53" s="135"/>
      <c r="M53" s="186"/>
      <c r="N53" s="281"/>
      <c r="O53" s="281"/>
      <c r="P53" s="281"/>
      <c r="Q53" s="281"/>
      <c r="R53" s="281"/>
      <c r="S53" s="281"/>
      <c r="T53" s="281"/>
      <c r="U53" s="281"/>
      <c r="V53" s="281"/>
    </row>
    <row r="54" spans="1:22" x14ac:dyDescent="0.2">
      <c r="A54" s="154">
        <f>'FERC Interest Rates'!A90</f>
        <v>43738</v>
      </c>
      <c r="B54" s="194">
        <v>-2.6339999999999999E-2</v>
      </c>
      <c r="C54" s="182">
        <f>'Therm Sales'!I75+'Therm Sales'!Q75+'Therm Sales'!R75</f>
        <v>10116547</v>
      </c>
      <c r="D54" s="162"/>
      <c r="E54" s="189">
        <f>ROUND(C54*B54,2)+0.01</f>
        <v>-266469.83999999997</v>
      </c>
      <c r="F54" s="180">
        <f t="shared" si="7"/>
        <v>1844.33</v>
      </c>
      <c r="H54" s="191">
        <f t="shared" si="5"/>
        <v>143363.45731000003</v>
      </c>
      <c r="I54" s="136"/>
      <c r="J54" s="2">
        <v>143363.46</v>
      </c>
      <c r="K54" s="135"/>
      <c r="M54" s="186"/>
      <c r="N54" s="281"/>
      <c r="O54" s="281"/>
      <c r="P54" s="283">
        <v>503</v>
      </c>
      <c r="Q54" s="283">
        <v>504</v>
      </c>
      <c r="R54" s="283">
        <v>505</v>
      </c>
      <c r="S54" s="283">
        <v>511</v>
      </c>
      <c r="T54" s="283">
        <v>570</v>
      </c>
      <c r="U54" s="283" t="s">
        <v>9</v>
      </c>
      <c r="V54" s="281"/>
    </row>
    <row r="55" spans="1:22" x14ac:dyDescent="0.2">
      <c r="A55" s="154">
        <f>'FERC Interest Rates'!A91</f>
        <v>43769</v>
      </c>
      <c r="B55" s="194">
        <v>-2.6339999999999999E-2</v>
      </c>
      <c r="C55" s="182">
        <f>'Therm Sales'!I76+'Therm Sales'!Q76+'Therm Sales'!R76</f>
        <v>23306037</v>
      </c>
      <c r="D55" s="162"/>
      <c r="E55" s="135">
        <f>ROUND(C55*B55,2)</f>
        <v>-613881.01</v>
      </c>
      <c r="F55" s="180">
        <f>ROUND(H54*VLOOKUP(A55,FERCINT19,2)/365*VLOOKUP(A55,FERCINT19,3),2)</f>
        <v>659.94</v>
      </c>
      <c r="H55" s="191">
        <f>H54+SUM(D55:G55)</f>
        <v>-469857.61269000004</v>
      </c>
      <c r="I55" s="136"/>
      <c r="J55" s="2">
        <v>-469857.61</v>
      </c>
      <c r="K55" s="135"/>
      <c r="M55" s="186"/>
      <c r="N55" s="281"/>
      <c r="O55" s="297" t="s">
        <v>160</v>
      </c>
      <c r="P55" s="284">
        <v>206584</v>
      </c>
      <c r="Q55" s="284">
        <v>-1074762</v>
      </c>
      <c r="R55" s="284">
        <v>806453</v>
      </c>
      <c r="S55" s="284">
        <f>292270+626870</f>
        <v>919140</v>
      </c>
      <c r="T55" s="284">
        <v>0</v>
      </c>
      <c r="U55" s="284">
        <f>SUM(P55:T55)</f>
        <v>857415</v>
      </c>
      <c r="V55" s="281"/>
    </row>
    <row r="56" spans="1:22" x14ac:dyDescent="0.2">
      <c r="A56" s="137" t="s">
        <v>159</v>
      </c>
      <c r="B56" s="137"/>
      <c r="C56" s="137"/>
      <c r="D56" s="137"/>
      <c r="E56" s="137"/>
      <c r="F56" s="137"/>
      <c r="G56" s="2">
        <v>6422878.1100000003</v>
      </c>
      <c r="H56" s="191">
        <f t="shared" ref="H56" si="9">H55+SUM(D56:G56)</f>
        <v>5953020.4973100005</v>
      </c>
      <c r="I56" s="136"/>
      <c r="K56" s="135"/>
      <c r="M56" s="186"/>
      <c r="N56" s="281"/>
      <c r="O56" s="297" t="s">
        <v>161</v>
      </c>
      <c r="P56" s="284">
        <v>15697154</v>
      </c>
      <c r="Q56" s="284">
        <f>12914341+3958</f>
        <v>12918299</v>
      </c>
      <c r="R56" s="284">
        <f>352170+491</f>
        <v>352661</v>
      </c>
      <c r="S56" s="284">
        <f>192646+1908901</f>
        <v>2101547</v>
      </c>
      <c r="T56" s="284">
        <v>230233</v>
      </c>
      <c r="U56" s="284">
        <f>SUM(P56:T56)</f>
        <v>31299894</v>
      </c>
      <c r="V56" s="281"/>
    </row>
    <row r="57" spans="1:22" x14ac:dyDescent="0.2">
      <c r="A57" s="154">
        <f>'FERC Interest Rates'!A92</f>
        <v>43799</v>
      </c>
      <c r="B57" s="194" t="s">
        <v>139</v>
      </c>
      <c r="C57" s="182">
        <v>32157309</v>
      </c>
      <c r="D57" s="162"/>
      <c r="E57" s="195">
        <f>ROUND((U55*-0.02634)+(U56*-0.02516),2)+0.01</f>
        <v>-810089.63</v>
      </c>
      <c r="F57" s="180">
        <f>ROUND(H56*VLOOKUP(A57,FERCINT19,2)/365*VLOOKUP(A57,FERCINT19,3),2)</f>
        <v>26519.48</v>
      </c>
      <c r="H57" s="191">
        <f>H56+SUM(D57:G57)</f>
        <v>5169450.3473100001</v>
      </c>
      <c r="I57" s="136"/>
      <c r="J57" s="2">
        <v>5169450.3499999996</v>
      </c>
      <c r="K57" s="135"/>
      <c r="M57" s="186"/>
      <c r="N57" s="281"/>
      <c r="O57" s="297" t="s">
        <v>9</v>
      </c>
      <c r="P57" s="285">
        <f t="shared" ref="P57:T57" si="10">SUM(P55:P56)</f>
        <v>15903738</v>
      </c>
      <c r="Q57" s="285">
        <f t="shared" si="10"/>
        <v>11843537</v>
      </c>
      <c r="R57" s="285">
        <f t="shared" si="10"/>
        <v>1159114</v>
      </c>
      <c r="S57" s="285">
        <f t="shared" si="10"/>
        <v>3020687</v>
      </c>
      <c r="T57" s="285">
        <f t="shared" si="10"/>
        <v>230233</v>
      </c>
      <c r="U57" s="285">
        <f>SUM(U55:U56)</f>
        <v>32157309</v>
      </c>
      <c r="V57" s="281"/>
    </row>
    <row r="58" spans="1:22" x14ac:dyDescent="0.2">
      <c r="A58" s="154">
        <f>'FERC Interest Rates'!A93</f>
        <v>43830</v>
      </c>
      <c r="B58" s="196">
        <v>-2.5159999999999998E-2</v>
      </c>
      <c r="C58" s="182">
        <f>'Therm Sales'!I78+'Therm Sales'!Q78+'Therm Sales'!R78</f>
        <v>37961295</v>
      </c>
      <c r="D58" s="162"/>
      <c r="E58" s="189">
        <f>ROUND(C58*B58,2)-0.02</f>
        <v>-955106.20000000007</v>
      </c>
      <c r="F58" s="180">
        <f>ROUND(H57*VLOOKUP(A58,FERCINT19,2)/365*VLOOKUP(A58,FERCINT19,3),2)</f>
        <v>23796.47</v>
      </c>
      <c r="H58" s="191">
        <f t="shared" ref="H58:H81" si="11">H57+SUM(D58:G58)</f>
        <v>4238140.6173099997</v>
      </c>
      <c r="I58" s="136"/>
      <c r="J58" s="2">
        <v>4238140.62</v>
      </c>
      <c r="K58" s="135"/>
      <c r="M58" s="186"/>
      <c r="N58" s="281"/>
      <c r="O58" s="281"/>
      <c r="P58" s="281"/>
      <c r="Q58" s="281"/>
      <c r="R58" s="281"/>
      <c r="S58" s="281"/>
      <c r="T58" s="281"/>
      <c r="U58" s="281"/>
      <c r="V58" s="281"/>
    </row>
    <row r="59" spans="1:22" x14ac:dyDescent="0.2">
      <c r="A59" s="154">
        <f>'FERC Interest Rates'!A94</f>
        <v>43861</v>
      </c>
      <c r="B59" s="196">
        <v>-2.5159999999999998E-2</v>
      </c>
      <c r="C59" s="182">
        <f>'Therm Sales'!I79+'Therm Sales'!Q79+'Therm Sales'!R79</f>
        <v>37163140</v>
      </c>
      <c r="D59" s="162"/>
      <c r="E59" s="135">
        <f t="shared" ref="E59:E66" si="12">ROUND(C59*B59,2)</f>
        <v>-935024.6</v>
      </c>
      <c r="F59" s="180">
        <f t="shared" ref="F59:F71" si="13">ROUND(H58*VLOOKUP(A59,FERCINT20,2)/365*VLOOKUP(A59,FERCINT20,3),2)</f>
        <v>17853.599999999999</v>
      </c>
      <c r="H59" s="191">
        <f t="shared" si="11"/>
        <v>3320969.6173099997</v>
      </c>
      <c r="I59" s="136"/>
      <c r="J59" s="2">
        <v>3320969.62</v>
      </c>
      <c r="K59" s="135"/>
      <c r="M59" s="186"/>
      <c r="N59" s="281"/>
      <c r="O59" s="281"/>
      <c r="P59" s="281"/>
      <c r="Q59" s="281"/>
      <c r="R59" s="281"/>
      <c r="S59" s="281"/>
      <c r="T59" s="281"/>
      <c r="U59" s="281"/>
      <c r="V59" s="281"/>
    </row>
    <row r="60" spans="1:22" x14ac:dyDescent="0.2">
      <c r="A60" s="154">
        <f>'FERC Interest Rates'!A95</f>
        <v>43890</v>
      </c>
      <c r="B60" s="196">
        <v>-2.5159999999999998E-2</v>
      </c>
      <c r="C60" s="182">
        <f>'Therm Sales'!I80+'Therm Sales'!Q80+'Therm Sales'!R80</f>
        <v>33451284</v>
      </c>
      <c r="D60" s="162"/>
      <c r="E60" s="189">
        <f>ROUND(C60*B60,2)+0.02</f>
        <v>-841634.29</v>
      </c>
      <c r="F60" s="180">
        <f t="shared" si="13"/>
        <v>13087.35</v>
      </c>
      <c r="H60" s="191">
        <f t="shared" si="11"/>
        <v>2492422.6773099997</v>
      </c>
      <c r="I60" s="136"/>
      <c r="J60" s="2">
        <v>2492422.6800000002</v>
      </c>
      <c r="K60" s="135"/>
      <c r="M60" s="186"/>
      <c r="N60" s="281"/>
      <c r="O60" s="281"/>
      <c r="P60" s="281"/>
      <c r="Q60" s="281"/>
      <c r="R60" s="281"/>
      <c r="S60" s="281"/>
      <c r="T60" s="281"/>
      <c r="U60" s="281"/>
      <c r="V60" s="281"/>
    </row>
    <row r="61" spans="1:22" x14ac:dyDescent="0.2">
      <c r="A61" s="154">
        <f>'FERC Interest Rates'!A96</f>
        <v>43921</v>
      </c>
      <c r="B61" s="196">
        <v>-2.5159999999999998E-2</v>
      </c>
      <c r="C61" s="182">
        <f>'Therm Sales'!I81+'Therm Sales'!Q81+'Therm Sales'!R81</f>
        <v>30285335</v>
      </c>
      <c r="D61" s="162"/>
      <c r="E61" s="189">
        <f>ROUND(C61*B61,2)-0.01</f>
        <v>-761979.04</v>
      </c>
      <c r="F61" s="180">
        <f t="shared" si="13"/>
        <v>10499.59</v>
      </c>
      <c r="H61" s="191">
        <f t="shared" si="11"/>
        <v>1740943.2273099995</v>
      </c>
      <c r="I61" s="136"/>
      <c r="J61" s="2">
        <v>1740943.23</v>
      </c>
      <c r="K61" s="135"/>
      <c r="M61" s="186"/>
      <c r="N61" s="281"/>
      <c r="O61" s="281"/>
      <c r="P61" s="281"/>
      <c r="Q61" s="281"/>
      <c r="R61" s="281"/>
      <c r="S61" s="281"/>
      <c r="T61" s="281"/>
      <c r="U61" s="281"/>
      <c r="V61" s="281"/>
    </row>
    <row r="62" spans="1:22" x14ac:dyDescent="0.2">
      <c r="A62" s="154">
        <f>'FERC Interest Rates'!A97</f>
        <v>43951</v>
      </c>
      <c r="B62" s="196">
        <v>-2.5159999999999998E-2</v>
      </c>
      <c r="C62" s="182">
        <f>'Therm Sales'!I82+'Therm Sales'!Q82+'Therm Sales'!R82</f>
        <v>17186956</v>
      </c>
      <c r="D62" s="162"/>
      <c r="E62" s="189">
        <f>ROUND(C62*B62,2)-0.01</f>
        <v>-432423.82</v>
      </c>
      <c r="F62" s="180">
        <f t="shared" si="13"/>
        <v>6796.83</v>
      </c>
      <c r="H62" s="191">
        <f t="shared" si="11"/>
        <v>1315316.2373099995</v>
      </c>
      <c r="I62" s="136"/>
      <c r="J62" s="2">
        <v>1315316.24</v>
      </c>
      <c r="K62" s="135"/>
      <c r="M62" s="186"/>
      <c r="N62" s="281"/>
      <c r="O62" s="281"/>
      <c r="P62" s="281"/>
      <c r="Q62" s="281"/>
      <c r="R62" s="281"/>
      <c r="S62" s="281"/>
      <c r="T62" s="281"/>
      <c r="U62" s="281"/>
      <c r="V62" s="281"/>
    </row>
    <row r="63" spans="1:22" x14ac:dyDescent="0.2">
      <c r="A63" s="154">
        <f>'FERC Interest Rates'!A98</f>
        <v>43982</v>
      </c>
      <c r="B63" s="196">
        <v>-2.5159999999999998E-2</v>
      </c>
      <c r="C63" s="182">
        <f>'Therm Sales'!I83+'Therm Sales'!Q83+'Therm Sales'!R83</f>
        <v>11155791</v>
      </c>
      <c r="D63" s="162"/>
      <c r="E63" s="135">
        <f t="shared" si="12"/>
        <v>-280679.7</v>
      </c>
      <c r="F63" s="180">
        <f t="shared" si="13"/>
        <v>5306.31</v>
      </c>
      <c r="H63" s="191">
        <f t="shared" si="11"/>
        <v>1039942.8473099995</v>
      </c>
      <c r="I63" s="136"/>
      <c r="J63" s="2">
        <v>1039942.85</v>
      </c>
      <c r="K63" s="135"/>
      <c r="M63" s="186"/>
      <c r="N63" s="281"/>
      <c r="O63" s="281"/>
      <c r="P63" s="281"/>
      <c r="Q63" s="281"/>
      <c r="R63" s="281"/>
      <c r="S63" s="281"/>
      <c r="T63" s="281"/>
      <c r="U63" s="281"/>
      <c r="V63" s="281"/>
    </row>
    <row r="64" spans="1:22" x14ac:dyDescent="0.2">
      <c r="A64" s="154">
        <f>'FERC Interest Rates'!A99</f>
        <v>44012</v>
      </c>
      <c r="B64" s="196">
        <v>-2.5159999999999998E-2</v>
      </c>
      <c r="C64" s="182">
        <f>'Therm Sales'!I84+'Therm Sales'!Q84+'Therm Sales'!R84</f>
        <v>8646465</v>
      </c>
      <c r="D64" s="162"/>
      <c r="E64" s="135">
        <f t="shared" si="12"/>
        <v>-217545.06</v>
      </c>
      <c r="F64" s="180">
        <f t="shared" si="13"/>
        <v>4060.05</v>
      </c>
      <c r="H64" s="191">
        <f t="shared" si="11"/>
        <v>826457.83730999951</v>
      </c>
      <c r="I64" s="136"/>
      <c r="J64" s="2">
        <v>826457.84</v>
      </c>
      <c r="K64" s="135"/>
      <c r="M64" s="186"/>
      <c r="N64" s="281"/>
      <c r="O64" s="281"/>
      <c r="P64" s="281"/>
      <c r="Q64" s="281"/>
      <c r="R64" s="281"/>
      <c r="S64" s="281"/>
      <c r="T64" s="281"/>
      <c r="U64" s="281"/>
      <c r="V64" s="281"/>
    </row>
    <row r="65" spans="1:22" x14ac:dyDescent="0.2">
      <c r="A65" s="154">
        <f>'FERC Interest Rates'!A100</f>
        <v>44043</v>
      </c>
      <c r="B65" s="196">
        <v>-2.5159999999999998E-2</v>
      </c>
      <c r="C65" s="182">
        <f>'Therm Sales'!I85+'Therm Sales'!Q85+'Therm Sales'!R85</f>
        <v>8367522</v>
      </c>
      <c r="D65" s="162"/>
      <c r="E65" s="135">
        <f t="shared" si="12"/>
        <v>-210526.85</v>
      </c>
      <c r="F65" s="180">
        <f t="shared" si="13"/>
        <v>2407.6</v>
      </c>
      <c r="H65" s="191">
        <f t="shared" si="11"/>
        <v>618338.58730999951</v>
      </c>
      <c r="I65" s="136"/>
      <c r="J65" s="2">
        <v>618338.59</v>
      </c>
      <c r="K65" s="135"/>
      <c r="M65" s="186"/>
      <c r="N65" s="281"/>
      <c r="O65" s="281"/>
      <c r="P65" s="281"/>
      <c r="Q65" s="281"/>
      <c r="R65" s="281"/>
      <c r="S65" s="281"/>
      <c r="T65" s="281"/>
      <c r="U65" s="281"/>
      <c r="V65" s="281"/>
    </row>
    <row r="66" spans="1:22" x14ac:dyDescent="0.2">
      <c r="A66" s="154">
        <f>'FERC Interest Rates'!A101</f>
        <v>44074</v>
      </c>
      <c r="B66" s="196">
        <v>-2.5159999999999998E-2</v>
      </c>
      <c r="C66" s="182">
        <f>'Therm Sales'!I86+'Therm Sales'!Q86+'Therm Sales'!R86</f>
        <v>7953599</v>
      </c>
      <c r="D66" s="162"/>
      <c r="E66" s="135">
        <f t="shared" si="12"/>
        <v>-200112.55</v>
      </c>
      <c r="F66" s="180">
        <f t="shared" si="13"/>
        <v>1801.31</v>
      </c>
      <c r="H66" s="191">
        <f t="shared" si="11"/>
        <v>420027.34730999952</v>
      </c>
      <c r="I66" s="136"/>
      <c r="J66" s="2">
        <v>420027.35</v>
      </c>
      <c r="K66" s="135"/>
      <c r="M66" s="186"/>
      <c r="N66" s="281"/>
      <c r="O66" s="281"/>
      <c r="P66" s="298" t="s">
        <v>162</v>
      </c>
      <c r="Q66" s="298"/>
      <c r="R66" s="281"/>
      <c r="S66" s="281"/>
      <c r="T66" s="281"/>
      <c r="U66" s="281"/>
      <c r="V66" s="281"/>
    </row>
    <row r="67" spans="1:22" x14ac:dyDescent="0.2">
      <c r="A67" s="154">
        <f>'FERC Interest Rates'!A102</f>
        <v>44104</v>
      </c>
      <c r="B67" s="196">
        <v>-2.5159999999999998E-2</v>
      </c>
      <c r="C67" s="182">
        <f>'Therm Sales'!I87+'Therm Sales'!Q87+'Therm Sales'!R87</f>
        <v>8583544</v>
      </c>
      <c r="D67" s="162"/>
      <c r="E67" s="189">
        <f>ROUND(C67*B67,2)+0.01</f>
        <v>-215961.96</v>
      </c>
      <c r="F67" s="180">
        <f t="shared" si="13"/>
        <v>1184.1300000000001</v>
      </c>
      <c r="H67" s="191">
        <f t="shared" si="11"/>
        <v>205249.51730999953</v>
      </c>
      <c r="I67" s="136"/>
      <c r="J67" s="2">
        <v>205249.52</v>
      </c>
      <c r="K67" s="135"/>
      <c r="M67" s="186"/>
      <c r="N67" s="281"/>
      <c r="O67" s="281"/>
      <c r="P67" s="283">
        <v>503</v>
      </c>
      <c r="Q67" s="283">
        <v>504</v>
      </c>
      <c r="R67" s="283">
        <v>505</v>
      </c>
      <c r="S67" s="283">
        <v>511</v>
      </c>
      <c r="T67" s="283">
        <v>570</v>
      </c>
      <c r="U67" s="283" t="s">
        <v>9</v>
      </c>
      <c r="V67" s="281"/>
    </row>
    <row r="68" spans="1:22" x14ac:dyDescent="0.2">
      <c r="A68" s="154">
        <f>'FERC Interest Rates'!A103</f>
        <v>44135</v>
      </c>
      <c r="B68" s="196">
        <v>-2.5159999999999998E-2</v>
      </c>
      <c r="C68" s="182">
        <f>'Therm Sales'!I88+'Therm Sales'!Q88+'Therm Sales'!R88</f>
        <v>17325199</v>
      </c>
      <c r="D68" s="162"/>
      <c r="E68" s="189">
        <f>ROUND(C68*B68,2)+0.01</f>
        <v>-435902</v>
      </c>
      <c r="F68" s="180">
        <f t="shared" si="13"/>
        <v>566.54</v>
      </c>
      <c r="H68" s="191">
        <f t="shared" si="11"/>
        <v>-230085.94269000049</v>
      </c>
      <c r="I68" s="136"/>
      <c r="J68" s="2">
        <v>-230085.94</v>
      </c>
      <c r="K68" s="135"/>
      <c r="M68" s="186"/>
      <c r="N68" s="281"/>
      <c r="O68" s="297" t="s">
        <v>160</v>
      </c>
      <c r="P68" s="284">
        <f>6886950-5866478</f>
        <v>1020472</v>
      </c>
      <c r="Q68" s="284">
        <f>4428383-5961158</f>
        <v>-1532775</v>
      </c>
      <c r="R68" s="284">
        <v>615235</v>
      </c>
      <c r="S68" s="284">
        <v>794742</v>
      </c>
      <c r="T68" s="284">
        <v>0</v>
      </c>
      <c r="U68" s="284">
        <f t="shared" ref="U68:U69" si="14">SUM(P68:T68)</f>
        <v>897674</v>
      </c>
      <c r="V68" s="281"/>
    </row>
    <row r="69" spans="1:22" x14ac:dyDescent="0.2">
      <c r="A69" s="137" t="s">
        <v>159</v>
      </c>
      <c r="B69" s="137"/>
      <c r="C69" s="137"/>
      <c r="D69" s="137"/>
      <c r="E69" s="137"/>
      <c r="F69" s="137"/>
      <c r="G69" s="2">
        <v>6765400.3600000003</v>
      </c>
      <c r="H69" s="191">
        <f t="shared" si="11"/>
        <v>6535314.4173099995</v>
      </c>
      <c r="I69" s="136"/>
      <c r="K69" s="135"/>
      <c r="M69" s="186"/>
      <c r="N69" s="281"/>
      <c r="O69" s="297" t="s">
        <v>161</v>
      </c>
      <c r="P69" s="284">
        <f>3564962+12357910</f>
        <v>15922872</v>
      </c>
      <c r="Q69" s="284">
        <f>2065500+8615743</f>
        <v>10681243</v>
      </c>
      <c r="R69" s="284">
        <v>255052</v>
      </c>
      <c r="S69" s="284">
        <v>449749</v>
      </c>
      <c r="T69" s="284">
        <v>220318</v>
      </c>
      <c r="U69" s="284">
        <f t="shared" si="14"/>
        <v>27529234</v>
      </c>
      <c r="V69" s="281"/>
    </row>
    <row r="70" spans="1:22" x14ac:dyDescent="0.2">
      <c r="A70" s="154">
        <f>'FERC Interest Rates'!A104</f>
        <v>44165</v>
      </c>
      <c r="B70" s="194" t="s">
        <v>139</v>
      </c>
      <c r="C70" s="182">
        <f>'Therm Sales'!I89+'Therm Sales'!Q89+'Therm Sales'!R89</f>
        <v>28426908</v>
      </c>
      <c r="D70" s="162"/>
      <c r="E70" s="195">
        <f>ROUND((U68*-0.02516)+(U69*-0.02515),2)-0.01</f>
        <v>-714945.72</v>
      </c>
      <c r="F70" s="180">
        <f t="shared" si="13"/>
        <v>17457.349999999999</v>
      </c>
      <c r="H70" s="191">
        <f t="shared" si="11"/>
        <v>5837826.0473099994</v>
      </c>
      <c r="I70" s="136"/>
      <c r="J70" s="2">
        <v>5837826.0499999998</v>
      </c>
      <c r="K70" s="135"/>
      <c r="M70" s="186"/>
      <c r="N70" s="281"/>
      <c r="O70" s="297" t="s">
        <v>9</v>
      </c>
      <c r="P70" s="285">
        <f t="shared" ref="P70:T70" si="15">SUM(P68:P69)</f>
        <v>16943344</v>
      </c>
      <c r="Q70" s="285">
        <f t="shared" si="15"/>
        <v>9148468</v>
      </c>
      <c r="R70" s="285">
        <f t="shared" si="15"/>
        <v>870287</v>
      </c>
      <c r="S70" s="285">
        <f t="shared" si="15"/>
        <v>1244491</v>
      </c>
      <c r="T70" s="285">
        <f t="shared" si="15"/>
        <v>220318</v>
      </c>
      <c r="U70" s="285">
        <f>SUM(U68:U69)</f>
        <v>28426908</v>
      </c>
      <c r="V70" s="281"/>
    </row>
    <row r="71" spans="1:22" x14ac:dyDescent="0.2">
      <c r="A71" s="154">
        <f>'FERC Interest Rates'!A105</f>
        <v>44196</v>
      </c>
      <c r="B71" s="196">
        <v>-2.5149999999999999E-2</v>
      </c>
      <c r="C71" s="182">
        <f>'Therm Sales'!I90+'Therm Sales'!Q90+'Therm Sales'!R90</f>
        <v>35858466</v>
      </c>
      <c r="D71" s="162"/>
      <c r="E71" s="189">
        <f>ROUND(C71*B71,2)-0.01</f>
        <v>-901840.43</v>
      </c>
      <c r="F71" s="180">
        <f t="shared" si="13"/>
        <v>16114</v>
      </c>
      <c r="H71" s="191">
        <f t="shared" si="11"/>
        <v>4952099.6173099997</v>
      </c>
      <c r="I71" s="136"/>
      <c r="J71" s="2">
        <v>4952099.62</v>
      </c>
      <c r="K71" s="135"/>
      <c r="M71" s="186"/>
      <c r="N71" s="281"/>
      <c r="O71" s="281"/>
      <c r="P71" s="281"/>
      <c r="Q71" s="281"/>
      <c r="R71" s="281"/>
      <c r="S71" s="281"/>
      <c r="T71" s="281"/>
      <c r="U71" s="281"/>
      <c r="V71" s="281"/>
    </row>
    <row r="72" spans="1:22" x14ac:dyDescent="0.2">
      <c r="A72" s="154">
        <f>'FERC Interest Rates'!A106</f>
        <v>44227</v>
      </c>
      <c r="B72" s="196">
        <v>-2.5149999999999999E-2</v>
      </c>
      <c r="C72" s="182">
        <f>'Therm Sales'!I91+'Therm Sales'!Q91+'Therm Sales'!R91</f>
        <v>35035678</v>
      </c>
      <c r="D72" s="162"/>
      <c r="E72" s="135">
        <f t="shared" ref="E72:E81" si="16">ROUND(C72*B72,2)</f>
        <v>-881147.3</v>
      </c>
      <c r="F72" s="180">
        <f t="shared" ref="F72:F81" si="17">ROUND(H71*VLOOKUP(A72,FERCINT21,2)/365*VLOOKUP(A72,FERCINT21,3),2)</f>
        <v>13669.15</v>
      </c>
      <c r="H72" s="191">
        <f t="shared" si="11"/>
        <v>4084621.4673099997</v>
      </c>
      <c r="I72" s="136"/>
      <c r="J72" s="2">
        <v>4084621.47</v>
      </c>
      <c r="K72" s="135"/>
      <c r="M72" s="186"/>
      <c r="N72" s="281"/>
      <c r="O72" s="281"/>
      <c r="P72" s="281"/>
      <c r="Q72" s="281"/>
      <c r="R72" s="281"/>
      <c r="S72" s="281"/>
      <c r="T72" s="281"/>
      <c r="U72" s="281"/>
      <c r="V72" s="281"/>
    </row>
    <row r="73" spans="1:22" x14ac:dyDescent="0.2">
      <c r="A73" s="154">
        <f>'FERC Interest Rates'!A107</f>
        <v>44255</v>
      </c>
      <c r="B73" s="196">
        <v>-2.5149999999999999E-2</v>
      </c>
      <c r="C73" s="182">
        <f>'Therm Sales'!I92+'Therm Sales'!Q92+'Therm Sales'!R92</f>
        <v>35605292</v>
      </c>
      <c r="D73" s="162"/>
      <c r="E73" s="135">
        <f t="shared" si="16"/>
        <v>-895473.09</v>
      </c>
      <c r="F73" s="180">
        <f t="shared" si="17"/>
        <v>10183.58</v>
      </c>
      <c r="H73" s="191">
        <f t="shared" si="11"/>
        <v>3199331.9573099995</v>
      </c>
      <c r="I73" s="136"/>
      <c r="J73" s="2">
        <v>3199331.96</v>
      </c>
      <c r="K73" s="135"/>
      <c r="M73" s="186"/>
      <c r="N73" s="281"/>
      <c r="O73" s="281"/>
      <c r="P73" s="281"/>
      <c r="Q73" s="281"/>
      <c r="R73" s="281"/>
      <c r="S73" s="281"/>
      <c r="T73" s="281"/>
      <c r="U73" s="281"/>
      <c r="V73" s="281"/>
    </row>
    <row r="74" spans="1:22" x14ac:dyDescent="0.2">
      <c r="A74" s="154">
        <f>'FERC Interest Rates'!A108</f>
        <v>44286</v>
      </c>
      <c r="B74" s="196">
        <v>-2.5149999999999999E-2</v>
      </c>
      <c r="C74" s="182">
        <f>'Therm Sales'!I93+'Therm Sales'!Q93+'Therm Sales'!R93</f>
        <v>28293547</v>
      </c>
      <c r="D74" s="162"/>
      <c r="E74" s="189">
        <f>ROUND(C74*B74,2)+0.01</f>
        <v>-711582.7</v>
      </c>
      <c r="F74" s="180">
        <f t="shared" si="17"/>
        <v>8831.0300000000007</v>
      </c>
      <c r="H74" s="191">
        <f t="shared" si="11"/>
        <v>2496580.2873099996</v>
      </c>
      <c r="I74" s="136"/>
      <c r="J74" s="2">
        <v>2496580.29</v>
      </c>
      <c r="K74" s="135"/>
      <c r="M74" s="186"/>
    </row>
    <row r="75" spans="1:22" x14ac:dyDescent="0.2">
      <c r="A75" s="154">
        <f>'FERC Interest Rates'!A109</f>
        <v>44316</v>
      </c>
      <c r="B75" s="196">
        <v>-2.5149999999999999E-2</v>
      </c>
      <c r="C75" s="182">
        <f>'Therm Sales'!I94+'Therm Sales'!Q94+'Therm Sales'!R94</f>
        <v>16513451</v>
      </c>
      <c r="D75" s="162"/>
      <c r="E75" s="189">
        <f>ROUND(C75*B75,2)-0.01</f>
        <v>-415313.3</v>
      </c>
      <c r="F75" s="180">
        <f t="shared" si="17"/>
        <v>6668.95</v>
      </c>
      <c r="H75" s="191">
        <f t="shared" si="11"/>
        <v>2087935.9373099995</v>
      </c>
      <c r="I75" s="136"/>
      <c r="J75" s="2">
        <v>2087935.94</v>
      </c>
      <c r="K75" s="135"/>
      <c r="M75" s="186"/>
    </row>
    <row r="76" spans="1:22" x14ac:dyDescent="0.2">
      <c r="A76" s="154">
        <f>'FERC Interest Rates'!A110</f>
        <v>44347</v>
      </c>
      <c r="B76" s="196">
        <v>-2.5149999999999999E-2</v>
      </c>
      <c r="C76" s="182">
        <f>'Therm Sales'!I95+'Therm Sales'!Q95+'Therm Sales'!R95</f>
        <v>11169448</v>
      </c>
      <c r="D76" s="162"/>
      <c r="E76" s="189">
        <f>ROUND(C76*B76,2)+0.01</f>
        <v>-280911.61</v>
      </c>
      <c r="F76" s="180">
        <f t="shared" si="17"/>
        <v>5763.28</v>
      </c>
      <c r="H76" s="191">
        <f t="shared" si="11"/>
        <v>1812787.6073099994</v>
      </c>
      <c r="I76" s="136"/>
      <c r="J76" s="2">
        <v>1812787.61</v>
      </c>
      <c r="K76" s="135"/>
      <c r="M76" s="186"/>
    </row>
    <row r="77" spans="1:22" x14ac:dyDescent="0.2">
      <c r="A77" s="154">
        <f>'FERC Interest Rates'!A111</f>
        <v>44377</v>
      </c>
      <c r="B77" s="196">
        <v>-2.5149999999999999E-2</v>
      </c>
      <c r="C77" s="182">
        <f>'Therm Sales'!I96+'Therm Sales'!Q96+'Therm Sales'!R96</f>
        <v>7157959</v>
      </c>
      <c r="D77" s="162"/>
      <c r="E77" s="135">
        <f t="shared" si="16"/>
        <v>-180022.67</v>
      </c>
      <c r="F77" s="180">
        <f t="shared" si="17"/>
        <v>4842.38</v>
      </c>
      <c r="H77" s="191">
        <f t="shared" si="11"/>
        <v>1637607.3173099994</v>
      </c>
      <c r="I77" s="136"/>
      <c r="J77" s="2">
        <v>1637607.32</v>
      </c>
      <c r="K77" s="135"/>
      <c r="M77" s="186"/>
    </row>
    <row r="78" spans="1:22" x14ac:dyDescent="0.2">
      <c r="A78" s="154">
        <f>'FERC Interest Rates'!A112</f>
        <v>44408</v>
      </c>
      <c r="B78" s="196">
        <v>-2.5149999999999999E-2</v>
      </c>
      <c r="C78" s="182">
        <f>'Therm Sales'!I97+'Therm Sales'!Q97+'Therm Sales'!R97</f>
        <v>8809945</v>
      </c>
      <c r="D78" s="162"/>
      <c r="E78" s="189">
        <f>ROUND(C78*B78,2)-0.01</f>
        <v>-221570.13</v>
      </c>
      <c r="F78" s="180">
        <f t="shared" si="17"/>
        <v>4520.24</v>
      </c>
      <c r="H78" s="191">
        <f t="shared" si="11"/>
        <v>1420557.4273099992</v>
      </c>
      <c r="I78" s="136"/>
      <c r="J78" s="2">
        <v>1420557.43</v>
      </c>
      <c r="K78" s="135"/>
      <c r="M78" s="186"/>
    </row>
    <row r="79" spans="1:22" x14ac:dyDescent="0.2">
      <c r="A79" s="154">
        <f>'FERC Interest Rates'!A113</f>
        <v>44439</v>
      </c>
      <c r="B79" s="196">
        <v>-2.5149999999999999E-2</v>
      </c>
      <c r="C79" s="182">
        <f>'Therm Sales'!I98+'Therm Sales'!Q98+'Therm Sales'!R98</f>
        <v>6661676</v>
      </c>
      <c r="D79" s="162"/>
      <c r="E79" s="189">
        <f>ROUND(C79*B79,2)-0.01</f>
        <v>-167541.16</v>
      </c>
      <c r="F79" s="180">
        <f t="shared" si="17"/>
        <v>3921.13</v>
      </c>
      <c r="H79" s="191">
        <f t="shared" si="11"/>
        <v>1256937.3973099992</v>
      </c>
      <c r="I79" s="136"/>
      <c r="J79" s="2">
        <v>1256937.3999999999</v>
      </c>
      <c r="K79" s="135"/>
      <c r="M79" s="186"/>
    </row>
    <row r="80" spans="1:22" x14ac:dyDescent="0.2">
      <c r="A80" s="154">
        <f>'FERC Interest Rates'!A114</f>
        <v>44469</v>
      </c>
      <c r="B80" s="196">
        <v>-2.5149999999999999E-2</v>
      </c>
      <c r="C80" s="182">
        <f>'Therm Sales'!I99+'Therm Sales'!Q99+'Therm Sales'!R99</f>
        <v>9031978</v>
      </c>
      <c r="D80" s="162"/>
      <c r="E80" s="189">
        <f>ROUND(C80*B80,2)+0.01</f>
        <v>-227154.24</v>
      </c>
      <c r="F80" s="180">
        <f t="shared" si="17"/>
        <v>3357.57</v>
      </c>
      <c r="H80" s="191">
        <f t="shared" si="11"/>
        <v>1033140.7273099993</v>
      </c>
      <c r="I80" s="136"/>
      <c r="J80" s="2">
        <v>1033140.73</v>
      </c>
      <c r="K80" s="135"/>
      <c r="M80" s="186"/>
    </row>
    <row r="81" spans="1:13" x14ac:dyDescent="0.2">
      <c r="A81" s="154">
        <f>'FERC Interest Rates'!A115</f>
        <v>44500</v>
      </c>
      <c r="B81" s="196">
        <v>-2.5149999999999999E-2</v>
      </c>
      <c r="C81" s="182">
        <f>'Therm Sales'!I100+'Therm Sales'!Q100+'Therm Sales'!R100</f>
        <v>0</v>
      </c>
      <c r="D81" s="162"/>
      <c r="E81" s="135">
        <f t="shared" si="16"/>
        <v>0</v>
      </c>
      <c r="F81" s="180">
        <f t="shared" si="17"/>
        <v>2851.75</v>
      </c>
      <c r="H81" s="191">
        <f t="shared" si="11"/>
        <v>1035992.4773099993</v>
      </c>
      <c r="I81" s="136"/>
      <c r="K81" s="135"/>
      <c r="M81" s="186"/>
    </row>
    <row r="82" spans="1:13" x14ac:dyDescent="0.2">
      <c r="A82" s="154"/>
      <c r="I82" s="136"/>
    </row>
    <row r="83" spans="1:13" x14ac:dyDescent="0.2">
      <c r="I83" s="136"/>
    </row>
    <row r="84" spans="1:13" x14ac:dyDescent="0.2">
      <c r="I84" s="136"/>
    </row>
    <row r="85" spans="1:13" x14ac:dyDescent="0.2">
      <c r="I85" s="136"/>
    </row>
    <row r="86" spans="1:13" x14ac:dyDescent="0.2">
      <c r="I86" s="136"/>
    </row>
    <row r="87" spans="1:13" x14ac:dyDescent="0.2">
      <c r="I87" s="136"/>
    </row>
    <row r="88" spans="1:13" x14ac:dyDescent="0.2">
      <c r="I88" s="136"/>
    </row>
    <row r="89" spans="1:13" x14ac:dyDescent="0.2">
      <c r="I89" s="136"/>
    </row>
    <row r="90" spans="1:13" x14ac:dyDescent="0.2">
      <c r="I90" s="136"/>
    </row>
    <row r="91" spans="1:13" x14ac:dyDescent="0.2">
      <c r="I91" s="136"/>
    </row>
    <row r="92" spans="1:13" x14ac:dyDescent="0.2">
      <c r="I92" s="136"/>
    </row>
    <row r="93" spans="1:13" x14ac:dyDescent="0.2">
      <c r="I93" s="136"/>
    </row>
    <row r="94" spans="1:13" x14ac:dyDescent="0.2">
      <c r="I94" s="136"/>
    </row>
    <row r="95" spans="1:13" x14ac:dyDescent="0.2">
      <c r="I95" s="136"/>
    </row>
    <row r="96" spans="1:13" x14ac:dyDescent="0.2">
      <c r="I96" s="136"/>
    </row>
    <row r="97" spans="9:9" x14ac:dyDescent="0.2">
      <c r="I97" s="136"/>
    </row>
    <row r="98" spans="9:9" x14ac:dyDescent="0.2">
      <c r="I98" s="136"/>
    </row>
    <row r="99" spans="9:9" x14ac:dyDescent="0.2">
      <c r="I99" s="136"/>
    </row>
    <row r="100" spans="9:9" x14ac:dyDescent="0.2">
      <c r="I100" s="136"/>
    </row>
    <row r="101" spans="9:9" x14ac:dyDescent="0.2">
      <c r="I101" s="136"/>
    </row>
    <row r="102" spans="9:9" x14ac:dyDescent="0.2">
      <c r="I102" s="136"/>
    </row>
    <row r="103" spans="9:9" x14ac:dyDescent="0.2">
      <c r="I103" s="136"/>
    </row>
    <row r="104" spans="9:9" x14ac:dyDescent="0.2">
      <c r="I104" s="136"/>
    </row>
    <row r="105" spans="9:9" x14ac:dyDescent="0.2">
      <c r="I105" s="136"/>
    </row>
    <row r="106" spans="9:9" x14ac:dyDescent="0.2">
      <c r="I106" s="136"/>
    </row>
    <row r="107" spans="9:9" x14ac:dyDescent="0.2">
      <c r="I107" s="136"/>
    </row>
    <row r="108" spans="9:9" x14ac:dyDescent="0.2">
      <c r="I108" s="136"/>
    </row>
    <row r="109" spans="9:9" x14ac:dyDescent="0.2">
      <c r="I109" s="136"/>
    </row>
    <row r="110" spans="9:9" x14ac:dyDescent="0.2">
      <c r="I110" s="136"/>
    </row>
    <row r="111" spans="9:9" x14ac:dyDescent="0.2">
      <c r="I111" s="136"/>
    </row>
    <row r="112" spans="9:9" x14ac:dyDescent="0.2">
      <c r="I112" s="136"/>
    </row>
    <row r="113" spans="9:9" x14ac:dyDescent="0.2">
      <c r="I113" s="136"/>
    </row>
    <row r="114" spans="9:9" x14ac:dyDescent="0.2">
      <c r="I114" s="136"/>
    </row>
    <row r="115" spans="9:9" x14ac:dyDescent="0.2">
      <c r="I115" s="136"/>
    </row>
  </sheetData>
  <mergeCells count="25">
    <mergeCell ref="A69:F69"/>
    <mergeCell ref="A15:F15"/>
    <mergeCell ref="A16:F16"/>
    <mergeCell ref="A30:F30"/>
    <mergeCell ref="A43:F43"/>
    <mergeCell ref="A56:F56"/>
    <mergeCell ref="P66:Q66"/>
    <mergeCell ref="A7:B7"/>
    <mergeCell ref="C7:H7"/>
    <mergeCell ref="D9:F9"/>
    <mergeCell ref="A12:F12"/>
    <mergeCell ref="A13:F13"/>
    <mergeCell ref="A14:F14"/>
    <mergeCell ref="A4:B4"/>
    <mergeCell ref="C4:H4"/>
    <mergeCell ref="A5:B5"/>
    <mergeCell ref="C5:H5"/>
    <mergeCell ref="A6:B6"/>
    <mergeCell ref="C6:H6"/>
    <mergeCell ref="A1:B1"/>
    <mergeCell ref="C1:H1"/>
    <mergeCell ref="A2:B2"/>
    <mergeCell ref="C2:H2"/>
    <mergeCell ref="A3:B3"/>
    <mergeCell ref="C3:H3"/>
  </mergeCells>
  <printOptions horizontalCentered="1"/>
  <pageMargins left="0.5" right="0.25" top="0.5" bottom="0.25" header="0.3" footer="0.3"/>
  <pageSetup scale="87"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57AB9-1C03-487A-8E31-3FFC80B77C75}">
  <sheetPr>
    <pageSetUpPr fitToPage="1"/>
  </sheetPr>
  <dimension ref="A1:U115"/>
  <sheetViews>
    <sheetView tabSelected="1" view="pageBreakPreview" topLeftCell="A10" zoomScaleNormal="100" zoomScaleSheetLayoutView="100" workbookViewId="0">
      <selection activeCell="N106" sqref="N106"/>
    </sheetView>
  </sheetViews>
  <sheetFormatPr defaultColWidth="8.88671875" defaultRowHeight="12.75" x14ac:dyDescent="0.2"/>
  <cols>
    <col min="1" max="2" width="8.88671875" style="2"/>
    <col min="3" max="3" width="10.109375" style="2" customWidth="1"/>
    <col min="4" max="4" width="8.88671875" style="2"/>
    <col min="5" max="5" width="10.21875" style="2" customWidth="1"/>
    <col min="6" max="6" width="8.88671875" style="2"/>
    <col min="7" max="7" width="13.109375" style="2" customWidth="1"/>
    <col min="8" max="8" width="11.6640625" style="2" customWidth="1"/>
    <col min="9" max="9" width="1.21875" style="132" customWidth="1"/>
    <col min="10" max="10" width="11.21875" style="2" customWidth="1"/>
    <col min="11" max="11" width="10.6640625" style="2" customWidth="1"/>
    <col min="12" max="12" width="9" style="115" bestFit="1" customWidth="1"/>
    <col min="13" max="13" width="10.33203125" style="115" bestFit="1" customWidth="1"/>
    <col min="14" max="15" width="8.88671875" style="2"/>
    <col min="16" max="16" width="9.21875" style="2" bestFit="1" customWidth="1"/>
    <col min="17" max="16384" width="8.88671875" style="2"/>
  </cols>
  <sheetData>
    <row r="1" spans="1:19" x14ac:dyDescent="0.2">
      <c r="A1" s="138" t="s">
        <v>58</v>
      </c>
      <c r="B1" s="139"/>
      <c r="C1" s="169" t="s">
        <v>59</v>
      </c>
      <c r="D1" s="169"/>
      <c r="E1" s="169"/>
      <c r="F1" s="169"/>
      <c r="G1" s="169"/>
      <c r="H1" s="170"/>
      <c r="I1" s="114"/>
      <c r="J1" s="171"/>
    </row>
    <row r="2" spans="1:19" x14ac:dyDescent="0.2">
      <c r="A2" s="142" t="s">
        <v>60</v>
      </c>
      <c r="B2" s="117"/>
      <c r="C2" s="172" t="s">
        <v>94</v>
      </c>
      <c r="D2" s="172"/>
      <c r="E2" s="172"/>
      <c r="F2" s="172"/>
      <c r="G2" s="172"/>
      <c r="H2" s="173"/>
      <c r="I2" s="114"/>
      <c r="J2" s="171"/>
    </row>
    <row r="3" spans="1:19" x14ac:dyDescent="0.2">
      <c r="A3" s="142" t="s">
        <v>62</v>
      </c>
      <c r="B3" s="117"/>
      <c r="C3" s="172" t="s">
        <v>15</v>
      </c>
      <c r="D3" s="172"/>
      <c r="E3" s="172"/>
      <c r="F3" s="172"/>
      <c r="G3" s="172"/>
      <c r="H3" s="173"/>
      <c r="I3" s="114"/>
      <c r="J3" s="171"/>
    </row>
    <row r="4" spans="1:19" x14ac:dyDescent="0.2">
      <c r="A4" s="142" t="s">
        <v>63</v>
      </c>
      <c r="B4" s="117"/>
      <c r="C4" s="172" t="s">
        <v>64</v>
      </c>
      <c r="D4" s="172"/>
      <c r="E4" s="172"/>
      <c r="F4" s="172"/>
      <c r="G4" s="172"/>
      <c r="H4" s="173"/>
      <c r="I4" s="114"/>
      <c r="J4" s="171"/>
    </row>
    <row r="5" spans="1:19" x14ac:dyDescent="0.2">
      <c r="A5" s="142" t="s">
        <v>65</v>
      </c>
      <c r="B5" s="117"/>
      <c r="C5" s="172" t="s">
        <v>151</v>
      </c>
      <c r="D5" s="172"/>
      <c r="E5" s="172"/>
      <c r="F5" s="172"/>
      <c r="G5" s="172"/>
      <c r="H5" s="173"/>
      <c r="I5" s="114"/>
      <c r="J5" s="171"/>
    </row>
    <row r="6" spans="1:19" x14ac:dyDescent="0.2">
      <c r="A6" s="142" t="s">
        <v>67</v>
      </c>
      <c r="B6" s="117"/>
      <c r="C6" s="118" t="s">
        <v>152</v>
      </c>
      <c r="D6" s="118"/>
      <c r="E6" s="118"/>
      <c r="F6" s="118"/>
      <c r="G6" s="118"/>
      <c r="H6" s="120"/>
      <c r="I6" s="114"/>
      <c r="J6" s="171"/>
    </row>
    <row r="7" spans="1:19" ht="13.5" thickBot="1" x14ac:dyDescent="0.25">
      <c r="A7" s="145" t="s">
        <v>69</v>
      </c>
      <c r="B7" s="146"/>
      <c r="C7" s="174" t="s">
        <v>163</v>
      </c>
      <c r="D7" s="174"/>
      <c r="E7" s="174"/>
      <c r="F7" s="174"/>
      <c r="G7" s="174"/>
      <c r="H7" s="175"/>
      <c r="I7" s="125"/>
      <c r="J7" s="176"/>
    </row>
    <row r="8" spans="1:19" x14ac:dyDescent="0.2">
      <c r="A8" s="152"/>
      <c r="B8" s="152"/>
      <c r="C8" s="153"/>
      <c r="D8" s="153"/>
      <c r="E8" s="153"/>
      <c r="F8" s="153"/>
      <c r="G8" s="153"/>
      <c r="H8" s="153"/>
      <c r="I8" s="2"/>
      <c r="K8" s="114"/>
    </row>
    <row r="9" spans="1:19" x14ac:dyDescent="0.2">
      <c r="A9" s="7"/>
      <c r="D9" s="128" t="s">
        <v>72</v>
      </c>
      <c r="E9" s="128"/>
      <c r="F9" s="128"/>
      <c r="I9" s="2"/>
      <c r="K9" s="300"/>
      <c r="L9" s="301"/>
      <c r="M9" s="301"/>
      <c r="N9" s="300"/>
      <c r="O9" s="300"/>
      <c r="P9" s="300"/>
      <c r="Q9" s="300"/>
      <c r="R9" s="300"/>
      <c r="S9" s="300"/>
    </row>
    <row r="10" spans="1:19" s="57" customFormat="1" ht="29.25" customHeight="1" x14ac:dyDescent="0.2">
      <c r="A10" s="10" t="s">
        <v>22</v>
      </c>
      <c r="B10" s="10" t="s">
        <v>74</v>
      </c>
      <c r="C10" s="10" t="s">
        <v>51</v>
      </c>
      <c r="D10" s="10" t="s">
        <v>75</v>
      </c>
      <c r="E10" s="10" t="s">
        <v>76</v>
      </c>
      <c r="F10" s="10" t="s">
        <v>77</v>
      </c>
      <c r="G10" s="10" t="s">
        <v>78</v>
      </c>
      <c r="H10" s="10" t="s">
        <v>79</v>
      </c>
      <c r="I10" s="130"/>
      <c r="J10" s="10" t="s">
        <v>80</v>
      </c>
      <c r="K10" s="302"/>
      <c r="L10" s="303"/>
      <c r="M10" s="303"/>
      <c r="N10" s="304"/>
      <c r="O10" s="304"/>
      <c r="P10" s="304"/>
      <c r="Q10" s="304"/>
      <c r="R10" s="304"/>
      <c r="S10" s="304"/>
    </row>
    <row r="11" spans="1:19" hidden="1" x14ac:dyDescent="0.2">
      <c r="A11" s="177"/>
      <c r="B11" s="177"/>
      <c r="C11" s="177"/>
      <c r="D11" s="177"/>
      <c r="E11" s="177"/>
      <c r="F11" s="177"/>
      <c r="G11" s="177"/>
      <c r="H11" s="178"/>
      <c r="J11" s="176"/>
      <c r="K11" s="300"/>
      <c r="L11" s="301"/>
      <c r="M11" s="301"/>
      <c r="N11" s="300"/>
      <c r="O11" s="300"/>
      <c r="P11" s="300"/>
      <c r="Q11" s="300"/>
      <c r="R11" s="300"/>
      <c r="S11" s="300"/>
    </row>
    <row r="12" spans="1:19" hidden="1" x14ac:dyDescent="0.2">
      <c r="A12" s="179" t="s">
        <v>164</v>
      </c>
      <c r="B12" s="179"/>
      <c r="C12" s="179"/>
      <c r="D12" s="179"/>
      <c r="E12" s="179"/>
      <c r="F12" s="179"/>
      <c r="G12" s="178">
        <v>-195037.47</v>
      </c>
      <c r="H12" s="178"/>
      <c r="J12" s="180"/>
      <c r="K12" s="305"/>
      <c r="L12" s="301"/>
      <c r="M12" s="301"/>
      <c r="N12" s="300"/>
      <c r="O12" s="300"/>
      <c r="P12" s="300"/>
      <c r="Q12" s="300"/>
      <c r="R12" s="300"/>
      <c r="S12" s="300"/>
    </row>
    <row r="13" spans="1:19" hidden="1" x14ac:dyDescent="0.2">
      <c r="A13" s="179"/>
      <c r="B13" s="179"/>
      <c r="C13" s="179"/>
      <c r="D13" s="179"/>
      <c r="E13" s="179"/>
      <c r="F13" s="179"/>
      <c r="G13" s="178"/>
      <c r="H13" s="178">
        <f>SUM(G12:G12)</f>
        <v>-195037.47</v>
      </c>
      <c r="J13" s="176"/>
      <c r="K13" s="300"/>
      <c r="L13" s="301"/>
      <c r="M13" s="301"/>
      <c r="N13" s="300"/>
      <c r="O13" s="300"/>
      <c r="P13" s="300"/>
      <c r="Q13" s="300"/>
      <c r="R13" s="300"/>
      <c r="S13" s="300"/>
    </row>
    <row r="14" spans="1:19" hidden="1" x14ac:dyDescent="0.2">
      <c r="A14" s="183">
        <f>'[1]FERC Interest Rates'!A68</f>
        <v>43069</v>
      </c>
      <c r="B14" s="197" t="s">
        <v>165</v>
      </c>
      <c r="C14" s="184">
        <f>+'[1]Therm Sales by Rate Schedule'!M112</f>
        <v>7119326</v>
      </c>
      <c r="D14" s="178"/>
      <c r="E14" s="178">
        <f>'[1]Therm Sales by Rate Schedule'!M217</f>
        <v>9648.1799999999985</v>
      </c>
      <c r="F14" s="178">
        <f>ROUND(H13*VLOOKUP(A14,FERCINT17,2)/365*VLOOKUP(A14,FERCINT17,3),2)</f>
        <v>-674.88</v>
      </c>
      <c r="G14" s="178"/>
      <c r="H14" s="178">
        <f>H13+SUM(E14:G14)</f>
        <v>-186064.17</v>
      </c>
      <c r="J14" s="180">
        <v>-186064.17</v>
      </c>
      <c r="K14" s="300"/>
      <c r="L14" s="301"/>
      <c r="M14" s="306"/>
      <c r="N14" s="300"/>
      <c r="O14" s="300"/>
      <c r="P14" s="300"/>
      <c r="Q14" s="300"/>
      <c r="R14" s="300"/>
      <c r="S14" s="300"/>
    </row>
    <row r="15" spans="1:19" hidden="1" x14ac:dyDescent="0.2">
      <c r="A15" s="183">
        <f>'[1]FERC Interest Rates'!A69</f>
        <v>43100</v>
      </c>
      <c r="B15" s="197" t="s">
        <v>165</v>
      </c>
      <c r="C15" s="184">
        <f>+'[1]Therm Sales by Rate Schedule'!M113</f>
        <v>29973671</v>
      </c>
      <c r="D15" s="185"/>
      <c r="E15" s="135">
        <f>+'[1]Therm Sales by Rate Schedule'!M218</f>
        <v>24422.739999999994</v>
      </c>
      <c r="F15" s="178">
        <f>ROUND(H14*VLOOKUP(A15,FERCINT17,2)/365*VLOOKUP(A15,FERCINT17,3),2)</f>
        <v>-665.29</v>
      </c>
      <c r="G15" s="178"/>
      <c r="H15" s="178">
        <f>H14+SUM(D15:G15)</f>
        <v>-162306.72000000003</v>
      </c>
      <c r="J15" s="180">
        <v>-162306.72</v>
      </c>
      <c r="K15" s="305"/>
      <c r="L15" s="301"/>
      <c r="M15" s="306"/>
      <c r="N15" s="300"/>
      <c r="O15" s="300"/>
      <c r="P15" s="300"/>
      <c r="Q15" s="300"/>
      <c r="R15" s="300"/>
      <c r="S15" s="300"/>
    </row>
    <row r="16" spans="1:19" hidden="1" x14ac:dyDescent="0.2">
      <c r="A16" s="183">
        <f>'[1]FERC Interest Rates'!A70</f>
        <v>43131</v>
      </c>
      <c r="B16" s="197" t="s">
        <v>165</v>
      </c>
      <c r="C16" s="184">
        <f>+'[1]Therm Sales by Rate Schedule'!M114</f>
        <v>41563527</v>
      </c>
      <c r="D16" s="190"/>
      <c r="E16" s="135">
        <f>+'[1]Therm Sales by Rate Schedule'!M219</f>
        <v>36897.270000000004</v>
      </c>
      <c r="F16" s="178">
        <f>ROUND(H15*VLOOKUP(A16,FERCINT18,2)/365*VLOOKUP(A16,FERCINT18,3),2)</f>
        <v>-585.86</v>
      </c>
      <c r="G16" s="176"/>
      <c r="H16" s="191">
        <f>H15+SUM(D16:G16)</f>
        <v>-125995.31000000003</v>
      </c>
      <c r="J16" s="180">
        <v>-125995.31</v>
      </c>
      <c r="K16" s="305"/>
      <c r="L16" s="301"/>
      <c r="M16" s="306"/>
      <c r="N16" s="300"/>
      <c r="O16" s="300"/>
      <c r="P16" s="300"/>
      <c r="Q16" s="300"/>
      <c r="R16" s="300"/>
      <c r="S16" s="300"/>
    </row>
    <row r="17" spans="1:19" hidden="1" x14ac:dyDescent="0.2">
      <c r="A17" s="183">
        <f>'[1]FERC Interest Rates'!A71</f>
        <v>43159</v>
      </c>
      <c r="B17" s="197" t="s">
        <v>165</v>
      </c>
      <c r="C17" s="184">
        <f>+'[1]Therm Sales by Rate Schedule'!M115</f>
        <v>29732218</v>
      </c>
      <c r="D17" s="190"/>
      <c r="E17" s="135">
        <f>+'[1]Therm Sales by Rate Schedule'!M220</f>
        <v>25373.300000000003</v>
      </c>
      <c r="F17" s="178">
        <f>ROUND(H16*VLOOKUP(A17,FERCINT18,2)/365*VLOOKUP(A17,FERCINT18,3),2)</f>
        <v>-410.78</v>
      </c>
      <c r="G17" s="176"/>
      <c r="H17" s="191">
        <f>H16+SUM(D17:G17)</f>
        <v>-101032.79000000002</v>
      </c>
      <c r="J17" s="2">
        <v>-101032.79</v>
      </c>
      <c r="K17" s="305"/>
      <c r="L17" s="301"/>
      <c r="M17" s="306"/>
      <c r="N17" s="300"/>
      <c r="O17" s="300"/>
      <c r="P17" s="300"/>
      <c r="Q17" s="300"/>
      <c r="R17" s="300"/>
      <c r="S17" s="300"/>
    </row>
    <row r="18" spans="1:19" hidden="1" x14ac:dyDescent="0.2">
      <c r="A18" s="183">
        <f>'[1]FERC Interest Rates'!A72</f>
        <v>43190</v>
      </c>
      <c r="B18" s="197" t="s">
        <v>165</v>
      </c>
      <c r="C18" s="184">
        <f>+'[1]Therm Sales by Rate Schedule'!M116</f>
        <v>34772590</v>
      </c>
      <c r="D18" s="190"/>
      <c r="E18" s="135">
        <f>+'[1]Therm Sales by Rate Schedule'!M221</f>
        <v>30383.489999999998</v>
      </c>
      <c r="F18" s="178">
        <f>ROUND(H17*VLOOKUP(A18,FERCINT18,2)/365*VLOOKUP(A18,FERCINT18,3),2)</f>
        <v>-364.69</v>
      </c>
      <c r="G18" s="176"/>
      <c r="H18" s="191">
        <f>H17+SUM(D18:G18)</f>
        <v>-71013.99000000002</v>
      </c>
      <c r="J18" s="2">
        <v>-71013.990000000005</v>
      </c>
      <c r="K18" s="305"/>
      <c r="L18" s="301"/>
      <c r="M18" s="306"/>
      <c r="N18" s="300"/>
      <c r="O18" s="300"/>
      <c r="P18" s="300"/>
      <c r="Q18" s="300"/>
      <c r="R18" s="300"/>
      <c r="S18" s="300"/>
    </row>
    <row r="19" spans="1:19" hidden="1" x14ac:dyDescent="0.2">
      <c r="A19" s="183">
        <f>'[1]FERC Interest Rates'!A73</f>
        <v>43220</v>
      </c>
      <c r="B19" s="197" t="s">
        <v>165</v>
      </c>
      <c r="C19" s="184">
        <f>+'[1]Therm Sales by Rate Schedule'!M117</f>
        <v>23972789</v>
      </c>
      <c r="D19" s="190"/>
      <c r="E19" s="135">
        <f>+'[1]Therm Sales by Rate Schedule'!M222</f>
        <v>24119.02</v>
      </c>
      <c r="F19" s="178">
        <f>ROUND(H18*VLOOKUP(A19,FERCINT18,2)/365*VLOOKUP(A19,FERCINT18,3),2)</f>
        <v>-260.89999999999998</v>
      </c>
      <c r="G19" s="176"/>
      <c r="H19" s="191">
        <f>H18+SUM(D19:G19)</f>
        <v>-47155.870000000024</v>
      </c>
      <c r="J19" s="2">
        <v>-47155.87</v>
      </c>
      <c r="K19" s="305"/>
      <c r="L19" s="301"/>
      <c r="M19" s="306"/>
      <c r="N19" s="300"/>
      <c r="O19" s="300"/>
      <c r="P19" s="300" t="s">
        <v>135</v>
      </c>
      <c r="Q19" s="300" t="s">
        <v>137</v>
      </c>
      <c r="R19" s="300"/>
      <c r="S19" s="300"/>
    </row>
    <row r="20" spans="1:19" hidden="1" x14ac:dyDescent="0.2">
      <c r="A20" s="183">
        <f>'[1]FERC Interest Rates'!A74</f>
        <v>43251</v>
      </c>
      <c r="B20" s="197" t="s">
        <v>165</v>
      </c>
      <c r="C20" s="184">
        <f>+'[1]Therm Sales by Rate Schedule'!M118</f>
        <v>14908800</v>
      </c>
      <c r="D20" s="190"/>
      <c r="E20" s="135">
        <f>+'[1]Therm Sales by Rate Schedule'!M223</f>
        <v>17128.870000000003</v>
      </c>
      <c r="F20" s="178">
        <f>ROUND(H19*VLOOKUP(A20,FERCINT18,2)/365*VLOOKUP(A20,FERCINT18,3),2)</f>
        <v>-179.02</v>
      </c>
      <c r="G20" s="176"/>
      <c r="H20" s="191">
        <f>H19+SUM(D20:G20)</f>
        <v>-30206.020000000022</v>
      </c>
      <c r="J20" s="2">
        <v>-30206.02</v>
      </c>
      <c r="K20" s="305"/>
      <c r="L20" s="301"/>
      <c r="M20" s="306"/>
      <c r="N20" s="300"/>
      <c r="O20" s="307" t="s">
        <v>166</v>
      </c>
      <c r="P20" s="308">
        <v>5727490</v>
      </c>
      <c r="Q20" s="308">
        <v>3233440</v>
      </c>
      <c r="R20" s="300"/>
      <c r="S20" s="300"/>
    </row>
    <row r="21" spans="1:19" hidden="1" x14ac:dyDescent="0.2">
      <c r="A21" s="183">
        <f>'[1]FERC Interest Rates'!A75</f>
        <v>43281</v>
      </c>
      <c r="B21" s="197" t="s">
        <v>165</v>
      </c>
      <c r="C21" s="184">
        <f>+'[1]Therm Sales by Rate Schedule'!M119</f>
        <v>8932302</v>
      </c>
      <c r="D21" s="190"/>
      <c r="E21" s="135">
        <f>+'[1]Therm Sales by Rate Schedule'!M224</f>
        <v>10890.98</v>
      </c>
      <c r="F21" s="178">
        <f>ROUND(H20*VLOOKUP(A21,FERCINT18,2)/365*VLOOKUP(A21,FERCINT18,3),2)</f>
        <v>-110.98</v>
      </c>
      <c r="G21" s="176"/>
      <c r="H21" s="191">
        <f>H20+SUM(D21:G21)</f>
        <v>-19426.020000000022</v>
      </c>
      <c r="J21" s="2">
        <v>-19426.02</v>
      </c>
      <c r="K21" s="305"/>
      <c r="L21" s="301"/>
      <c r="M21" s="306"/>
      <c r="N21" s="300"/>
      <c r="O21" s="309" t="s">
        <v>167</v>
      </c>
      <c r="P21" s="308">
        <v>0</v>
      </c>
      <c r="Q21" s="308">
        <v>3464</v>
      </c>
      <c r="R21" s="300"/>
      <c r="S21" s="300"/>
    </row>
    <row r="22" spans="1:19" hidden="1" x14ac:dyDescent="0.2">
      <c r="A22" s="183">
        <f>'[1]FERC Interest Rates'!A76</f>
        <v>43312</v>
      </c>
      <c r="B22" s="197" t="s">
        <v>165</v>
      </c>
      <c r="C22" s="184">
        <f>+'[1]Therm Sales by Rate Schedule'!M120</f>
        <v>7315304</v>
      </c>
      <c r="D22" s="162"/>
      <c r="E22" s="135">
        <f>+'[1]Therm Sales by Rate Schedule'!M225</f>
        <v>8881.7200000000012</v>
      </c>
      <c r="F22" s="178">
        <f>ROUND(H21*VLOOKUP(A22,FERCINT18,2)/365*VLOOKUP(A22,FERCINT18,3),2)</f>
        <v>-77.38</v>
      </c>
      <c r="H22" s="191">
        <f>H21+SUM(D22:G22)</f>
        <v>-10621.68000000002</v>
      </c>
      <c r="J22" s="2">
        <v>-10625.32</v>
      </c>
      <c r="K22" s="305"/>
      <c r="L22" s="301"/>
      <c r="M22" s="306"/>
      <c r="N22" s="300"/>
      <c r="O22" s="307" t="s">
        <v>168</v>
      </c>
      <c r="P22" s="308">
        <v>4031349</v>
      </c>
      <c r="Q22" s="308">
        <v>2122532</v>
      </c>
      <c r="R22" s="300"/>
      <c r="S22" s="300"/>
    </row>
    <row r="23" spans="1:19" hidden="1" x14ac:dyDescent="0.2">
      <c r="A23" s="183">
        <f>'[1]FERC Interest Rates'!A77</f>
        <v>43343</v>
      </c>
      <c r="B23" s="197" t="s">
        <v>165</v>
      </c>
      <c r="C23" s="184">
        <f>+'[1]Therm Sales by Rate Schedule'!M121</f>
        <v>6809893</v>
      </c>
      <c r="D23" s="162"/>
      <c r="E23" s="135">
        <f>+'[1]Therm Sales by Rate Schedule'!M226</f>
        <v>8075.5700000000006</v>
      </c>
      <c r="F23" s="178">
        <f>ROUND(H22*VLOOKUP(A23,FERCINT18,2)/365*VLOOKUP(A23,FERCINT18,3),2)</f>
        <v>-42.31</v>
      </c>
      <c r="H23" s="191">
        <f>H22+SUM(D23:G23)</f>
        <v>-2588.4200000000201</v>
      </c>
      <c r="I23" s="136"/>
      <c r="J23" s="2">
        <v>-2588.42</v>
      </c>
      <c r="K23" s="305"/>
      <c r="L23" s="301"/>
      <c r="M23" s="306"/>
      <c r="N23" s="300"/>
      <c r="O23" s="309" t="s">
        <v>169</v>
      </c>
      <c r="P23" s="308">
        <v>0</v>
      </c>
      <c r="Q23" s="308">
        <v>63</v>
      </c>
      <c r="R23" s="300"/>
      <c r="S23" s="300"/>
    </row>
    <row r="24" spans="1:19" hidden="1" x14ac:dyDescent="0.2">
      <c r="A24" s="183">
        <f>'[1]FERC Interest Rates'!A78</f>
        <v>43373</v>
      </c>
      <c r="B24" s="197" t="s">
        <v>165</v>
      </c>
      <c r="C24" s="184">
        <f>+'[1]Therm Sales by Rate Schedule'!M122</f>
        <v>6985938</v>
      </c>
      <c r="D24" s="162"/>
      <c r="E24" s="135">
        <f>+'[1]Therm Sales by Rate Schedule'!M227</f>
        <v>6998.26</v>
      </c>
      <c r="F24" s="178">
        <f>ROUND(H23*VLOOKUP(A24,FERCINT18,2)/365*VLOOKUP(A24,FERCINT18,3),2)</f>
        <v>-9.98</v>
      </c>
      <c r="H24" s="191">
        <f>H23+SUM(D24:G24)</f>
        <v>4399.8599999999806</v>
      </c>
      <c r="I24" s="136"/>
      <c r="J24" s="2">
        <v>4399.8599999999997</v>
      </c>
      <c r="K24" s="305"/>
      <c r="L24" s="301"/>
      <c r="M24" s="306"/>
      <c r="N24" s="300"/>
      <c r="O24" s="307" t="s">
        <v>170</v>
      </c>
      <c r="P24" s="308">
        <v>691277</v>
      </c>
      <c r="Q24" s="308">
        <v>298083</v>
      </c>
      <c r="R24" s="300"/>
      <c r="S24" s="300"/>
    </row>
    <row r="25" spans="1:19" hidden="1" x14ac:dyDescent="0.2">
      <c r="A25" s="183">
        <f>'[1]FERC Interest Rates'!A79</f>
        <v>43404</v>
      </c>
      <c r="B25" s="197" t="s">
        <v>165</v>
      </c>
      <c r="C25" s="184">
        <f>+'[1]Therm Sales by Rate Schedule'!M123</f>
        <v>11920068</v>
      </c>
      <c r="D25" s="162"/>
      <c r="E25" s="135">
        <f>+'[1]Therm Sales by Rate Schedule'!M228</f>
        <v>14859.29</v>
      </c>
      <c r="F25" s="178">
        <f>ROUND(H24*VLOOKUP(A25,FERCINT18,2)/365*VLOOKUP(A25,FERCINT18,3),2)</f>
        <v>18.53</v>
      </c>
      <c r="H25" s="191">
        <f>H24+SUM(D25:G25)</f>
        <v>19277.679999999982</v>
      </c>
      <c r="I25" s="136"/>
      <c r="J25" s="2">
        <v>19277.68</v>
      </c>
      <c r="K25" s="305"/>
      <c r="L25" s="301"/>
      <c r="M25" s="306"/>
      <c r="N25" s="300"/>
      <c r="O25" s="307" t="s">
        <v>171</v>
      </c>
      <c r="P25" s="308">
        <v>567278</v>
      </c>
      <c r="Q25" s="308">
        <v>409494</v>
      </c>
      <c r="R25" s="300"/>
      <c r="S25" s="300"/>
    </row>
    <row r="26" spans="1:19" hidden="1" x14ac:dyDescent="0.2">
      <c r="A26" s="179" t="s">
        <v>164</v>
      </c>
      <c r="B26" s="179"/>
      <c r="C26" s="179"/>
      <c r="D26" s="179"/>
      <c r="E26" s="179"/>
      <c r="F26" s="179"/>
      <c r="G26" s="178">
        <v>-6125923.8899999997</v>
      </c>
      <c r="H26" s="191">
        <f>H25+SUM(D26:G26)</f>
        <v>-6106646.21</v>
      </c>
      <c r="I26" s="136"/>
      <c r="J26" s="180"/>
      <c r="K26" s="305"/>
      <c r="L26" s="301"/>
      <c r="M26" s="301"/>
      <c r="N26" s="300"/>
      <c r="O26" s="307" t="s">
        <v>172</v>
      </c>
      <c r="P26" s="308">
        <v>0</v>
      </c>
      <c r="Q26" s="308">
        <v>217688</v>
      </c>
      <c r="R26" s="300"/>
      <c r="S26" s="300"/>
    </row>
    <row r="27" spans="1:19" hidden="1" x14ac:dyDescent="0.2">
      <c r="A27" s="183">
        <f>'[1]FERC Interest Rates'!A80</f>
        <v>43434</v>
      </c>
      <c r="B27" s="197" t="s">
        <v>139</v>
      </c>
      <c r="C27" s="184">
        <f>+'[1]Therm Sales by Rate Schedule'!M124+'[1]Therm Sales by Rate Schedule'!M125</f>
        <v>17302158</v>
      </c>
      <c r="D27" s="162"/>
      <c r="E27" s="135">
        <f>+'[1]Therm Sales by Rate Schedule'!M229+'[1]Therm Sales by Rate Schedule'!M230</f>
        <v>174187.14846999999</v>
      </c>
      <c r="F27" s="178">
        <f>ROUND(H25*VLOOKUP(A27,FERCINT18,2)/365*VLOOKUP(A27,FERCINT18,3),2)</f>
        <v>78.59</v>
      </c>
      <c r="H27" s="191">
        <f>H26+SUM(D27:G27)</f>
        <v>-5932380.4715299997</v>
      </c>
      <c r="I27" s="136"/>
      <c r="J27" s="2">
        <v>-5932380.4699999997</v>
      </c>
      <c r="K27" s="305"/>
      <c r="L27" s="301"/>
      <c r="M27" s="306"/>
      <c r="N27" s="300"/>
      <c r="O27" s="300" t="s">
        <v>9</v>
      </c>
      <c r="P27" s="310">
        <f>SUM(P20:P26)</f>
        <v>11017394</v>
      </c>
      <c r="Q27" s="310">
        <f>SUM(Q20:Q26)</f>
        <v>6284764</v>
      </c>
      <c r="R27" s="300"/>
      <c r="S27" s="300"/>
    </row>
    <row r="28" spans="1:19" hidden="1" x14ac:dyDescent="0.2">
      <c r="A28" s="183">
        <f>'[1]FERC Interest Rates'!A81</f>
        <v>43465</v>
      </c>
      <c r="B28" s="197" t="s">
        <v>165</v>
      </c>
      <c r="C28" s="184">
        <f>+'[1]Therm Sales by Rate Schedule'!M126</f>
        <v>31921099</v>
      </c>
      <c r="D28" s="162"/>
      <c r="E28" s="135">
        <f>+'[1]Therm Sales by Rate Schedule'!M231</f>
        <v>868272.24000000011</v>
      </c>
      <c r="F28" s="178">
        <f>ROUND(H27*VLOOKUP(A28,FERCINT18,2)/365*VLOOKUP(A28,FERCINT18,3),2)</f>
        <v>-24990.76</v>
      </c>
      <c r="H28" s="191">
        <f>H27+SUM(D28:G28)</f>
        <v>-5089098.9915299993</v>
      </c>
      <c r="I28" s="136"/>
      <c r="J28" s="2">
        <v>-5089098.99</v>
      </c>
      <c r="K28" s="305"/>
      <c r="L28" s="301"/>
      <c r="M28" s="306"/>
      <c r="N28" s="300"/>
      <c r="O28" s="300"/>
      <c r="P28" s="300"/>
      <c r="Q28" s="300"/>
      <c r="R28" s="300"/>
      <c r="S28" s="300"/>
    </row>
    <row r="29" spans="1:19" hidden="1" x14ac:dyDescent="0.2">
      <c r="A29" s="183">
        <f>'[1]FERC Interest Rates'!A82</f>
        <v>43496</v>
      </c>
      <c r="B29" s="197" t="s">
        <v>165</v>
      </c>
      <c r="C29" s="184">
        <f>+'[1]Therm Sales by Rate Schedule'!M127</f>
        <v>36049301</v>
      </c>
      <c r="D29" s="162"/>
      <c r="E29" s="135">
        <f>+'[1]Therm Sales by Rate Schedule'!M232</f>
        <v>986847.90999999992</v>
      </c>
      <c r="F29" s="178">
        <f>ROUND(H28*VLOOKUP(A29,FERCINT19,2)/365*VLOOKUP(A29,FERCINT19,3),2)</f>
        <v>-22389.25</v>
      </c>
      <c r="H29" s="191">
        <f>H28+SUM(D29:G29)</f>
        <v>-4124640.3315299992</v>
      </c>
      <c r="I29" s="136"/>
      <c r="J29" s="2">
        <v>-4124640.33</v>
      </c>
      <c r="K29" s="305"/>
      <c r="L29" s="301"/>
      <c r="M29" s="306"/>
      <c r="N29" s="300"/>
      <c r="O29" s="300"/>
      <c r="P29" s="300"/>
      <c r="Q29" s="300"/>
      <c r="R29" s="300"/>
      <c r="S29" s="300"/>
    </row>
    <row r="30" spans="1:19" hidden="1" x14ac:dyDescent="0.2">
      <c r="A30" s="183">
        <f>'[1]FERC Interest Rates'!A83</f>
        <v>43524</v>
      </c>
      <c r="B30" s="197" t="s">
        <v>165</v>
      </c>
      <c r="C30" s="184">
        <f>+'[1]Therm Sales by Rate Schedule'!M128</f>
        <v>38560000</v>
      </c>
      <c r="D30" s="162"/>
      <c r="E30" s="135">
        <f>+'[1]Therm Sales by Rate Schedule'!M233</f>
        <v>1051189.8899999999</v>
      </c>
      <c r="F30" s="178">
        <f>ROUND(H29*VLOOKUP(A30,FERCINT19,2)/365*VLOOKUP(A30,FERCINT19,3),2)</f>
        <v>-16390.080000000002</v>
      </c>
      <c r="H30" s="191">
        <f>H29+SUM(D30:G30)</f>
        <v>-3089840.5215299991</v>
      </c>
      <c r="I30" s="136"/>
      <c r="J30" s="2">
        <v>-3089840.52</v>
      </c>
      <c r="K30" s="305"/>
      <c r="L30" s="301"/>
      <c r="M30" s="306"/>
      <c r="N30" s="300"/>
      <c r="O30" s="300"/>
      <c r="P30" s="300"/>
      <c r="Q30" s="300"/>
      <c r="R30" s="300"/>
      <c r="S30" s="300"/>
    </row>
    <row r="31" spans="1:19" hidden="1" x14ac:dyDescent="0.2">
      <c r="A31" s="183">
        <f>'[1]FERC Interest Rates'!A84</f>
        <v>43555</v>
      </c>
      <c r="B31" s="197" t="s">
        <v>165</v>
      </c>
      <c r="C31" s="184">
        <f>+'[1]Therm Sales by Rate Schedule'!M129</f>
        <v>42389457</v>
      </c>
      <c r="D31" s="162"/>
      <c r="E31" s="135">
        <f>+'[1]Therm Sales by Rate Schedule'!M234</f>
        <v>1158207.93</v>
      </c>
      <c r="F31" s="178">
        <f>ROUND(H30*VLOOKUP(A31,FERCINT19,2)/365*VLOOKUP(A31,FERCINT19,3),2)</f>
        <v>-13593.61</v>
      </c>
      <c r="H31" s="191">
        <f>H30+SUM(D31:G31)</f>
        <v>-1945226.2015299993</v>
      </c>
      <c r="I31" s="136"/>
      <c r="J31" s="2">
        <v>-1945226.2</v>
      </c>
      <c r="K31" s="305"/>
      <c r="L31" s="301"/>
      <c r="M31" s="306"/>
      <c r="N31" s="300"/>
      <c r="O31" s="300"/>
      <c r="P31" s="300"/>
      <c r="Q31" s="300"/>
      <c r="R31" s="300"/>
      <c r="S31" s="300"/>
    </row>
    <row r="32" spans="1:19" hidden="1" x14ac:dyDescent="0.2">
      <c r="A32" s="183">
        <f>'[1]FERC Interest Rates'!A85</f>
        <v>43585</v>
      </c>
      <c r="B32" s="197" t="s">
        <v>165</v>
      </c>
      <c r="C32" s="184">
        <f>+'[1]Therm Sales by Rate Schedule'!M130</f>
        <v>24251956</v>
      </c>
      <c r="D32" s="162"/>
      <c r="E32" s="135">
        <f>+'[1]Therm Sales by Rate Schedule'!M235</f>
        <v>657653.28999999992</v>
      </c>
      <c r="F32" s="178">
        <f>ROUND(H31*VLOOKUP(A32,FERCINT19,2)/365*VLOOKUP(A32,FERCINT19,3),2)</f>
        <v>-8713.5499999999993</v>
      </c>
      <c r="H32" s="191">
        <f>H31+SUM(D32:G32)</f>
        <v>-1296286.4615299995</v>
      </c>
      <c r="I32" s="136"/>
      <c r="J32" s="2">
        <v>-1296286.46</v>
      </c>
      <c r="K32" s="305"/>
      <c r="L32" s="301"/>
      <c r="M32" s="306"/>
      <c r="N32" s="300"/>
      <c r="O32" s="300"/>
      <c r="P32" s="301"/>
      <c r="Q32" s="301"/>
      <c r="R32" s="300"/>
      <c r="S32" s="300"/>
    </row>
    <row r="33" spans="1:21" x14ac:dyDescent="0.2">
      <c r="A33" s="183">
        <f>'[1]FERC Interest Rates'!A86</f>
        <v>43616</v>
      </c>
      <c r="B33" s="197" t="s">
        <v>165</v>
      </c>
      <c r="C33" s="184">
        <f>+'[1]Therm Sales by Rate Schedule'!M131</f>
        <v>14672895</v>
      </c>
      <c r="D33" s="162"/>
      <c r="E33" s="135">
        <f>+'[1]Therm Sales by Rate Schedule'!M236</f>
        <v>400131.27</v>
      </c>
      <c r="F33" s="178">
        <f>ROUND(H32*VLOOKUP(A33,FERCINT19,2)/365*VLOOKUP(A33,FERCINT19,3),2)</f>
        <v>-6000.21</v>
      </c>
      <c r="H33" s="191">
        <f>H32+SUM(D33:G33)</f>
        <v>-902155.40152999945</v>
      </c>
      <c r="I33" s="136"/>
      <c r="J33" s="2">
        <v>-902155.4</v>
      </c>
      <c r="K33" s="305"/>
      <c r="L33" s="301"/>
      <c r="M33" s="306"/>
      <c r="N33" s="300"/>
      <c r="O33" s="307"/>
      <c r="P33" s="308"/>
      <c r="Q33" s="308"/>
      <c r="R33" s="300"/>
      <c r="S33" s="300"/>
    </row>
    <row r="34" spans="1:21" x14ac:dyDescent="0.2">
      <c r="A34" s="183">
        <f>'[1]FERC Interest Rates'!A87</f>
        <v>43646</v>
      </c>
      <c r="B34" s="197" t="s">
        <v>165</v>
      </c>
      <c r="C34" s="184">
        <f>+'[1]Therm Sales by Rate Schedule'!M132</f>
        <v>8957567</v>
      </c>
      <c r="D34" s="162"/>
      <c r="E34" s="135">
        <f>+'[1]Therm Sales by Rate Schedule'!M237</f>
        <v>245712.96</v>
      </c>
      <c r="F34" s="178">
        <f>ROUND(H33*VLOOKUP(A34,FERCINT19,2)/365*VLOOKUP(A34,FERCINT19,3),2)</f>
        <v>-4041.16</v>
      </c>
      <c r="H34" s="191">
        <f>H33+SUM(D34:G34)</f>
        <v>-660483.6015299994</v>
      </c>
      <c r="I34" s="136"/>
      <c r="J34" s="2">
        <v>-660483.6</v>
      </c>
      <c r="K34" s="305"/>
      <c r="L34" s="301"/>
      <c r="M34" s="306"/>
      <c r="N34" s="300"/>
      <c r="O34" s="309"/>
      <c r="P34" s="308"/>
      <c r="Q34" s="308"/>
      <c r="R34" s="300"/>
      <c r="S34" s="300"/>
    </row>
    <row r="35" spans="1:21" x14ac:dyDescent="0.2">
      <c r="A35" s="183">
        <f>'[1]FERC Interest Rates'!A88</f>
        <v>43677</v>
      </c>
      <c r="B35" s="197" t="s">
        <v>165</v>
      </c>
      <c r="C35" s="184">
        <f>+'[1]Therm Sales by Rate Schedule'!M133</f>
        <v>7650859</v>
      </c>
      <c r="D35" s="162"/>
      <c r="E35" s="135">
        <f>+'[1]Therm Sales by Rate Schedule'!M238</f>
        <v>210116.90000000002</v>
      </c>
      <c r="F35" s="178">
        <f>ROUND(H34*VLOOKUP(A35,FERCINT19,2)/365*VLOOKUP(A35,FERCINT19,3),2)</f>
        <v>-3085.27</v>
      </c>
      <c r="H35" s="191">
        <f>H34+SUM(D35:G35)</f>
        <v>-453451.9715299994</v>
      </c>
      <c r="I35" s="136"/>
      <c r="J35" s="2">
        <v>-453451.97</v>
      </c>
      <c r="K35" s="305"/>
      <c r="L35" s="301"/>
      <c r="M35" s="306"/>
      <c r="N35" s="300"/>
      <c r="O35" s="300"/>
      <c r="P35" s="311"/>
      <c r="Q35" s="311"/>
      <c r="R35" s="311"/>
      <c r="S35" s="311"/>
      <c r="T35" s="18"/>
      <c r="U35" s="18"/>
    </row>
    <row r="36" spans="1:21" x14ac:dyDescent="0.2">
      <c r="A36" s="183">
        <f>'[1]FERC Interest Rates'!A89</f>
        <v>43708</v>
      </c>
      <c r="B36" s="197" t="s">
        <v>165</v>
      </c>
      <c r="C36" s="184">
        <f>+'[1]Therm Sales by Rate Schedule'!M134</f>
        <v>6976774</v>
      </c>
      <c r="D36" s="162"/>
      <c r="E36" s="135">
        <f>+'[1]Therm Sales by Rate Schedule'!M239</f>
        <v>192333.09000000003</v>
      </c>
      <c r="F36" s="178">
        <f>ROUND(H35*VLOOKUP(A36,FERCINT19,2)/365*VLOOKUP(A36,FERCINT19,3),2)</f>
        <v>-2118.1799999999998</v>
      </c>
      <c r="H36" s="191">
        <f>H35+SUM(D36:G36)</f>
        <v>-263237.06152999937</v>
      </c>
      <c r="I36" s="136"/>
      <c r="J36" s="2">
        <v>-263237.06</v>
      </c>
      <c r="K36" s="305"/>
      <c r="L36" s="301"/>
      <c r="M36" s="306"/>
      <c r="N36" s="300"/>
      <c r="O36" s="300"/>
      <c r="P36" s="308"/>
      <c r="Q36" s="308"/>
      <c r="R36" s="308"/>
      <c r="S36" s="308"/>
      <c r="T36" s="96"/>
      <c r="U36" s="96"/>
    </row>
    <row r="37" spans="1:21" x14ac:dyDescent="0.2">
      <c r="A37" s="183">
        <f>'[1]FERC Interest Rates'!A90</f>
        <v>43738</v>
      </c>
      <c r="B37" s="197" t="s">
        <v>165</v>
      </c>
      <c r="C37" s="184">
        <f>+'[1]Therm Sales by Rate Schedule'!M135</f>
        <v>6786442</v>
      </c>
      <c r="D37" s="162"/>
      <c r="E37" s="135">
        <f>+'[1]Therm Sales by Rate Schedule'!M240</f>
        <v>181374.92000000004</v>
      </c>
      <c r="F37" s="178">
        <f>ROUND(H36*VLOOKUP(A37,FERCINT19,2)/365*VLOOKUP(A37,FERCINT19,3),2)</f>
        <v>-1189.98</v>
      </c>
      <c r="H37" s="191">
        <f>H36+SUM(D37:G37)</f>
        <v>-83052.121529999335</v>
      </c>
      <c r="I37" s="136"/>
      <c r="J37" s="2">
        <v>-83052.12</v>
      </c>
      <c r="K37" s="305"/>
      <c r="L37" s="301"/>
      <c r="M37" s="306"/>
      <c r="N37" s="300"/>
      <c r="O37" s="300"/>
      <c r="P37" s="312"/>
      <c r="Q37" s="312"/>
      <c r="R37" s="312"/>
      <c r="S37" s="312"/>
      <c r="T37" s="198"/>
      <c r="U37" s="198"/>
    </row>
    <row r="38" spans="1:21" x14ac:dyDescent="0.2">
      <c r="A38" s="183">
        <f>'[1]FERC Interest Rates'!A91</f>
        <v>43769</v>
      </c>
      <c r="B38" s="197" t="s">
        <v>165</v>
      </c>
      <c r="C38" s="184">
        <f>+'[1]Therm Sales by Rate Schedule'!M136</f>
        <v>15171360</v>
      </c>
      <c r="D38" s="162"/>
      <c r="E38" s="135">
        <f>+'[1]Therm Sales by Rate Schedule'!M241</f>
        <v>430320.21</v>
      </c>
      <c r="F38" s="178">
        <f>ROUND(H37*VLOOKUP(A38,FERCINT19,2)/365*VLOOKUP(A38,FERCINT19,3),2)</f>
        <v>-382.31</v>
      </c>
      <c r="H38" s="191">
        <f>H37+SUM(D38:G38)</f>
        <v>346885.77847000072</v>
      </c>
      <c r="I38" s="136"/>
      <c r="J38" s="2">
        <v>346885.78</v>
      </c>
      <c r="K38" s="305"/>
      <c r="L38" s="301"/>
      <c r="M38" s="306"/>
      <c r="N38" s="300"/>
      <c r="O38" s="300"/>
      <c r="P38" s="308"/>
      <c r="Q38" s="308"/>
      <c r="R38" s="308"/>
      <c r="S38" s="308"/>
      <c r="T38" s="96"/>
      <c r="U38" s="96"/>
    </row>
    <row r="39" spans="1:21" x14ac:dyDescent="0.2">
      <c r="A39" s="179" t="s">
        <v>164</v>
      </c>
      <c r="B39" s="179"/>
      <c r="C39" s="179"/>
      <c r="D39" s="179"/>
      <c r="E39" s="179"/>
      <c r="F39" s="179"/>
      <c r="G39" s="178">
        <v>1060071.47</v>
      </c>
      <c r="H39" s="191">
        <f>H38+SUM(D39:G39)</f>
        <v>1406957.2484700007</v>
      </c>
      <c r="I39" s="136"/>
      <c r="J39" s="180"/>
      <c r="K39" s="305"/>
      <c r="L39" s="301"/>
      <c r="M39" s="301"/>
      <c r="N39" s="300"/>
      <c r="O39" s="300"/>
      <c r="P39" s="312"/>
      <c r="Q39" s="312"/>
      <c r="R39" s="312"/>
      <c r="S39" s="312"/>
      <c r="T39" s="198"/>
      <c r="U39" s="198"/>
    </row>
    <row r="40" spans="1:21" x14ac:dyDescent="0.2">
      <c r="A40" s="183">
        <f>'[1]FERC Interest Rates'!A92</f>
        <v>43799</v>
      </c>
      <c r="B40" s="197" t="s">
        <v>139</v>
      </c>
      <c r="C40" s="184">
        <f>+'[1]Therm Sales by Rate Schedule'!M137+'[1]Therm Sales by Rate Schedule'!M138</f>
        <v>23951630</v>
      </c>
      <c r="D40" s="162"/>
      <c r="E40" s="135">
        <f>+'[1]Therm Sales by Rate Schedule'!M242+'[1]Therm Sales by Rate Schedule'!M243</f>
        <v>383936.54182000004</v>
      </c>
      <c r="F40" s="178">
        <f>ROUND(H39*VLOOKUP(A40,FERCINT19,2)/365*VLOOKUP(A40,FERCINT19,3),2)</f>
        <v>6267.71</v>
      </c>
      <c r="H40" s="191">
        <f>H39+SUM(D40:G40)</f>
        <v>1797161.5002900008</v>
      </c>
      <c r="I40" s="136"/>
      <c r="J40" s="2">
        <v>1797161.5</v>
      </c>
      <c r="K40" s="305"/>
      <c r="L40" s="301"/>
      <c r="M40" s="306"/>
      <c r="N40" s="300"/>
      <c r="O40" s="300"/>
      <c r="P40" s="308"/>
      <c r="Q40" s="308"/>
      <c r="R40" s="308"/>
      <c r="S40" s="308"/>
      <c r="T40" s="96"/>
      <c r="U40" s="96"/>
    </row>
    <row r="41" spans="1:21" x14ac:dyDescent="0.2">
      <c r="A41" s="183">
        <f>'[1]FERC Interest Rates'!A93</f>
        <v>43830</v>
      </c>
      <c r="B41" s="197" t="s">
        <v>165</v>
      </c>
      <c r="C41" s="184">
        <f>+'[1]Therm Sales by Rate Schedule'!M139</f>
        <v>34636501</v>
      </c>
      <c r="D41" s="162"/>
      <c r="E41" s="135">
        <f>+'[1]Therm Sales by Rate Schedule'!M244</f>
        <v>-186539.13160999998</v>
      </c>
      <c r="F41" s="178">
        <f>ROUND(H40*VLOOKUP(A41,FERCINT19,2)/365*VLOOKUP(A41,FERCINT19,3),2)</f>
        <v>8272.85</v>
      </c>
      <c r="H41" s="191">
        <f>H40+SUM(D41:G41)</f>
        <v>1618895.2186800009</v>
      </c>
      <c r="I41" s="136"/>
      <c r="J41" s="2">
        <v>1618895.22</v>
      </c>
      <c r="K41" s="305"/>
      <c r="L41" s="301"/>
      <c r="M41" s="306"/>
      <c r="N41" s="300"/>
      <c r="O41" s="300"/>
      <c r="P41" s="300"/>
      <c r="Q41" s="300"/>
      <c r="R41" s="300"/>
      <c r="S41" s="300"/>
    </row>
    <row r="42" spans="1:21" x14ac:dyDescent="0.2">
      <c r="A42" s="183">
        <f>'[1]FERC Interest Rates'!A94</f>
        <v>43861</v>
      </c>
      <c r="B42" s="197" t="s">
        <v>165</v>
      </c>
      <c r="C42" s="184">
        <f>+'[1]Therm Sales by Rate Schedule'!M140</f>
        <v>41447011</v>
      </c>
      <c r="D42" s="162"/>
      <c r="E42" s="189">
        <f>+'[1]Therm Sales by Rate Schedule'!M245+0.01</f>
        <v>-232677.94760999994</v>
      </c>
      <c r="F42" s="178">
        <f>ROUND(H41*VLOOKUP(A42,FERCINT20,2)/365*VLOOKUP(A42,FERCINT20,3),2)</f>
        <v>6819.76</v>
      </c>
      <c r="H42" s="191">
        <f>H41+SUM(D42:G42)</f>
        <v>1393037.031070001</v>
      </c>
      <c r="I42" s="136"/>
      <c r="J42" s="2">
        <v>1393037.03</v>
      </c>
      <c r="K42" s="305"/>
      <c r="L42" s="301"/>
      <c r="M42" s="306"/>
      <c r="N42" s="300"/>
      <c r="O42" s="300"/>
      <c r="P42" s="300"/>
      <c r="Q42" s="300"/>
      <c r="R42" s="300"/>
      <c r="S42" s="300"/>
    </row>
    <row r="43" spans="1:21" x14ac:dyDescent="0.2">
      <c r="A43" s="183">
        <f>'[1]FERC Interest Rates'!A95</f>
        <v>43890</v>
      </c>
      <c r="B43" s="197" t="s">
        <v>165</v>
      </c>
      <c r="C43" s="184">
        <f>+'[1]Therm Sales by Rate Schedule'!M141</f>
        <v>34316998</v>
      </c>
      <c r="D43" s="162"/>
      <c r="E43" s="135">
        <f>+'[1]Therm Sales by Rate Schedule'!M246</f>
        <v>-185523.55536999999</v>
      </c>
      <c r="F43" s="178">
        <f>ROUND(H42*VLOOKUP(A43,FERCINT20,2)/365*VLOOKUP(A43,FERCINT20,3),2)</f>
        <v>5489.71</v>
      </c>
      <c r="H43" s="191">
        <f>H42+SUM(D43:G43)</f>
        <v>1213003.185700001</v>
      </c>
      <c r="I43" s="136"/>
      <c r="J43" s="2">
        <v>1213003.18</v>
      </c>
      <c r="K43" s="305"/>
      <c r="L43" s="301"/>
      <c r="M43" s="306"/>
      <c r="N43" s="300"/>
      <c r="O43" s="300"/>
      <c r="P43" s="300"/>
      <c r="Q43" s="300"/>
      <c r="R43" s="300"/>
      <c r="S43" s="300"/>
    </row>
    <row r="44" spans="1:21" x14ac:dyDescent="0.2">
      <c r="A44" s="183">
        <f>'[1]FERC Interest Rates'!A96</f>
        <v>43921</v>
      </c>
      <c r="B44" s="197" t="s">
        <v>165</v>
      </c>
      <c r="C44" s="184">
        <f>+'[1]Therm Sales by Rate Schedule'!M142</f>
        <v>34370665</v>
      </c>
      <c r="D44" s="162"/>
      <c r="E44" s="135">
        <f>+'[1]Therm Sales by Rate Schedule'!M247</f>
        <v>-186051.78346999999</v>
      </c>
      <c r="F44" s="178">
        <f>ROUND(H43*VLOOKUP(A44,FERCINT20,2)/365*VLOOKUP(A44,FERCINT20,3),2)</f>
        <v>5109.8999999999996</v>
      </c>
      <c r="H44" s="191">
        <f>H43+SUM(D44:G44)</f>
        <v>1032061.302230001</v>
      </c>
      <c r="I44" s="136"/>
      <c r="J44" s="2">
        <v>1032061.3</v>
      </c>
      <c r="K44" s="305"/>
      <c r="L44" s="301"/>
      <c r="M44" s="306"/>
      <c r="N44" s="300"/>
      <c r="O44" s="300"/>
      <c r="P44" s="301" t="s">
        <v>173</v>
      </c>
      <c r="Q44" s="301" t="s">
        <v>173</v>
      </c>
      <c r="R44" s="300"/>
      <c r="S44" s="300"/>
    </row>
    <row r="45" spans="1:21" x14ac:dyDescent="0.2">
      <c r="A45" s="183">
        <f>'[1]FERC Interest Rates'!A97</f>
        <v>43951</v>
      </c>
      <c r="B45" s="197" t="s">
        <v>165</v>
      </c>
      <c r="C45" s="184">
        <f>+'[1]Therm Sales by Rate Schedule'!M143</f>
        <v>26722621</v>
      </c>
      <c r="D45" s="162"/>
      <c r="E45" s="135">
        <f>+'[1]Therm Sales by Rate Schedule'!M248</f>
        <v>-140599.89796</v>
      </c>
      <c r="F45" s="178">
        <f>ROUND(H44*VLOOKUP(A45,FERCINT20,2)/365*VLOOKUP(A45,FERCINT20,3),2)</f>
        <v>4029.28</v>
      </c>
      <c r="H45" s="191">
        <f>H44+SUM(D45:G45)</f>
        <v>895490.68427000102</v>
      </c>
      <c r="I45" s="136"/>
      <c r="J45" s="2">
        <v>895490.68</v>
      </c>
      <c r="K45" s="305"/>
      <c r="L45" s="301"/>
      <c r="M45" s="306"/>
      <c r="N45" s="300"/>
      <c r="O45" s="300"/>
      <c r="P45" s="313" t="s">
        <v>135</v>
      </c>
      <c r="Q45" s="313" t="s">
        <v>137</v>
      </c>
      <c r="R45" s="300"/>
      <c r="S45" s="300"/>
    </row>
    <row r="46" spans="1:21" x14ac:dyDescent="0.2">
      <c r="A46" s="183">
        <f>'[1]FERC Interest Rates'!A98</f>
        <v>43982</v>
      </c>
      <c r="B46" s="197" t="s">
        <v>165</v>
      </c>
      <c r="C46" s="184">
        <f>+'[1]Therm Sales by Rate Schedule'!M144</f>
        <v>13504949</v>
      </c>
      <c r="D46" s="162"/>
      <c r="E46" s="135">
        <f>+'[1]Therm Sales by Rate Schedule'!M249</f>
        <v>-63018.858980000012</v>
      </c>
      <c r="F46" s="178">
        <f>ROUND(H45*VLOOKUP(A46,FERCINT20,2)/365*VLOOKUP(A46,FERCINT20,3),2)</f>
        <v>3612.63</v>
      </c>
      <c r="H46" s="191">
        <f>H45+SUM(D46:G46)</f>
        <v>836084.455290001</v>
      </c>
      <c r="I46" s="136"/>
      <c r="J46" s="2">
        <v>836084.45</v>
      </c>
      <c r="K46" s="305"/>
      <c r="L46" s="301"/>
      <c r="M46" s="306"/>
      <c r="N46" s="300"/>
      <c r="O46" s="307" t="s">
        <v>166</v>
      </c>
      <c r="P46" s="308">
        <v>6886950</v>
      </c>
      <c r="Q46" s="308">
        <v>3564962</v>
      </c>
      <c r="R46" s="300"/>
      <c r="S46" s="300"/>
    </row>
    <row r="47" spans="1:21" x14ac:dyDescent="0.2">
      <c r="A47" s="183">
        <f>'[1]FERC Interest Rates'!A99</f>
        <v>44012</v>
      </c>
      <c r="B47" s="197" t="s">
        <v>165</v>
      </c>
      <c r="C47" s="184">
        <f>+'[1]Therm Sales by Rate Schedule'!M145</f>
        <v>10562993</v>
      </c>
      <c r="D47" s="162"/>
      <c r="E47" s="189">
        <f>+'[1]Therm Sales by Rate Schedule'!M250</f>
        <v>-38258.960389999986</v>
      </c>
      <c r="F47" s="178">
        <f>ROUND(H46*VLOOKUP(A47,FERCINT20,2)/365*VLOOKUP(A47,FERCINT20,3),2)</f>
        <v>3264.17</v>
      </c>
      <c r="H47" s="191">
        <f>H46+SUM(D47:G47)</f>
        <v>801089.66490000102</v>
      </c>
      <c r="I47" s="136"/>
      <c r="J47" s="2">
        <v>801089.66</v>
      </c>
      <c r="K47" s="305"/>
      <c r="L47" s="301"/>
      <c r="M47" s="306"/>
      <c r="N47" s="300"/>
      <c r="O47" s="309" t="s">
        <v>167</v>
      </c>
      <c r="P47" s="308">
        <f>3290-3290</f>
        <v>0</v>
      </c>
      <c r="Q47" s="308">
        <v>5658</v>
      </c>
      <c r="R47" s="300"/>
      <c r="S47" s="300"/>
    </row>
    <row r="48" spans="1:21" x14ac:dyDescent="0.2">
      <c r="A48" s="183">
        <f>'[1]FERC Interest Rates'!A100</f>
        <v>44043</v>
      </c>
      <c r="B48" s="197" t="s">
        <v>165</v>
      </c>
      <c r="C48" s="184">
        <f>+'[1]Therm Sales by Rate Schedule'!M146</f>
        <v>9083808</v>
      </c>
      <c r="D48" s="162"/>
      <c r="E48" s="189">
        <f>+'[1]Therm Sales by Rate Schedule'!M251+0.01</f>
        <v>-26641.785750000006</v>
      </c>
      <c r="F48" s="178">
        <f>ROUND(H47*VLOOKUP(A48,FERCINT20,2)/365*VLOOKUP(A48,FERCINT20,3),2)</f>
        <v>2333.69</v>
      </c>
      <c r="H48" s="191">
        <f>H47+SUM(D48:G48)</f>
        <v>776781.56915000104</v>
      </c>
      <c r="I48" s="136"/>
      <c r="J48" s="2">
        <v>776781.56</v>
      </c>
      <c r="K48" s="305"/>
      <c r="L48" s="301"/>
      <c r="M48" s="306"/>
      <c r="N48" s="300"/>
      <c r="O48" s="307" t="s">
        <v>168</v>
      </c>
      <c r="P48" s="308">
        <v>4428383</v>
      </c>
      <c r="Q48" s="308">
        <v>2059842</v>
      </c>
      <c r="R48" s="300"/>
      <c r="S48" s="300"/>
    </row>
    <row r="49" spans="1:19" x14ac:dyDescent="0.2">
      <c r="A49" s="183">
        <f>'[1]FERC Interest Rates'!A101</f>
        <v>44074</v>
      </c>
      <c r="B49" s="197" t="s">
        <v>165</v>
      </c>
      <c r="C49" s="184">
        <f>+'[1]Therm Sales by Rate Schedule'!M147</f>
        <v>6752494</v>
      </c>
      <c r="D49" s="162"/>
      <c r="E49" s="135">
        <f>+'[1]Therm Sales by Rate Schedule'!M252</f>
        <v>-14204.911440000002</v>
      </c>
      <c r="F49" s="178">
        <f>ROUND(H48*VLOOKUP(A49,FERCINT20,2)/365*VLOOKUP(A49,FERCINT20,3),2)</f>
        <v>2262.88</v>
      </c>
      <c r="H49" s="191">
        <f>H48+SUM(D49:G49)</f>
        <v>764839.53771000099</v>
      </c>
      <c r="I49" s="136"/>
      <c r="J49" s="2">
        <v>764839.54</v>
      </c>
      <c r="K49" s="305"/>
      <c r="L49" s="301"/>
      <c r="M49" s="306"/>
      <c r="N49" s="300"/>
      <c r="O49" s="309" t="s">
        <v>169</v>
      </c>
      <c r="P49" s="308">
        <v>0</v>
      </c>
      <c r="Q49" s="308">
        <v>0</v>
      </c>
      <c r="R49" s="300"/>
      <c r="S49" s="300"/>
    </row>
    <row r="50" spans="1:19" x14ac:dyDescent="0.2">
      <c r="A50" s="183">
        <f>'[1]FERC Interest Rates'!A102</f>
        <v>44104</v>
      </c>
      <c r="B50" s="197" t="s">
        <v>165</v>
      </c>
      <c r="C50" s="184">
        <f>+'[1]Therm Sales by Rate Schedule'!M148</f>
        <v>7390192</v>
      </c>
      <c r="D50" s="162"/>
      <c r="E50" s="189">
        <f>+'[1]Therm Sales by Rate Schedule'!M253</f>
        <v>-16219.958349999997</v>
      </c>
      <c r="F50" s="178">
        <f>ROUND(H49*VLOOKUP(A50,FERCINT20,2)/365*VLOOKUP(A50,FERCINT20,3),2)</f>
        <v>2156.2199999999998</v>
      </c>
      <c r="H50" s="191">
        <f>H49+SUM(D50:G50)</f>
        <v>750775.79936000099</v>
      </c>
      <c r="I50" s="136"/>
      <c r="J50" s="2">
        <v>750775.8</v>
      </c>
      <c r="K50" s="305"/>
      <c r="L50" s="301"/>
      <c r="M50" s="306"/>
      <c r="N50" s="300"/>
      <c r="O50" s="307" t="s">
        <v>170</v>
      </c>
      <c r="P50" s="308">
        <v>615235</v>
      </c>
      <c r="Q50" s="308">
        <v>255052</v>
      </c>
      <c r="R50" s="300"/>
      <c r="S50" s="300"/>
    </row>
    <row r="51" spans="1:19" x14ac:dyDescent="0.2">
      <c r="A51" s="183">
        <f>'[1]FERC Interest Rates'!A103</f>
        <v>44135</v>
      </c>
      <c r="B51" s="197" t="s">
        <v>165</v>
      </c>
      <c r="C51" s="184">
        <f>+'[1]Therm Sales by Rate Schedule'!M149</f>
        <v>9479391</v>
      </c>
      <c r="D51" s="162"/>
      <c r="E51" s="135">
        <f>+'[1]Therm Sales by Rate Schedule'!M254</f>
        <v>-41762.727760000002</v>
      </c>
      <c r="F51" s="178">
        <f>ROUND(H50*VLOOKUP(A51,FERCINT20,2)/365*VLOOKUP(A51,FERCINT20,3),2)</f>
        <v>2072.35</v>
      </c>
      <c r="H51" s="191">
        <f>H50+SUM(D51:G51)</f>
        <v>711085.42160000093</v>
      </c>
      <c r="I51" s="136"/>
      <c r="J51" s="2">
        <v>711085.42</v>
      </c>
      <c r="K51" s="305"/>
      <c r="L51" s="301"/>
      <c r="M51" s="306"/>
      <c r="N51" s="300"/>
      <c r="O51" s="307" t="s">
        <v>171</v>
      </c>
      <c r="P51" s="308">
        <f>828685-33943</f>
        <v>794742</v>
      </c>
      <c r="Q51" s="308">
        <f>376784+72965</f>
        <v>449749</v>
      </c>
      <c r="R51" s="300"/>
      <c r="S51" s="300"/>
    </row>
    <row r="52" spans="1:19" x14ac:dyDescent="0.2">
      <c r="A52" s="179" t="s">
        <v>164</v>
      </c>
      <c r="B52" s="179"/>
      <c r="C52" s="179"/>
      <c r="D52" s="179"/>
      <c r="E52" s="179"/>
      <c r="F52" s="179"/>
      <c r="G52" s="2">
        <v>-4569822.54</v>
      </c>
      <c r="H52" s="191">
        <f>H51+SUM(D52:G52)</f>
        <v>-3858737.1183999991</v>
      </c>
      <c r="I52" s="136"/>
      <c r="K52" s="305"/>
      <c r="L52" s="301"/>
      <c r="M52" s="306"/>
      <c r="N52" s="300"/>
      <c r="O52" s="307" t="s">
        <v>172</v>
      </c>
      <c r="P52" s="308">
        <f>178840-178840</f>
        <v>0</v>
      </c>
      <c r="Q52" s="308">
        <v>220318</v>
      </c>
      <c r="R52" s="300"/>
      <c r="S52" s="300"/>
    </row>
    <row r="53" spans="1:19" x14ac:dyDescent="0.2">
      <c r="A53" s="183">
        <f>'[1]FERC Interest Rates'!A104</f>
        <v>44165</v>
      </c>
      <c r="B53" s="197" t="s">
        <v>139</v>
      </c>
      <c r="C53" s="184">
        <f>+'[1]Therm Sales by Rate Schedule'!M150+'[1]Therm Sales by Rate Schedule'!M151</f>
        <v>19280891</v>
      </c>
      <c r="D53" s="162"/>
      <c r="E53" s="135">
        <f>+'[1]Therm Sales by Rate Schedule'!M255+'[1]Therm Sales by Rate Schedule'!M256</f>
        <v>11668.787340000024</v>
      </c>
      <c r="F53" s="178">
        <f>ROUND(H52*VLOOKUP(A53,FERCINT20,2)/365*VLOOKUP(A53,FERCINT20,3),2)</f>
        <v>-10307.59</v>
      </c>
      <c r="H53" s="191">
        <f>H52+SUM(D53:G53)</f>
        <v>-3857375.9210599991</v>
      </c>
      <c r="I53" s="136"/>
      <c r="J53" s="2">
        <v>-3857375.92</v>
      </c>
      <c r="K53" s="305"/>
      <c r="L53" s="301"/>
      <c r="M53" s="306"/>
      <c r="N53" s="300"/>
      <c r="O53" s="300" t="s">
        <v>9</v>
      </c>
      <c r="P53" s="310">
        <f>SUM(P46:P52)</f>
        <v>12725310</v>
      </c>
      <c r="Q53" s="310">
        <f>SUM(Q46:Q52)</f>
        <v>6555581</v>
      </c>
      <c r="R53" s="300"/>
      <c r="S53" s="300"/>
    </row>
    <row r="54" spans="1:19" x14ac:dyDescent="0.2">
      <c r="A54" s="183">
        <f>'[1]FERC Interest Rates'!A105</f>
        <v>44196</v>
      </c>
      <c r="B54" s="197" t="s">
        <v>165</v>
      </c>
      <c r="C54" s="184">
        <f>+'[1]Therm Sales by Rate Schedule'!M152</f>
        <v>34057490</v>
      </c>
      <c r="D54" s="162"/>
      <c r="E54" s="135">
        <f>+'[1]Therm Sales by Rate Schedule'!M257</f>
        <v>512196.88659000007</v>
      </c>
      <c r="F54" s="178">
        <f>ROUND(H53*VLOOKUP(A54,FERCINT20,2)/365*VLOOKUP(A54,FERCINT20,3),2)</f>
        <v>-10647.41</v>
      </c>
      <c r="H54" s="191">
        <f>H53+SUM(D54:G54)</f>
        <v>-3355826.4444699991</v>
      </c>
      <c r="I54" s="136"/>
      <c r="J54" s="2">
        <v>-3355826.44</v>
      </c>
      <c r="K54" s="305"/>
      <c r="L54" s="301"/>
      <c r="M54" s="306"/>
      <c r="N54" s="300"/>
      <c r="O54" s="300"/>
      <c r="P54" s="300"/>
      <c r="Q54" s="300"/>
      <c r="R54" s="300"/>
      <c r="S54" s="300"/>
    </row>
    <row r="55" spans="1:19" x14ac:dyDescent="0.2">
      <c r="A55" s="183">
        <f>'[1]FERC Interest Rates'!A106</f>
        <v>44227</v>
      </c>
      <c r="B55" s="197" t="s">
        <v>165</v>
      </c>
      <c r="C55" s="184">
        <f>+'[1]Therm Sales by Rate Schedule'!M153</f>
        <v>35952500</v>
      </c>
      <c r="D55" s="162"/>
      <c r="E55" s="189">
        <f>+'[1]Therm Sales by Rate Schedule'!M258</f>
        <v>540665.47662000009</v>
      </c>
      <c r="F55" s="178">
        <f>ROUND(H54*VLOOKUP(A55,FERCINT21,2)/365*VLOOKUP(A55,FERCINT21,3),2)</f>
        <v>-9263</v>
      </c>
      <c r="H55" s="191">
        <f>H54+SUM(D55:G55)</f>
        <v>-2824423.9678499987</v>
      </c>
      <c r="I55" s="136"/>
      <c r="J55" s="2">
        <v>-2824423.96</v>
      </c>
      <c r="K55" s="305"/>
      <c r="L55" s="301"/>
      <c r="M55" s="306"/>
      <c r="N55" s="300"/>
      <c r="O55" s="300"/>
      <c r="P55" s="300"/>
      <c r="Q55" s="300"/>
      <c r="R55" s="300"/>
      <c r="S55" s="300"/>
    </row>
    <row r="56" spans="1:19" x14ac:dyDescent="0.2">
      <c r="A56" s="183">
        <f>'[1]FERC Interest Rates'!A107</f>
        <v>44255</v>
      </c>
      <c r="B56" s="197" t="s">
        <v>165</v>
      </c>
      <c r="C56" s="184">
        <f>+'[1]Therm Sales by Rate Schedule'!M154</f>
        <v>33909523</v>
      </c>
      <c r="D56" s="162"/>
      <c r="E56" s="135">
        <f>+'[1]Therm Sales by Rate Schedule'!M259</f>
        <v>508910.32601999998</v>
      </c>
      <c r="F56" s="178">
        <f>ROUND(H55*VLOOKUP(A56,FERCINT21,2)/365*VLOOKUP(A56,FERCINT21,3),2)</f>
        <v>-7041.71</v>
      </c>
      <c r="H56" s="191">
        <f>H55+SUM(D56:G56)</f>
        <v>-2322555.3518299987</v>
      </c>
      <c r="I56" s="136"/>
      <c r="J56" s="2">
        <v>-2322555.34</v>
      </c>
      <c r="K56" s="305"/>
      <c r="L56" s="301"/>
      <c r="M56" s="306"/>
      <c r="N56" s="300"/>
      <c r="O56" s="300"/>
      <c r="P56" s="300"/>
      <c r="Q56" s="300"/>
      <c r="R56" s="300"/>
      <c r="S56" s="300"/>
    </row>
    <row r="57" spans="1:19" x14ac:dyDescent="0.2">
      <c r="A57" s="183">
        <f>'[1]FERC Interest Rates'!A108</f>
        <v>44286</v>
      </c>
      <c r="B57" s="197" t="s">
        <v>165</v>
      </c>
      <c r="C57" s="184">
        <f>+'[1]Therm Sales by Rate Schedule'!M155</f>
        <v>36377608</v>
      </c>
      <c r="D57" s="162"/>
      <c r="E57" s="135">
        <f>+'[1]Therm Sales by Rate Schedule'!M260</f>
        <v>550335.86378999997</v>
      </c>
      <c r="F57" s="178">
        <f>ROUND(H56*VLOOKUP(A57,FERCINT21,2)/365*VLOOKUP(A57,FERCINT21,3),2)</f>
        <v>-6410.89</v>
      </c>
      <c r="H57" s="191">
        <f>H56+SUM(D57:G57)</f>
        <v>-1778630.3780399987</v>
      </c>
      <c r="I57" s="136"/>
      <c r="J57" s="2">
        <v>-1778630.37</v>
      </c>
      <c r="K57" s="305"/>
      <c r="L57" s="301"/>
      <c r="M57" s="306"/>
      <c r="N57" s="300"/>
      <c r="O57" s="300"/>
      <c r="P57" s="300"/>
      <c r="Q57" s="300"/>
      <c r="R57" s="300"/>
      <c r="S57" s="300"/>
    </row>
    <row r="58" spans="1:19" x14ac:dyDescent="0.2">
      <c r="A58" s="183">
        <f>'[1]FERC Interest Rates'!A109</f>
        <v>44316</v>
      </c>
      <c r="B58" s="197" t="s">
        <v>165</v>
      </c>
      <c r="C58" s="184">
        <f>+'[1]Therm Sales by Rate Schedule'!M156</f>
        <v>25532431</v>
      </c>
      <c r="D58" s="162"/>
      <c r="E58" s="189">
        <f>+'[1]Therm Sales by Rate Schedule'!M261</f>
        <v>387233.80443000002</v>
      </c>
      <c r="F58" s="178">
        <f>ROUND(H57*VLOOKUP(A58,FERCINT21,2)/365*VLOOKUP(A58,FERCINT21,3),2)</f>
        <v>-4751.1400000000003</v>
      </c>
      <c r="H58" s="191">
        <f>H57+SUM(D58:G58)</f>
        <v>-1396147.7136099986</v>
      </c>
      <c r="I58" s="136"/>
      <c r="J58" s="2">
        <v>-1396147.72</v>
      </c>
      <c r="K58" s="305"/>
      <c r="L58" s="301"/>
      <c r="M58" s="306"/>
      <c r="N58" s="300"/>
      <c r="O58" s="300"/>
      <c r="P58" s="300"/>
      <c r="Q58" s="300"/>
      <c r="R58" s="300"/>
      <c r="S58" s="300"/>
    </row>
    <row r="59" spans="1:19" x14ac:dyDescent="0.2">
      <c r="A59" s="183">
        <f>'[1]FERC Interest Rates'!A110</f>
        <v>44347</v>
      </c>
      <c r="B59" s="197" t="s">
        <v>165</v>
      </c>
      <c r="C59" s="184">
        <f>+'[1]Therm Sales by Rate Schedule'!M157</f>
        <v>13309390</v>
      </c>
      <c r="D59" s="162"/>
      <c r="E59" s="135">
        <f>+'[1]Therm Sales by Rate Schedule'!M262</f>
        <v>205004.10041000001</v>
      </c>
      <c r="F59" s="178">
        <f>ROUND(H58*VLOOKUP(A59,FERCINT21,2)/365*VLOOKUP(A59,FERCINT21,3),2)</f>
        <v>-3853.75</v>
      </c>
      <c r="H59" s="191">
        <f>H58+SUM(D59:G59)</f>
        <v>-1194997.3631999986</v>
      </c>
      <c r="I59" s="136"/>
      <c r="J59" s="2">
        <v>-1194997.3600000001</v>
      </c>
      <c r="K59" s="305"/>
      <c r="L59" s="301"/>
      <c r="M59" s="306"/>
      <c r="N59" s="300"/>
      <c r="O59" s="300"/>
      <c r="P59" s="300"/>
      <c r="Q59" s="300"/>
      <c r="R59" s="300"/>
      <c r="S59" s="300"/>
    </row>
    <row r="60" spans="1:19" x14ac:dyDescent="0.2">
      <c r="A60" s="183">
        <f>'[1]FERC Interest Rates'!A111</f>
        <v>44377</v>
      </c>
      <c r="B60" s="197" t="s">
        <v>165</v>
      </c>
      <c r="C60" s="184">
        <f>+'[1]Therm Sales by Rate Schedule'!M158</f>
        <v>10832413</v>
      </c>
      <c r="D60" s="162"/>
      <c r="E60" s="135">
        <f>+'[1]Therm Sales by Rate Schedule'!M263</f>
        <v>169347.10689000002</v>
      </c>
      <c r="F60" s="178">
        <f>ROUND(H59*VLOOKUP(A60,FERCINT21,2)/365*VLOOKUP(A60,FERCINT21,3),2)</f>
        <v>-3192.12</v>
      </c>
      <c r="H60" s="191">
        <f>H59+SUM(D60:G60)</f>
        <v>-1028842.3763099986</v>
      </c>
      <c r="I60" s="136"/>
      <c r="J60" s="2">
        <v>-1028842.37</v>
      </c>
      <c r="K60" s="135"/>
      <c r="M60" s="186"/>
    </row>
    <row r="61" spans="1:19" x14ac:dyDescent="0.2">
      <c r="A61" s="183">
        <f>'[1]FERC Interest Rates'!A112</f>
        <v>44408</v>
      </c>
      <c r="B61" s="197" t="s">
        <v>165</v>
      </c>
      <c r="C61" s="184">
        <f>+'[1]Therm Sales by Rate Schedule'!M159</f>
        <v>6955024</v>
      </c>
      <c r="D61" s="162"/>
      <c r="E61" s="135">
        <f>+'[1]Therm Sales by Rate Schedule'!M264</f>
        <v>110956.32797</v>
      </c>
      <c r="F61" s="178">
        <f>ROUND(H60*VLOOKUP(A61,FERCINT21,2)/365*VLOOKUP(A61,FERCINT21,3),2)</f>
        <v>-2839.89</v>
      </c>
      <c r="H61" s="191">
        <f>H60+SUM(D61:G61)</f>
        <v>-920725.9383399986</v>
      </c>
      <c r="I61" s="136"/>
      <c r="J61" s="2">
        <v>-920725.93</v>
      </c>
      <c r="K61" s="135"/>
      <c r="M61" s="186"/>
    </row>
    <row r="62" spans="1:19" x14ac:dyDescent="0.2">
      <c r="A62" s="183">
        <f>'[1]FERC Interest Rates'!A113</f>
        <v>44439</v>
      </c>
      <c r="B62" s="197" t="s">
        <v>165</v>
      </c>
      <c r="C62" s="184">
        <f>+'[1]Therm Sales by Rate Schedule'!M160</f>
        <v>6421769</v>
      </c>
      <c r="D62" s="162"/>
      <c r="E62" s="135">
        <f>+'[1]Therm Sales by Rate Schedule'!M265</f>
        <v>103534.84290000002</v>
      </c>
      <c r="F62" s="178">
        <f>ROUND(H61*VLOOKUP(A62,FERCINT21,2)/365*VLOOKUP(A62,FERCINT21,3),2)</f>
        <v>-2541.46</v>
      </c>
      <c r="H62" s="191">
        <f>H61+SUM(D62:G62)</f>
        <v>-819732.55543999863</v>
      </c>
      <c r="I62" s="136"/>
      <c r="J62" s="2">
        <v>-819732.55</v>
      </c>
      <c r="K62" s="135"/>
      <c r="M62" s="186"/>
    </row>
    <row r="63" spans="1:19" x14ac:dyDescent="0.2">
      <c r="A63" s="183">
        <f>'[1]FERC Interest Rates'!A114</f>
        <v>44469</v>
      </c>
      <c r="B63" s="197" t="s">
        <v>165</v>
      </c>
      <c r="C63" s="184">
        <f>+'[1]Therm Sales by Rate Schedule'!M161</f>
        <v>7139967</v>
      </c>
      <c r="D63" s="162"/>
      <c r="E63" s="135">
        <f>+'[1]Therm Sales by Rate Schedule'!M266</f>
        <v>113310.60581000001</v>
      </c>
      <c r="F63" s="178">
        <f>ROUND(H62*VLOOKUP(A63,FERCINT21,2)/365*VLOOKUP(A63,FERCINT21,3),2)</f>
        <v>-2189.6999999999998</v>
      </c>
      <c r="H63" s="191">
        <f>H62+SUM(D63:G63)</f>
        <v>-708611.6496299986</v>
      </c>
      <c r="I63" s="136"/>
      <c r="J63" s="2">
        <v>-708611.64</v>
      </c>
      <c r="K63" s="135"/>
      <c r="M63" s="186"/>
    </row>
    <row r="64" spans="1:19" x14ac:dyDescent="0.2">
      <c r="A64" s="183">
        <f>'[1]FERC Interest Rates'!A115</f>
        <v>44500</v>
      </c>
      <c r="B64" s="197" t="s">
        <v>165</v>
      </c>
      <c r="C64" s="184">
        <f>+'[1]Therm Sales by Rate Schedule'!M162</f>
        <v>-133915</v>
      </c>
      <c r="D64" s="162"/>
      <c r="E64" s="135">
        <f>+'[1]Therm Sales by Rate Schedule'!M267</f>
        <v>1395.0567599999999</v>
      </c>
      <c r="F64" s="178">
        <f>ROUND(H63*VLOOKUP(A64,FERCINT21,2)/365*VLOOKUP(A64,FERCINT21,3),2)</f>
        <v>-1955.96</v>
      </c>
      <c r="H64" s="191">
        <f>H63+SUM(D64:G64)</f>
        <v>-709172.55286999862</v>
      </c>
      <c r="I64" s="136"/>
      <c r="K64" s="135"/>
      <c r="M64" s="186"/>
    </row>
    <row r="65" spans="1:9" x14ac:dyDescent="0.2">
      <c r="A65" s="183"/>
      <c r="I65" s="136"/>
    </row>
    <row r="66" spans="1:9" x14ac:dyDescent="0.2">
      <c r="I66" s="136"/>
    </row>
    <row r="67" spans="1:9" x14ac:dyDescent="0.2">
      <c r="I67" s="136"/>
    </row>
    <row r="68" spans="1:9" x14ac:dyDescent="0.2">
      <c r="I68" s="136"/>
    </row>
    <row r="69" spans="1:9" x14ac:dyDescent="0.2">
      <c r="I69" s="136"/>
    </row>
    <row r="70" spans="1:9" x14ac:dyDescent="0.2">
      <c r="I70" s="136"/>
    </row>
    <row r="71" spans="1:9" x14ac:dyDescent="0.2">
      <c r="I71" s="136"/>
    </row>
    <row r="72" spans="1:9" x14ac:dyDescent="0.2">
      <c r="I72" s="136"/>
    </row>
    <row r="73" spans="1:9" x14ac:dyDescent="0.2">
      <c r="I73" s="136"/>
    </row>
    <row r="74" spans="1:9" x14ac:dyDescent="0.2">
      <c r="I74" s="136"/>
    </row>
    <row r="75" spans="1:9" x14ac:dyDescent="0.2">
      <c r="I75" s="136"/>
    </row>
    <row r="76" spans="1:9" x14ac:dyDescent="0.2">
      <c r="I76" s="136"/>
    </row>
    <row r="77" spans="1:9" x14ac:dyDescent="0.2">
      <c r="I77" s="136"/>
    </row>
    <row r="78" spans="1:9" x14ac:dyDescent="0.2">
      <c r="I78" s="136"/>
    </row>
    <row r="79" spans="1:9" x14ac:dyDescent="0.2">
      <c r="I79" s="136"/>
    </row>
    <row r="80" spans="1:9" x14ac:dyDescent="0.2">
      <c r="I80" s="136"/>
    </row>
    <row r="81" spans="9:9" x14ac:dyDescent="0.2">
      <c r="I81" s="136"/>
    </row>
    <row r="82" spans="9:9" x14ac:dyDescent="0.2">
      <c r="I82" s="136"/>
    </row>
    <row r="83" spans="9:9" x14ac:dyDescent="0.2">
      <c r="I83" s="136"/>
    </row>
    <row r="84" spans="9:9" x14ac:dyDescent="0.2">
      <c r="I84" s="136"/>
    </row>
    <row r="85" spans="9:9" x14ac:dyDescent="0.2">
      <c r="I85" s="136"/>
    </row>
    <row r="86" spans="9:9" x14ac:dyDescent="0.2">
      <c r="I86" s="136"/>
    </row>
    <row r="87" spans="9:9" x14ac:dyDescent="0.2">
      <c r="I87" s="136"/>
    </row>
    <row r="88" spans="9:9" x14ac:dyDescent="0.2">
      <c r="I88" s="136"/>
    </row>
    <row r="89" spans="9:9" x14ac:dyDescent="0.2">
      <c r="I89" s="136"/>
    </row>
    <row r="90" spans="9:9" x14ac:dyDescent="0.2">
      <c r="I90" s="136"/>
    </row>
    <row r="91" spans="9:9" x14ac:dyDescent="0.2">
      <c r="I91" s="136"/>
    </row>
    <row r="92" spans="9:9" x14ac:dyDescent="0.2">
      <c r="I92" s="136"/>
    </row>
    <row r="93" spans="9:9" x14ac:dyDescent="0.2">
      <c r="I93" s="136"/>
    </row>
    <row r="94" spans="9:9" x14ac:dyDescent="0.2">
      <c r="I94" s="136"/>
    </row>
    <row r="95" spans="9:9" x14ac:dyDescent="0.2">
      <c r="I95" s="136"/>
    </row>
    <row r="96" spans="9:9" x14ac:dyDescent="0.2">
      <c r="I96" s="136"/>
    </row>
    <row r="97" spans="9:9" x14ac:dyDescent="0.2">
      <c r="I97" s="136"/>
    </row>
    <row r="98" spans="9:9" x14ac:dyDescent="0.2">
      <c r="I98" s="136"/>
    </row>
    <row r="99" spans="9:9" x14ac:dyDescent="0.2">
      <c r="I99" s="136"/>
    </row>
    <row r="100" spans="9:9" x14ac:dyDescent="0.2">
      <c r="I100" s="136"/>
    </row>
    <row r="101" spans="9:9" x14ac:dyDescent="0.2">
      <c r="I101" s="136"/>
    </row>
    <row r="102" spans="9:9" x14ac:dyDescent="0.2">
      <c r="I102" s="136"/>
    </row>
    <row r="103" spans="9:9" x14ac:dyDescent="0.2">
      <c r="I103" s="136"/>
    </row>
    <row r="104" spans="9:9" x14ac:dyDescent="0.2">
      <c r="I104" s="136"/>
    </row>
    <row r="105" spans="9:9" x14ac:dyDescent="0.2">
      <c r="I105" s="136"/>
    </row>
    <row r="106" spans="9:9" x14ac:dyDescent="0.2">
      <c r="I106" s="136"/>
    </row>
    <row r="107" spans="9:9" x14ac:dyDescent="0.2">
      <c r="I107" s="136"/>
    </row>
    <row r="108" spans="9:9" x14ac:dyDescent="0.2">
      <c r="I108" s="136"/>
    </row>
    <row r="109" spans="9:9" x14ac:dyDescent="0.2">
      <c r="I109" s="136"/>
    </row>
    <row r="110" spans="9:9" x14ac:dyDescent="0.2">
      <c r="I110" s="136"/>
    </row>
    <row r="111" spans="9:9" x14ac:dyDescent="0.2">
      <c r="I111" s="136"/>
    </row>
    <row r="112" spans="9:9" x14ac:dyDescent="0.2">
      <c r="I112" s="136"/>
    </row>
    <row r="113" spans="9:9" x14ac:dyDescent="0.2">
      <c r="I113" s="136"/>
    </row>
    <row r="114" spans="9:9" x14ac:dyDescent="0.2">
      <c r="I114" s="136"/>
    </row>
    <row r="115" spans="9:9" x14ac:dyDescent="0.2">
      <c r="I115" s="136"/>
    </row>
  </sheetData>
  <mergeCells count="20">
    <mergeCell ref="C7:H7"/>
    <mergeCell ref="D9:F9"/>
    <mergeCell ref="A12:F12"/>
    <mergeCell ref="A52:F52"/>
    <mergeCell ref="A39:F39"/>
    <mergeCell ref="A26:F26"/>
    <mergeCell ref="A13:F13"/>
    <mergeCell ref="A7:B7"/>
    <mergeCell ref="A1:B1"/>
    <mergeCell ref="C1:H1"/>
    <mergeCell ref="A2:B2"/>
    <mergeCell ref="C2:H2"/>
    <mergeCell ref="A3:B3"/>
    <mergeCell ref="C3:H3"/>
    <mergeCell ref="A4:B4"/>
    <mergeCell ref="C4:H4"/>
    <mergeCell ref="A5:B5"/>
    <mergeCell ref="C5:H5"/>
    <mergeCell ref="A6:B6"/>
    <mergeCell ref="C6:H6"/>
  </mergeCells>
  <pageMargins left="0.7" right="0.7" top="0.75" bottom="0.75" header="0.3" footer="0.3"/>
  <pageSetup scale="73" fitToHeight="0" orientation="portrait" r:id="rId1"/>
  <headerFooter scaleWithDoc="0">
    <oddFooter>&amp;L&amp;"-,Bold"&amp;10Cascade Natural Gas Corporation&amp;C&amp;"-,Bold"&amp;10 Page &amp;P of &amp;N&amp;R&amp;"-,Bold"&amp;10 Washington Deferral Accounts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EB30C-6EA3-42CA-9708-6A752B0C037A}">
  <sheetPr>
    <pageSetUpPr fitToPage="1"/>
  </sheetPr>
  <dimension ref="A1:L54"/>
  <sheetViews>
    <sheetView tabSelected="1" view="pageBreakPreview" topLeftCell="A16" zoomScaleNormal="100" zoomScaleSheetLayoutView="100" workbookViewId="0">
      <selection activeCell="N106" sqref="N106"/>
    </sheetView>
  </sheetViews>
  <sheetFormatPr defaultColWidth="8.88671875" defaultRowHeight="12.75" x14ac:dyDescent="0.2"/>
  <cols>
    <col min="1" max="2" width="8.88671875" style="2"/>
    <col min="3" max="3" width="10.109375" style="2" customWidth="1"/>
    <col min="4" max="4" width="8.88671875" style="2"/>
    <col min="5" max="5" width="10.21875" style="2" customWidth="1"/>
    <col min="6" max="6" width="8.88671875" style="2"/>
    <col min="7" max="7" width="13.109375" style="2" customWidth="1"/>
    <col min="8" max="8" width="11.6640625" style="2" customWidth="1"/>
    <col min="9" max="9" width="15.109375" style="2" bestFit="1" customWidth="1"/>
    <col min="10" max="10" width="16.21875" style="2" bestFit="1" customWidth="1"/>
    <col min="11" max="11" width="9" style="115" bestFit="1" customWidth="1"/>
    <col min="12" max="12" width="10.33203125" style="2" bestFit="1" customWidth="1"/>
    <col min="13" max="16384" width="8.88671875" style="2"/>
  </cols>
  <sheetData>
    <row r="1" spans="1:12" x14ac:dyDescent="0.2">
      <c r="A1" s="138" t="s">
        <v>58</v>
      </c>
      <c r="B1" s="139"/>
      <c r="C1" s="199" t="s">
        <v>59</v>
      </c>
      <c r="D1" s="199"/>
      <c r="E1" s="199"/>
      <c r="F1" s="199"/>
      <c r="G1" s="199"/>
      <c r="H1" s="200"/>
      <c r="I1" s="201"/>
    </row>
    <row r="2" spans="1:12" x14ac:dyDescent="0.2">
      <c r="A2" s="142" t="s">
        <v>60</v>
      </c>
      <c r="B2" s="117"/>
      <c r="C2" s="202" t="s">
        <v>177</v>
      </c>
      <c r="D2" s="202"/>
      <c r="E2" s="202"/>
      <c r="F2" s="202"/>
      <c r="G2" s="202"/>
      <c r="H2" s="203"/>
      <c r="I2" s="201"/>
    </row>
    <row r="3" spans="1:12" x14ac:dyDescent="0.2">
      <c r="A3" s="142" t="s">
        <v>62</v>
      </c>
      <c r="B3" s="117"/>
      <c r="C3" s="202" t="s">
        <v>178</v>
      </c>
      <c r="D3" s="202"/>
      <c r="E3" s="202"/>
      <c r="F3" s="202"/>
      <c r="G3" s="202"/>
      <c r="H3" s="203"/>
      <c r="I3" s="201"/>
    </row>
    <row r="4" spans="1:12" x14ac:dyDescent="0.2">
      <c r="A4" s="142" t="s">
        <v>63</v>
      </c>
      <c r="B4" s="117"/>
      <c r="C4" s="202"/>
      <c r="D4" s="202"/>
      <c r="E4" s="202"/>
      <c r="F4" s="202"/>
      <c r="G4" s="202"/>
      <c r="H4" s="203"/>
      <c r="I4" s="201"/>
    </row>
    <row r="5" spans="1:12" x14ac:dyDescent="0.2">
      <c r="A5" s="142" t="s">
        <v>65</v>
      </c>
      <c r="B5" s="117"/>
      <c r="C5" s="202" t="s">
        <v>179</v>
      </c>
      <c r="D5" s="202"/>
      <c r="E5" s="202"/>
      <c r="F5" s="202"/>
      <c r="G5" s="202"/>
      <c r="H5" s="203"/>
      <c r="I5" s="201"/>
    </row>
    <row r="6" spans="1:12" x14ac:dyDescent="0.2">
      <c r="A6" s="142" t="s">
        <v>67</v>
      </c>
      <c r="B6" s="117"/>
      <c r="C6" s="202" t="s">
        <v>175</v>
      </c>
      <c r="D6" s="202"/>
      <c r="E6" s="202"/>
      <c r="F6" s="202"/>
      <c r="G6" s="202"/>
      <c r="H6" s="203"/>
      <c r="I6" s="201"/>
    </row>
    <row r="7" spans="1:12" ht="38.25" customHeight="1" thickBot="1" x14ac:dyDescent="0.25">
      <c r="A7" s="145" t="s">
        <v>69</v>
      </c>
      <c r="B7" s="146"/>
      <c r="C7" s="204" t="s">
        <v>180</v>
      </c>
      <c r="D7" s="204"/>
      <c r="E7" s="204"/>
      <c r="F7" s="204"/>
      <c r="G7" s="204"/>
      <c r="H7" s="205"/>
      <c r="I7" s="206"/>
    </row>
    <row r="8" spans="1:12" x14ac:dyDescent="0.2">
      <c r="A8" s="152"/>
      <c r="B8" s="152"/>
      <c r="C8" s="153"/>
      <c r="D8" s="153"/>
      <c r="E8" s="153"/>
      <c r="F8" s="153"/>
      <c r="G8" s="153"/>
      <c r="H8" s="153"/>
      <c r="J8" s="114"/>
    </row>
    <row r="9" spans="1:12" x14ac:dyDescent="0.2">
      <c r="A9" s="7"/>
      <c r="D9" s="128" t="s">
        <v>72</v>
      </c>
      <c r="E9" s="128"/>
      <c r="F9" s="128"/>
    </row>
    <row r="10" spans="1:12" s="57" customFormat="1" x14ac:dyDescent="0.2">
      <c r="A10" s="10" t="s">
        <v>22</v>
      </c>
      <c r="B10" s="10" t="s">
        <v>74</v>
      </c>
      <c r="C10" s="10" t="s">
        <v>51</v>
      </c>
      <c r="D10" s="10" t="s">
        <v>75</v>
      </c>
      <c r="E10" s="10" t="s">
        <v>76</v>
      </c>
      <c r="F10" s="10" t="s">
        <v>77</v>
      </c>
      <c r="G10" s="10" t="s">
        <v>78</v>
      </c>
      <c r="H10" s="10" t="s">
        <v>79</v>
      </c>
      <c r="I10" s="3" t="s">
        <v>80</v>
      </c>
      <c r="J10" s="3" t="s">
        <v>81</v>
      </c>
      <c r="K10" s="3" t="s">
        <v>82</v>
      </c>
      <c r="L10" s="3" t="s">
        <v>83</v>
      </c>
    </row>
    <row r="11" spans="1:12" x14ac:dyDescent="0.2">
      <c r="A11" s="207"/>
      <c r="B11" s="207"/>
      <c r="C11" s="207"/>
      <c r="D11" s="207"/>
      <c r="E11" s="207"/>
      <c r="F11" s="207"/>
      <c r="G11" s="207"/>
      <c r="H11" s="208"/>
      <c r="I11" s="206"/>
    </row>
    <row r="12" spans="1:12" x14ac:dyDescent="0.2">
      <c r="A12" s="209" t="s">
        <v>176</v>
      </c>
      <c r="B12" s="209"/>
      <c r="C12" s="209"/>
      <c r="D12" s="209"/>
      <c r="E12" s="209"/>
      <c r="F12" s="209"/>
      <c r="G12" s="208">
        <v>5423017.3499999996</v>
      </c>
      <c r="H12" s="208"/>
      <c r="I12" s="180"/>
      <c r="J12" s="135"/>
    </row>
    <row r="13" spans="1:12" x14ac:dyDescent="0.2">
      <c r="A13" s="209"/>
      <c r="B13" s="209"/>
      <c r="C13" s="209"/>
      <c r="D13" s="209"/>
      <c r="E13" s="209"/>
      <c r="F13" s="209"/>
      <c r="G13" s="208"/>
      <c r="H13" s="208">
        <f>SUM(G12:G12)</f>
        <v>5423017.3499999996</v>
      </c>
      <c r="I13" s="206"/>
    </row>
    <row r="14" spans="1:12" x14ac:dyDescent="0.2">
      <c r="A14" s="210">
        <f>+'FERC Interest Rates'!A77</f>
        <v>43343</v>
      </c>
      <c r="B14" s="211" t="s">
        <v>174</v>
      </c>
      <c r="C14" s="213"/>
      <c r="D14" s="214"/>
      <c r="E14" s="208">
        <f t="shared" ref="E14:E16" si="0">ROUND(-+$G$12/120,2)</f>
        <v>-45191.81</v>
      </c>
      <c r="F14" s="214"/>
      <c r="G14" s="208"/>
      <c r="H14" s="208">
        <f>H13+SUM(E14:G14)</f>
        <v>5377825.54</v>
      </c>
      <c r="I14" s="180">
        <v>5377825.54</v>
      </c>
      <c r="J14" s="2">
        <f>I14-H14</f>
        <v>0</v>
      </c>
      <c r="K14" s="115" t="s">
        <v>181</v>
      </c>
      <c r="L14" s="187">
        <v>43354</v>
      </c>
    </row>
    <row r="15" spans="1:12" x14ac:dyDescent="0.2">
      <c r="A15" s="210">
        <f>+'FERC Interest Rates'!A78</f>
        <v>43373</v>
      </c>
      <c r="B15" s="211" t="s">
        <v>174</v>
      </c>
      <c r="C15" s="213"/>
      <c r="D15" s="214"/>
      <c r="E15" s="135">
        <f t="shared" si="0"/>
        <v>-45191.81</v>
      </c>
      <c r="F15" s="214"/>
      <c r="G15" s="208"/>
      <c r="H15" s="208">
        <f>H14+SUM(D15:G15)</f>
        <v>5332633.7300000004</v>
      </c>
      <c r="I15" s="180">
        <v>5332633.7300000004</v>
      </c>
      <c r="J15" s="135">
        <f>I15-H15</f>
        <v>0</v>
      </c>
      <c r="K15" s="115" t="s">
        <v>181</v>
      </c>
      <c r="L15" s="187">
        <v>43381</v>
      </c>
    </row>
    <row r="16" spans="1:12" x14ac:dyDescent="0.2">
      <c r="A16" s="210">
        <f>+'FERC Interest Rates'!A79</f>
        <v>43404</v>
      </c>
      <c r="B16" s="211" t="s">
        <v>174</v>
      </c>
      <c r="C16" s="213"/>
      <c r="D16" s="215"/>
      <c r="E16" s="135">
        <f t="shared" si="0"/>
        <v>-45191.81</v>
      </c>
      <c r="F16" s="215"/>
      <c r="G16" s="206"/>
      <c r="H16" s="212">
        <f>H15+SUM(D16:G16)</f>
        <v>5287441.9200000009</v>
      </c>
      <c r="I16" s="180">
        <v>5287441.92</v>
      </c>
      <c r="J16" s="135">
        <f t="shared" ref="J16:J54" si="1">I16-H16</f>
        <v>0</v>
      </c>
      <c r="K16" s="115" t="s">
        <v>181</v>
      </c>
      <c r="L16" s="187">
        <v>43411</v>
      </c>
    </row>
    <row r="17" spans="1:12" x14ac:dyDescent="0.2">
      <c r="A17" s="210">
        <f>+'FERC Interest Rates'!A80</f>
        <v>43434</v>
      </c>
      <c r="B17" s="211" t="s">
        <v>174</v>
      </c>
      <c r="C17" s="213"/>
      <c r="D17" s="215"/>
      <c r="E17" s="135">
        <f>ROUND(-+$G$12/120,2)</f>
        <v>-45191.81</v>
      </c>
      <c r="F17" s="215"/>
      <c r="G17" s="206"/>
      <c r="H17" s="212">
        <f t="shared" ref="H17:H54" si="2">H16+SUM(D17:G17)</f>
        <v>5242250.1100000013</v>
      </c>
      <c r="I17" s="2">
        <v>5242250.1100000003</v>
      </c>
      <c r="J17" s="135">
        <f t="shared" si="1"/>
        <v>0</v>
      </c>
      <c r="K17" s="115" t="s">
        <v>181</v>
      </c>
      <c r="L17" s="187">
        <v>43444</v>
      </c>
    </row>
    <row r="18" spans="1:12" x14ac:dyDescent="0.2">
      <c r="A18" s="210">
        <f>+'FERC Interest Rates'!A81</f>
        <v>43465</v>
      </c>
      <c r="B18" s="211" t="s">
        <v>174</v>
      </c>
      <c r="C18" s="213"/>
      <c r="D18" s="215"/>
      <c r="E18" s="135">
        <f t="shared" ref="E18:E32" si="3">ROUND(-+$G$12/120,2)</f>
        <v>-45191.81</v>
      </c>
      <c r="F18" s="215"/>
      <c r="G18" s="206"/>
      <c r="H18" s="212">
        <f t="shared" si="2"/>
        <v>5197058.3000000017</v>
      </c>
      <c r="I18" s="2">
        <v>5197058.3</v>
      </c>
      <c r="J18" s="135">
        <f t="shared" si="1"/>
        <v>0</v>
      </c>
      <c r="K18" s="115" t="s">
        <v>181</v>
      </c>
      <c r="L18" s="187">
        <v>43473</v>
      </c>
    </row>
    <row r="19" spans="1:12" x14ac:dyDescent="0.2">
      <c r="A19" s="210">
        <f>+'FERC Interest Rates'!A82</f>
        <v>43496</v>
      </c>
      <c r="B19" s="211" t="s">
        <v>174</v>
      </c>
      <c r="C19" s="213"/>
      <c r="D19" s="215"/>
      <c r="E19" s="135">
        <f t="shared" si="3"/>
        <v>-45191.81</v>
      </c>
      <c r="F19" s="215"/>
      <c r="G19" s="206"/>
      <c r="H19" s="212">
        <f t="shared" si="2"/>
        <v>5151866.4900000021</v>
      </c>
      <c r="I19" s="2">
        <v>5151866.49</v>
      </c>
      <c r="J19" s="135">
        <f t="shared" si="1"/>
        <v>0</v>
      </c>
      <c r="K19" s="115" t="s">
        <v>181</v>
      </c>
      <c r="L19" s="187">
        <v>43507</v>
      </c>
    </row>
    <row r="20" spans="1:12" x14ac:dyDescent="0.2">
      <c r="A20" s="210">
        <f>+'FERC Interest Rates'!A83</f>
        <v>43524</v>
      </c>
      <c r="B20" s="211" t="s">
        <v>174</v>
      </c>
      <c r="C20" s="213"/>
      <c r="D20" s="215"/>
      <c r="E20" s="135">
        <f t="shared" si="3"/>
        <v>-45191.81</v>
      </c>
      <c r="F20" s="215"/>
      <c r="G20" s="206"/>
      <c r="H20" s="212">
        <f t="shared" si="2"/>
        <v>5106674.6800000025</v>
      </c>
      <c r="I20" s="2">
        <v>5106674.68</v>
      </c>
      <c r="J20" s="135">
        <f t="shared" si="1"/>
        <v>0</v>
      </c>
      <c r="K20" s="115" t="s">
        <v>181</v>
      </c>
      <c r="L20" s="187">
        <v>43532</v>
      </c>
    </row>
    <row r="21" spans="1:12" x14ac:dyDescent="0.2">
      <c r="A21" s="210">
        <f>+'FERC Interest Rates'!A84</f>
        <v>43555</v>
      </c>
      <c r="B21" s="211" t="s">
        <v>174</v>
      </c>
      <c r="C21" s="213"/>
      <c r="D21" s="215"/>
      <c r="E21" s="135">
        <f t="shared" si="3"/>
        <v>-45191.81</v>
      </c>
      <c r="F21" s="215"/>
      <c r="G21" s="206"/>
      <c r="H21" s="212">
        <f t="shared" si="2"/>
        <v>5061482.8700000029</v>
      </c>
      <c r="I21" s="2">
        <v>5061482.87</v>
      </c>
      <c r="J21" s="135">
        <f t="shared" si="1"/>
        <v>0</v>
      </c>
      <c r="K21" s="115" t="s">
        <v>181</v>
      </c>
      <c r="L21" s="187">
        <v>43560</v>
      </c>
    </row>
    <row r="22" spans="1:12" x14ac:dyDescent="0.2">
      <c r="A22" s="210">
        <f>+'FERC Interest Rates'!A85</f>
        <v>43585</v>
      </c>
      <c r="B22" s="211" t="s">
        <v>174</v>
      </c>
      <c r="C22" s="213"/>
      <c r="D22" s="215"/>
      <c r="E22" s="135">
        <f t="shared" si="3"/>
        <v>-45191.81</v>
      </c>
      <c r="F22" s="215"/>
      <c r="G22" s="206"/>
      <c r="H22" s="212">
        <f t="shared" si="2"/>
        <v>5016291.0600000033</v>
      </c>
      <c r="I22" s="2">
        <v>5016291.0599999996</v>
      </c>
      <c r="J22" s="135">
        <f t="shared" si="1"/>
        <v>0</v>
      </c>
      <c r="K22" s="115" t="s">
        <v>181</v>
      </c>
      <c r="L22" s="187">
        <v>43593</v>
      </c>
    </row>
    <row r="23" spans="1:12" x14ac:dyDescent="0.2">
      <c r="A23" s="210">
        <f>+'FERC Interest Rates'!A86</f>
        <v>43616</v>
      </c>
      <c r="B23" s="211" t="s">
        <v>174</v>
      </c>
      <c r="C23" s="213"/>
      <c r="D23" s="215"/>
      <c r="E23" s="135">
        <f t="shared" si="3"/>
        <v>-45191.81</v>
      </c>
      <c r="F23" s="215"/>
      <c r="G23" s="206"/>
      <c r="H23" s="212">
        <f t="shared" si="2"/>
        <v>4971099.2500000037</v>
      </c>
      <c r="I23" s="2">
        <v>4971099.25</v>
      </c>
      <c r="J23" s="135">
        <f t="shared" si="1"/>
        <v>0</v>
      </c>
      <c r="K23" s="115" t="s">
        <v>181</v>
      </c>
      <c r="L23" s="187">
        <v>43623</v>
      </c>
    </row>
    <row r="24" spans="1:12" x14ac:dyDescent="0.2">
      <c r="A24" s="210">
        <f>+'FERC Interest Rates'!A87</f>
        <v>43646</v>
      </c>
      <c r="B24" s="211" t="s">
        <v>174</v>
      </c>
      <c r="C24" s="213"/>
      <c r="D24" s="215"/>
      <c r="E24" s="135">
        <f t="shared" si="3"/>
        <v>-45191.81</v>
      </c>
      <c r="F24" s="215"/>
      <c r="G24" s="206"/>
      <c r="H24" s="212">
        <f t="shared" si="2"/>
        <v>4925907.4400000041</v>
      </c>
      <c r="I24" s="2">
        <v>4925907.4400000004</v>
      </c>
      <c r="J24" s="135">
        <f t="shared" si="1"/>
        <v>0</v>
      </c>
      <c r="K24" s="115" t="s">
        <v>181</v>
      </c>
      <c r="L24" s="187">
        <v>43654</v>
      </c>
    </row>
    <row r="25" spans="1:12" x14ac:dyDescent="0.2">
      <c r="A25" s="210">
        <f>+'FERC Interest Rates'!A88</f>
        <v>43677</v>
      </c>
      <c r="B25" s="211" t="s">
        <v>174</v>
      </c>
      <c r="C25" s="213"/>
      <c r="D25" s="215"/>
      <c r="E25" s="135">
        <f t="shared" si="3"/>
        <v>-45191.81</v>
      </c>
      <c r="F25" s="215"/>
      <c r="G25" s="206"/>
      <c r="H25" s="212">
        <f t="shared" si="2"/>
        <v>4880715.6300000045</v>
      </c>
      <c r="I25" s="2">
        <v>4880715.63</v>
      </c>
      <c r="J25" s="135">
        <f t="shared" si="1"/>
        <v>0</v>
      </c>
      <c r="K25" s="115" t="s">
        <v>181</v>
      </c>
      <c r="L25" s="187">
        <v>43685</v>
      </c>
    </row>
    <row r="26" spans="1:12" x14ac:dyDescent="0.2">
      <c r="A26" s="210">
        <f>+'FERC Interest Rates'!A89</f>
        <v>43708</v>
      </c>
      <c r="B26" s="211" t="s">
        <v>174</v>
      </c>
      <c r="C26" s="213"/>
      <c r="D26" s="215"/>
      <c r="E26" s="135">
        <f t="shared" si="3"/>
        <v>-45191.81</v>
      </c>
      <c r="F26" s="215"/>
      <c r="G26" s="206"/>
      <c r="H26" s="212">
        <f t="shared" si="2"/>
        <v>4835523.820000005</v>
      </c>
      <c r="I26" s="2">
        <v>4835523.82</v>
      </c>
      <c r="J26" s="135">
        <f t="shared" si="1"/>
        <v>0</v>
      </c>
      <c r="K26" s="115" t="s">
        <v>181</v>
      </c>
      <c r="L26" s="187">
        <v>43717</v>
      </c>
    </row>
    <row r="27" spans="1:12" x14ac:dyDescent="0.2">
      <c r="A27" s="210">
        <f>+'FERC Interest Rates'!A90</f>
        <v>43738</v>
      </c>
      <c r="B27" s="211" t="s">
        <v>174</v>
      </c>
      <c r="C27" s="213"/>
      <c r="D27" s="215"/>
      <c r="E27" s="135">
        <f t="shared" si="3"/>
        <v>-45191.81</v>
      </c>
      <c r="F27" s="215"/>
      <c r="G27" s="206"/>
      <c r="H27" s="212">
        <f t="shared" si="2"/>
        <v>4790332.0100000054</v>
      </c>
      <c r="I27" s="2">
        <v>4790332.01</v>
      </c>
      <c r="J27" s="135">
        <f t="shared" si="1"/>
        <v>0</v>
      </c>
      <c r="K27" s="115" t="s">
        <v>181</v>
      </c>
      <c r="L27" s="187">
        <v>43746</v>
      </c>
    </row>
    <row r="28" spans="1:12" x14ac:dyDescent="0.2">
      <c r="A28" s="210">
        <f>+'FERC Interest Rates'!A91</f>
        <v>43769</v>
      </c>
      <c r="B28" s="211" t="s">
        <v>174</v>
      </c>
      <c r="C28" s="213"/>
      <c r="D28" s="215"/>
      <c r="E28" s="135">
        <f t="shared" si="3"/>
        <v>-45191.81</v>
      </c>
      <c r="F28" s="215"/>
      <c r="G28" s="206"/>
      <c r="H28" s="212">
        <f t="shared" si="2"/>
        <v>4745140.2000000058</v>
      </c>
      <c r="I28" s="2">
        <v>4745140.2</v>
      </c>
      <c r="J28" s="135">
        <f t="shared" si="1"/>
        <v>0</v>
      </c>
      <c r="K28" s="115" t="s">
        <v>181</v>
      </c>
      <c r="L28" s="187">
        <v>43777</v>
      </c>
    </row>
    <row r="29" spans="1:12" x14ac:dyDescent="0.2">
      <c r="A29" s="210">
        <f>+'FERC Interest Rates'!A92</f>
        <v>43799</v>
      </c>
      <c r="B29" s="211" t="s">
        <v>174</v>
      </c>
      <c r="C29" s="213"/>
      <c r="D29" s="215"/>
      <c r="E29" s="135">
        <f t="shared" si="3"/>
        <v>-45191.81</v>
      </c>
      <c r="F29" s="215"/>
      <c r="G29" s="206"/>
      <c r="H29" s="212">
        <f t="shared" si="2"/>
        <v>4699948.3900000062</v>
      </c>
      <c r="I29" s="2">
        <v>4699948.3899999997</v>
      </c>
      <c r="J29" s="135">
        <f t="shared" si="1"/>
        <v>0</v>
      </c>
      <c r="K29" s="115" t="s">
        <v>181</v>
      </c>
      <c r="L29" s="187">
        <v>43809</v>
      </c>
    </row>
    <row r="30" spans="1:12" x14ac:dyDescent="0.2">
      <c r="A30" s="210">
        <f>+'FERC Interest Rates'!A93</f>
        <v>43830</v>
      </c>
      <c r="B30" s="211" t="s">
        <v>174</v>
      </c>
      <c r="C30" s="213"/>
      <c r="D30" s="215"/>
      <c r="E30" s="135">
        <f t="shared" si="3"/>
        <v>-45191.81</v>
      </c>
      <c r="F30" s="215"/>
      <c r="G30" s="206"/>
      <c r="H30" s="212">
        <f t="shared" si="2"/>
        <v>4654756.5800000066</v>
      </c>
      <c r="I30" s="2">
        <v>4654756.58</v>
      </c>
      <c r="J30" s="135">
        <f t="shared" si="1"/>
        <v>0</v>
      </c>
      <c r="K30" s="115" t="s">
        <v>181</v>
      </c>
      <c r="L30" s="187">
        <v>43838</v>
      </c>
    </row>
    <row r="31" spans="1:12" x14ac:dyDescent="0.2">
      <c r="A31" s="210">
        <f>+'FERC Interest Rates'!A94</f>
        <v>43861</v>
      </c>
      <c r="B31" s="211" t="s">
        <v>174</v>
      </c>
      <c r="C31" s="213"/>
      <c r="D31" s="215"/>
      <c r="E31" s="135">
        <f t="shared" si="3"/>
        <v>-45191.81</v>
      </c>
      <c r="F31" s="215"/>
      <c r="G31" s="206"/>
      <c r="H31" s="212">
        <f t="shared" si="2"/>
        <v>4609564.770000007</v>
      </c>
      <c r="I31" s="2">
        <v>4609564.7699999996</v>
      </c>
      <c r="J31" s="135">
        <f t="shared" si="1"/>
        <v>-7.4505805969238281E-9</v>
      </c>
      <c r="K31" s="115" t="s">
        <v>181</v>
      </c>
      <c r="L31" s="187">
        <v>43871</v>
      </c>
    </row>
    <row r="32" spans="1:12" x14ac:dyDescent="0.2">
      <c r="A32" s="210">
        <f>+'FERC Interest Rates'!A95</f>
        <v>43890</v>
      </c>
      <c r="B32" s="211" t="s">
        <v>174</v>
      </c>
      <c r="C32" s="213"/>
      <c r="D32" s="215"/>
      <c r="E32" s="135">
        <f t="shared" si="3"/>
        <v>-45191.81</v>
      </c>
      <c r="F32" s="215"/>
      <c r="G32" s="206"/>
      <c r="H32" s="212">
        <f t="shared" si="2"/>
        <v>4564372.9600000074</v>
      </c>
      <c r="I32" s="2">
        <v>4564372.96</v>
      </c>
      <c r="J32" s="135">
        <f t="shared" si="1"/>
        <v>-7.4505805969238281E-9</v>
      </c>
      <c r="K32" s="115" t="s">
        <v>181</v>
      </c>
      <c r="L32" s="187">
        <v>43899</v>
      </c>
    </row>
    <row r="33" spans="1:12" x14ac:dyDescent="0.2">
      <c r="A33" s="216" t="s">
        <v>182</v>
      </c>
      <c r="B33" s="216"/>
      <c r="C33" s="216"/>
      <c r="D33" s="216"/>
      <c r="E33" s="216"/>
      <c r="F33" s="216"/>
      <c r="G33" s="180">
        <v>-3478863.25</v>
      </c>
      <c r="H33" s="212">
        <f>+H32+G33</f>
        <v>1085509.7100000074</v>
      </c>
      <c r="J33" s="135"/>
      <c r="L33" s="187"/>
    </row>
    <row r="34" spans="1:12" x14ac:dyDescent="0.2">
      <c r="A34" s="210">
        <f>+'FERC Interest Rates'!A96</f>
        <v>43921</v>
      </c>
      <c r="B34" s="211" t="s">
        <v>174</v>
      </c>
      <c r="C34" s="213"/>
      <c r="D34" s="215"/>
      <c r="E34" s="135">
        <f>90459.14-90459.14</f>
        <v>0</v>
      </c>
      <c r="F34" s="215"/>
      <c r="G34" s="206"/>
      <c r="H34" s="212">
        <f t="shared" si="2"/>
        <v>1085509.7100000074</v>
      </c>
      <c r="I34" s="2">
        <v>1085509.71</v>
      </c>
      <c r="J34" s="135">
        <f t="shared" si="1"/>
        <v>-7.4505805969238281E-9</v>
      </c>
      <c r="K34" s="115" t="s">
        <v>181</v>
      </c>
      <c r="L34" s="187">
        <v>43929</v>
      </c>
    </row>
    <row r="35" spans="1:12" x14ac:dyDescent="0.2">
      <c r="A35" s="210">
        <f>+'FERC Interest Rates'!A97</f>
        <v>43951</v>
      </c>
      <c r="B35" s="211" t="s">
        <v>174</v>
      </c>
      <c r="C35" s="213"/>
      <c r="D35" s="215"/>
      <c r="E35" s="135">
        <f t="shared" ref="E35:E54" si="4">90459.14-90459.14</f>
        <v>0</v>
      </c>
      <c r="F35" s="215"/>
      <c r="G35" s="206"/>
      <c r="H35" s="212">
        <f t="shared" si="2"/>
        <v>1085509.7100000074</v>
      </c>
      <c r="I35" s="2">
        <v>1085509.71</v>
      </c>
      <c r="J35" s="135">
        <f t="shared" si="1"/>
        <v>-7.4505805969238281E-9</v>
      </c>
      <c r="K35" s="115" t="s">
        <v>181</v>
      </c>
      <c r="L35" s="187">
        <v>43963</v>
      </c>
    </row>
    <row r="36" spans="1:12" x14ac:dyDescent="0.2">
      <c r="A36" s="210">
        <f>+'FERC Interest Rates'!A98</f>
        <v>43982</v>
      </c>
      <c r="B36" s="211" t="s">
        <v>174</v>
      </c>
      <c r="C36" s="213"/>
      <c r="D36" s="215"/>
      <c r="E36" s="135">
        <f t="shared" si="4"/>
        <v>0</v>
      </c>
      <c r="F36" s="215"/>
      <c r="G36" s="206"/>
      <c r="H36" s="212">
        <f t="shared" si="2"/>
        <v>1085509.7100000074</v>
      </c>
      <c r="I36" s="2">
        <v>1085509.71</v>
      </c>
      <c r="J36" s="135">
        <f t="shared" si="1"/>
        <v>-7.4505805969238281E-9</v>
      </c>
      <c r="K36" s="115" t="s">
        <v>181</v>
      </c>
      <c r="L36" s="187">
        <v>43990</v>
      </c>
    </row>
    <row r="37" spans="1:12" x14ac:dyDescent="0.2">
      <c r="A37" s="210">
        <f>+'FERC Interest Rates'!A99</f>
        <v>44012</v>
      </c>
      <c r="B37" s="211" t="s">
        <v>174</v>
      </c>
      <c r="C37" s="213"/>
      <c r="D37" s="215"/>
      <c r="E37" s="135">
        <f t="shared" si="4"/>
        <v>0</v>
      </c>
      <c r="F37" s="215"/>
      <c r="G37" s="206"/>
      <c r="H37" s="212">
        <f t="shared" si="2"/>
        <v>1085509.7100000074</v>
      </c>
      <c r="I37" s="2">
        <v>1085509.71</v>
      </c>
      <c r="J37" s="135">
        <f t="shared" si="1"/>
        <v>-7.4505805969238281E-9</v>
      </c>
      <c r="K37" s="115" t="s">
        <v>181</v>
      </c>
      <c r="L37" s="187">
        <v>44020</v>
      </c>
    </row>
    <row r="38" spans="1:12" x14ac:dyDescent="0.2">
      <c r="A38" s="210">
        <f>+'FERC Interest Rates'!A100</f>
        <v>44043</v>
      </c>
      <c r="B38" s="211" t="s">
        <v>174</v>
      </c>
      <c r="C38" s="213"/>
      <c r="D38" s="215"/>
      <c r="E38" s="135">
        <f t="shared" si="4"/>
        <v>0</v>
      </c>
      <c r="F38" s="215"/>
      <c r="G38" s="206"/>
      <c r="H38" s="212">
        <f t="shared" si="2"/>
        <v>1085509.7100000074</v>
      </c>
      <c r="I38" s="2">
        <v>1085509.71</v>
      </c>
      <c r="J38" s="135">
        <f t="shared" si="1"/>
        <v>-7.4505805969238281E-9</v>
      </c>
      <c r="K38" s="115" t="s">
        <v>181</v>
      </c>
      <c r="L38" s="187">
        <v>44053</v>
      </c>
    </row>
    <row r="39" spans="1:12" x14ac:dyDescent="0.2">
      <c r="A39" s="210">
        <f>+'FERC Interest Rates'!A101</f>
        <v>44074</v>
      </c>
      <c r="B39" s="211" t="s">
        <v>174</v>
      </c>
      <c r="C39" s="213"/>
      <c r="D39" s="215"/>
      <c r="E39" s="135">
        <f t="shared" si="4"/>
        <v>0</v>
      </c>
      <c r="F39" s="215"/>
      <c r="G39" s="206"/>
      <c r="H39" s="212">
        <f t="shared" si="2"/>
        <v>1085509.7100000074</v>
      </c>
      <c r="I39" s="2">
        <v>1085509.71</v>
      </c>
      <c r="J39" s="135">
        <f t="shared" si="1"/>
        <v>-7.4505805969238281E-9</v>
      </c>
      <c r="K39" s="115" t="s">
        <v>181</v>
      </c>
      <c r="L39" s="187">
        <v>44084</v>
      </c>
    </row>
    <row r="40" spans="1:12" x14ac:dyDescent="0.2">
      <c r="A40" s="210">
        <f>+'FERC Interest Rates'!A102</f>
        <v>44104</v>
      </c>
      <c r="B40" s="211" t="s">
        <v>174</v>
      </c>
      <c r="C40" s="213"/>
      <c r="D40" s="215"/>
      <c r="E40" s="135">
        <f t="shared" si="4"/>
        <v>0</v>
      </c>
      <c r="F40" s="215"/>
      <c r="G40" s="206"/>
      <c r="H40" s="212">
        <f t="shared" si="2"/>
        <v>1085509.7100000074</v>
      </c>
      <c r="I40" s="2">
        <v>1085509.71</v>
      </c>
      <c r="J40" s="135">
        <f t="shared" si="1"/>
        <v>-7.4505805969238281E-9</v>
      </c>
      <c r="K40" s="115" t="s">
        <v>181</v>
      </c>
      <c r="L40" s="187">
        <v>44111</v>
      </c>
    </row>
    <row r="41" spans="1:12" x14ac:dyDescent="0.2">
      <c r="A41" s="210">
        <f>+'FERC Interest Rates'!A103</f>
        <v>44135</v>
      </c>
      <c r="B41" s="211" t="s">
        <v>174</v>
      </c>
      <c r="C41" s="213"/>
      <c r="D41" s="215"/>
      <c r="E41" s="135">
        <f t="shared" si="4"/>
        <v>0</v>
      </c>
      <c r="F41" s="215"/>
      <c r="G41" s="206"/>
      <c r="H41" s="212">
        <f t="shared" si="2"/>
        <v>1085509.7100000074</v>
      </c>
      <c r="I41" s="2">
        <v>1085509.71</v>
      </c>
      <c r="J41" s="135">
        <f t="shared" si="1"/>
        <v>-7.4505805969238281E-9</v>
      </c>
      <c r="K41" s="115" t="s">
        <v>181</v>
      </c>
      <c r="L41" s="187">
        <v>44141</v>
      </c>
    </row>
    <row r="42" spans="1:12" x14ac:dyDescent="0.2">
      <c r="A42" s="210">
        <f>+'FERC Interest Rates'!A104</f>
        <v>44165</v>
      </c>
      <c r="B42" s="211" t="s">
        <v>174</v>
      </c>
      <c r="C42" s="213"/>
      <c r="D42" s="215"/>
      <c r="E42" s="135">
        <f t="shared" si="4"/>
        <v>0</v>
      </c>
      <c r="F42" s="215"/>
      <c r="G42" s="206"/>
      <c r="H42" s="212">
        <f t="shared" si="2"/>
        <v>1085509.7100000074</v>
      </c>
      <c r="I42" s="2">
        <v>1085509.71</v>
      </c>
      <c r="J42" s="135">
        <f t="shared" si="1"/>
        <v>-7.4505805969238281E-9</v>
      </c>
      <c r="K42" s="115" t="s">
        <v>181</v>
      </c>
      <c r="L42" s="187">
        <v>44173</v>
      </c>
    </row>
    <row r="43" spans="1:12" x14ac:dyDescent="0.2">
      <c r="A43" s="216" t="s">
        <v>118</v>
      </c>
      <c r="B43" s="216"/>
      <c r="C43" s="216"/>
      <c r="D43" s="216"/>
      <c r="E43" s="216"/>
      <c r="F43" s="216"/>
      <c r="G43" s="180">
        <v>-1085509.71</v>
      </c>
      <c r="H43" s="212">
        <f t="shared" si="2"/>
        <v>7.4505805969238281E-9</v>
      </c>
      <c r="J43" s="135"/>
      <c r="L43" s="187"/>
    </row>
    <row r="44" spans="1:12" x14ac:dyDescent="0.2">
      <c r="A44" s="210">
        <f>+'FERC Interest Rates'!A105</f>
        <v>44196</v>
      </c>
      <c r="B44" s="211" t="s">
        <v>174</v>
      </c>
      <c r="C44" s="213"/>
      <c r="D44" s="215"/>
      <c r="E44" s="135">
        <f t="shared" si="4"/>
        <v>0</v>
      </c>
      <c r="F44" s="215"/>
      <c r="G44" s="206"/>
      <c r="H44" s="212">
        <f t="shared" si="2"/>
        <v>7.4505805969238281E-9</v>
      </c>
      <c r="I44" s="2">
        <v>0</v>
      </c>
      <c r="J44" s="135">
        <f t="shared" si="1"/>
        <v>-7.4505805969238281E-9</v>
      </c>
      <c r="K44" s="115" t="s">
        <v>181</v>
      </c>
      <c r="L44" s="187">
        <v>44204</v>
      </c>
    </row>
    <row r="45" spans="1:12" x14ac:dyDescent="0.2">
      <c r="A45" s="210">
        <f>+'FERC Interest Rates'!A106</f>
        <v>44227</v>
      </c>
      <c r="B45" s="211" t="s">
        <v>174</v>
      </c>
      <c r="C45" s="213"/>
      <c r="D45" s="215"/>
      <c r="E45" s="135">
        <f t="shared" si="4"/>
        <v>0</v>
      </c>
      <c r="F45" s="215"/>
      <c r="G45" s="206"/>
      <c r="H45" s="212">
        <f t="shared" si="2"/>
        <v>7.4505805969238281E-9</v>
      </c>
      <c r="J45" s="135">
        <f t="shared" si="1"/>
        <v>-7.4505805969238281E-9</v>
      </c>
      <c r="L45" s="187"/>
    </row>
    <row r="46" spans="1:12" x14ac:dyDescent="0.2">
      <c r="A46" s="210">
        <f>+'FERC Interest Rates'!A107</f>
        <v>44255</v>
      </c>
      <c r="B46" s="211" t="s">
        <v>174</v>
      </c>
      <c r="C46" s="213"/>
      <c r="D46" s="215"/>
      <c r="E46" s="135">
        <f t="shared" si="4"/>
        <v>0</v>
      </c>
      <c r="F46" s="215"/>
      <c r="G46" s="206"/>
      <c r="H46" s="212">
        <f t="shared" si="2"/>
        <v>7.4505805969238281E-9</v>
      </c>
      <c r="J46" s="135">
        <f t="shared" si="1"/>
        <v>-7.4505805969238281E-9</v>
      </c>
      <c r="L46" s="187"/>
    </row>
    <row r="47" spans="1:12" x14ac:dyDescent="0.2">
      <c r="A47" s="210">
        <f>+'FERC Interest Rates'!A108</f>
        <v>44286</v>
      </c>
      <c r="B47" s="211" t="s">
        <v>174</v>
      </c>
      <c r="C47" s="213"/>
      <c r="D47" s="215"/>
      <c r="E47" s="135">
        <f t="shared" si="4"/>
        <v>0</v>
      </c>
      <c r="F47" s="215"/>
      <c r="G47" s="206"/>
      <c r="H47" s="212">
        <f t="shared" si="2"/>
        <v>7.4505805969238281E-9</v>
      </c>
      <c r="J47" s="135">
        <f t="shared" si="1"/>
        <v>-7.4505805969238281E-9</v>
      </c>
      <c r="L47" s="187"/>
    </row>
    <row r="48" spans="1:12" x14ac:dyDescent="0.2">
      <c r="A48" s="210">
        <f>+'FERC Interest Rates'!A109</f>
        <v>44316</v>
      </c>
      <c r="B48" s="211" t="s">
        <v>174</v>
      </c>
      <c r="C48" s="213"/>
      <c r="D48" s="215"/>
      <c r="E48" s="135">
        <f t="shared" si="4"/>
        <v>0</v>
      </c>
      <c r="F48" s="215"/>
      <c r="G48" s="206"/>
      <c r="H48" s="212">
        <f t="shared" si="2"/>
        <v>7.4505805969238281E-9</v>
      </c>
      <c r="J48" s="135">
        <f t="shared" si="1"/>
        <v>-7.4505805969238281E-9</v>
      </c>
      <c r="L48" s="187"/>
    </row>
    <row r="49" spans="1:12" x14ac:dyDescent="0.2">
      <c r="A49" s="210">
        <f>+'FERC Interest Rates'!A110</f>
        <v>44347</v>
      </c>
      <c r="B49" s="211" t="s">
        <v>174</v>
      </c>
      <c r="C49" s="213"/>
      <c r="D49" s="215"/>
      <c r="E49" s="135">
        <f t="shared" si="4"/>
        <v>0</v>
      </c>
      <c r="F49" s="215"/>
      <c r="G49" s="206"/>
      <c r="H49" s="212">
        <f t="shared" si="2"/>
        <v>7.4505805969238281E-9</v>
      </c>
      <c r="J49" s="135">
        <f t="shared" si="1"/>
        <v>-7.4505805969238281E-9</v>
      </c>
      <c r="L49" s="187"/>
    </row>
    <row r="50" spans="1:12" x14ac:dyDescent="0.2">
      <c r="A50" s="210">
        <f>+'FERC Interest Rates'!A111</f>
        <v>44377</v>
      </c>
      <c r="B50" s="211" t="s">
        <v>174</v>
      </c>
      <c r="C50" s="213"/>
      <c r="D50" s="215"/>
      <c r="E50" s="135">
        <f t="shared" si="4"/>
        <v>0</v>
      </c>
      <c r="F50" s="215"/>
      <c r="G50" s="206"/>
      <c r="H50" s="212">
        <f t="shared" si="2"/>
        <v>7.4505805969238281E-9</v>
      </c>
      <c r="J50" s="135">
        <f t="shared" si="1"/>
        <v>-7.4505805969238281E-9</v>
      </c>
      <c r="L50" s="187"/>
    </row>
    <row r="51" spans="1:12" x14ac:dyDescent="0.2">
      <c r="A51" s="210">
        <f>+'FERC Interest Rates'!A112</f>
        <v>44408</v>
      </c>
      <c r="B51" s="211" t="s">
        <v>174</v>
      </c>
      <c r="C51" s="213"/>
      <c r="D51" s="215"/>
      <c r="E51" s="135">
        <f t="shared" si="4"/>
        <v>0</v>
      </c>
      <c r="F51" s="215"/>
      <c r="G51" s="206"/>
      <c r="H51" s="212">
        <f t="shared" si="2"/>
        <v>7.4505805969238281E-9</v>
      </c>
      <c r="J51" s="135">
        <f t="shared" si="1"/>
        <v>-7.4505805969238281E-9</v>
      </c>
      <c r="L51" s="187"/>
    </row>
    <row r="52" spans="1:12" x14ac:dyDescent="0.2">
      <c r="A52" s="210">
        <f>+'FERC Interest Rates'!A113</f>
        <v>44439</v>
      </c>
      <c r="B52" s="211" t="s">
        <v>174</v>
      </c>
      <c r="C52" s="213"/>
      <c r="D52" s="215"/>
      <c r="E52" s="135">
        <f t="shared" si="4"/>
        <v>0</v>
      </c>
      <c r="F52" s="215"/>
      <c r="G52" s="206"/>
      <c r="H52" s="212">
        <f t="shared" si="2"/>
        <v>7.4505805969238281E-9</v>
      </c>
      <c r="J52" s="135">
        <f t="shared" si="1"/>
        <v>-7.4505805969238281E-9</v>
      </c>
      <c r="L52" s="187"/>
    </row>
    <row r="53" spans="1:12" x14ac:dyDescent="0.2">
      <c r="A53" s="210">
        <f>+'FERC Interest Rates'!A114</f>
        <v>44469</v>
      </c>
      <c r="B53" s="211" t="s">
        <v>174</v>
      </c>
      <c r="C53" s="213"/>
      <c r="D53" s="215"/>
      <c r="E53" s="135">
        <f t="shared" si="4"/>
        <v>0</v>
      </c>
      <c r="F53" s="215"/>
      <c r="G53" s="206"/>
      <c r="H53" s="212">
        <f t="shared" si="2"/>
        <v>7.4505805969238281E-9</v>
      </c>
      <c r="J53" s="135">
        <f t="shared" si="1"/>
        <v>-7.4505805969238281E-9</v>
      </c>
      <c r="L53" s="187"/>
    </row>
    <row r="54" spans="1:12" x14ac:dyDescent="0.2">
      <c r="A54" s="210">
        <f>+'FERC Interest Rates'!A115</f>
        <v>44500</v>
      </c>
      <c r="B54" s="211" t="s">
        <v>174</v>
      </c>
      <c r="C54" s="213"/>
      <c r="D54" s="215"/>
      <c r="E54" s="135">
        <f t="shared" si="4"/>
        <v>0</v>
      </c>
      <c r="F54" s="215"/>
      <c r="G54" s="206"/>
      <c r="H54" s="212">
        <f t="shared" si="2"/>
        <v>7.4505805969238281E-9</v>
      </c>
      <c r="J54" s="135">
        <f t="shared" si="1"/>
        <v>-7.4505805969238281E-9</v>
      </c>
      <c r="L54" s="187"/>
    </row>
  </sheetData>
  <mergeCells count="19">
    <mergeCell ref="A43:F43"/>
    <mergeCell ref="A7:B7"/>
    <mergeCell ref="C7:H7"/>
    <mergeCell ref="D9:F9"/>
    <mergeCell ref="A12:F12"/>
    <mergeCell ref="A13:F13"/>
    <mergeCell ref="A33:F33"/>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4" fitToHeight="0" orientation="portrait" r:id="rId1"/>
  <headerFooter>
    <oddFooter>&amp;L&amp;B&amp;"Calibri(Body)"&amp;10 Cascade Natural Gas Corporation&amp;C&amp;B&amp;"Calibri(Body)"&amp;10 Page &amp;P of &amp;N&amp;R&amp;B&amp;"Calibri(Body)"&amp;10 Washington Deferral Accounts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2EC5A-7994-4105-998D-B6853C35C43A}">
  <sheetPr transitionEvaluation="1" transitionEntry="1"/>
  <dimension ref="A1:E117"/>
  <sheetViews>
    <sheetView showGridLines="0" tabSelected="1" view="pageBreakPreview" zoomScaleNormal="60" zoomScaleSheetLayoutView="100" workbookViewId="0">
      <selection activeCell="N106" sqref="N106"/>
    </sheetView>
  </sheetViews>
  <sheetFormatPr defaultColWidth="12.77734375" defaultRowHeight="12.75" x14ac:dyDescent="0.2"/>
  <cols>
    <col min="1" max="3" width="13.77734375" style="2" customWidth="1"/>
    <col min="4" max="4" width="2.6640625" style="2" bestFit="1" customWidth="1"/>
    <col min="5" max="22" width="12.77734375" style="2"/>
    <col min="23" max="23" width="12.77734375" style="2" customWidth="1"/>
    <col min="24" max="85" width="12.77734375" style="2"/>
    <col min="86" max="86" width="13.77734375" style="2" customWidth="1"/>
    <col min="87" max="16384" width="12.77734375" style="2"/>
  </cols>
  <sheetData>
    <row r="1" spans="1:5" s="6" customFormat="1" ht="15.75" x14ac:dyDescent="0.25">
      <c r="A1" s="5" t="s">
        <v>16</v>
      </c>
      <c r="B1" s="5"/>
      <c r="C1" s="5"/>
      <c r="D1" s="5"/>
    </row>
    <row r="2" spans="1:5" s="6" customFormat="1" ht="15.75" x14ac:dyDescent="0.25">
      <c r="A2" s="5" t="s">
        <v>17</v>
      </c>
      <c r="B2" s="5"/>
      <c r="C2" s="5"/>
      <c r="D2" s="5"/>
    </row>
    <row r="3" spans="1:5" s="6" customFormat="1" ht="15.75" x14ac:dyDescent="0.25">
      <c r="A3" s="5" t="s">
        <v>18</v>
      </c>
      <c r="B3" s="5"/>
      <c r="C3" s="5"/>
      <c r="D3" s="5"/>
    </row>
    <row r="4" spans="1:5" x14ac:dyDescent="0.2">
      <c r="A4" s="7"/>
      <c r="B4" s="7"/>
      <c r="C4" s="7"/>
      <c r="D4" s="7"/>
    </row>
    <row r="5" spans="1:5" ht="15.75" customHeight="1" x14ac:dyDescent="0.2">
      <c r="A5" s="7" t="s">
        <v>19</v>
      </c>
      <c r="B5" s="7"/>
      <c r="C5" s="7"/>
      <c r="D5" s="7"/>
    </row>
    <row r="6" spans="1:5" ht="15.75" customHeight="1" x14ac:dyDescent="0.2">
      <c r="A6" s="7" t="s">
        <v>20</v>
      </c>
      <c r="B6" s="7"/>
      <c r="C6" s="7"/>
      <c r="D6" s="7"/>
    </row>
    <row r="7" spans="1:5" ht="15.75" customHeight="1" x14ac:dyDescent="0.2">
      <c r="A7" s="8" t="s">
        <v>21</v>
      </c>
      <c r="B7" s="9"/>
      <c r="C7" s="9"/>
      <c r="D7" s="9"/>
    </row>
    <row r="8" spans="1:5" x14ac:dyDescent="0.2">
      <c r="A8" s="7"/>
      <c r="B8" s="7"/>
      <c r="C8" s="7"/>
      <c r="D8" s="7"/>
    </row>
    <row r="9" spans="1:5" x14ac:dyDescent="0.2">
      <c r="A9" s="10" t="s">
        <v>22</v>
      </c>
      <c r="B9" s="10" t="s">
        <v>23</v>
      </c>
      <c r="C9" s="10" t="s">
        <v>24</v>
      </c>
      <c r="D9" s="10"/>
      <c r="E9" s="11"/>
    </row>
    <row r="10" spans="1:5" x14ac:dyDescent="0.2">
      <c r="A10" s="12">
        <v>41305</v>
      </c>
      <c r="B10" s="13">
        <v>3.2500000000000001E-2</v>
      </c>
      <c r="C10" s="14">
        <v>31</v>
      </c>
      <c r="D10" s="15" t="s">
        <v>25</v>
      </c>
    </row>
    <row r="11" spans="1:5" x14ac:dyDescent="0.2">
      <c r="A11" s="16">
        <v>41333</v>
      </c>
      <c r="B11" s="17">
        <f>B10</f>
        <v>3.2500000000000001E-2</v>
      </c>
      <c r="C11" s="18">
        <v>28</v>
      </c>
      <c r="D11" s="19"/>
    </row>
    <row r="12" spans="1:5" x14ac:dyDescent="0.2">
      <c r="A12" s="16">
        <v>41364</v>
      </c>
      <c r="B12" s="17">
        <f>B11</f>
        <v>3.2500000000000001E-2</v>
      </c>
      <c r="C12" s="18">
        <v>31</v>
      </c>
      <c r="D12" s="19"/>
    </row>
    <row r="13" spans="1:5" x14ac:dyDescent="0.2">
      <c r="A13" s="16">
        <v>41394</v>
      </c>
      <c r="B13" s="17">
        <f t="shared" ref="B13:B33" si="0">B12</f>
        <v>3.2500000000000001E-2</v>
      </c>
      <c r="C13" s="18">
        <v>30</v>
      </c>
      <c r="D13" s="19"/>
    </row>
    <row r="14" spans="1:5" x14ac:dyDescent="0.2">
      <c r="A14" s="16">
        <v>41425</v>
      </c>
      <c r="B14" s="17">
        <f t="shared" si="0"/>
        <v>3.2500000000000001E-2</v>
      </c>
      <c r="C14" s="18">
        <v>31</v>
      </c>
      <c r="D14" s="19"/>
    </row>
    <row r="15" spans="1:5" x14ac:dyDescent="0.2">
      <c r="A15" s="16">
        <v>41455</v>
      </c>
      <c r="B15" s="17">
        <f t="shared" si="0"/>
        <v>3.2500000000000001E-2</v>
      </c>
      <c r="C15" s="18">
        <v>30</v>
      </c>
      <c r="D15" s="19"/>
    </row>
    <row r="16" spans="1:5" x14ac:dyDescent="0.2">
      <c r="A16" s="16">
        <v>41486</v>
      </c>
      <c r="B16" s="17">
        <f t="shared" si="0"/>
        <v>3.2500000000000001E-2</v>
      </c>
      <c r="C16" s="18">
        <v>31</v>
      </c>
      <c r="D16" s="19"/>
    </row>
    <row r="17" spans="1:4" x14ac:dyDescent="0.2">
      <c r="A17" s="16">
        <v>41517</v>
      </c>
      <c r="B17" s="17">
        <f t="shared" si="0"/>
        <v>3.2500000000000001E-2</v>
      </c>
      <c r="C17" s="18">
        <v>31</v>
      </c>
      <c r="D17" s="19"/>
    </row>
    <row r="18" spans="1:4" x14ac:dyDescent="0.2">
      <c r="A18" s="16">
        <v>41547</v>
      </c>
      <c r="B18" s="17">
        <f t="shared" si="0"/>
        <v>3.2500000000000001E-2</v>
      </c>
      <c r="C18" s="18">
        <v>30</v>
      </c>
      <c r="D18" s="19"/>
    </row>
    <row r="19" spans="1:4" x14ac:dyDescent="0.2">
      <c r="A19" s="16">
        <v>41578</v>
      </c>
      <c r="B19" s="17">
        <f t="shared" si="0"/>
        <v>3.2500000000000001E-2</v>
      </c>
      <c r="C19" s="18">
        <v>31</v>
      </c>
      <c r="D19" s="19"/>
    </row>
    <row r="20" spans="1:4" x14ac:dyDescent="0.2">
      <c r="A20" s="16">
        <v>41608</v>
      </c>
      <c r="B20" s="17">
        <f t="shared" si="0"/>
        <v>3.2500000000000001E-2</v>
      </c>
      <c r="C20" s="18">
        <v>30</v>
      </c>
      <c r="D20" s="19"/>
    </row>
    <row r="21" spans="1:4" x14ac:dyDescent="0.2">
      <c r="A21" s="20">
        <v>41639</v>
      </c>
      <c r="B21" s="21">
        <f t="shared" si="0"/>
        <v>3.2500000000000001E-2</v>
      </c>
      <c r="C21" s="22">
        <v>31</v>
      </c>
      <c r="D21" s="23"/>
    </row>
    <row r="22" spans="1:4" ht="12.75" customHeight="1" x14ac:dyDescent="0.2">
      <c r="A22" s="12">
        <v>41670</v>
      </c>
      <c r="B22" s="17">
        <f t="shared" si="0"/>
        <v>3.2500000000000001E-2</v>
      </c>
      <c r="C22" s="14">
        <v>31</v>
      </c>
      <c r="D22" s="15" t="s">
        <v>26</v>
      </c>
    </row>
    <row r="23" spans="1:4" x14ac:dyDescent="0.2">
      <c r="A23" s="16">
        <v>41698</v>
      </c>
      <c r="B23" s="17">
        <f t="shared" si="0"/>
        <v>3.2500000000000001E-2</v>
      </c>
      <c r="C23" s="18">
        <v>28</v>
      </c>
      <c r="D23" s="19"/>
    </row>
    <row r="24" spans="1:4" x14ac:dyDescent="0.2">
      <c r="A24" s="16">
        <v>41729</v>
      </c>
      <c r="B24" s="17">
        <f t="shared" si="0"/>
        <v>3.2500000000000001E-2</v>
      </c>
      <c r="C24" s="18">
        <v>31</v>
      </c>
      <c r="D24" s="19"/>
    </row>
    <row r="25" spans="1:4" x14ac:dyDescent="0.2">
      <c r="A25" s="16">
        <v>41759</v>
      </c>
      <c r="B25" s="17">
        <f t="shared" si="0"/>
        <v>3.2500000000000001E-2</v>
      </c>
      <c r="C25" s="18">
        <v>30</v>
      </c>
      <c r="D25" s="19"/>
    </row>
    <row r="26" spans="1:4" x14ac:dyDescent="0.2">
      <c r="A26" s="16">
        <v>41790</v>
      </c>
      <c r="B26" s="17">
        <f t="shared" si="0"/>
        <v>3.2500000000000001E-2</v>
      </c>
      <c r="C26" s="18">
        <v>31</v>
      </c>
      <c r="D26" s="19"/>
    </row>
    <row r="27" spans="1:4" x14ac:dyDescent="0.2">
      <c r="A27" s="16">
        <v>41820</v>
      </c>
      <c r="B27" s="17">
        <f t="shared" si="0"/>
        <v>3.2500000000000001E-2</v>
      </c>
      <c r="C27" s="18">
        <v>30</v>
      </c>
      <c r="D27" s="19"/>
    </row>
    <row r="28" spans="1:4" x14ac:dyDescent="0.2">
      <c r="A28" s="16">
        <v>41851</v>
      </c>
      <c r="B28" s="17">
        <f t="shared" si="0"/>
        <v>3.2500000000000001E-2</v>
      </c>
      <c r="C28" s="18">
        <v>31</v>
      </c>
      <c r="D28" s="19"/>
    </row>
    <row r="29" spans="1:4" x14ac:dyDescent="0.2">
      <c r="A29" s="16">
        <v>41882</v>
      </c>
      <c r="B29" s="17">
        <f t="shared" si="0"/>
        <v>3.2500000000000001E-2</v>
      </c>
      <c r="C29" s="18">
        <v>31</v>
      </c>
      <c r="D29" s="19"/>
    </row>
    <row r="30" spans="1:4" x14ac:dyDescent="0.2">
      <c r="A30" s="16">
        <v>41912</v>
      </c>
      <c r="B30" s="17">
        <f t="shared" si="0"/>
        <v>3.2500000000000001E-2</v>
      </c>
      <c r="C30" s="18">
        <v>30</v>
      </c>
      <c r="D30" s="19"/>
    </row>
    <row r="31" spans="1:4" x14ac:dyDescent="0.2">
      <c r="A31" s="16">
        <v>41943</v>
      </c>
      <c r="B31" s="17">
        <f t="shared" si="0"/>
        <v>3.2500000000000001E-2</v>
      </c>
      <c r="C31" s="18">
        <v>31</v>
      </c>
      <c r="D31" s="19"/>
    </row>
    <row r="32" spans="1:4" x14ac:dyDescent="0.2">
      <c r="A32" s="16">
        <v>41973</v>
      </c>
      <c r="B32" s="17">
        <f t="shared" si="0"/>
        <v>3.2500000000000001E-2</v>
      </c>
      <c r="C32" s="18">
        <v>30</v>
      </c>
      <c r="D32" s="19"/>
    </row>
    <row r="33" spans="1:4" x14ac:dyDescent="0.2">
      <c r="A33" s="20">
        <v>42004</v>
      </c>
      <c r="B33" s="21">
        <f t="shared" si="0"/>
        <v>3.2500000000000001E-2</v>
      </c>
      <c r="C33" s="22">
        <v>31</v>
      </c>
      <c r="D33" s="23"/>
    </row>
    <row r="34" spans="1:4" ht="12.75" customHeight="1" x14ac:dyDescent="0.2">
      <c r="A34" s="12">
        <v>42035</v>
      </c>
      <c r="B34" s="17">
        <f>B33</f>
        <v>3.2500000000000001E-2</v>
      </c>
      <c r="C34" s="14">
        <v>31</v>
      </c>
      <c r="D34" s="15" t="s">
        <v>27</v>
      </c>
    </row>
    <row r="35" spans="1:4" x14ac:dyDescent="0.2">
      <c r="A35" s="16">
        <v>42063</v>
      </c>
      <c r="B35" s="17">
        <f t="shared" ref="B35:B93" si="1">B34</f>
        <v>3.2500000000000001E-2</v>
      </c>
      <c r="C35" s="18">
        <v>28</v>
      </c>
      <c r="D35" s="19"/>
    </row>
    <row r="36" spans="1:4" x14ac:dyDescent="0.2">
      <c r="A36" s="16">
        <v>42094</v>
      </c>
      <c r="B36" s="17">
        <f t="shared" si="1"/>
        <v>3.2500000000000001E-2</v>
      </c>
      <c r="C36" s="18">
        <v>31</v>
      </c>
      <c r="D36" s="19"/>
    </row>
    <row r="37" spans="1:4" x14ac:dyDescent="0.2">
      <c r="A37" s="16">
        <v>42124</v>
      </c>
      <c r="B37" s="17">
        <f t="shared" si="1"/>
        <v>3.2500000000000001E-2</v>
      </c>
      <c r="C37" s="18">
        <v>30</v>
      </c>
      <c r="D37" s="19"/>
    </row>
    <row r="38" spans="1:4" x14ac:dyDescent="0.2">
      <c r="A38" s="16">
        <v>42155</v>
      </c>
      <c r="B38" s="17">
        <f t="shared" si="1"/>
        <v>3.2500000000000001E-2</v>
      </c>
      <c r="C38" s="18">
        <v>31</v>
      </c>
      <c r="D38" s="19"/>
    </row>
    <row r="39" spans="1:4" x14ac:dyDescent="0.2">
      <c r="A39" s="16">
        <v>42185</v>
      </c>
      <c r="B39" s="17">
        <f t="shared" si="1"/>
        <v>3.2500000000000001E-2</v>
      </c>
      <c r="C39" s="18">
        <v>30</v>
      </c>
      <c r="D39" s="19"/>
    </row>
    <row r="40" spans="1:4" x14ac:dyDescent="0.2">
      <c r="A40" s="16">
        <v>42216</v>
      </c>
      <c r="B40" s="17">
        <f t="shared" si="1"/>
        <v>3.2500000000000001E-2</v>
      </c>
      <c r="C40" s="18">
        <v>31</v>
      </c>
      <c r="D40" s="19"/>
    </row>
    <row r="41" spans="1:4" x14ac:dyDescent="0.2">
      <c r="A41" s="16">
        <v>42247</v>
      </c>
      <c r="B41" s="17">
        <f t="shared" si="1"/>
        <v>3.2500000000000001E-2</v>
      </c>
      <c r="C41" s="18">
        <v>31</v>
      </c>
      <c r="D41" s="19"/>
    </row>
    <row r="42" spans="1:4" x14ac:dyDescent="0.2">
      <c r="A42" s="16">
        <v>42277</v>
      </c>
      <c r="B42" s="17">
        <f t="shared" si="1"/>
        <v>3.2500000000000001E-2</v>
      </c>
      <c r="C42" s="18">
        <v>30</v>
      </c>
      <c r="D42" s="19"/>
    </row>
    <row r="43" spans="1:4" x14ac:dyDescent="0.2">
      <c r="A43" s="16">
        <v>42308</v>
      </c>
      <c r="B43" s="17">
        <f t="shared" si="1"/>
        <v>3.2500000000000001E-2</v>
      </c>
      <c r="C43" s="18">
        <v>31</v>
      </c>
      <c r="D43" s="19"/>
    </row>
    <row r="44" spans="1:4" x14ac:dyDescent="0.2">
      <c r="A44" s="16">
        <v>42338</v>
      </c>
      <c r="B44" s="17">
        <f t="shared" si="1"/>
        <v>3.2500000000000001E-2</v>
      </c>
      <c r="C44" s="18">
        <v>30</v>
      </c>
      <c r="D44" s="19"/>
    </row>
    <row r="45" spans="1:4" x14ac:dyDescent="0.2">
      <c r="A45" s="20">
        <v>42369</v>
      </c>
      <c r="B45" s="21">
        <f t="shared" si="1"/>
        <v>3.2500000000000001E-2</v>
      </c>
      <c r="C45" s="22">
        <v>31</v>
      </c>
      <c r="D45" s="23"/>
    </row>
    <row r="46" spans="1:4" ht="12.75" customHeight="1" x14ac:dyDescent="0.2">
      <c r="A46" s="16">
        <v>42400</v>
      </c>
      <c r="B46" s="17">
        <f t="shared" si="1"/>
        <v>3.2500000000000001E-2</v>
      </c>
      <c r="C46" s="14">
        <v>31</v>
      </c>
      <c r="D46" s="15" t="s">
        <v>28</v>
      </c>
    </row>
    <row r="47" spans="1:4" x14ac:dyDescent="0.2">
      <c r="A47" s="16">
        <v>42429</v>
      </c>
      <c r="B47" s="17">
        <f t="shared" si="1"/>
        <v>3.2500000000000001E-2</v>
      </c>
      <c r="C47" s="18">
        <v>29</v>
      </c>
      <c r="D47" s="19"/>
    </row>
    <row r="48" spans="1:4" x14ac:dyDescent="0.2">
      <c r="A48" s="16">
        <v>42460</v>
      </c>
      <c r="B48" s="17">
        <f t="shared" si="1"/>
        <v>3.2500000000000001E-2</v>
      </c>
      <c r="C48" s="18">
        <v>31</v>
      </c>
      <c r="D48" s="19"/>
    </row>
    <row r="49" spans="1:4" x14ac:dyDescent="0.2">
      <c r="A49" s="16">
        <v>42490</v>
      </c>
      <c r="B49" s="17">
        <v>3.4599999999999999E-2</v>
      </c>
      <c r="C49" s="18">
        <v>30</v>
      </c>
      <c r="D49" s="19"/>
    </row>
    <row r="50" spans="1:4" x14ac:dyDescent="0.2">
      <c r="A50" s="16">
        <v>42521</v>
      </c>
      <c r="B50" s="17">
        <f t="shared" si="1"/>
        <v>3.4599999999999999E-2</v>
      </c>
      <c r="C50" s="18">
        <v>31</v>
      </c>
      <c r="D50" s="19"/>
    </row>
    <row r="51" spans="1:4" x14ac:dyDescent="0.2">
      <c r="A51" s="16">
        <v>42551</v>
      </c>
      <c r="B51" s="17">
        <f t="shared" si="1"/>
        <v>3.4599999999999999E-2</v>
      </c>
      <c r="C51" s="18">
        <v>30</v>
      </c>
      <c r="D51" s="19"/>
    </row>
    <row r="52" spans="1:4" x14ac:dyDescent="0.2">
      <c r="A52" s="16">
        <v>42582</v>
      </c>
      <c r="B52" s="17">
        <v>3.5000000000000003E-2</v>
      </c>
      <c r="C52" s="18">
        <v>31</v>
      </c>
      <c r="D52" s="19"/>
    </row>
    <row r="53" spans="1:4" x14ac:dyDescent="0.2">
      <c r="A53" s="16">
        <v>42613</v>
      </c>
      <c r="B53" s="17">
        <f t="shared" si="1"/>
        <v>3.5000000000000003E-2</v>
      </c>
      <c r="C53" s="18">
        <v>31</v>
      </c>
      <c r="D53" s="19"/>
    </row>
    <row r="54" spans="1:4" x14ac:dyDescent="0.2">
      <c r="A54" s="16">
        <v>42643</v>
      </c>
      <c r="B54" s="17">
        <f t="shared" si="1"/>
        <v>3.5000000000000003E-2</v>
      </c>
      <c r="C54" s="18">
        <v>30</v>
      </c>
      <c r="D54" s="19"/>
    </row>
    <row r="55" spans="1:4" x14ac:dyDescent="0.2">
      <c r="A55" s="16">
        <v>42674</v>
      </c>
      <c r="B55" s="17">
        <f t="shared" si="1"/>
        <v>3.5000000000000003E-2</v>
      </c>
      <c r="C55" s="18">
        <v>31</v>
      </c>
      <c r="D55" s="19"/>
    </row>
    <row r="56" spans="1:4" x14ac:dyDescent="0.2">
      <c r="A56" s="16">
        <v>42704</v>
      </c>
      <c r="B56" s="17">
        <f t="shared" si="1"/>
        <v>3.5000000000000003E-2</v>
      </c>
      <c r="C56" s="18">
        <v>30</v>
      </c>
      <c r="D56" s="19"/>
    </row>
    <row r="57" spans="1:4" x14ac:dyDescent="0.2">
      <c r="A57" s="20">
        <v>42735</v>
      </c>
      <c r="B57" s="21">
        <f t="shared" si="1"/>
        <v>3.5000000000000003E-2</v>
      </c>
      <c r="C57" s="22">
        <v>31</v>
      </c>
      <c r="D57" s="23"/>
    </row>
    <row r="58" spans="1:4" ht="12.75" customHeight="1" x14ac:dyDescent="0.2">
      <c r="A58" s="16">
        <v>42766</v>
      </c>
      <c r="B58" s="17">
        <f t="shared" si="1"/>
        <v>3.5000000000000003E-2</v>
      </c>
      <c r="C58" s="14">
        <v>31</v>
      </c>
      <c r="D58" s="15" t="s">
        <v>29</v>
      </c>
    </row>
    <row r="59" spans="1:4" x14ac:dyDescent="0.2">
      <c r="A59" s="16">
        <v>42794</v>
      </c>
      <c r="B59" s="17">
        <f t="shared" si="1"/>
        <v>3.5000000000000003E-2</v>
      </c>
      <c r="C59" s="18">
        <v>28</v>
      </c>
      <c r="D59" s="19"/>
    </row>
    <row r="60" spans="1:4" x14ac:dyDescent="0.2">
      <c r="A60" s="16">
        <v>42825</v>
      </c>
      <c r="B60" s="17">
        <f t="shared" si="1"/>
        <v>3.5000000000000003E-2</v>
      </c>
      <c r="C60" s="18">
        <v>31</v>
      </c>
      <c r="D60" s="19"/>
    </row>
    <row r="61" spans="1:4" x14ac:dyDescent="0.2">
      <c r="A61" s="16">
        <v>42855</v>
      </c>
      <c r="B61" s="17">
        <v>3.7100000000000001E-2</v>
      </c>
      <c r="C61" s="18">
        <v>30</v>
      </c>
      <c r="D61" s="19"/>
    </row>
    <row r="62" spans="1:4" x14ac:dyDescent="0.2">
      <c r="A62" s="16">
        <v>42886</v>
      </c>
      <c r="B62" s="17">
        <f t="shared" si="1"/>
        <v>3.7100000000000001E-2</v>
      </c>
      <c r="C62" s="18">
        <v>31</v>
      </c>
      <c r="D62" s="19"/>
    </row>
    <row r="63" spans="1:4" x14ac:dyDescent="0.2">
      <c r="A63" s="16">
        <v>42916</v>
      </c>
      <c r="B63" s="17">
        <f t="shared" si="1"/>
        <v>3.7100000000000001E-2</v>
      </c>
      <c r="C63" s="18">
        <v>30</v>
      </c>
      <c r="D63" s="19"/>
    </row>
    <row r="64" spans="1:4" x14ac:dyDescent="0.2">
      <c r="A64" s="16">
        <v>42947</v>
      </c>
      <c r="B64" s="17">
        <v>3.9600000000000003E-2</v>
      </c>
      <c r="C64" s="18">
        <v>31</v>
      </c>
      <c r="D64" s="19"/>
    </row>
    <row r="65" spans="1:4" x14ac:dyDescent="0.2">
      <c r="A65" s="16">
        <v>42978</v>
      </c>
      <c r="B65" s="17">
        <f t="shared" si="1"/>
        <v>3.9600000000000003E-2</v>
      </c>
      <c r="C65" s="18">
        <v>31</v>
      </c>
      <c r="D65" s="19"/>
    </row>
    <row r="66" spans="1:4" x14ac:dyDescent="0.2">
      <c r="A66" s="16">
        <v>43008</v>
      </c>
      <c r="B66" s="17">
        <f t="shared" si="1"/>
        <v>3.9600000000000003E-2</v>
      </c>
      <c r="C66" s="18">
        <v>30</v>
      </c>
      <c r="D66" s="19"/>
    </row>
    <row r="67" spans="1:4" x14ac:dyDescent="0.2">
      <c r="A67" s="16">
        <v>43039</v>
      </c>
      <c r="B67" s="17">
        <v>4.2099999999999999E-2</v>
      </c>
      <c r="C67" s="18">
        <v>31</v>
      </c>
      <c r="D67" s="19"/>
    </row>
    <row r="68" spans="1:4" x14ac:dyDescent="0.2">
      <c r="A68" s="16">
        <v>43069</v>
      </c>
      <c r="B68" s="17">
        <f t="shared" si="1"/>
        <v>4.2099999999999999E-2</v>
      </c>
      <c r="C68" s="18">
        <v>30</v>
      </c>
      <c r="D68" s="19"/>
    </row>
    <row r="69" spans="1:4" x14ac:dyDescent="0.2">
      <c r="A69" s="20">
        <v>43100</v>
      </c>
      <c r="B69" s="21">
        <f t="shared" si="1"/>
        <v>4.2099999999999999E-2</v>
      </c>
      <c r="C69" s="22">
        <v>31</v>
      </c>
      <c r="D69" s="23"/>
    </row>
    <row r="70" spans="1:4" ht="12.75" customHeight="1" x14ac:dyDescent="0.2">
      <c r="A70" s="16">
        <v>43131</v>
      </c>
      <c r="B70" s="17">
        <v>4.2500000000000003E-2</v>
      </c>
      <c r="C70" s="14">
        <v>31</v>
      </c>
      <c r="D70" s="15" t="s">
        <v>30</v>
      </c>
    </row>
    <row r="71" spans="1:4" x14ac:dyDescent="0.2">
      <c r="A71" s="16">
        <v>43159</v>
      </c>
      <c r="B71" s="17">
        <f t="shared" si="1"/>
        <v>4.2500000000000003E-2</v>
      </c>
      <c r="C71" s="18">
        <v>28</v>
      </c>
      <c r="D71" s="19"/>
    </row>
    <row r="72" spans="1:4" x14ac:dyDescent="0.2">
      <c r="A72" s="16">
        <v>43190</v>
      </c>
      <c r="B72" s="17">
        <f t="shared" si="1"/>
        <v>4.2500000000000003E-2</v>
      </c>
      <c r="C72" s="18">
        <v>31</v>
      </c>
      <c r="D72" s="19"/>
    </row>
    <row r="73" spans="1:4" x14ac:dyDescent="0.2">
      <c r="A73" s="16">
        <v>43220</v>
      </c>
      <c r="B73" s="17">
        <v>4.4699999999999997E-2</v>
      </c>
      <c r="C73" s="18">
        <v>30</v>
      </c>
      <c r="D73" s="19"/>
    </row>
    <row r="74" spans="1:4" x14ac:dyDescent="0.2">
      <c r="A74" s="16">
        <v>43251</v>
      </c>
      <c r="B74" s="17">
        <f t="shared" si="1"/>
        <v>4.4699999999999997E-2</v>
      </c>
      <c r="C74" s="18">
        <v>31</v>
      </c>
      <c r="D74" s="19"/>
    </row>
    <row r="75" spans="1:4" x14ac:dyDescent="0.2">
      <c r="A75" s="16">
        <v>43281</v>
      </c>
      <c r="B75" s="17">
        <f t="shared" si="1"/>
        <v>4.4699999999999997E-2</v>
      </c>
      <c r="C75" s="18">
        <v>30</v>
      </c>
      <c r="D75" s="19"/>
    </row>
    <row r="76" spans="1:4" x14ac:dyDescent="0.2">
      <c r="A76" s="16">
        <v>43312</v>
      </c>
      <c r="B76" s="17">
        <v>4.6899999999999997E-2</v>
      </c>
      <c r="C76" s="18">
        <v>31</v>
      </c>
      <c r="D76" s="19"/>
    </row>
    <row r="77" spans="1:4" x14ac:dyDescent="0.2">
      <c r="A77" s="16">
        <v>43343</v>
      </c>
      <c r="B77" s="17">
        <f t="shared" si="1"/>
        <v>4.6899999999999997E-2</v>
      </c>
      <c r="C77" s="18">
        <v>31</v>
      </c>
      <c r="D77" s="19"/>
    </row>
    <row r="78" spans="1:4" x14ac:dyDescent="0.2">
      <c r="A78" s="16">
        <v>43373</v>
      </c>
      <c r="B78" s="17">
        <f t="shared" si="1"/>
        <v>4.6899999999999997E-2</v>
      </c>
      <c r="C78" s="18">
        <v>30</v>
      </c>
      <c r="D78" s="19"/>
    </row>
    <row r="79" spans="1:4" x14ac:dyDescent="0.2">
      <c r="A79" s="16">
        <v>43404</v>
      </c>
      <c r="B79" s="17">
        <v>4.9599999999999998E-2</v>
      </c>
      <c r="C79" s="18">
        <v>31</v>
      </c>
      <c r="D79" s="19"/>
    </row>
    <row r="80" spans="1:4" x14ac:dyDescent="0.2">
      <c r="A80" s="16">
        <v>43434</v>
      </c>
      <c r="B80" s="17">
        <f t="shared" si="1"/>
        <v>4.9599999999999998E-2</v>
      </c>
      <c r="C80" s="18">
        <v>30</v>
      </c>
      <c r="D80" s="19"/>
    </row>
    <row r="81" spans="1:4" x14ac:dyDescent="0.2">
      <c r="A81" s="20">
        <v>43465</v>
      </c>
      <c r="B81" s="21">
        <f t="shared" si="1"/>
        <v>4.9599999999999998E-2</v>
      </c>
      <c r="C81" s="22">
        <v>31</v>
      </c>
      <c r="D81" s="23"/>
    </row>
    <row r="82" spans="1:4" x14ac:dyDescent="0.2">
      <c r="A82" s="12">
        <v>43496</v>
      </c>
      <c r="B82" s="13">
        <v>5.1799999999999999E-2</v>
      </c>
      <c r="C82" s="24">
        <v>31</v>
      </c>
      <c r="D82" s="15" t="s">
        <v>31</v>
      </c>
    </row>
    <row r="83" spans="1:4" x14ac:dyDescent="0.2">
      <c r="A83" s="16">
        <v>43524</v>
      </c>
      <c r="B83" s="25">
        <f t="shared" si="1"/>
        <v>5.1799999999999999E-2</v>
      </c>
      <c r="C83" s="26">
        <v>28</v>
      </c>
      <c r="D83" s="19"/>
    </row>
    <row r="84" spans="1:4" x14ac:dyDescent="0.2">
      <c r="A84" s="16">
        <v>43555</v>
      </c>
      <c r="B84" s="25">
        <f t="shared" si="1"/>
        <v>5.1799999999999999E-2</v>
      </c>
      <c r="C84" s="26">
        <v>31</v>
      </c>
      <c r="D84" s="19"/>
    </row>
    <row r="85" spans="1:4" x14ac:dyDescent="0.2">
      <c r="A85" s="16">
        <v>43585</v>
      </c>
      <c r="B85" s="25">
        <v>5.45E-2</v>
      </c>
      <c r="C85" s="26">
        <v>30</v>
      </c>
      <c r="D85" s="19"/>
    </row>
    <row r="86" spans="1:4" x14ac:dyDescent="0.2">
      <c r="A86" s="16">
        <v>43616</v>
      </c>
      <c r="B86" s="25">
        <f t="shared" si="1"/>
        <v>5.45E-2</v>
      </c>
      <c r="C86" s="26">
        <v>31</v>
      </c>
      <c r="D86" s="19"/>
    </row>
    <row r="87" spans="1:4" x14ac:dyDescent="0.2">
      <c r="A87" s="16">
        <v>43646</v>
      </c>
      <c r="B87" s="25">
        <f t="shared" si="1"/>
        <v>5.45E-2</v>
      </c>
      <c r="C87" s="26">
        <v>30</v>
      </c>
      <c r="D87" s="19"/>
    </row>
    <row r="88" spans="1:4" x14ac:dyDescent="0.2">
      <c r="A88" s="16">
        <v>43677</v>
      </c>
      <c r="B88" s="25">
        <v>5.5E-2</v>
      </c>
      <c r="C88" s="26">
        <v>31</v>
      </c>
      <c r="D88" s="19"/>
    </row>
    <row r="89" spans="1:4" x14ac:dyDescent="0.2">
      <c r="A89" s="16">
        <v>43708</v>
      </c>
      <c r="B89" s="25">
        <f t="shared" si="1"/>
        <v>5.5E-2</v>
      </c>
      <c r="C89" s="26">
        <v>31</v>
      </c>
      <c r="D89" s="19"/>
    </row>
    <row r="90" spans="1:4" x14ac:dyDescent="0.2">
      <c r="A90" s="16">
        <v>43738</v>
      </c>
      <c r="B90" s="25">
        <f t="shared" si="1"/>
        <v>5.5E-2</v>
      </c>
      <c r="C90" s="26">
        <v>30</v>
      </c>
      <c r="D90" s="19"/>
    </row>
    <row r="91" spans="1:4" x14ac:dyDescent="0.2">
      <c r="A91" s="16">
        <v>43769</v>
      </c>
      <c r="B91" s="25">
        <v>5.4199999999999998E-2</v>
      </c>
      <c r="C91" s="26">
        <v>31</v>
      </c>
      <c r="D91" s="19"/>
    </row>
    <row r="92" spans="1:4" x14ac:dyDescent="0.2">
      <c r="A92" s="16">
        <v>43799</v>
      </c>
      <c r="B92" s="25">
        <f t="shared" si="1"/>
        <v>5.4199999999999998E-2</v>
      </c>
      <c r="C92" s="26">
        <v>30</v>
      </c>
      <c r="D92" s="19"/>
    </row>
    <row r="93" spans="1:4" x14ac:dyDescent="0.2">
      <c r="A93" s="20">
        <v>43830</v>
      </c>
      <c r="B93" s="21">
        <f t="shared" si="1"/>
        <v>5.4199999999999998E-2</v>
      </c>
      <c r="C93" s="27">
        <v>31</v>
      </c>
      <c r="D93" s="23"/>
    </row>
    <row r="94" spans="1:4" x14ac:dyDescent="0.2">
      <c r="A94" s="16">
        <v>43861</v>
      </c>
      <c r="B94" s="17">
        <v>4.9599999999999998E-2</v>
      </c>
      <c r="C94" s="26">
        <v>31</v>
      </c>
      <c r="D94" s="15" t="s">
        <v>32</v>
      </c>
    </row>
    <row r="95" spans="1:4" x14ac:dyDescent="0.2">
      <c r="A95" s="16">
        <v>43890</v>
      </c>
      <c r="B95" s="17">
        <f>B94</f>
        <v>4.9599999999999998E-2</v>
      </c>
      <c r="C95" s="299">
        <v>29</v>
      </c>
      <c r="D95" s="19"/>
    </row>
    <row r="96" spans="1:4" x14ac:dyDescent="0.2">
      <c r="A96" s="16">
        <v>43921</v>
      </c>
      <c r="B96" s="17">
        <f>B95</f>
        <v>4.9599999999999998E-2</v>
      </c>
      <c r="C96" s="26">
        <v>31</v>
      </c>
      <c r="D96" s="19"/>
    </row>
    <row r="97" spans="1:4" x14ac:dyDescent="0.2">
      <c r="A97" s="16">
        <v>43951</v>
      </c>
      <c r="B97" s="17">
        <v>4.7500000000000001E-2</v>
      </c>
      <c r="C97" s="26">
        <v>30</v>
      </c>
      <c r="D97" s="19"/>
    </row>
    <row r="98" spans="1:4" x14ac:dyDescent="0.2">
      <c r="A98" s="16">
        <v>43982</v>
      </c>
      <c r="B98" s="17">
        <f t="shared" ref="B98:B117" si="2">B97</f>
        <v>4.7500000000000001E-2</v>
      </c>
      <c r="C98" s="26">
        <v>31</v>
      </c>
      <c r="D98" s="19"/>
    </row>
    <row r="99" spans="1:4" x14ac:dyDescent="0.2">
      <c r="A99" s="16">
        <v>44012</v>
      </c>
      <c r="B99" s="17">
        <f t="shared" si="2"/>
        <v>4.7500000000000001E-2</v>
      </c>
      <c r="C99" s="26">
        <v>30</v>
      </c>
      <c r="D99" s="19"/>
    </row>
    <row r="100" spans="1:4" x14ac:dyDescent="0.2">
      <c r="A100" s="16">
        <v>44043</v>
      </c>
      <c r="B100" s="17">
        <v>3.4299999999999997E-2</v>
      </c>
      <c r="C100" s="26">
        <v>31</v>
      </c>
      <c r="D100" s="19"/>
    </row>
    <row r="101" spans="1:4" x14ac:dyDescent="0.2">
      <c r="A101" s="16">
        <v>44074</v>
      </c>
      <c r="B101" s="17">
        <f t="shared" si="2"/>
        <v>3.4299999999999997E-2</v>
      </c>
      <c r="C101" s="26">
        <v>31</v>
      </c>
      <c r="D101" s="19"/>
    </row>
    <row r="102" spans="1:4" x14ac:dyDescent="0.2">
      <c r="A102" s="16">
        <v>44104</v>
      </c>
      <c r="B102" s="17">
        <f t="shared" si="2"/>
        <v>3.4299999999999997E-2</v>
      </c>
      <c r="C102" s="26">
        <v>30</v>
      </c>
      <c r="D102" s="19"/>
    </row>
    <row r="103" spans="1:4" x14ac:dyDescent="0.2">
      <c r="A103" s="16">
        <v>44135</v>
      </c>
      <c r="B103" s="17">
        <v>3.2500000000000001E-2</v>
      </c>
      <c r="C103" s="26">
        <v>31</v>
      </c>
      <c r="D103" s="19"/>
    </row>
    <row r="104" spans="1:4" x14ac:dyDescent="0.2">
      <c r="A104" s="16">
        <v>44165</v>
      </c>
      <c r="B104" s="25">
        <f t="shared" si="2"/>
        <v>3.2500000000000001E-2</v>
      </c>
      <c r="C104" s="26">
        <v>30</v>
      </c>
      <c r="D104" s="19"/>
    </row>
    <row r="105" spans="1:4" x14ac:dyDescent="0.2">
      <c r="A105" s="20">
        <v>44196</v>
      </c>
      <c r="B105" s="21">
        <f t="shared" si="2"/>
        <v>3.2500000000000001E-2</v>
      </c>
      <c r="C105" s="27">
        <v>31</v>
      </c>
      <c r="D105" s="23"/>
    </row>
    <row r="106" spans="1:4" x14ac:dyDescent="0.2">
      <c r="A106" s="16">
        <v>44227</v>
      </c>
      <c r="B106" s="17">
        <f t="shared" si="2"/>
        <v>3.2500000000000001E-2</v>
      </c>
      <c r="C106" s="26">
        <v>31</v>
      </c>
      <c r="D106" s="15" t="s">
        <v>33</v>
      </c>
    </row>
    <row r="107" spans="1:4" x14ac:dyDescent="0.2">
      <c r="A107" s="16">
        <v>44255</v>
      </c>
      <c r="B107" s="17">
        <f t="shared" si="2"/>
        <v>3.2500000000000001E-2</v>
      </c>
      <c r="C107" s="26">
        <v>28</v>
      </c>
      <c r="D107" s="19"/>
    </row>
    <row r="108" spans="1:4" x14ac:dyDescent="0.2">
      <c r="A108" s="28">
        <v>44286</v>
      </c>
      <c r="B108" s="17">
        <f t="shared" si="2"/>
        <v>3.2500000000000001E-2</v>
      </c>
      <c r="C108" s="26">
        <v>31</v>
      </c>
      <c r="D108" s="19"/>
    </row>
    <row r="109" spans="1:4" x14ac:dyDescent="0.2">
      <c r="A109" s="28">
        <v>44316</v>
      </c>
      <c r="B109" s="17">
        <f t="shared" si="2"/>
        <v>3.2500000000000001E-2</v>
      </c>
      <c r="C109" s="26">
        <v>30</v>
      </c>
      <c r="D109" s="19"/>
    </row>
    <row r="110" spans="1:4" x14ac:dyDescent="0.2">
      <c r="A110" s="28">
        <v>44347</v>
      </c>
      <c r="B110" s="17">
        <f t="shared" si="2"/>
        <v>3.2500000000000001E-2</v>
      </c>
      <c r="C110" s="26">
        <v>31</v>
      </c>
      <c r="D110" s="19"/>
    </row>
    <row r="111" spans="1:4" x14ac:dyDescent="0.2">
      <c r="A111" s="28">
        <v>44377</v>
      </c>
      <c r="B111" s="17">
        <f t="shared" si="2"/>
        <v>3.2500000000000001E-2</v>
      </c>
      <c r="C111" s="26">
        <v>30</v>
      </c>
      <c r="D111" s="19"/>
    </row>
    <row r="112" spans="1:4" x14ac:dyDescent="0.2">
      <c r="A112" s="28">
        <v>44408</v>
      </c>
      <c r="B112" s="17">
        <f t="shared" si="2"/>
        <v>3.2500000000000001E-2</v>
      </c>
      <c r="C112" s="26">
        <v>31</v>
      </c>
      <c r="D112" s="19"/>
    </row>
    <row r="113" spans="1:4" x14ac:dyDescent="0.2">
      <c r="A113" s="28">
        <v>44439</v>
      </c>
      <c r="B113" s="17">
        <f t="shared" si="2"/>
        <v>3.2500000000000001E-2</v>
      </c>
      <c r="C113" s="26">
        <v>31</v>
      </c>
      <c r="D113" s="19"/>
    </row>
    <row r="114" spans="1:4" x14ac:dyDescent="0.2">
      <c r="A114" s="28">
        <v>44469</v>
      </c>
      <c r="B114" s="17">
        <f t="shared" si="2"/>
        <v>3.2500000000000001E-2</v>
      </c>
      <c r="C114" s="26">
        <v>30</v>
      </c>
      <c r="D114" s="19"/>
    </row>
    <row r="115" spans="1:4" x14ac:dyDescent="0.2">
      <c r="A115" s="28">
        <v>44500</v>
      </c>
      <c r="B115" s="17">
        <f t="shared" si="2"/>
        <v>3.2500000000000001E-2</v>
      </c>
      <c r="C115" s="26">
        <v>31</v>
      </c>
      <c r="D115" s="19"/>
    </row>
    <row r="116" spans="1:4" x14ac:dyDescent="0.2">
      <c r="A116" s="16">
        <v>44530</v>
      </c>
      <c r="B116" s="17">
        <f t="shared" si="2"/>
        <v>3.2500000000000001E-2</v>
      </c>
      <c r="C116" s="26">
        <v>30</v>
      </c>
      <c r="D116" s="19"/>
    </row>
    <row r="117" spans="1:4" x14ac:dyDescent="0.2">
      <c r="A117" s="20">
        <v>44561</v>
      </c>
      <c r="B117" s="21">
        <f t="shared" si="2"/>
        <v>3.2500000000000001E-2</v>
      </c>
      <c r="C117" s="27">
        <v>31</v>
      </c>
      <c r="D117" s="23"/>
    </row>
  </sheetData>
  <mergeCells count="9">
    <mergeCell ref="D82:D93"/>
    <mergeCell ref="D94:D105"/>
    <mergeCell ref="D106:D117"/>
    <mergeCell ref="D10:D21"/>
    <mergeCell ref="D22:D33"/>
    <mergeCell ref="D34:D45"/>
    <mergeCell ref="D46:D57"/>
    <mergeCell ref="D58:D69"/>
    <mergeCell ref="D70:D81"/>
  </mergeCells>
  <hyperlinks>
    <hyperlink ref="A7" r:id="rId1" xr:uid="{09E8E9EB-F968-4422-85FB-C9B3DBB4F698}"/>
  </hyperlinks>
  <printOptions gridLinesSet="0"/>
  <pageMargins left="0.5" right="0.25" top="0.5" bottom="0.25" header="0.5" footer="0.5"/>
  <pageSetup scale="49" fitToHeight="0" orientation="portrait" horizontalDpi="4294967292" verticalDpi="4294967292" r:id="rId2"/>
  <headerFooter alignWithMargins="0">
    <oddFooter>&amp;L&amp;B&amp;"Calibri(Body)"&amp;10 Cascade Natural Gas Corporation&amp;C&amp;B&amp;"Calibri(Body)"&amp;10 Page &amp;P of &amp;N&amp;R&amp;B&amp;"Calibri(Body)"&amp;10 Washington Deferral Accounts</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8E753-2E27-469A-975F-CFE7BC68B647}">
  <sheetPr>
    <tabColor theme="9" tint="0.79998168889431442"/>
  </sheetPr>
  <dimension ref="A1:S101"/>
  <sheetViews>
    <sheetView showGridLines="0" tabSelected="1" view="pageBreakPreview" zoomScaleNormal="60" zoomScaleSheetLayoutView="100" workbookViewId="0">
      <pane xSplit="1" ySplit="4" topLeftCell="B5" activePane="bottomRight" state="frozen"/>
      <selection activeCell="N106" sqref="N106"/>
      <selection pane="topRight" activeCell="N106" sqref="N106"/>
      <selection pane="bottomLeft" activeCell="N106" sqref="N106"/>
      <selection pane="bottomRight" activeCell="N106" sqref="N106"/>
    </sheetView>
  </sheetViews>
  <sheetFormatPr defaultColWidth="8.88671875" defaultRowHeight="12.75" x14ac:dyDescent="0.2"/>
  <cols>
    <col min="1" max="1" width="8.21875" style="2" bestFit="1" customWidth="1"/>
    <col min="2" max="2" width="11.77734375" style="61" bestFit="1" customWidth="1"/>
    <col min="3" max="3" width="12.21875" style="61" bestFit="1" customWidth="1"/>
    <col min="4" max="4" width="10.77734375" style="61" bestFit="1" customWidth="1"/>
    <col min="5" max="5" width="9.33203125" style="108" customWidth="1"/>
    <col min="6" max="6" width="8" style="61" bestFit="1" customWidth="1"/>
    <col min="7" max="7" width="8.44140625" style="61" customWidth="1"/>
    <col min="8" max="8" width="8.77734375" style="108" bestFit="1" customWidth="1"/>
    <col min="9" max="9" width="10.21875" style="108" customWidth="1"/>
    <col min="10" max="10" width="11.77734375" style="4" customWidth="1"/>
    <col min="11" max="11" width="10.6640625" style="108" customWidth="1"/>
    <col min="12" max="12" width="7.88671875" style="109" customWidth="1"/>
    <col min="13" max="13" width="10" style="4" bestFit="1" customWidth="1"/>
    <col min="14" max="14" width="9.77734375" style="108" bestFit="1" customWidth="1"/>
    <col min="15" max="15" width="9.77734375" style="108" customWidth="1"/>
    <col min="16" max="16" width="6.6640625" style="4" customWidth="1"/>
    <col min="17" max="18" width="9.33203125" style="2" customWidth="1"/>
    <col min="19" max="19" width="11.109375" style="2" customWidth="1"/>
    <col min="20" max="21" width="12.77734375" style="2" customWidth="1"/>
    <col min="22" max="16384" width="8.88671875" style="2"/>
  </cols>
  <sheetData>
    <row r="1" spans="1:18" ht="15.75" x14ac:dyDescent="0.25">
      <c r="A1" s="29" t="s">
        <v>34</v>
      </c>
      <c r="B1" s="30"/>
      <c r="C1" s="30"/>
      <c r="D1" s="30"/>
      <c r="E1" s="30"/>
      <c r="F1" s="30"/>
      <c r="G1" s="30"/>
      <c r="H1" s="30"/>
      <c r="I1" s="30"/>
      <c r="J1" s="30"/>
      <c r="K1" s="30"/>
      <c r="L1" s="30"/>
      <c r="M1" s="30"/>
      <c r="N1" s="30"/>
      <c r="O1" s="30"/>
      <c r="P1" s="30"/>
      <c r="Q1" s="30"/>
      <c r="R1" s="31"/>
    </row>
    <row r="2" spans="1:18" ht="15.75" x14ac:dyDescent="0.25">
      <c r="A2" s="32" t="s">
        <v>35</v>
      </c>
      <c r="B2" s="33"/>
      <c r="C2" s="33"/>
      <c r="D2" s="33"/>
      <c r="E2" s="33"/>
      <c r="F2" s="33"/>
      <c r="G2" s="33"/>
      <c r="H2" s="33"/>
      <c r="I2" s="33"/>
      <c r="J2" s="34"/>
      <c r="K2" s="33"/>
      <c r="L2" s="33"/>
      <c r="M2" s="33"/>
      <c r="N2" s="33"/>
      <c r="O2" s="34"/>
      <c r="P2" s="34"/>
      <c r="Q2" s="33"/>
      <c r="R2" s="35"/>
    </row>
    <row r="3" spans="1:18" s="49" customFormat="1" ht="26.45" customHeight="1" x14ac:dyDescent="0.2">
      <c r="A3" s="36" t="s">
        <v>36</v>
      </c>
      <c r="B3" s="37" t="s">
        <v>37</v>
      </c>
      <c r="C3" s="38"/>
      <c r="D3" s="38"/>
      <c r="E3" s="38"/>
      <c r="F3" s="39" t="s">
        <v>38</v>
      </c>
      <c r="G3" s="40"/>
      <c r="H3" s="41"/>
      <c r="I3" s="42" t="s">
        <v>39</v>
      </c>
      <c r="J3" s="43" t="s">
        <v>40</v>
      </c>
      <c r="K3" s="44" t="s">
        <v>41</v>
      </c>
      <c r="L3" s="45" t="s">
        <v>42</v>
      </c>
      <c r="M3" s="46"/>
      <c r="N3" s="46"/>
      <c r="O3" s="47" t="s">
        <v>43</v>
      </c>
      <c r="P3" s="43" t="s">
        <v>44</v>
      </c>
      <c r="Q3" s="48" t="s">
        <v>45</v>
      </c>
      <c r="R3" s="48"/>
    </row>
    <row r="4" spans="1:18" s="59" customFormat="1" ht="60" customHeight="1" x14ac:dyDescent="0.2">
      <c r="A4" s="50"/>
      <c r="B4" s="51" t="s">
        <v>1</v>
      </c>
      <c r="C4" s="51" t="s">
        <v>4</v>
      </c>
      <c r="D4" s="51" t="s">
        <v>5</v>
      </c>
      <c r="E4" s="52" t="s">
        <v>46</v>
      </c>
      <c r="F4" s="53" t="s">
        <v>47</v>
      </c>
      <c r="G4" s="51" t="s">
        <v>48</v>
      </c>
      <c r="H4" s="52" t="s">
        <v>49</v>
      </c>
      <c r="I4" s="54"/>
      <c r="J4" s="43"/>
      <c r="K4" s="55"/>
      <c r="L4" s="52" t="s">
        <v>50</v>
      </c>
      <c r="M4" s="56" t="s">
        <v>51</v>
      </c>
      <c r="N4" s="52" t="s">
        <v>52</v>
      </c>
      <c r="O4" s="47"/>
      <c r="P4" s="43"/>
      <c r="Q4" s="57" t="s">
        <v>53</v>
      </c>
      <c r="R4" s="58" t="s">
        <v>54</v>
      </c>
    </row>
    <row r="5" spans="1:18" hidden="1" x14ac:dyDescent="0.2">
      <c r="A5" s="60">
        <f>'FERC Interest Rates'!A20</f>
        <v>41608</v>
      </c>
      <c r="B5" s="61">
        <v>8981544</v>
      </c>
      <c r="C5" s="61">
        <v>6245512</v>
      </c>
      <c r="D5" s="61">
        <v>1246219</v>
      </c>
      <c r="E5" s="62">
        <f t="shared" ref="E5:E28" si="0">SUM(B5:D5)</f>
        <v>16473275</v>
      </c>
      <c r="F5" s="63">
        <f>-3562+4052+1032</f>
        <v>1522</v>
      </c>
      <c r="G5" s="61">
        <f>-391811+391811+473546</f>
        <v>473546</v>
      </c>
      <c r="H5" s="62">
        <f t="shared" ref="H5:H18" si="1">SUM(F5:G5)</f>
        <v>475068</v>
      </c>
      <c r="I5" s="64">
        <f t="shared" ref="I5:I68" si="2">E5+H5</f>
        <v>16948343</v>
      </c>
      <c r="J5" s="61">
        <f>-42876225-32657013+42877182+32657503+39204659+27378417</f>
        <v>66584523</v>
      </c>
      <c r="K5" s="65">
        <f t="shared" ref="K5" si="3">I5+J5</f>
        <v>83532866</v>
      </c>
      <c r="L5" s="66" t="s">
        <v>55</v>
      </c>
      <c r="M5" s="67">
        <f>6694156+496393+160011+2427804+415916+1440127+893391+560544+1022722+273455-(6694156+496393+160011+2427804+415916+1440127+893391+560544+1022722+273455)+6877899+554962+2079912+3071618+306266+1422327+784739+529710+1054644+278549</f>
        <v>16960626</v>
      </c>
      <c r="N5" s="62">
        <f t="shared" ref="N5:N36" si="4">J5-M5</f>
        <v>49623897</v>
      </c>
      <c r="O5" s="62">
        <f t="shared" ref="O5:O68" si="5">K5-M5</f>
        <v>66572240</v>
      </c>
      <c r="P5" s="61">
        <f>-496393+496393+554962</f>
        <v>554962</v>
      </c>
      <c r="R5" s="68"/>
    </row>
    <row r="6" spans="1:18" hidden="1" x14ac:dyDescent="0.2">
      <c r="A6" s="60">
        <f>'FERC Interest Rates'!A21</f>
        <v>41639</v>
      </c>
      <c r="B6" s="61">
        <v>18320588</v>
      </c>
      <c r="C6" s="61">
        <v>11226493</v>
      </c>
      <c r="D6" s="61">
        <v>3079194</v>
      </c>
      <c r="E6" s="62">
        <f t="shared" si="0"/>
        <v>32626275</v>
      </c>
      <c r="F6" s="63">
        <f>-1032+1032+9420</f>
        <v>9420</v>
      </c>
      <c r="G6" s="61">
        <f>-473546+473546+594027</f>
        <v>594027</v>
      </c>
      <c r="H6" s="62">
        <f t="shared" si="1"/>
        <v>603447</v>
      </c>
      <c r="I6" s="64">
        <f t="shared" si="2"/>
        <v>33229722</v>
      </c>
      <c r="J6" s="61">
        <f>-39204659-27378417+39042548+27378417+42249626+40077801</f>
        <v>82165316</v>
      </c>
      <c r="K6" s="65">
        <f>I6+J6</f>
        <v>115395038</v>
      </c>
      <c r="L6" s="66" t="s">
        <v>55</v>
      </c>
      <c r="M6" s="67">
        <f>6877899+554962+2079912+2904516+306266+1422327+784739+529710+1054644+278549-(6877899+554962+2079912+3071618+306266+1422327+784739+529710+1054644+278549)+7483576+646377+5363751+3070454+401145+2035761+871026+432080+1151260+295911</f>
        <v>21584239</v>
      </c>
      <c r="N6" s="62">
        <f t="shared" si="4"/>
        <v>60581077</v>
      </c>
      <c r="O6" s="62">
        <f t="shared" si="5"/>
        <v>93810799</v>
      </c>
      <c r="P6" s="61">
        <f>-554962+554962+646377</f>
        <v>646377</v>
      </c>
      <c r="R6" s="68"/>
    </row>
    <row r="7" spans="1:18" hidden="1" x14ac:dyDescent="0.2">
      <c r="A7" s="60">
        <f>'FERC Interest Rates'!A22</f>
        <v>41670</v>
      </c>
      <c r="B7" s="61">
        <v>20899551</v>
      </c>
      <c r="C7" s="61">
        <v>15807954</v>
      </c>
      <c r="D7" s="61">
        <v>1390372</v>
      </c>
      <c r="E7" s="62">
        <f t="shared" si="0"/>
        <v>38097877</v>
      </c>
      <c r="F7" s="63">
        <f>-9420+9420+8828</f>
        <v>8828</v>
      </c>
      <c r="G7" s="61">
        <f>-594027+594027+549498</f>
        <v>549498</v>
      </c>
      <c r="H7" s="62">
        <f t="shared" si="1"/>
        <v>558326</v>
      </c>
      <c r="I7" s="64">
        <f t="shared" si="2"/>
        <v>38656203</v>
      </c>
      <c r="J7" s="61">
        <f>-42249626-40077801+42261388+40077801+43482656+31005941</f>
        <v>74500359</v>
      </c>
      <c r="K7" s="65">
        <f t="shared" ref="K7:K36" si="6">I7+J7</f>
        <v>113156562</v>
      </c>
      <c r="L7" s="66" t="s">
        <v>55</v>
      </c>
      <c r="M7" s="67">
        <f>7483576+650345+5363751+3070454+401145+2035761+871026+432080+1151260+295911-(7483576+646377+5363751+3070454+401145+2035761+871026+432080+1151260+295911)+7924631+591555+530261+2952608+274556+1903119+968198+560606+1168015+296681</f>
        <v>17174198</v>
      </c>
      <c r="N7" s="62">
        <f t="shared" si="4"/>
        <v>57326161</v>
      </c>
      <c r="O7" s="62">
        <f t="shared" si="5"/>
        <v>95982364</v>
      </c>
      <c r="P7" s="61">
        <f>-646377+650345+591555</f>
        <v>595523</v>
      </c>
      <c r="R7" s="68"/>
    </row>
    <row r="8" spans="1:18" hidden="1" x14ac:dyDescent="0.2">
      <c r="A8" s="60">
        <f>'FERC Interest Rates'!A23</f>
        <v>41698</v>
      </c>
      <c r="B8" s="61">
        <v>18728366</v>
      </c>
      <c r="C8" s="61">
        <v>13972473</v>
      </c>
      <c r="D8" s="61">
        <v>1430555</v>
      </c>
      <c r="E8" s="62">
        <f t="shared" si="0"/>
        <v>34131394</v>
      </c>
      <c r="F8" s="63">
        <f>-8828+8828+14228</f>
        <v>14228</v>
      </c>
      <c r="G8" s="61">
        <f>-549498+549498+509515</f>
        <v>509515</v>
      </c>
      <c r="H8" s="62">
        <f t="shared" si="1"/>
        <v>523743</v>
      </c>
      <c r="I8" s="64">
        <f t="shared" si="2"/>
        <v>34655137</v>
      </c>
      <c r="J8" s="61">
        <f>-43482656-31005941+43519263+31240262+37914010+26420186</f>
        <v>64605124</v>
      </c>
      <c r="K8" s="65">
        <f t="shared" si="6"/>
        <v>99260261</v>
      </c>
      <c r="L8" s="66" t="s">
        <v>55</v>
      </c>
      <c r="M8" s="67">
        <f>7924631+591555+764582+2952608+274556+1903119+968198+560606+1168015+296681-(7924631+591555+530261+2952608+274556+1903119+968198+560606+1168015+296681)+7052079+530616+2340924+3093441+320341+1568449+697252+430841+1002529+285932</f>
        <v>17556725</v>
      </c>
      <c r="N8" s="62">
        <f t="shared" si="4"/>
        <v>47048399</v>
      </c>
      <c r="O8" s="62">
        <f t="shared" si="5"/>
        <v>81703536</v>
      </c>
      <c r="P8" s="61">
        <f>-591555+591555+530616</f>
        <v>530616</v>
      </c>
      <c r="R8" s="68"/>
    </row>
    <row r="9" spans="1:18" hidden="1" x14ac:dyDescent="0.2">
      <c r="A9" s="60">
        <f>'FERC Interest Rates'!A24</f>
        <v>41729</v>
      </c>
      <c r="B9" s="61">
        <v>16273150</v>
      </c>
      <c r="C9" s="61">
        <v>12143699</v>
      </c>
      <c r="D9" s="61">
        <v>1316970</v>
      </c>
      <c r="E9" s="62">
        <f t="shared" si="0"/>
        <v>29733819</v>
      </c>
      <c r="F9" s="63">
        <f>-14228+14228+13441</f>
        <v>13441</v>
      </c>
      <c r="G9" s="61">
        <f>-509515+509515+447136</f>
        <v>447136</v>
      </c>
      <c r="H9" s="62">
        <f t="shared" si="1"/>
        <v>460577</v>
      </c>
      <c r="I9" s="64">
        <f t="shared" si="2"/>
        <v>30194396</v>
      </c>
      <c r="J9" s="61">
        <f>-37914010-26420186+37923911+26420186+38417588+12622035</f>
        <v>51049524</v>
      </c>
      <c r="K9" s="65">
        <f t="shared" si="6"/>
        <v>81243920</v>
      </c>
      <c r="L9" s="66" t="s">
        <v>55</v>
      </c>
      <c r="M9" s="67">
        <f>7052079+530616+2340924+3093441+320341+1568449+697252+430841+1002529+285932-(7052079+530616+2340924+3093441+320341+1568449+697252+430841+1002529+285932)+10350347+506888+358742+3325061+664366+1689724+886841+442692+1067268+298497</f>
        <v>19590426</v>
      </c>
      <c r="N9" s="62">
        <f t="shared" si="4"/>
        <v>31459098</v>
      </c>
      <c r="O9" s="62">
        <f t="shared" si="5"/>
        <v>61653494</v>
      </c>
      <c r="P9" s="61">
        <f>-530616+530616+506888</f>
        <v>506888</v>
      </c>
      <c r="R9" s="68"/>
    </row>
    <row r="10" spans="1:18" hidden="1" x14ac:dyDescent="0.2">
      <c r="A10" s="60">
        <f>'FERC Interest Rates'!A25</f>
        <v>41759</v>
      </c>
      <c r="B10" s="61">
        <v>10535035</v>
      </c>
      <c r="C10" s="61">
        <v>6890795</v>
      </c>
      <c r="D10" s="61">
        <v>1792618</v>
      </c>
      <c r="E10" s="62">
        <f t="shared" si="0"/>
        <v>19218448</v>
      </c>
      <c r="F10" s="63">
        <f>-13441+13441+13712</f>
        <v>13712</v>
      </c>
      <c r="G10" s="61">
        <f>-447136+447136+369197</f>
        <v>369197</v>
      </c>
      <c r="H10" s="62">
        <f t="shared" si="1"/>
        <v>382909</v>
      </c>
      <c r="I10" s="64">
        <f t="shared" si="2"/>
        <v>19601357</v>
      </c>
      <c r="J10" s="61">
        <f>-38417588-12622035+38424653+12622035+35791910-1689724+12474229</f>
        <v>46583480</v>
      </c>
      <c r="K10" s="65">
        <f t="shared" si="6"/>
        <v>66184837</v>
      </c>
      <c r="L10" s="66" t="s">
        <v>55</v>
      </c>
      <c r="M10" s="67">
        <f>10350347+499489+358742+3325061+664366+1698951+886841+442692+1067268+298497-(10350347+506888+358742+3325061+664366+1689724+886841+442692+1067268+298497)+9796313+429432+80912+2379064+880319+1657442+751000+321536+1050993+291110</f>
        <v>17639949</v>
      </c>
      <c r="N10" s="62">
        <f t="shared" si="4"/>
        <v>28943531</v>
      </c>
      <c r="O10" s="62">
        <f t="shared" si="5"/>
        <v>48544888</v>
      </c>
      <c r="P10" s="61">
        <f>-506888+499489+429432</f>
        <v>422033</v>
      </c>
      <c r="R10" s="68"/>
    </row>
    <row r="11" spans="1:18" hidden="1" x14ac:dyDescent="0.2">
      <c r="A11" s="60">
        <f>'FERC Interest Rates'!A26</f>
        <v>41790</v>
      </c>
      <c r="B11" s="61">
        <v>6529687</v>
      </c>
      <c r="C11" s="61">
        <v>5039544</v>
      </c>
      <c r="D11" s="61">
        <v>730395</v>
      </c>
      <c r="E11" s="62">
        <f t="shared" si="0"/>
        <v>12299626</v>
      </c>
      <c r="F11" s="63">
        <f>-13712+13712+7236</f>
        <v>7236</v>
      </c>
      <c r="G11" s="61">
        <f>-369197+369197+280289</f>
        <v>280289</v>
      </c>
      <c r="H11" s="62">
        <f t="shared" si="1"/>
        <v>287525</v>
      </c>
      <c r="I11" s="64">
        <f t="shared" si="2"/>
        <v>12587151</v>
      </c>
      <c r="J11" s="61">
        <f>-35791910+1689724-12474229+34110077+12473803+33859025+11641045</f>
        <v>45507535</v>
      </c>
      <c r="K11" s="65">
        <f t="shared" si="6"/>
        <v>58094686</v>
      </c>
      <c r="L11" s="66" t="s">
        <v>55</v>
      </c>
      <c r="M11" s="67">
        <f>9796313+429432+80912+2379064+880319+1657442+751000+321536+1050993+291110-(9796313+429432+80912+2379064+880319+1657442+751000+321536+1050993+291110)+6382262+410029+544843+2415879+816156+1521158+508591+363130+1076119+289404</f>
        <v>14327571</v>
      </c>
      <c r="N11" s="62">
        <f t="shared" si="4"/>
        <v>31179964</v>
      </c>
      <c r="O11" s="62">
        <f t="shared" si="5"/>
        <v>43767115</v>
      </c>
      <c r="P11" s="61">
        <f>-429432+429432+410029</f>
        <v>410029</v>
      </c>
      <c r="R11" s="68"/>
    </row>
    <row r="12" spans="1:18" hidden="1" x14ac:dyDescent="0.2">
      <c r="A12" s="60">
        <f>'FERC Interest Rates'!A27</f>
        <v>41820</v>
      </c>
      <c r="B12" s="61">
        <v>3836089</v>
      </c>
      <c r="C12" s="61">
        <v>3473639</v>
      </c>
      <c r="D12" s="61">
        <v>585889</v>
      </c>
      <c r="E12" s="62">
        <f t="shared" si="0"/>
        <v>7895617</v>
      </c>
      <c r="F12" s="63">
        <f>-7236+7236+12495</f>
        <v>12495</v>
      </c>
      <c r="G12" s="61">
        <f>-280289+280289+236982</f>
        <v>236982</v>
      </c>
      <c r="H12" s="62">
        <f t="shared" si="1"/>
        <v>249477</v>
      </c>
      <c r="I12" s="64">
        <f t="shared" si="2"/>
        <v>8145094</v>
      </c>
      <c r="J12" s="61">
        <f>-33859025-11641045+33861261+11641045+33441588+9166991</f>
        <v>42610815</v>
      </c>
      <c r="K12" s="65">
        <f t="shared" si="6"/>
        <v>50755909</v>
      </c>
      <c r="L12" s="66" t="s">
        <v>55</v>
      </c>
      <c r="M12" s="67">
        <f>6382262+410029+544843+2415879+816156+1521158+508591+363130+1076119+289404-(6382262+410029+544843+2415879+816156+1521158+508591+363130+1076119+289404)+5496890+368800+100442+2601535+574764+1429307+631237+325924+1072958+266055</f>
        <v>12867912</v>
      </c>
      <c r="N12" s="62">
        <f t="shared" si="4"/>
        <v>29742903</v>
      </c>
      <c r="O12" s="62">
        <f t="shared" si="5"/>
        <v>37887997</v>
      </c>
      <c r="P12" s="61">
        <f>-410029+410029+368800</f>
        <v>368800</v>
      </c>
      <c r="R12" s="68"/>
    </row>
    <row r="13" spans="1:18" hidden="1" x14ac:dyDescent="0.2">
      <c r="A13" s="60">
        <f>'FERC Interest Rates'!A28</f>
        <v>41851</v>
      </c>
      <c r="B13" s="61">
        <v>3200841</v>
      </c>
      <c r="C13" s="61">
        <v>3132555</v>
      </c>
      <c r="D13" s="61">
        <v>589225</v>
      </c>
      <c r="E13" s="62">
        <f t="shared" si="0"/>
        <v>6922621</v>
      </c>
      <c r="F13" s="63">
        <f>-12495+12495+9729</f>
        <v>9729</v>
      </c>
      <c r="G13" s="61">
        <f>-236982+236982+230095</f>
        <v>230095</v>
      </c>
      <c r="H13" s="62">
        <f t="shared" si="1"/>
        <v>239824</v>
      </c>
      <c r="I13" s="64">
        <f t="shared" si="2"/>
        <v>7162445</v>
      </c>
      <c r="J13" s="61">
        <f>-33441588-9166991+33447225+9166991+34241270+26302235</f>
        <v>60549142</v>
      </c>
      <c r="K13" s="65">
        <f t="shared" si="6"/>
        <v>67711587</v>
      </c>
      <c r="L13" s="66" t="s">
        <v>55</v>
      </c>
      <c r="M13" s="67">
        <f>5496890+371579+100442+2601535+574764+1429307+631237+325924+1072958+266055-(5496890+368800+100442+2601535+574764+1429307+631237+325924+1072958+266055)+6437743+362338+2115355+2428151+719594+1420571+430483+210238+1083197+270305</f>
        <v>15480754</v>
      </c>
      <c r="N13" s="62">
        <f t="shared" si="4"/>
        <v>45068388</v>
      </c>
      <c r="O13" s="62">
        <f t="shared" si="5"/>
        <v>52230833</v>
      </c>
      <c r="P13" s="61">
        <f>-368800+371579+362338</f>
        <v>365117</v>
      </c>
      <c r="R13" s="68"/>
    </row>
    <row r="14" spans="1:18" hidden="1" x14ac:dyDescent="0.2">
      <c r="A14" s="60">
        <f>'FERC Interest Rates'!A29</f>
        <v>41882</v>
      </c>
      <c r="B14" s="61">
        <v>2405032</v>
      </c>
      <c r="C14" s="61">
        <v>2624238</v>
      </c>
      <c r="D14" s="61">
        <v>469407</v>
      </c>
      <c r="E14" s="62">
        <f t="shared" si="0"/>
        <v>5498677</v>
      </c>
      <c r="F14" s="63">
        <f>-9729+9729+11012</f>
        <v>11012</v>
      </c>
      <c r="G14" s="61">
        <f>-230095+230095+209217</f>
        <v>209217</v>
      </c>
      <c r="H14" s="62">
        <f t="shared" si="1"/>
        <v>220229</v>
      </c>
      <c r="I14" s="64">
        <f t="shared" si="2"/>
        <v>5718906</v>
      </c>
      <c r="J14" s="61">
        <f>-34241270-26302235+34190840+26302235+35905732+41041046</f>
        <v>76896348</v>
      </c>
      <c r="K14" s="65">
        <f t="shared" si="6"/>
        <v>82615254</v>
      </c>
      <c r="L14" s="66" t="s">
        <v>55</v>
      </c>
      <c r="M14" s="67">
        <f>6437743+362338+2115355+2428151+719594+1420571+430483+210238+1083197+270305-(6437743+362338+2115355+2428151+719594+1420571+430483+210238+1083197+270305)+6468590+386762+5042350+2333053+500625+1378732+767133+428981+1079807+270265</f>
        <v>18656298</v>
      </c>
      <c r="N14" s="62">
        <f t="shared" si="4"/>
        <v>58240050</v>
      </c>
      <c r="O14" s="62">
        <f t="shared" si="5"/>
        <v>63958956</v>
      </c>
      <c r="P14" s="61">
        <f>-362338+362338+386762</f>
        <v>386762</v>
      </c>
      <c r="R14" s="68"/>
    </row>
    <row r="15" spans="1:18" hidden="1" x14ac:dyDescent="0.2">
      <c r="A15" s="60">
        <f>'FERC Interest Rates'!A30</f>
        <v>41912</v>
      </c>
      <c r="B15" s="61">
        <v>2661734</v>
      </c>
      <c r="C15" s="61">
        <v>2810250</v>
      </c>
      <c r="D15" s="61">
        <v>633602</v>
      </c>
      <c r="E15" s="62">
        <f t="shared" si="0"/>
        <v>6105586</v>
      </c>
      <c r="F15" s="63">
        <f>-11012+11012+12365</f>
        <v>12365</v>
      </c>
      <c r="G15" s="61">
        <f>-209217+209217+251364</f>
        <v>251364</v>
      </c>
      <c r="H15" s="62">
        <f t="shared" si="1"/>
        <v>263729</v>
      </c>
      <c r="I15" s="64">
        <f t="shared" si="2"/>
        <v>6369315</v>
      </c>
      <c r="J15" s="61">
        <f>-35905732-41041046+35905963+41041046+37015948+38913065</f>
        <v>75929244</v>
      </c>
      <c r="K15" s="65">
        <f t="shared" si="6"/>
        <v>82298559</v>
      </c>
      <c r="L15" s="66" t="s">
        <v>55</v>
      </c>
      <c r="M15" s="67">
        <f>6468590+386762+5042350+2333053+500625+1378732+767133+428981+1079807+270265-(6468590+386762+5042350+2333053+500625+1378732+767133+428981+1079807+270265)+6768259+397090+4746980+2796281+172941+1499626+782947+412733+1044404+257076</f>
        <v>18878337</v>
      </c>
      <c r="N15" s="62">
        <f t="shared" si="4"/>
        <v>57050907</v>
      </c>
      <c r="O15" s="62">
        <f t="shared" si="5"/>
        <v>63420222</v>
      </c>
      <c r="P15" s="61">
        <f>-386762+386762+397090</f>
        <v>397090</v>
      </c>
      <c r="R15" s="68"/>
    </row>
    <row r="16" spans="1:18" hidden="1" x14ac:dyDescent="0.2">
      <c r="A16" s="69">
        <f>'FERC Interest Rates'!A31</f>
        <v>41943</v>
      </c>
      <c r="B16" s="70">
        <v>3641361</v>
      </c>
      <c r="C16" s="70">
        <v>3597412</v>
      </c>
      <c r="D16" s="70">
        <v>1455055</v>
      </c>
      <c r="E16" s="71">
        <f t="shared" si="0"/>
        <v>8693828</v>
      </c>
      <c r="F16" s="63">
        <f>-12365+12365+12119</f>
        <v>12119</v>
      </c>
      <c r="G16" s="70">
        <f>-251364+251364+300915</f>
        <v>300915</v>
      </c>
      <c r="H16" s="71">
        <f t="shared" si="1"/>
        <v>313034</v>
      </c>
      <c r="I16" s="72">
        <f t="shared" si="2"/>
        <v>9006862</v>
      </c>
      <c r="J16" s="61">
        <f>-37015948-38913065+37019829+38913065+41711206+26835958</f>
        <v>68551045</v>
      </c>
      <c r="K16" s="73">
        <f t="shared" si="6"/>
        <v>77557907</v>
      </c>
      <c r="L16" s="74" t="s">
        <v>55</v>
      </c>
      <c r="M16" s="70">
        <f>6768259+400820+4746980+2796281+172941+1499626+782947+412733+1044404+257076-(6768259+397090+4746980+2796281+172941+1499626+782947+412733+1044404+257076)+7053573+428038+602341+2997600+38078+1574772+801305+400565+1128241+282568</f>
        <v>15310811</v>
      </c>
      <c r="N16" s="71">
        <f t="shared" si="4"/>
        <v>53240234</v>
      </c>
      <c r="O16" s="62">
        <f t="shared" si="5"/>
        <v>62247096</v>
      </c>
      <c r="P16" s="61">
        <f>-397090+400820+428038</f>
        <v>431768</v>
      </c>
      <c r="R16" s="68"/>
    </row>
    <row r="17" spans="1:18" hidden="1" x14ac:dyDescent="0.2">
      <c r="A17" s="60">
        <f>'FERC Interest Rates'!A32</f>
        <v>41973</v>
      </c>
      <c r="B17" s="61">
        <v>6851471</v>
      </c>
      <c r="C17" s="61">
        <v>4831845</v>
      </c>
      <c r="D17" s="61">
        <v>977303</v>
      </c>
      <c r="E17" s="62">
        <f t="shared" si="0"/>
        <v>12660619</v>
      </c>
      <c r="F17" s="63">
        <f>-12119+12119+11804</f>
        <v>11804</v>
      </c>
      <c r="G17" s="61">
        <f>-300915+300915+461069</f>
        <v>461069</v>
      </c>
      <c r="H17" s="62">
        <f t="shared" si="1"/>
        <v>472873</v>
      </c>
      <c r="I17" s="64">
        <f t="shared" si="2"/>
        <v>13133492</v>
      </c>
      <c r="J17" s="61">
        <f>-41711206-26835958+41710039+26835958+42244606+21309993</f>
        <v>63553432</v>
      </c>
      <c r="K17" s="65">
        <f t="shared" si="6"/>
        <v>76686924</v>
      </c>
      <c r="L17" s="66" t="s">
        <v>55</v>
      </c>
      <c r="M17" s="67">
        <f>7053573+428038+602341+2997600+38078+1574772+801305+400565+1128241+282568-(7053573+428038+602341+2997600+38078+1574772+801305+400565+1128241+282568)+7251568+535558+2317939+3141571+362918+1926299+824310+457802+1171801+290801</f>
        <v>18280567</v>
      </c>
      <c r="N17" s="62">
        <f t="shared" si="4"/>
        <v>45272865</v>
      </c>
      <c r="O17" s="62">
        <f t="shared" si="5"/>
        <v>58406357</v>
      </c>
      <c r="P17" s="61">
        <f>-428038+428038+535558</f>
        <v>535558</v>
      </c>
      <c r="Q17" s="75"/>
      <c r="R17" s="76"/>
    </row>
    <row r="18" spans="1:18" hidden="1" x14ac:dyDescent="0.2">
      <c r="A18" s="60">
        <f>'FERC Interest Rates'!A33</f>
        <v>42004</v>
      </c>
      <c r="B18" s="61">
        <v>16768304</v>
      </c>
      <c r="C18" s="61">
        <v>12223769</v>
      </c>
      <c r="D18" s="61">
        <v>1506794</v>
      </c>
      <c r="E18" s="62">
        <f t="shared" si="0"/>
        <v>30498867</v>
      </c>
      <c r="F18" s="63">
        <f>-11804+11804+11017</f>
        <v>11017</v>
      </c>
      <c r="G18" s="61">
        <f>-461069+461069+527921</f>
        <v>527921</v>
      </c>
      <c r="H18" s="62">
        <f t="shared" si="1"/>
        <v>538938</v>
      </c>
      <c r="I18" s="64">
        <f t="shared" si="2"/>
        <v>31037805</v>
      </c>
      <c r="J18" s="61">
        <f>-42244606-21309993+42268246+21245123+42259375+20530964</f>
        <v>62749109</v>
      </c>
      <c r="K18" s="65">
        <f t="shared" si="6"/>
        <v>93786914</v>
      </c>
      <c r="L18" s="66" t="s">
        <v>55</v>
      </c>
      <c r="M18" s="67">
        <f>7251568+535558+2317939+3141571+298048+1926299+824310+457802+1171801+290801-(7251568+535558+2317939+3141571+362918+1926299+824310+457802+1171801+290801)+7671976+596910+1235157+3610898+362819+2082095+831536+448199+1199625+297405</f>
        <v>18271750</v>
      </c>
      <c r="N18" s="62">
        <f t="shared" si="4"/>
        <v>44477359</v>
      </c>
      <c r="O18" s="62">
        <f t="shared" si="5"/>
        <v>75515164</v>
      </c>
      <c r="P18" s="61">
        <f>-535558+535558+596910</f>
        <v>596910</v>
      </c>
      <c r="R18" s="68"/>
    </row>
    <row r="19" spans="1:18" hidden="1" x14ac:dyDescent="0.2">
      <c r="A19" s="60">
        <f>'FERC Interest Rates'!A34</f>
        <v>42035</v>
      </c>
      <c r="B19" s="61">
        <v>17578866</v>
      </c>
      <c r="C19" s="61">
        <v>12961800</v>
      </c>
      <c r="D19" s="61">
        <v>1412476</v>
      </c>
      <c r="E19" s="62">
        <f t="shared" si="0"/>
        <v>31953142</v>
      </c>
      <c r="F19" s="63">
        <f>-11017+11017+12204</f>
        <v>12204</v>
      </c>
      <c r="G19" s="61">
        <f>-527921+527921+529386</f>
        <v>529386</v>
      </c>
      <c r="H19" s="62">
        <f t="shared" ref="H19:H28" si="7">SUM(F19:G19)</f>
        <v>541590</v>
      </c>
      <c r="I19" s="64">
        <f t="shared" si="2"/>
        <v>32494732</v>
      </c>
      <c r="J19" s="61">
        <f>-42259375-20530964+42269854+20530964+41276535+19117684</f>
        <v>60404698</v>
      </c>
      <c r="K19" s="65">
        <f t="shared" si="6"/>
        <v>92899430</v>
      </c>
      <c r="L19" s="66" t="s">
        <v>55</v>
      </c>
      <c r="M19" s="67">
        <f>7671976+601614+1235157+3610898+362819+2082095+831536+448199+1199625+297405-(7671976+596910+1235157+3610898+362819+2082095+831536+448199+1199625+297405)+7775240+628657+261306+2998359+565275+2128262+1002064+552389+1164723+315674</f>
        <v>17396653</v>
      </c>
      <c r="N19" s="62">
        <f t="shared" si="4"/>
        <v>43008045</v>
      </c>
      <c r="O19" s="62">
        <f t="shared" si="5"/>
        <v>75502777</v>
      </c>
      <c r="P19" s="61">
        <f>-596910+601614+628657</f>
        <v>633361</v>
      </c>
      <c r="R19" s="68"/>
    </row>
    <row r="20" spans="1:18" hidden="1" x14ac:dyDescent="0.2">
      <c r="A20" s="60">
        <f>'FERC Interest Rates'!A35</f>
        <v>42063</v>
      </c>
      <c r="B20" s="61">
        <v>14997100</v>
      </c>
      <c r="C20" s="61">
        <v>11518730</v>
      </c>
      <c r="D20" s="61">
        <v>1613976</v>
      </c>
      <c r="E20" s="62">
        <f t="shared" si="0"/>
        <v>28129806</v>
      </c>
      <c r="F20" s="63">
        <v>14542</v>
      </c>
      <c r="G20" s="61">
        <f>-529386+529366+405270</f>
        <v>405250</v>
      </c>
      <c r="H20" s="62">
        <f t="shared" si="7"/>
        <v>419792</v>
      </c>
      <c r="I20" s="64">
        <f t="shared" si="2"/>
        <v>28549598</v>
      </c>
      <c r="J20" s="61">
        <f>-41276535-19117684+41280723+19117539+34347690+12512992</f>
        <v>46864725</v>
      </c>
      <c r="K20" s="65">
        <f t="shared" si="6"/>
        <v>75414323</v>
      </c>
      <c r="L20" s="66" t="s">
        <v>55</v>
      </c>
      <c r="M20" s="67">
        <f>7775240+628657+261306+2998359+565275+2128262+1002064+552389+1164723+315674-(7775240+628657+261306+2998359+565275+2128262+1002064+552389+1164723+315674)+5552771+509140+113871+2075909+864722+1967544+801800+470618+1096799+284521</f>
        <v>13737695</v>
      </c>
      <c r="N20" s="62">
        <f t="shared" si="4"/>
        <v>33127030</v>
      </c>
      <c r="O20" s="62">
        <f t="shared" si="5"/>
        <v>61676628</v>
      </c>
      <c r="P20" s="61">
        <f>-628657+628657+509140</f>
        <v>509140</v>
      </c>
      <c r="R20" s="68"/>
    </row>
    <row r="21" spans="1:18" hidden="1" x14ac:dyDescent="0.2">
      <c r="A21" s="60">
        <f>'FERC Interest Rates'!A36</f>
        <v>42094</v>
      </c>
      <c r="B21" s="61">
        <v>12686420</v>
      </c>
      <c r="C21" s="61">
        <v>9397664</v>
      </c>
      <c r="D21" s="61">
        <v>1284186</v>
      </c>
      <c r="E21" s="62">
        <f t="shared" si="0"/>
        <v>23368270</v>
      </c>
      <c r="F21" s="63">
        <f>-14542+14415+9557</f>
        <v>9430</v>
      </c>
      <c r="G21" s="61">
        <f>-405270+405270+394245</f>
        <v>394245</v>
      </c>
      <c r="H21" s="62">
        <f t="shared" si="7"/>
        <v>403675</v>
      </c>
      <c r="I21" s="64">
        <f t="shared" si="2"/>
        <v>23771945</v>
      </c>
      <c r="J21" s="61">
        <f>-34347690-12512992+34352010+12512992+38005282+20640594</f>
        <v>58650196</v>
      </c>
      <c r="K21" s="65">
        <f t="shared" si="6"/>
        <v>82422141</v>
      </c>
      <c r="L21" s="66" t="s">
        <v>55</v>
      </c>
      <c r="M21" s="67">
        <f>5552771+509140+113871+2075909+864722+1967544+801800+470618+1096799+284521-(5552771+509140+113871+2075909+864722+1967544+801800+470618+1096799+284521)+7235152+531599+201239+2265435+683468+2369837+650095+383330+1085376+314698</f>
        <v>15720229</v>
      </c>
      <c r="N21" s="62">
        <f t="shared" si="4"/>
        <v>42929967</v>
      </c>
      <c r="O21" s="62">
        <f t="shared" si="5"/>
        <v>66701912</v>
      </c>
      <c r="P21" s="61">
        <f>-509140+509140+531599</f>
        <v>531599</v>
      </c>
      <c r="R21" s="68"/>
    </row>
    <row r="22" spans="1:18" hidden="1" x14ac:dyDescent="0.2">
      <c r="A22" s="60">
        <f>'FERC Interest Rates'!A37</f>
        <v>42124</v>
      </c>
      <c r="B22" s="61">
        <v>9059678</v>
      </c>
      <c r="C22" s="61">
        <v>6918371</v>
      </c>
      <c r="D22" s="61">
        <v>935256</v>
      </c>
      <c r="E22" s="62">
        <f t="shared" si="0"/>
        <v>16913305</v>
      </c>
      <c r="F22" s="63">
        <f>-9557+9254+12199</f>
        <v>11896</v>
      </c>
      <c r="G22" s="61">
        <f>-394245+394245+361119</f>
        <v>361119</v>
      </c>
      <c r="H22" s="62">
        <f t="shared" si="7"/>
        <v>373015</v>
      </c>
      <c r="I22" s="64">
        <f t="shared" si="2"/>
        <v>17286320</v>
      </c>
      <c r="J22" s="61">
        <f>-38005282-20640594+38009615+20640594+33858981+20115722</f>
        <v>53979036</v>
      </c>
      <c r="K22" s="65">
        <f t="shared" si="6"/>
        <v>71265356</v>
      </c>
      <c r="L22" s="66" t="s">
        <v>55</v>
      </c>
      <c r="M22" s="67">
        <f>7235152+533473+201239+2265435+683468+2369837+650095+383330+1085376+314698-(7235152+531599+201239+2265435+683468+2369837+650095+383330+1085376+314698)+6684964+463039+552050+2607855+93873+1702162+890245+361162+1107762+342282</f>
        <v>14807268</v>
      </c>
      <c r="N22" s="62">
        <f t="shared" si="4"/>
        <v>39171768</v>
      </c>
      <c r="O22" s="62">
        <f t="shared" si="5"/>
        <v>56458088</v>
      </c>
      <c r="P22" s="61">
        <f>-531599+533473+463039</f>
        <v>464913</v>
      </c>
      <c r="R22" s="68"/>
    </row>
    <row r="23" spans="1:18" hidden="1" x14ac:dyDescent="0.2">
      <c r="A23" s="60">
        <f>'FERC Interest Rates'!A38</f>
        <v>42155</v>
      </c>
      <c r="B23" s="61">
        <v>6136917</v>
      </c>
      <c r="C23" s="61">
        <v>4971568</v>
      </c>
      <c r="D23" s="61">
        <v>856194</v>
      </c>
      <c r="E23" s="62">
        <f t="shared" si="0"/>
        <v>11964679</v>
      </c>
      <c r="F23" s="63">
        <f>-12199+12199+14905</f>
        <v>14905</v>
      </c>
      <c r="G23" s="61">
        <f>-361119+361119+268036</f>
        <v>268036</v>
      </c>
      <c r="H23" s="62">
        <f t="shared" si="7"/>
        <v>282941</v>
      </c>
      <c r="I23" s="64">
        <f t="shared" si="2"/>
        <v>12247620</v>
      </c>
      <c r="J23" s="61">
        <f>-33858981-20115722+33860743+20115722+33470121+27542200</f>
        <v>61014083</v>
      </c>
      <c r="K23" s="65">
        <f t="shared" si="6"/>
        <v>73261703</v>
      </c>
      <c r="L23" s="66" t="s">
        <v>55</v>
      </c>
      <c r="M23" s="67">
        <f>6684964+463039+552050+2609617+93873+1702162+890245+361162+1107762+342282-(6684964+463039+552050+2607855+93873+1702162+890245+361162+1107762+342282)+7000246+456023+1621381+2652137+524882+1621847+374191+391728+1106384+340345</f>
        <v>16090926</v>
      </c>
      <c r="N23" s="62">
        <f t="shared" si="4"/>
        <v>44923157</v>
      </c>
      <c r="O23" s="62">
        <f t="shared" si="5"/>
        <v>57170777</v>
      </c>
      <c r="P23" s="61">
        <f>-463039+463039+456023</f>
        <v>456023</v>
      </c>
      <c r="R23" s="68"/>
    </row>
    <row r="24" spans="1:18" hidden="1" x14ac:dyDescent="0.2">
      <c r="A24" s="60">
        <f>'FERC Interest Rates'!A39</f>
        <v>42185</v>
      </c>
      <c r="B24" s="61">
        <v>3875649</v>
      </c>
      <c r="C24" s="61">
        <v>3719322</v>
      </c>
      <c r="D24" s="61">
        <v>678441</v>
      </c>
      <c r="E24" s="62">
        <f t="shared" si="0"/>
        <v>8273412</v>
      </c>
      <c r="F24" s="63">
        <f>-14905+14905+16538</f>
        <v>16538</v>
      </c>
      <c r="G24" s="61">
        <f>-268036+268036+223986</f>
        <v>223986</v>
      </c>
      <c r="H24" s="62">
        <f t="shared" si="7"/>
        <v>240524</v>
      </c>
      <c r="I24" s="64">
        <f t="shared" si="2"/>
        <v>8513936</v>
      </c>
      <c r="J24" s="61">
        <f>-33470121-27542200+33471024+27542200+32081827+26900425</f>
        <v>58983155</v>
      </c>
      <c r="K24" s="65">
        <f t="shared" si="6"/>
        <v>67497091</v>
      </c>
      <c r="L24" s="66" t="s">
        <v>55</v>
      </c>
      <c r="M24" s="67">
        <f>7000246+456023+1621381+2652137+524882+1621847+374191+391728+1106384+340345-(7000246+456023+1621381+2652137+524882+1621847+374191+391728+1106384+340345)+3937653+391055+5658892+2168854+1382635+1646732+737859+425098+1015536+329092</f>
        <v>17693406</v>
      </c>
      <c r="N24" s="62">
        <f t="shared" si="4"/>
        <v>41289749</v>
      </c>
      <c r="O24" s="62">
        <f t="shared" si="5"/>
        <v>49803685</v>
      </c>
      <c r="P24" s="61">
        <f>-456023+456023+391055</f>
        <v>391055</v>
      </c>
      <c r="R24" s="68"/>
    </row>
    <row r="25" spans="1:18" hidden="1" x14ac:dyDescent="0.2">
      <c r="A25" s="60">
        <f>'FERC Interest Rates'!A40</f>
        <v>42216</v>
      </c>
      <c r="B25" s="61">
        <v>2480569</v>
      </c>
      <c r="C25" s="61">
        <v>2695667</v>
      </c>
      <c r="D25" s="61">
        <v>589631</v>
      </c>
      <c r="E25" s="62">
        <f t="shared" si="0"/>
        <v>5765867</v>
      </c>
      <c r="F25" s="63">
        <f>-16538+16538+8369</f>
        <v>8369</v>
      </c>
      <c r="G25" s="61">
        <f>-223986+223986+197044</f>
        <v>197044</v>
      </c>
      <c r="H25" s="62">
        <f t="shared" si="7"/>
        <v>205413</v>
      </c>
      <c r="I25" s="64">
        <f t="shared" si="2"/>
        <v>5971280</v>
      </c>
      <c r="J25" s="61">
        <f>-32081827-26900425+32083570+26898912+29865378+40621369</f>
        <v>70486977</v>
      </c>
      <c r="K25" s="65">
        <f>I25+J25</f>
        <v>76458257</v>
      </c>
      <c r="L25" s="66" t="s">
        <v>55</v>
      </c>
      <c r="M25" s="67">
        <f>3937653+392798+5658892+2168854+1382635+1646732+737859+425098+1015536+329092-(3937653+391055+5658892+2168854+1382635+1646732+737859+425098+1015536+329092)+7284221+382367+5999621+2253453+469138+1673592+658284+325589+1103993+323435</f>
        <v>20475436</v>
      </c>
      <c r="N25" s="62">
        <f>J25-M25</f>
        <v>50011541</v>
      </c>
      <c r="O25" s="62">
        <f t="shared" si="5"/>
        <v>55982821</v>
      </c>
      <c r="P25" s="61">
        <f>-391055+392798+382367</f>
        <v>384110</v>
      </c>
      <c r="R25" s="68"/>
    </row>
    <row r="26" spans="1:18" hidden="1" x14ac:dyDescent="0.2">
      <c r="A26" s="60">
        <f>'FERC Interest Rates'!A41</f>
        <v>42247</v>
      </c>
      <c r="B26" s="61">
        <v>2474134</v>
      </c>
      <c r="C26" s="61">
        <v>2789182</v>
      </c>
      <c r="D26" s="61">
        <v>586174</v>
      </c>
      <c r="E26" s="62">
        <f t="shared" si="0"/>
        <v>5849490</v>
      </c>
      <c r="F26" s="63">
        <f>-8369+8369+11302</f>
        <v>11302</v>
      </c>
      <c r="G26" s="61">
        <f>-197044+197044+188629</f>
        <v>188629</v>
      </c>
      <c r="H26" s="62">
        <f t="shared" si="7"/>
        <v>199931</v>
      </c>
      <c r="I26" s="64">
        <f t="shared" si="2"/>
        <v>6049421</v>
      </c>
      <c r="J26" s="61">
        <f>-29865378-40621369+29865378+40621369+31792227+36774894</f>
        <v>68567121</v>
      </c>
      <c r="K26" s="65">
        <f t="shared" si="6"/>
        <v>74616542</v>
      </c>
      <c r="L26" s="66" t="s">
        <v>55</v>
      </c>
      <c r="M26" s="67">
        <f>7284221+382367+5999621+2253453+469138+1673592+658284+325589+1103993+323435-(7284221+382367+5999621+2253453+469138+1673592+658284+325589+1103993+323435)+5979173+397888+4103554+1975935+1000277+1584845+784690+404637+1090094+324857</f>
        <v>17645950</v>
      </c>
      <c r="N26" s="62">
        <f t="shared" si="4"/>
        <v>50921171</v>
      </c>
      <c r="O26" s="62">
        <f t="shared" si="5"/>
        <v>56970592</v>
      </c>
      <c r="P26" s="61">
        <f>-382367+382367+397888</f>
        <v>397888</v>
      </c>
      <c r="R26" s="68"/>
    </row>
    <row r="27" spans="1:18" hidden="1" x14ac:dyDescent="0.2">
      <c r="A27" s="60">
        <f>'FERC Interest Rates'!A42</f>
        <v>42277</v>
      </c>
      <c r="B27" s="61">
        <v>2883443</v>
      </c>
      <c r="C27" s="61">
        <f>2956283+10810</f>
        <v>2967093</v>
      </c>
      <c r="D27" s="61">
        <f>1097150+10275</f>
        <v>1107425</v>
      </c>
      <c r="E27" s="62">
        <f t="shared" si="0"/>
        <v>6957961</v>
      </c>
      <c r="F27" s="63">
        <f>-11302+11302+10868</f>
        <v>10868</v>
      </c>
      <c r="G27" s="61">
        <f>-188629+188629+238237</f>
        <v>238237</v>
      </c>
      <c r="H27" s="62">
        <f t="shared" si="7"/>
        <v>249105</v>
      </c>
      <c r="I27" s="64">
        <f t="shared" si="2"/>
        <v>7207066</v>
      </c>
      <c r="J27" s="61">
        <f>-31792227-36774894+31792227+36774894+33527440+33218245</f>
        <v>66745685</v>
      </c>
      <c r="K27" s="65">
        <f t="shared" si="6"/>
        <v>73952751</v>
      </c>
      <c r="L27" s="66" t="s">
        <v>55</v>
      </c>
      <c r="M27" s="67">
        <f>5979173+397888+4103554+1975935+1000277+1584845+784690+404637+1090094+324857-(5979173+397888+4103554+1975935+1000277+1584845+784690+404637+1090094+324857)+6663969+400700+2529166+1980304+859837+1282479+714718+417143+1052339+327569</f>
        <v>16228224</v>
      </c>
      <c r="N27" s="62">
        <f t="shared" si="4"/>
        <v>50517461</v>
      </c>
      <c r="O27" s="62">
        <f t="shared" si="5"/>
        <v>57724527</v>
      </c>
      <c r="P27" s="61">
        <f>-397888+397888+400700</f>
        <v>400700</v>
      </c>
      <c r="R27" s="68"/>
    </row>
    <row r="28" spans="1:18" hidden="1" x14ac:dyDescent="0.2">
      <c r="A28" s="69">
        <f>'FERC Interest Rates'!A43</f>
        <v>42308</v>
      </c>
      <c r="B28" s="61">
        <v>4297977</v>
      </c>
      <c r="C28" s="61">
        <f>-10810+3997908</f>
        <v>3987098</v>
      </c>
      <c r="D28" s="61">
        <f>-10275+1402526</f>
        <v>1392251</v>
      </c>
      <c r="E28" s="62">
        <f t="shared" si="0"/>
        <v>9677326</v>
      </c>
      <c r="F28" s="63">
        <f>-10868+10868+11066</f>
        <v>11066</v>
      </c>
      <c r="G28" s="61">
        <f>-238237+238237+286826</f>
        <v>286826</v>
      </c>
      <c r="H28" s="62">
        <f t="shared" si="7"/>
        <v>297892</v>
      </c>
      <c r="I28" s="64">
        <f t="shared" si="2"/>
        <v>9975218</v>
      </c>
      <c r="J28" s="61">
        <f>-33527440-33218245+33530455+33218245+38814601+32479005</f>
        <v>71296621</v>
      </c>
      <c r="K28" s="65">
        <f t="shared" si="6"/>
        <v>81271839</v>
      </c>
      <c r="L28" s="77" t="s">
        <v>55</v>
      </c>
      <c r="M28" s="78">
        <f>6663969+403715+2529166+1980304+859837+1282479+714718+417143+1052339+327569-(6663969+400700+2529166+1980304+859837+1282479+714718+417143+1052339+327569)+7576528+445697+1221919+2731712+275052+1875869+854414+417872+1105719+323839</f>
        <v>16831636</v>
      </c>
      <c r="N28" s="62">
        <f t="shared" si="4"/>
        <v>54464985</v>
      </c>
      <c r="O28" s="62">
        <f t="shared" si="5"/>
        <v>64440203</v>
      </c>
      <c r="P28" s="61">
        <f>-400700+403715+445697</f>
        <v>448712</v>
      </c>
      <c r="R28" s="68"/>
    </row>
    <row r="29" spans="1:18" hidden="1" x14ac:dyDescent="0.2">
      <c r="A29" s="60">
        <f>'FERC Interest Rates'!A44</f>
        <v>42338</v>
      </c>
      <c r="B29" s="79">
        <v>7123102</v>
      </c>
      <c r="C29" s="80">
        <v>5044532</v>
      </c>
      <c r="D29" s="80">
        <v>935529</v>
      </c>
      <c r="E29" s="81">
        <f t="shared" ref="E29:E40" si="8">SUM(B29:D29)</f>
        <v>13103163</v>
      </c>
      <c r="F29" s="82">
        <f>-11066+11066+15659</f>
        <v>15659</v>
      </c>
      <c r="G29" s="80">
        <f>-286826+286826+424322</f>
        <v>424322</v>
      </c>
      <c r="H29" s="81">
        <f t="shared" ref="H29:H30" si="9">SUM(F29:G29)</f>
        <v>439981</v>
      </c>
      <c r="I29" s="83">
        <f t="shared" si="2"/>
        <v>13543144</v>
      </c>
      <c r="J29" s="82">
        <f>-38814601-32479005+38810516+32637068+38536211+36698347</f>
        <v>75388536</v>
      </c>
      <c r="K29" s="84">
        <f t="shared" si="6"/>
        <v>88931680</v>
      </c>
      <c r="L29" s="85" t="s">
        <v>55</v>
      </c>
      <c r="M29" s="86">
        <f>7576528+445697+1379982+2731712+275052+1875869+854414+417872+1105719+323839-(7576528+445697+1221919+2731712+275052+1875869+854414+417872+1105719+323839)+7257509+535022+4079051+3147933+331951+2441091+854240+492348+1032222+332415</f>
        <v>20661845</v>
      </c>
      <c r="N29" s="81">
        <f t="shared" si="4"/>
        <v>54726691</v>
      </c>
      <c r="O29" s="83">
        <f t="shared" si="5"/>
        <v>68269835</v>
      </c>
      <c r="P29" s="82">
        <f>-445697+445697+535022</f>
        <v>535022</v>
      </c>
      <c r="Q29" s="75"/>
      <c r="R29" s="76"/>
    </row>
    <row r="30" spans="1:18" hidden="1" x14ac:dyDescent="0.2">
      <c r="A30" s="60">
        <f>'FERC Interest Rates'!A45</f>
        <v>42369</v>
      </c>
      <c r="B30" s="87">
        <v>16299312</v>
      </c>
      <c r="C30" s="61">
        <v>11530090</v>
      </c>
      <c r="D30" s="61">
        <v>1360411</v>
      </c>
      <c r="E30" s="62">
        <f t="shared" si="8"/>
        <v>29189813</v>
      </c>
      <c r="F30" s="63">
        <f>-15659+406+272</f>
        <v>-14981</v>
      </c>
      <c r="G30" s="61">
        <f>-424322+424322+491485</f>
        <v>491485</v>
      </c>
      <c r="H30" s="62">
        <f t="shared" si="9"/>
        <v>476504</v>
      </c>
      <c r="I30" s="64">
        <f t="shared" si="2"/>
        <v>29666317</v>
      </c>
      <c r="J30" s="63">
        <f>-38536211-36698347+38694815+36698347+41166774+28548549</f>
        <v>69873927</v>
      </c>
      <c r="K30" s="65">
        <f t="shared" si="6"/>
        <v>99540244</v>
      </c>
      <c r="L30" s="77" t="s">
        <v>55</v>
      </c>
      <c r="M30" s="88">
        <f>7257509+535022+4079051+3147933+331951+2441091+854240+492348+1032222+332415-(7257509+535022+4079051+3147933+331951+2441091+854240+492348+1032222+332415)+7799801+310029+617027+3019366+119111+2902368+743768+421378+1099518+385043</f>
        <v>17417409</v>
      </c>
      <c r="N30" s="62">
        <f t="shared" si="4"/>
        <v>52456518</v>
      </c>
      <c r="O30" s="64">
        <f t="shared" si="5"/>
        <v>82122835</v>
      </c>
      <c r="P30" s="63">
        <f>-535022+535022+310029</f>
        <v>310029</v>
      </c>
      <c r="R30" s="68"/>
    </row>
    <row r="31" spans="1:18" hidden="1" x14ac:dyDescent="0.2">
      <c r="A31" s="60">
        <f>'FERC Interest Rates'!A46</f>
        <v>42400</v>
      </c>
      <c r="B31" s="87">
        <v>21787927</v>
      </c>
      <c r="C31" s="61">
        <v>15916106</v>
      </c>
      <c r="D31" s="61">
        <v>1722828</v>
      </c>
      <c r="E31" s="62">
        <f t="shared" si="8"/>
        <v>39426861</v>
      </c>
      <c r="F31" s="63">
        <f>-272+272+430</f>
        <v>430</v>
      </c>
      <c r="G31" s="61">
        <f>-491485+493418+490011</f>
        <v>491944</v>
      </c>
      <c r="H31" s="62">
        <f t="shared" ref="H31:H40" si="10">SUM(F31:G31)</f>
        <v>492374</v>
      </c>
      <c r="I31" s="64">
        <f t="shared" si="2"/>
        <v>39919235</v>
      </c>
      <c r="J31" s="63">
        <f>-41166774-28548549+41165336+28548549+43905259+29123439</f>
        <v>73027260</v>
      </c>
      <c r="K31" s="65">
        <f t="shared" si="6"/>
        <v>112946495</v>
      </c>
      <c r="L31" s="77" t="s">
        <v>55</v>
      </c>
      <c r="M31" s="88">
        <f>7799801+308591+617027+3019366+119111+2902368+743768+421378+1099518+385043-(7799801+310029+617027+3019366+119111+2902368+743768+421378+1099518+385043)+7443944+50651+1174934+3482503+527289+2988622+931500+534420+1182912+385329</f>
        <v>18700666</v>
      </c>
      <c r="N31" s="62">
        <f t="shared" si="4"/>
        <v>54326594</v>
      </c>
      <c r="O31" s="64">
        <f t="shared" si="5"/>
        <v>94245829</v>
      </c>
      <c r="P31" s="63">
        <f>-310029+308591+50651</f>
        <v>49213</v>
      </c>
      <c r="R31" s="68"/>
    </row>
    <row r="32" spans="1:18" hidden="1" x14ac:dyDescent="0.2">
      <c r="A32" s="60">
        <f>'FERC Interest Rates'!A47</f>
        <v>42429</v>
      </c>
      <c r="B32" s="87">
        <v>15744661</v>
      </c>
      <c r="C32" s="61">
        <v>11885158</v>
      </c>
      <c r="D32" s="61">
        <v>1421652</v>
      </c>
      <c r="E32" s="62">
        <f t="shared" si="8"/>
        <v>29051471</v>
      </c>
      <c r="F32" s="63">
        <f>-430+430+342</f>
        <v>342</v>
      </c>
      <c r="G32" s="61">
        <f>-490011+490011+401220</f>
        <v>401220</v>
      </c>
      <c r="H32" s="62">
        <f t="shared" si="10"/>
        <v>401562</v>
      </c>
      <c r="I32" s="64">
        <f t="shared" si="2"/>
        <v>29453033</v>
      </c>
      <c r="J32" s="63">
        <f>-43905259-29123439+43905259+29123439+37699124+25310382</f>
        <v>63009506</v>
      </c>
      <c r="K32" s="65">
        <f t="shared" si="6"/>
        <v>92462539</v>
      </c>
      <c r="L32" s="77" t="s">
        <v>55</v>
      </c>
      <c r="M32" s="88">
        <f>7443944+50651+1174934+3482503+527289+2988622+931500+534420+1182912+385329-(7443944+50651+1174934+3482503+527289+2988622+931500+534420+1182912+385329)+7867966+120221+2999775+431729+2308672+804013+515788+1073794+353753</f>
        <v>16475711</v>
      </c>
      <c r="N32" s="62">
        <f t="shared" si="4"/>
        <v>46533795</v>
      </c>
      <c r="O32" s="64">
        <f t="shared" si="5"/>
        <v>75986828</v>
      </c>
      <c r="P32" s="63">
        <f>-50651+50651</f>
        <v>0</v>
      </c>
      <c r="R32" s="68"/>
    </row>
    <row r="33" spans="1:18" hidden="1" x14ac:dyDescent="0.2">
      <c r="A33" s="60">
        <f>'FERC Interest Rates'!A48</f>
        <v>42460</v>
      </c>
      <c r="B33" s="87">
        <v>14256698</v>
      </c>
      <c r="C33" s="61">
        <v>10571037</v>
      </c>
      <c r="D33" s="61">
        <v>1579035</v>
      </c>
      <c r="E33" s="62">
        <f t="shared" si="8"/>
        <v>26406770</v>
      </c>
      <c r="F33" s="63">
        <f>-342+342+256</f>
        <v>256</v>
      </c>
      <c r="G33" s="61">
        <f>-401220+401220+399311</f>
        <v>399311</v>
      </c>
      <c r="H33" s="62">
        <f t="shared" si="10"/>
        <v>399567</v>
      </c>
      <c r="I33" s="64">
        <f t="shared" si="2"/>
        <v>26806337</v>
      </c>
      <c r="J33" s="63">
        <f>-37699124-25310382+37699124+25310382+34622082+12205754</f>
        <v>46827836</v>
      </c>
      <c r="K33" s="65">
        <f t="shared" si="6"/>
        <v>73634173</v>
      </c>
      <c r="L33" s="77" t="s">
        <v>55</v>
      </c>
      <c r="M33" s="88">
        <f>7867966+120221+2999775+431729+2308672+804013+515788+1073794+353753-(7867966+120221+2999775+431729+2308672+804013+515788+1073794+353753)+7271606+2914865+491690+2651138+639600+343195+1169931+479974</f>
        <v>15961999</v>
      </c>
      <c r="N33" s="62">
        <f t="shared" si="4"/>
        <v>30865837</v>
      </c>
      <c r="O33" s="64">
        <f t="shared" si="5"/>
        <v>57672174</v>
      </c>
      <c r="P33" s="63">
        <v>0</v>
      </c>
      <c r="R33" s="68"/>
    </row>
    <row r="34" spans="1:18" hidden="1" x14ac:dyDescent="0.2">
      <c r="A34" s="60">
        <f>'FERC Interest Rates'!A49</f>
        <v>42490</v>
      </c>
      <c r="B34" s="87">
        <v>9205504</v>
      </c>
      <c r="C34" s="61">
        <v>7116368</v>
      </c>
      <c r="D34" s="61">
        <v>1060027</v>
      </c>
      <c r="E34" s="62">
        <f t="shared" si="8"/>
        <v>17381899</v>
      </c>
      <c r="F34" s="63">
        <f>-256+256+238</f>
        <v>238</v>
      </c>
      <c r="G34" s="61">
        <f>-399311+399311+287800</f>
        <v>287800</v>
      </c>
      <c r="H34" s="62">
        <f t="shared" si="10"/>
        <v>288038</v>
      </c>
      <c r="I34" s="64">
        <f t="shared" si="2"/>
        <v>17669937</v>
      </c>
      <c r="J34" s="63">
        <f>-34622082-12205754+34629307+12205567+31673334+11051053</f>
        <v>42731425</v>
      </c>
      <c r="K34" s="65">
        <f t="shared" si="6"/>
        <v>60401362</v>
      </c>
      <c r="L34" s="77" t="s">
        <v>55</v>
      </c>
      <c r="M34" s="88">
        <f>7271606+-771+2914865+491690+2651138+639600+343195+1169931+479974-(7271606+2914865+491690+2651138+639600+343195+1169931+479974)+6851907+1935645+819902+2547720+180699+421534+1090163+487333</f>
        <v>14334132</v>
      </c>
      <c r="N34" s="62">
        <f t="shared" si="4"/>
        <v>28397293</v>
      </c>
      <c r="O34" s="64">
        <f t="shared" si="5"/>
        <v>46067230</v>
      </c>
      <c r="P34" s="63">
        <f>-771</f>
        <v>-771</v>
      </c>
      <c r="R34" s="68"/>
    </row>
    <row r="35" spans="1:18" hidden="1" x14ac:dyDescent="0.2">
      <c r="A35" s="60">
        <f>'FERC Interest Rates'!A50</f>
        <v>42521</v>
      </c>
      <c r="B35" s="87">
        <v>4937819</v>
      </c>
      <c r="C35" s="61">
        <v>4184525</v>
      </c>
      <c r="D35" s="61">
        <v>766236</v>
      </c>
      <c r="E35" s="62">
        <f t="shared" si="8"/>
        <v>9888580</v>
      </c>
      <c r="F35" s="63">
        <f>-238+238+223</f>
        <v>223</v>
      </c>
      <c r="G35" s="61">
        <f>-287800+287800+239257</f>
        <v>239257</v>
      </c>
      <c r="H35" s="62">
        <f t="shared" si="10"/>
        <v>239480</v>
      </c>
      <c r="I35" s="64">
        <f t="shared" si="2"/>
        <v>10128060</v>
      </c>
      <c r="J35" s="63">
        <f>-31673334-11051053+31673334+11051053+31280506+19976596</f>
        <v>51257102</v>
      </c>
      <c r="K35" s="65">
        <f t="shared" si="6"/>
        <v>61385162</v>
      </c>
      <c r="L35" s="77" t="s">
        <v>55</v>
      </c>
      <c r="M35" s="88">
        <f>6851907+1935645+819902+2547720+180699+421534+1090163+487333-(6851907+1935645+819902+2547720+180699+421534+1090163+487333)+6282405+121588+2358901+281708+2419712+391675+447431+1085521+483899</f>
        <v>13872840</v>
      </c>
      <c r="N35" s="62">
        <f t="shared" si="4"/>
        <v>37384262</v>
      </c>
      <c r="O35" s="89">
        <f t="shared" si="5"/>
        <v>47512322</v>
      </c>
      <c r="P35" s="63">
        <v>0</v>
      </c>
      <c r="R35" s="68"/>
    </row>
    <row r="36" spans="1:18" hidden="1" x14ac:dyDescent="0.2">
      <c r="A36" s="60">
        <f>'FERC Interest Rates'!A51</f>
        <v>42551</v>
      </c>
      <c r="B36" s="87">
        <v>4130248</v>
      </c>
      <c r="C36" s="61">
        <v>3716222</v>
      </c>
      <c r="D36" s="61">
        <v>829383</v>
      </c>
      <c r="E36" s="62">
        <f t="shared" si="8"/>
        <v>8675853</v>
      </c>
      <c r="F36" s="63">
        <f>-223+223+392</f>
        <v>392</v>
      </c>
      <c r="G36" s="61">
        <f>-239257+239257+195115</f>
        <v>195115</v>
      </c>
      <c r="H36" s="62">
        <f t="shared" si="10"/>
        <v>195507</v>
      </c>
      <c r="I36" s="64">
        <f t="shared" si="2"/>
        <v>8871360</v>
      </c>
      <c r="J36" s="63">
        <f>-31280506-19976596+31281578+19976409+31848110+24240240</f>
        <v>56089235</v>
      </c>
      <c r="K36" s="65">
        <f t="shared" si="6"/>
        <v>64960595</v>
      </c>
      <c r="L36" s="77" t="s">
        <v>55</v>
      </c>
      <c r="M36" s="88">
        <f>6282405+121588+2358901+281708+2419712+391675+447431+1085521+483899-(6282405+121588+2358901+281708+2419712+391675+447431+1085521+483899)+4670317+1494038+2250693+475886+2087130+443762+423575+1040712+263095</f>
        <v>13149208</v>
      </c>
      <c r="N36" s="62">
        <f t="shared" si="4"/>
        <v>42940027</v>
      </c>
      <c r="O36" s="89">
        <f t="shared" si="5"/>
        <v>51811387</v>
      </c>
      <c r="P36" s="63">
        <v>0</v>
      </c>
      <c r="R36" s="68"/>
    </row>
    <row r="37" spans="1:18" hidden="1" x14ac:dyDescent="0.2">
      <c r="A37" s="60">
        <f>'FERC Interest Rates'!A52</f>
        <v>42582</v>
      </c>
      <c r="B37" s="87">
        <v>3164014</v>
      </c>
      <c r="C37" s="61">
        <v>3100705</v>
      </c>
      <c r="D37" s="61">
        <v>619421</v>
      </c>
      <c r="E37" s="62">
        <f t="shared" si="8"/>
        <v>6884140</v>
      </c>
      <c r="F37" s="63">
        <f>-392+392</f>
        <v>0</v>
      </c>
      <c r="G37" s="61">
        <f>-195115+195115+228897</f>
        <v>228897</v>
      </c>
      <c r="H37" s="62">
        <f t="shared" si="10"/>
        <v>228897</v>
      </c>
      <c r="I37" s="64">
        <f t="shared" si="2"/>
        <v>7113037</v>
      </c>
      <c r="J37" s="63">
        <f>-31848110-24240240+31848110+24239315+34379688+31950816</f>
        <v>66329579</v>
      </c>
      <c r="K37" s="65">
        <f>I37+J37</f>
        <v>73442616</v>
      </c>
      <c r="L37" s="77" t="s">
        <v>55</v>
      </c>
      <c r="M37" s="88">
        <f>4670317+1494038+2250693+475886+2087130+443762+423575+1040712+263095-(4670317+1494038+2250693+475886+2087130+443762+423575+1040712+263095)+6386347+2552281+2676582+779965+2327217+516534+264558+1105831</f>
        <v>16609315</v>
      </c>
      <c r="N37" s="62">
        <f>J37-M37</f>
        <v>49720264</v>
      </c>
      <c r="O37" s="89">
        <f t="shared" si="5"/>
        <v>56833301</v>
      </c>
      <c r="P37" s="63">
        <v>0</v>
      </c>
      <c r="R37" s="68"/>
    </row>
    <row r="38" spans="1:18" hidden="1" x14ac:dyDescent="0.2">
      <c r="A38" s="60">
        <f>'FERC Interest Rates'!A53</f>
        <v>42613</v>
      </c>
      <c r="B38" s="87">
        <v>2693650</v>
      </c>
      <c r="C38" s="61">
        <v>2827136</v>
      </c>
      <c r="D38" s="61">
        <v>833412</v>
      </c>
      <c r="E38" s="62">
        <f t="shared" si="8"/>
        <v>6354198</v>
      </c>
      <c r="F38" s="63">
        <f>0+473-0</f>
        <v>473</v>
      </c>
      <c r="G38" s="61">
        <f>228897+179539-228897</f>
        <v>179539</v>
      </c>
      <c r="H38" s="62">
        <f t="shared" si="10"/>
        <v>180012</v>
      </c>
      <c r="I38" s="64">
        <f t="shared" si="2"/>
        <v>6534210</v>
      </c>
      <c r="J38" s="63">
        <f>34379688+31950816+33965986+48674653-34379688-31950816</f>
        <v>82640639</v>
      </c>
      <c r="K38" s="65">
        <f t="shared" ref="K38:K100" si="11">I38+J38</f>
        <v>89174849</v>
      </c>
      <c r="L38" s="77" t="s">
        <v>55</v>
      </c>
      <c r="M38" s="88">
        <f>0+2676582+2327217+516534+264558+1105831+6386347+2552281+0+779965+0+2039021+2178765+777543+401313+1077422+7464379+7191370+0+1729358-0-2676582-2327217-516534-264558-1105831-6386347-2552281-0-779965</f>
        <v>22859171</v>
      </c>
      <c r="N38" s="62">
        <f t="shared" ref="N38:N100" si="12">J38-M38</f>
        <v>59781468</v>
      </c>
      <c r="O38" s="89">
        <f t="shared" si="5"/>
        <v>66315678</v>
      </c>
      <c r="P38" s="63">
        <v>0</v>
      </c>
      <c r="R38" s="68"/>
    </row>
    <row r="39" spans="1:18" hidden="1" x14ac:dyDescent="0.2">
      <c r="A39" s="60">
        <f>'FERC Interest Rates'!A54</f>
        <v>42643</v>
      </c>
      <c r="B39" s="87">
        <v>2961359</v>
      </c>
      <c r="C39" s="61">
        <v>3113107</v>
      </c>
      <c r="D39" s="61">
        <v>886709</v>
      </c>
      <c r="E39" s="62">
        <f t="shared" si="8"/>
        <v>6961175</v>
      </c>
      <c r="F39" s="63">
        <f>473+407-473</f>
        <v>407</v>
      </c>
      <c r="G39" s="61">
        <f>179539+232998-179539</f>
        <v>232998</v>
      </c>
      <c r="H39" s="62">
        <f t="shared" si="10"/>
        <v>233405</v>
      </c>
      <c r="I39" s="64">
        <f t="shared" si="2"/>
        <v>7194580</v>
      </c>
      <c r="J39" s="63">
        <f>33919265+49297316+37406526+29200560-33965986-48674653</f>
        <v>67183028</v>
      </c>
      <c r="K39" s="65">
        <f t="shared" si="11"/>
        <v>74377608</v>
      </c>
      <c r="L39" s="77" t="s">
        <v>55</v>
      </c>
      <c r="M39" s="88">
        <f>0+2039021+2178765+777543+401313+1077422+7464379+7814033+0+1729358+2577629+2243785+699246+442989+1066817+7289540+1760357+0+780450-0-2039021-2178765-777543-401313-1077422-7464379-7191370-0-1729358</f>
        <v>17483476</v>
      </c>
      <c r="N39" s="62">
        <f t="shared" si="12"/>
        <v>49699552</v>
      </c>
      <c r="O39" s="89">
        <f t="shared" si="5"/>
        <v>56894132</v>
      </c>
      <c r="P39" s="63">
        <v>0</v>
      </c>
      <c r="R39" s="68"/>
    </row>
    <row r="40" spans="1:18" hidden="1" x14ac:dyDescent="0.2">
      <c r="A40" s="90">
        <f>'FERC Interest Rates'!A55</f>
        <v>42674</v>
      </c>
      <c r="B40" s="91">
        <v>4470556</v>
      </c>
      <c r="C40" s="70">
        <v>3871269</v>
      </c>
      <c r="D40" s="70">
        <v>1333607</v>
      </c>
      <c r="E40" s="71">
        <f t="shared" si="8"/>
        <v>9675432</v>
      </c>
      <c r="F40" s="92">
        <f>407+0-407</f>
        <v>0</v>
      </c>
      <c r="G40" s="70">
        <f>232998+329121-232998</f>
        <v>329121</v>
      </c>
      <c r="H40" s="71">
        <f t="shared" si="10"/>
        <v>329121</v>
      </c>
      <c r="I40" s="72">
        <f t="shared" si="2"/>
        <v>10004553</v>
      </c>
      <c r="J40" s="92">
        <f>37436629+29200560+40991039+12399810-37406526-29200560</f>
        <v>53420952</v>
      </c>
      <c r="K40" s="73">
        <f t="shared" si="11"/>
        <v>63425505</v>
      </c>
      <c r="L40" s="74" t="s">
        <v>55</v>
      </c>
      <c r="M40" s="92">
        <f>0+2577629+2243785+699246+442989+1066817+7289540+1760357+0+780450+2445024+2841352+886699+419709+1178128+7402535+478644+0+313524-2577629-2243785-699246-442989-1066817-7289540-1760357-0-780450</f>
        <v>15965615</v>
      </c>
      <c r="N40" s="71">
        <f t="shared" si="12"/>
        <v>37455337</v>
      </c>
      <c r="O40" s="93">
        <f t="shared" si="5"/>
        <v>47459890</v>
      </c>
      <c r="P40" s="92">
        <v>0</v>
      </c>
      <c r="Q40" s="94"/>
      <c r="R40" s="95"/>
    </row>
    <row r="41" spans="1:18" hidden="1" x14ac:dyDescent="0.2">
      <c r="A41" s="60">
        <f>'FERC Interest Rates'!A56</f>
        <v>42704</v>
      </c>
      <c r="B41" s="61">
        <v>7460324</v>
      </c>
      <c r="C41" s="61">
        <v>5520631</v>
      </c>
      <c r="D41" s="61">
        <v>1187068</v>
      </c>
      <c r="E41" s="62">
        <f t="shared" ref="E41:E76" si="13">SUM(B41:D41)</f>
        <v>14168023</v>
      </c>
      <c r="F41" s="63">
        <f>0+42-0</f>
        <v>42</v>
      </c>
      <c r="G41" s="61">
        <f>329121+378144-329121</f>
        <v>378144</v>
      </c>
      <c r="H41" s="62">
        <f t="shared" ref="H41:H48" si="14">SUM(F41:G41)</f>
        <v>378186</v>
      </c>
      <c r="I41" s="64">
        <f t="shared" si="2"/>
        <v>14546209</v>
      </c>
      <c r="J41" s="82">
        <f>40991039+12399810+38429818+15166485-40991039-12399810</f>
        <v>53596303</v>
      </c>
      <c r="K41" s="65">
        <f t="shared" si="11"/>
        <v>68142512</v>
      </c>
      <c r="L41" s="66" t="s">
        <v>55</v>
      </c>
      <c r="M41" s="88">
        <f>2445024+2841352+886699+419709+1178128+7402535+478644+0+313524+3062402+2411553+783701+387194+1099884+7955874+499335+0+582580-2445024-2841352-886699-419709-1178128-7402535-478644-0-313524</f>
        <v>16782523</v>
      </c>
      <c r="N41" s="62">
        <f t="shared" si="12"/>
        <v>36813780</v>
      </c>
      <c r="O41" s="89">
        <f t="shared" si="5"/>
        <v>51359989</v>
      </c>
      <c r="P41" s="63">
        <v>0</v>
      </c>
      <c r="R41" s="68"/>
    </row>
    <row r="42" spans="1:18" hidden="1" x14ac:dyDescent="0.2">
      <c r="A42" s="60">
        <f>'FERC Interest Rates'!A57</f>
        <v>42735</v>
      </c>
      <c r="B42" s="61">
        <v>16023779</v>
      </c>
      <c r="C42" s="61">
        <v>11191376</v>
      </c>
      <c r="D42" s="61">
        <v>1548255</v>
      </c>
      <c r="E42" s="62">
        <f t="shared" si="13"/>
        <v>28763410</v>
      </c>
      <c r="F42" s="63">
        <f>42+302-42</f>
        <v>302</v>
      </c>
      <c r="G42" s="61">
        <f>378144+556857-378144</f>
        <v>556857</v>
      </c>
      <c r="H42" s="62">
        <f t="shared" si="14"/>
        <v>557159</v>
      </c>
      <c r="I42" s="64">
        <f t="shared" si="2"/>
        <v>29320569</v>
      </c>
      <c r="J42" s="63">
        <f>38433704+15166485+43025638+24999610-38429818-15166485</f>
        <v>68029134</v>
      </c>
      <c r="K42" s="65">
        <f t="shared" si="11"/>
        <v>97349703</v>
      </c>
      <c r="L42" s="66" t="s">
        <v>55</v>
      </c>
      <c r="M42" s="88">
        <f>3062402+2411553+783701+387194+1099884+7955874+499335+0+582580+3926790+2425780+887524+491709+1204691+7418771+3385699+0+962334-3062402-2411553-783701-387194-1099884-7955874-499335-0-582580</f>
        <v>20703298</v>
      </c>
      <c r="N42" s="62">
        <f t="shared" si="12"/>
        <v>47325836</v>
      </c>
      <c r="O42" s="89">
        <f t="shared" si="5"/>
        <v>76646405</v>
      </c>
      <c r="P42" s="63">
        <v>0</v>
      </c>
      <c r="R42" s="68"/>
    </row>
    <row r="43" spans="1:18" hidden="1" x14ac:dyDescent="0.2">
      <c r="A43" s="60">
        <f>'FERC Interest Rates'!A58</f>
        <v>42766</v>
      </c>
      <c r="B43" s="61">
        <v>27190532</v>
      </c>
      <c r="C43" s="61">
        <v>20214298</v>
      </c>
      <c r="D43" s="61">
        <v>2077956</v>
      </c>
      <c r="E43" s="62">
        <f t="shared" si="13"/>
        <v>49482786</v>
      </c>
      <c r="F43" s="63">
        <f>302+306-302</f>
        <v>306</v>
      </c>
      <c r="G43" s="61">
        <f>556857+587884-556857</f>
        <v>587884</v>
      </c>
      <c r="H43" s="62">
        <f t="shared" si="14"/>
        <v>588190</v>
      </c>
      <c r="I43" s="64">
        <f t="shared" si="2"/>
        <v>50070976</v>
      </c>
      <c r="J43" s="63">
        <f>43032177+24999610+45464690+23263838-43025638-24999610</f>
        <v>68735067</v>
      </c>
      <c r="K43" s="65">
        <f t="shared" si="11"/>
        <v>118806043</v>
      </c>
      <c r="L43" s="66" t="s">
        <v>55</v>
      </c>
      <c r="M43" s="88">
        <f>3926790+2425780+887524+491709+1204691+7418771+3385699+0+962334+3484534+3336577+962939+597166+1201150+7537049+2120545+0+1281418-3926790-2425780-887524-491709-1204691-7418771-3385699-0-962334</f>
        <v>20521378</v>
      </c>
      <c r="N43" s="62">
        <f t="shared" si="12"/>
        <v>48213689</v>
      </c>
      <c r="O43" s="89">
        <f t="shared" si="5"/>
        <v>98284665</v>
      </c>
      <c r="P43" s="63">
        <v>0</v>
      </c>
      <c r="R43" s="68"/>
    </row>
    <row r="44" spans="1:18" hidden="1" x14ac:dyDescent="0.2">
      <c r="A44" s="60">
        <f>'FERC Interest Rates'!A59</f>
        <v>42794</v>
      </c>
      <c r="B44" s="61">
        <v>20884784</v>
      </c>
      <c r="C44" s="61">
        <v>16301402</v>
      </c>
      <c r="D44" s="61">
        <v>1709089</v>
      </c>
      <c r="E44" s="62">
        <f t="shared" si="13"/>
        <v>38895275</v>
      </c>
      <c r="F44" s="63">
        <f>306+0-306</f>
        <v>0</v>
      </c>
      <c r="G44" s="61">
        <f>587884+461836-587884</f>
        <v>461836</v>
      </c>
      <c r="H44" s="62">
        <f t="shared" si="14"/>
        <v>461836</v>
      </c>
      <c r="I44" s="64">
        <f t="shared" si="2"/>
        <v>39357111</v>
      </c>
      <c r="J44" s="63">
        <f>45464690+23263838+37268027+17694147-45464690-23263838</f>
        <v>54962174</v>
      </c>
      <c r="K44" s="65">
        <f t="shared" si="11"/>
        <v>94319285</v>
      </c>
      <c r="L44" s="66" t="s">
        <v>55</v>
      </c>
      <c r="M44" s="88">
        <f>3484534+3336577+962939+597166+1201150+7537049+2120545+0+1281418+2000676+2870154+833388+466554+1050982+8259193+371595+0+989453-3484534-3336577-962939-597166-1201150-7537049-2120545-0-1281418</f>
        <v>16841995</v>
      </c>
      <c r="N44" s="62">
        <f t="shared" si="12"/>
        <v>38120179</v>
      </c>
      <c r="O44" s="89">
        <f t="shared" si="5"/>
        <v>77477290</v>
      </c>
      <c r="P44" s="63">
        <v>0</v>
      </c>
      <c r="R44" s="68"/>
    </row>
    <row r="45" spans="1:18" hidden="1" x14ac:dyDescent="0.2">
      <c r="A45" s="60">
        <f>'FERC Interest Rates'!A60</f>
        <v>42825</v>
      </c>
      <c r="B45" s="61">
        <v>19202444</v>
      </c>
      <c r="C45" s="61">
        <v>14510217</v>
      </c>
      <c r="D45" s="61">
        <v>1905197</v>
      </c>
      <c r="E45" s="62">
        <f t="shared" si="13"/>
        <v>35617858</v>
      </c>
      <c r="F45" s="63">
        <v>0</v>
      </c>
      <c r="G45" s="61">
        <f>461836+254557-461836</f>
        <v>254557</v>
      </c>
      <c r="H45" s="62">
        <f t="shared" si="14"/>
        <v>254557</v>
      </c>
      <c r="I45" s="64">
        <f t="shared" si="2"/>
        <v>35872415</v>
      </c>
      <c r="J45" s="63">
        <f>37268027+17694147+37953585+16518243-37268027-17694147</f>
        <v>54471828</v>
      </c>
      <c r="K45" s="65">
        <f t="shared" si="11"/>
        <v>90344243</v>
      </c>
      <c r="L45" s="66" t="s">
        <v>55</v>
      </c>
      <c r="M45" s="88">
        <f>2000676+2870154+833388+466554+1050982+8259193+371595+0+989453+1114837+2218389+884624+518572+1157347+8127230+0+0+2016355-2000676-2870154-833388-466554-1050982-8259193-371595-0-989453</f>
        <v>16037354</v>
      </c>
      <c r="N45" s="62">
        <f t="shared" si="12"/>
        <v>38434474</v>
      </c>
      <c r="O45" s="89">
        <f t="shared" si="5"/>
        <v>74306889</v>
      </c>
      <c r="P45" s="63">
        <v>0</v>
      </c>
      <c r="R45" s="68"/>
    </row>
    <row r="46" spans="1:18" hidden="1" x14ac:dyDescent="0.2">
      <c r="A46" s="60">
        <f>'FERC Interest Rates'!A61</f>
        <v>42855</v>
      </c>
      <c r="B46" s="61">
        <v>11408371</v>
      </c>
      <c r="C46" s="61">
        <v>8565387</v>
      </c>
      <c r="D46" s="61">
        <v>1187261</v>
      </c>
      <c r="E46" s="62">
        <f t="shared" si="13"/>
        <v>21161019</v>
      </c>
      <c r="F46" s="63">
        <v>0</v>
      </c>
      <c r="G46" s="61">
        <f>254557+215195-254557</f>
        <v>215195</v>
      </c>
      <c r="H46" s="62">
        <f t="shared" si="14"/>
        <v>215195</v>
      </c>
      <c r="I46" s="64">
        <f t="shared" si="2"/>
        <v>21376214</v>
      </c>
      <c r="J46" s="63">
        <f>37981777+16520502+33008626+19200909-37953585-16518243</f>
        <v>52239986</v>
      </c>
      <c r="K46" s="65">
        <f t="shared" si="11"/>
        <v>73616200</v>
      </c>
      <c r="L46" s="66" t="s">
        <v>55</v>
      </c>
      <c r="M46" s="88">
        <f>1114837+2218389+884624+518572+1157347+8127230+0+0+2016355+2338365+2019393+694319+408263+1102654+6745703+0+0+2347790-1114837-2218389-884624-518572-1157347-8127230-0-0-2016355</f>
        <v>15656487</v>
      </c>
      <c r="N46" s="62">
        <f t="shared" si="12"/>
        <v>36583499</v>
      </c>
      <c r="O46" s="89">
        <f t="shared" si="5"/>
        <v>57959713</v>
      </c>
      <c r="P46" s="63">
        <v>0</v>
      </c>
      <c r="R46" s="68"/>
    </row>
    <row r="47" spans="1:18" hidden="1" x14ac:dyDescent="0.2">
      <c r="A47" s="60">
        <f>'FERC Interest Rates'!A62</f>
        <v>42886</v>
      </c>
      <c r="B47" s="61">
        <v>8224421</v>
      </c>
      <c r="C47" s="61">
        <v>6567715</v>
      </c>
      <c r="D47" s="61">
        <v>1017214</v>
      </c>
      <c r="E47" s="62">
        <f t="shared" si="13"/>
        <v>15809350</v>
      </c>
      <c r="F47" s="63">
        <v>0</v>
      </c>
      <c r="G47" s="61">
        <f>215195+163812-215195</f>
        <v>163812</v>
      </c>
      <c r="H47" s="62">
        <f t="shared" si="14"/>
        <v>163812</v>
      </c>
      <c r="I47" s="64">
        <f t="shared" si="2"/>
        <v>15973162</v>
      </c>
      <c r="J47" s="63">
        <f>33008626+19200909+32434391+10035547-33008626-19200909</f>
        <v>42469938</v>
      </c>
      <c r="K47" s="65">
        <f t="shared" si="11"/>
        <v>58443100</v>
      </c>
      <c r="L47" s="66" t="s">
        <v>55</v>
      </c>
      <c r="M47" s="88">
        <f>2338365+2019393+694319+408263+1102654+6745703+0+0+2347790+1936209+1949500+809100+542182+1061819+5660151+204038+0+2064599-2338365-2019393-694319-408263-1102654-6745703-0-0-2347790</f>
        <v>14227598</v>
      </c>
      <c r="N47" s="62">
        <f t="shared" si="12"/>
        <v>28242340</v>
      </c>
      <c r="O47" s="89">
        <f t="shared" si="5"/>
        <v>44215502</v>
      </c>
      <c r="P47" s="63">
        <v>0</v>
      </c>
      <c r="R47" s="68"/>
    </row>
    <row r="48" spans="1:18" hidden="1" x14ac:dyDescent="0.2">
      <c r="A48" s="60">
        <f>'FERC Interest Rates'!A63</f>
        <v>42916</v>
      </c>
      <c r="B48" s="61">
        <v>4796437</v>
      </c>
      <c r="C48" s="61">
        <v>4561620</v>
      </c>
      <c r="D48" s="61">
        <v>969855</v>
      </c>
      <c r="E48" s="62">
        <f t="shared" si="13"/>
        <v>10327912</v>
      </c>
      <c r="F48" s="63">
        <v>0</v>
      </c>
      <c r="G48" s="61">
        <f>163812+116861-163812</f>
        <v>116861</v>
      </c>
      <c r="H48" s="62">
        <f t="shared" si="14"/>
        <v>116861</v>
      </c>
      <c r="I48" s="64">
        <f t="shared" si="2"/>
        <v>10444773</v>
      </c>
      <c r="J48" s="63">
        <f>32434391+10035547+34063374+9524292-32434391-10035547</f>
        <v>43587666</v>
      </c>
      <c r="K48" s="65">
        <f t="shared" si="11"/>
        <v>54032439</v>
      </c>
      <c r="L48" s="66" t="s">
        <v>55</v>
      </c>
      <c r="M48" s="88">
        <f>1936209+1949500+809100+542182+1061819+5660151+204038+0+2064599+1983194+1913414+847781+379371+1018577+5851796+510074+0+1740127-1936209-1949500-809100-542182-1061819-5660151-204038-0-2064599</f>
        <v>14244334</v>
      </c>
      <c r="N48" s="62">
        <f t="shared" si="12"/>
        <v>29343332</v>
      </c>
      <c r="O48" s="89">
        <f t="shared" si="5"/>
        <v>39788105</v>
      </c>
      <c r="P48" s="63">
        <v>0</v>
      </c>
      <c r="R48" s="68"/>
    </row>
    <row r="49" spans="1:19" hidden="1" x14ac:dyDescent="0.2">
      <c r="A49" s="60">
        <f>'FERC Interest Rates'!A64</f>
        <v>42947</v>
      </c>
      <c r="B49" s="61">
        <v>2971109</v>
      </c>
      <c r="C49" s="61">
        <v>3057015</v>
      </c>
      <c r="D49" s="61">
        <v>669283</v>
      </c>
      <c r="E49" s="62">
        <f t="shared" si="13"/>
        <v>6697407</v>
      </c>
      <c r="F49" s="63">
        <v>0</v>
      </c>
      <c r="G49" s="61">
        <f>119628+110174-116861</f>
        <v>112941</v>
      </c>
      <c r="H49" s="62">
        <f t="shared" ref="H49:H52" si="15">SUM(F49:G49)</f>
        <v>112941</v>
      </c>
      <c r="I49" s="64">
        <f t="shared" si="2"/>
        <v>6810348</v>
      </c>
      <c r="J49" s="63">
        <f>35353105+10380515+32150027+28096283-34063374-9524292</f>
        <v>62392264</v>
      </c>
      <c r="K49" s="65">
        <f t="shared" si="11"/>
        <v>69202612</v>
      </c>
      <c r="L49" s="66" t="s">
        <v>55</v>
      </c>
      <c r="M49" s="88">
        <f>2041936+1942640+865737+393826+1044006+6339130+521149+1899989+2109495+2030833+733233+382876+1043846+5871056+3799320+0+173422-1983194-1913414-847781-379371-1018577-5851796-510074-0-1740127</f>
        <v>16948160</v>
      </c>
      <c r="N49" s="62">
        <f t="shared" si="12"/>
        <v>45444104</v>
      </c>
      <c r="O49" s="89">
        <f t="shared" si="5"/>
        <v>52254452</v>
      </c>
      <c r="P49" s="63">
        <v>0</v>
      </c>
      <c r="R49" s="68"/>
    </row>
    <row r="50" spans="1:19" hidden="1" x14ac:dyDescent="0.2">
      <c r="A50" s="60">
        <f>'FERC Interest Rates'!A65</f>
        <v>42978</v>
      </c>
      <c r="B50" s="61">
        <v>2722316</v>
      </c>
      <c r="C50" s="61">
        <v>3053970</v>
      </c>
      <c r="D50" s="61">
        <v>907798</v>
      </c>
      <c r="E50" s="62">
        <f t="shared" si="13"/>
        <v>6684084</v>
      </c>
      <c r="F50" s="63">
        <v>0</v>
      </c>
      <c r="G50" s="61">
        <f>110174+103640-110174</f>
        <v>103640</v>
      </c>
      <c r="H50" s="62">
        <f t="shared" si="15"/>
        <v>103640</v>
      </c>
      <c r="I50" s="64">
        <f t="shared" si="2"/>
        <v>6787724</v>
      </c>
      <c r="J50" s="63">
        <f>32174046+28097391+34124815+35723720-32150027-28096283</f>
        <v>69873662</v>
      </c>
      <c r="K50" s="65">
        <f t="shared" si="11"/>
        <v>76661386</v>
      </c>
      <c r="L50" s="66" t="s">
        <v>55</v>
      </c>
      <c r="M50" s="88">
        <f>2109495+2030833+733233+382876+1043846+5871056+3799320+0+173422+2147341+1590458+777249+405347+1032367+7019686+5645286+0+434753-2109495-2030833-733233-382876-1043846-5871056-3799320-0-173422</f>
        <v>19052487</v>
      </c>
      <c r="N50" s="62">
        <f t="shared" si="12"/>
        <v>50821175</v>
      </c>
      <c r="O50" s="89">
        <f t="shared" si="5"/>
        <v>57608899</v>
      </c>
      <c r="P50" s="63">
        <v>0</v>
      </c>
      <c r="R50" s="68"/>
    </row>
    <row r="51" spans="1:19" hidden="1" x14ac:dyDescent="0.2">
      <c r="A51" s="60">
        <f>'FERC Interest Rates'!A66</f>
        <v>43008</v>
      </c>
      <c r="B51" s="61">
        <v>2576731</v>
      </c>
      <c r="C51" s="61">
        <v>2907438</v>
      </c>
      <c r="D51" s="61">
        <v>832457</v>
      </c>
      <c r="E51" s="62">
        <f t="shared" si="13"/>
        <v>6316626</v>
      </c>
      <c r="F51" s="63">
        <v>0</v>
      </c>
      <c r="G51" s="61">
        <f>103640+112511-103640</f>
        <v>112511</v>
      </c>
      <c r="H51" s="62">
        <f t="shared" si="15"/>
        <v>112511</v>
      </c>
      <c r="I51" s="64">
        <f t="shared" si="2"/>
        <v>6429137</v>
      </c>
      <c r="J51" s="63">
        <f>34127073+35721462+35117309+28556525-34124815-35723720</f>
        <v>63673834</v>
      </c>
      <c r="K51" s="65">
        <f t="shared" si="11"/>
        <v>70102971</v>
      </c>
      <c r="L51" s="77" t="s">
        <v>55</v>
      </c>
      <c r="M51" s="88">
        <f>2147341+1590458+777249+405347+1032367+7019686+5645286+0+434753+2276659+2023342+747958+372413+983101+6808000+1690168+0+80516-2147341-1590458-777249-405347-1032367-7019686-5645286-0-434753</f>
        <v>14982157</v>
      </c>
      <c r="N51" s="62">
        <f t="shared" si="12"/>
        <v>48691677</v>
      </c>
      <c r="O51" s="89">
        <f t="shared" si="5"/>
        <v>55120814</v>
      </c>
      <c r="P51" s="63">
        <v>0</v>
      </c>
      <c r="R51" s="68"/>
    </row>
    <row r="52" spans="1:19" hidden="1" x14ac:dyDescent="0.2">
      <c r="A52" s="69">
        <f>'FERC Interest Rates'!A67</f>
        <v>43039</v>
      </c>
      <c r="B52" s="70">
        <v>5100019</v>
      </c>
      <c r="C52" s="70">
        <f>4572157+449</f>
        <v>4572606</v>
      </c>
      <c r="D52" s="70">
        <v>1530746</v>
      </c>
      <c r="E52" s="71">
        <f t="shared" si="13"/>
        <v>11203371</v>
      </c>
      <c r="F52" s="92">
        <v>555</v>
      </c>
      <c r="G52" s="70">
        <f>112511+209141-112511</f>
        <v>209141</v>
      </c>
      <c r="H52" s="71">
        <f t="shared" si="15"/>
        <v>209696</v>
      </c>
      <c r="I52" s="72">
        <f t="shared" si="2"/>
        <v>11413067</v>
      </c>
      <c r="J52" s="92">
        <f>35117309+28556525+39983871+25034069-35117309-28556525</f>
        <v>65017940</v>
      </c>
      <c r="K52" s="73">
        <f t="shared" si="11"/>
        <v>76431007</v>
      </c>
      <c r="L52" s="74" t="s">
        <v>55</v>
      </c>
      <c r="M52" s="92">
        <f>2276659+2023342+747958+372413+983101+6808000+1690168+0+80516+2852203+2417482+802269+501609+1023937+4575090+58490+0+29311-2276659-2023342-747958-372413-983101-6808000-1690168-0-80516</f>
        <v>12260391</v>
      </c>
      <c r="N52" s="71">
        <f t="shared" si="12"/>
        <v>52757549</v>
      </c>
      <c r="O52" s="93">
        <f t="shared" si="5"/>
        <v>64170616</v>
      </c>
      <c r="P52" s="92">
        <v>0</v>
      </c>
      <c r="Q52" s="94"/>
      <c r="R52" s="95"/>
    </row>
    <row r="53" spans="1:19" x14ac:dyDescent="0.2">
      <c r="A53" s="60">
        <f>'FERC Interest Rates'!A68</f>
        <v>43069</v>
      </c>
      <c r="B53" s="61">
        <v>10497863</v>
      </c>
      <c r="C53" s="61">
        <f>7823395+1372-449</f>
        <v>7824318</v>
      </c>
      <c r="D53" s="61">
        <v>1278888</v>
      </c>
      <c r="E53" s="62">
        <f t="shared" si="13"/>
        <v>19601069</v>
      </c>
      <c r="F53" s="63">
        <f>555+372-555</f>
        <v>372</v>
      </c>
      <c r="G53" s="61">
        <f>209141+229655-209141</f>
        <v>229655</v>
      </c>
      <c r="H53" s="62">
        <f t="shared" ref="H53:H64" si="16">SUM(F53:G53)</f>
        <v>230027</v>
      </c>
      <c r="I53" s="64">
        <f t="shared" si="2"/>
        <v>19831096</v>
      </c>
      <c r="J53" s="63">
        <f>39983871+25034069+39459711+17526517-39983871-25034069</f>
        <v>56986228</v>
      </c>
      <c r="K53" s="65">
        <f t="shared" si="11"/>
        <v>76817324</v>
      </c>
      <c r="L53" s="66" t="s">
        <v>55</v>
      </c>
      <c r="M53" s="88">
        <f>2852203+2417482+802269+501609+1023937+4575090+58490+0+29311+2878277+2587998+757035+433259+959885+6077171+1751978+0+560788-2852203-2417482-802269-501609-1023937-4575090-58490-0-29311</f>
        <v>16006391</v>
      </c>
      <c r="N53" s="62">
        <f t="shared" si="12"/>
        <v>40979837</v>
      </c>
      <c r="O53" s="89">
        <f t="shared" si="5"/>
        <v>60810933</v>
      </c>
      <c r="P53" s="63">
        <v>0</v>
      </c>
      <c r="R53" s="68"/>
      <c r="S53" s="2" t="s">
        <v>56</v>
      </c>
    </row>
    <row r="54" spans="1:19" x14ac:dyDescent="0.2">
      <c r="A54" s="60">
        <f>'FERC Interest Rates'!A69</f>
        <v>43100</v>
      </c>
      <c r="B54" s="61">
        <v>16164227</v>
      </c>
      <c r="C54" s="61">
        <f>11939622+2767-1372</f>
        <v>11941017</v>
      </c>
      <c r="D54" s="61">
        <v>1609946</v>
      </c>
      <c r="E54" s="62">
        <f t="shared" si="13"/>
        <v>29715190</v>
      </c>
      <c r="F54" s="63">
        <f>372+417-372</f>
        <v>417</v>
      </c>
      <c r="G54" s="61">
        <f>229655+258064-229655</f>
        <v>258064</v>
      </c>
      <c r="H54" s="62">
        <f t="shared" si="16"/>
        <v>258481</v>
      </c>
      <c r="I54" s="64">
        <f t="shared" si="2"/>
        <v>29973671</v>
      </c>
      <c r="J54" s="63">
        <f>39459711+17526517+41915890+25317310-39459711-17526517</f>
        <v>67233200</v>
      </c>
      <c r="K54" s="65">
        <f t="shared" si="11"/>
        <v>97206871</v>
      </c>
      <c r="L54" s="66" t="s">
        <v>55</v>
      </c>
      <c r="M54" s="88">
        <f>2878277+2587998+757035+433259+959885+6077171+1751978+0+560788+3051191+2729250+726643+680640+1123009+7340017+2258956+0+423046-2878277-2587998-757035-433259-959885-6077171-1751978-0-560788</f>
        <v>18332752</v>
      </c>
      <c r="N54" s="62">
        <f t="shared" si="12"/>
        <v>48900448</v>
      </c>
      <c r="O54" s="89">
        <f t="shared" si="5"/>
        <v>78874119</v>
      </c>
      <c r="P54" s="63">
        <v>0</v>
      </c>
      <c r="R54" s="68"/>
    </row>
    <row r="55" spans="1:19" x14ac:dyDescent="0.2">
      <c r="A55" s="60">
        <f>'FERC Interest Rates'!A70</f>
        <v>43131</v>
      </c>
      <c r="B55" s="61">
        <v>22610497</v>
      </c>
      <c r="C55" s="61">
        <f>16792784+4356-2767</f>
        <v>16794373</v>
      </c>
      <c r="D55" s="61">
        <v>1908527</v>
      </c>
      <c r="E55" s="62">
        <f t="shared" si="13"/>
        <v>41313397</v>
      </c>
      <c r="F55" s="63">
        <f>417+1267-417</f>
        <v>1267</v>
      </c>
      <c r="G55" s="61">
        <f>258064+248863-258064</f>
        <v>248863</v>
      </c>
      <c r="H55" s="62">
        <f t="shared" si="16"/>
        <v>250130</v>
      </c>
      <c r="I55" s="64">
        <f t="shared" si="2"/>
        <v>41563527</v>
      </c>
      <c r="J55" s="63">
        <f>42045207+25317310+43764746+11057139-41915890-25317310</f>
        <v>54951202</v>
      </c>
      <c r="K55" s="65">
        <f t="shared" si="11"/>
        <v>96514729</v>
      </c>
      <c r="L55" s="66" t="s">
        <v>55</v>
      </c>
      <c r="M55" s="88">
        <f>3051191+2729250+726643+680640+1123009+7340017+2258956+0+423046+2911276+2540999+844542+536468+1178958+7140034+0+953897-3051191-2729250-726643-680640-1123009-7340017-2258956-0-423046</f>
        <v>16106174</v>
      </c>
      <c r="N55" s="62">
        <f t="shared" si="12"/>
        <v>38845028</v>
      </c>
      <c r="O55" s="89">
        <f t="shared" si="5"/>
        <v>80408555</v>
      </c>
      <c r="P55" s="63">
        <v>0</v>
      </c>
      <c r="Q55" s="96">
        <f>12394705-16210590</f>
        <v>-3815885</v>
      </c>
      <c r="R55" s="97">
        <f>9146743-11843174</f>
        <v>-2696431</v>
      </c>
    </row>
    <row r="56" spans="1:19" x14ac:dyDescent="0.2">
      <c r="A56" s="60">
        <f>'FERC Interest Rates'!A71</f>
        <v>43159</v>
      </c>
      <c r="B56" s="61">
        <v>15930429</v>
      </c>
      <c r="C56" s="61">
        <f>12040735+5757-4356</f>
        <v>12042136</v>
      </c>
      <c r="D56" s="61">
        <v>1517494</v>
      </c>
      <c r="E56" s="62">
        <f t="shared" si="13"/>
        <v>29490059</v>
      </c>
      <c r="F56" s="63">
        <f>1267+0-1267</f>
        <v>0</v>
      </c>
      <c r="G56" s="61">
        <f>248863+242159-248863</f>
        <v>242159</v>
      </c>
      <c r="H56" s="62">
        <f t="shared" si="16"/>
        <v>242159</v>
      </c>
      <c r="I56" s="64">
        <f t="shared" si="2"/>
        <v>29732218</v>
      </c>
      <c r="J56" s="63">
        <f>43786362+11057139+38242861+15978140-43764746-11057139</f>
        <v>54242617</v>
      </c>
      <c r="K56" s="65">
        <f t="shared" si="11"/>
        <v>83974835</v>
      </c>
      <c r="L56" s="66" t="s">
        <v>55</v>
      </c>
      <c r="M56" s="88">
        <f>2911276+2540999+844542+536468+1178958+7140034+0+0+953897+2487591+2254074+744870+510054+1083209+6489580+1333642+0+697234-2911276-2540999-844542-536468-1178958-7140034-0-0-953897</f>
        <v>15600254</v>
      </c>
      <c r="N56" s="62">
        <f t="shared" si="12"/>
        <v>38642363</v>
      </c>
      <c r="O56" s="89">
        <f t="shared" si="5"/>
        <v>68374581</v>
      </c>
      <c r="P56" s="63">
        <v>0</v>
      </c>
      <c r="Q56" s="96">
        <f>14191411-12394705</f>
        <v>1796706</v>
      </c>
      <c r="R56" s="97">
        <f>10687012-9146743</f>
        <v>1540269</v>
      </c>
    </row>
    <row r="57" spans="1:19" x14ac:dyDescent="0.2">
      <c r="A57" s="60">
        <f>'FERC Interest Rates'!A72</f>
        <v>43190</v>
      </c>
      <c r="B57" s="61">
        <v>18880636</v>
      </c>
      <c r="C57" s="61">
        <f>13967249+4526-5757</f>
        <v>13966018</v>
      </c>
      <c r="D57" s="61">
        <v>1685605</v>
      </c>
      <c r="E57" s="62">
        <f t="shared" si="13"/>
        <v>34532259</v>
      </c>
      <c r="F57" s="63">
        <f>0+51-0</f>
        <v>51</v>
      </c>
      <c r="G57" s="61">
        <f>242159+240280-242159</f>
        <v>240280</v>
      </c>
      <c r="H57" s="62">
        <f t="shared" si="16"/>
        <v>240331</v>
      </c>
      <c r="I57" s="64">
        <f t="shared" si="2"/>
        <v>34772590</v>
      </c>
      <c r="J57" s="63">
        <f>38242861+15978140+40193634+19191924-38242861-15978140</f>
        <v>59385558</v>
      </c>
      <c r="K57" s="65">
        <f t="shared" si="11"/>
        <v>94158148</v>
      </c>
      <c r="L57" s="66" t="s">
        <v>55</v>
      </c>
      <c r="M57" s="88">
        <f>2487591+2254074+744870+510054+1083209+6489580+1333642+0+697234+2589124+2360194+764763+457960+1189749+6698693+407699+0+925311-2487591-2254074-744870-510054-1083209-6489580-1333642-0-697234</f>
        <v>15393493</v>
      </c>
      <c r="N57" s="62">
        <f t="shared" si="12"/>
        <v>43992065</v>
      </c>
      <c r="O57" s="89">
        <f t="shared" si="5"/>
        <v>78764655</v>
      </c>
      <c r="P57" s="63">
        <v>0</v>
      </c>
      <c r="Q57" s="96">
        <f>9771873-14191411</f>
        <v>-4419538</v>
      </c>
      <c r="R57" s="97">
        <f>7181224-10687012</f>
        <v>-3505788</v>
      </c>
    </row>
    <row r="58" spans="1:19" x14ac:dyDescent="0.2">
      <c r="A58" s="60">
        <f>'FERC Interest Rates'!A73</f>
        <v>43220</v>
      </c>
      <c r="B58" s="61">
        <v>12554859</v>
      </c>
      <c r="C58" s="61">
        <f>9771046+2823-4526</f>
        <v>9769343</v>
      </c>
      <c r="D58" s="61">
        <v>1448402</v>
      </c>
      <c r="E58" s="62">
        <f t="shared" si="13"/>
        <v>23772604</v>
      </c>
      <c r="F58" s="63">
        <f>51+0-51</f>
        <v>0</v>
      </c>
      <c r="G58" s="61">
        <f>240280+200185-240280</f>
        <v>200185</v>
      </c>
      <c r="H58" s="62">
        <f t="shared" si="16"/>
        <v>200185</v>
      </c>
      <c r="I58" s="64">
        <f t="shared" si="2"/>
        <v>23972789</v>
      </c>
      <c r="J58" s="63">
        <f>40193634+19191924+34723759+11132239-40193634-19191924</f>
        <v>45855998</v>
      </c>
      <c r="K58" s="65">
        <f t="shared" si="11"/>
        <v>69828787</v>
      </c>
      <c r="L58" s="66" t="s">
        <v>55</v>
      </c>
      <c r="M58" s="88">
        <f>2589124+2360194+764763+457960+1189749+6698693+407699+0+925311+2576948+2420053+760782+395328+1117418+5962269+0+0+248626-2589124-2360194-764763-457960-1189749-6698693-407699-0-925311</f>
        <v>13481424</v>
      </c>
      <c r="N58" s="62">
        <f t="shared" si="12"/>
        <v>32374574</v>
      </c>
      <c r="O58" s="89">
        <f t="shared" si="5"/>
        <v>56347363</v>
      </c>
      <c r="P58" s="63">
        <v>0</v>
      </c>
      <c r="Q58" s="96">
        <f>6423644-9771873</f>
        <v>-3348229</v>
      </c>
      <c r="R58" s="97">
        <f>4977541-7181224</f>
        <v>-2203683</v>
      </c>
    </row>
    <row r="59" spans="1:19" x14ac:dyDescent="0.2">
      <c r="A59" s="60">
        <f>'FERC Interest Rates'!A74</f>
        <v>43251</v>
      </c>
      <c r="B59" s="61">
        <v>7404984</v>
      </c>
      <c r="C59" s="61">
        <f>6243183+520-2823</f>
        <v>6240880</v>
      </c>
      <c r="D59" s="61">
        <v>1118410</v>
      </c>
      <c r="E59" s="62">
        <f t="shared" si="13"/>
        <v>14764274</v>
      </c>
      <c r="F59" s="63">
        <f>0+0-0</f>
        <v>0</v>
      </c>
      <c r="G59" s="61">
        <f>200185+144526-200185</f>
        <v>144526</v>
      </c>
      <c r="H59" s="62">
        <f t="shared" si="16"/>
        <v>144526</v>
      </c>
      <c r="I59" s="64">
        <f t="shared" si="2"/>
        <v>14908800</v>
      </c>
      <c r="J59" s="63">
        <f>34723759+11132239+33561676+16876014-34723759-11132239</f>
        <v>50437690</v>
      </c>
      <c r="K59" s="65">
        <f t="shared" si="11"/>
        <v>65346490</v>
      </c>
      <c r="L59" s="66" t="s">
        <v>55</v>
      </c>
      <c r="M59" s="88">
        <f>2576948+2420053+760782+395328+1117418+5962269+0+0+248626+1833960+1473340+275693+341945+1103385+5032278+702821+0+1760939-2576948-2420053-760782-395328-1117418-5962269-0-0-248626</f>
        <v>12524361</v>
      </c>
      <c r="N59" s="62">
        <f t="shared" si="12"/>
        <v>37913329</v>
      </c>
      <c r="O59" s="89">
        <f t="shared" si="5"/>
        <v>52822129</v>
      </c>
      <c r="P59" s="63">
        <v>0</v>
      </c>
      <c r="Q59" s="96">
        <f>3061183-6423644</f>
        <v>-3362461</v>
      </c>
      <c r="R59" s="97">
        <f>2554573-4977541</f>
        <v>-2422968</v>
      </c>
    </row>
    <row r="60" spans="1:19" x14ac:dyDescent="0.2">
      <c r="A60" s="60">
        <f>'FERC Interest Rates'!A75</f>
        <v>43281</v>
      </c>
      <c r="B60" s="61">
        <v>4018990</v>
      </c>
      <c r="C60" s="61">
        <f>3937807+438-520</f>
        <v>3937725</v>
      </c>
      <c r="D60" s="61">
        <v>859503</v>
      </c>
      <c r="E60" s="62">
        <f t="shared" si="13"/>
        <v>8816218</v>
      </c>
      <c r="F60" s="63">
        <f>0+167-0</f>
        <v>167</v>
      </c>
      <c r="G60" s="61">
        <f>144526+115917-144526</f>
        <v>115917</v>
      </c>
      <c r="H60" s="62">
        <f t="shared" si="16"/>
        <v>116084</v>
      </c>
      <c r="I60" s="64">
        <f t="shared" si="2"/>
        <v>8932302</v>
      </c>
      <c r="J60" s="63">
        <f>33561676+16876014+32538837+13568516-33561676-16876014</f>
        <v>46107353</v>
      </c>
      <c r="K60" s="65">
        <f t="shared" si="11"/>
        <v>55039655</v>
      </c>
      <c r="L60" s="66" t="s">
        <v>55</v>
      </c>
      <c r="M60" s="88">
        <f>1833960+1473340+275693+341945+1103385+5032278+702821+0+1760939+1899111+1560149+755083+358897+986306+3268606+1610020+0+851143-1833960-1473340-275693-341945-1103385-5032278-702821-0-1760939</f>
        <v>11289315</v>
      </c>
      <c r="N60" s="62">
        <f t="shared" si="12"/>
        <v>34818038</v>
      </c>
      <c r="O60" s="89">
        <f t="shared" si="5"/>
        <v>43750340</v>
      </c>
      <c r="P60" s="63">
        <v>0</v>
      </c>
      <c r="Q60" s="96">
        <f>2628458-3061183</f>
        <v>-432725</v>
      </c>
      <c r="R60" s="97">
        <f>2530552-2554573</f>
        <v>-24021</v>
      </c>
    </row>
    <row r="61" spans="1:19" x14ac:dyDescent="0.2">
      <c r="A61" s="60">
        <f>'FERC Interest Rates'!A76</f>
        <v>43312</v>
      </c>
      <c r="B61" s="61">
        <v>3122808</v>
      </c>
      <c r="C61" s="61">
        <f>3296142+124-438</f>
        <v>3295828</v>
      </c>
      <c r="D61" s="61">
        <v>781268</v>
      </c>
      <c r="E61" s="62">
        <f t="shared" si="13"/>
        <v>7199904</v>
      </c>
      <c r="F61" s="63">
        <f>167+0-167</f>
        <v>0</v>
      </c>
      <c r="G61" s="61">
        <f>115917+115400-115917</f>
        <v>115400</v>
      </c>
      <c r="H61" s="62">
        <f t="shared" si="16"/>
        <v>115400</v>
      </c>
      <c r="I61" s="64">
        <f t="shared" si="2"/>
        <v>7315304</v>
      </c>
      <c r="J61" s="63">
        <f>32892877+13802320+31627626+46228894-32538837-13568516</f>
        <v>78444364</v>
      </c>
      <c r="K61" s="65">
        <f t="shared" si="11"/>
        <v>85759668</v>
      </c>
      <c r="L61" s="66" t="s">
        <v>55</v>
      </c>
      <c r="M61" s="88">
        <f>1899111+1560149+755083+358897+986306+3502410+1610020+0+851143+2361080+1597045+530833+248565+1004847+6188410+6692043+0+1421649-1899111-1560149-755083-358897-986306-3268606-1610020-0-851143</f>
        <v>20278276</v>
      </c>
      <c r="N61" s="62">
        <f t="shared" si="12"/>
        <v>58166088</v>
      </c>
      <c r="O61" s="89">
        <f t="shared" si="5"/>
        <v>65481392</v>
      </c>
      <c r="P61" s="63">
        <v>0</v>
      </c>
      <c r="Q61" s="96">
        <f>2376801-2628458</f>
        <v>-251657</v>
      </c>
      <c r="R61" s="97">
        <f>2469451-2530552</f>
        <v>-61101</v>
      </c>
    </row>
    <row r="62" spans="1:19" x14ac:dyDescent="0.2">
      <c r="A62" s="60">
        <f>'FERC Interest Rates'!A77</f>
        <v>43343</v>
      </c>
      <c r="B62" s="61">
        <f>2714543+566</f>
        <v>2715109</v>
      </c>
      <c r="C62" s="61">
        <f>3197529+158-124</f>
        <v>3197563</v>
      </c>
      <c r="D62" s="61">
        <v>798722</v>
      </c>
      <c r="E62" s="62">
        <f t="shared" si="13"/>
        <v>6711394</v>
      </c>
      <c r="F62" s="63">
        <f>0+359-0</f>
        <v>359</v>
      </c>
      <c r="G62" s="61">
        <f>111904+8245+93391-111904-3496</f>
        <v>98140</v>
      </c>
      <c r="H62" s="62">
        <f t="shared" si="16"/>
        <v>98499</v>
      </c>
      <c r="I62" s="64">
        <f t="shared" si="2"/>
        <v>6809893</v>
      </c>
      <c r="J62" s="63">
        <f>31627626+46228894+32586753+44352608-31627626-46228894</f>
        <v>76939361</v>
      </c>
      <c r="K62" s="65">
        <f t="shared" si="11"/>
        <v>83749254</v>
      </c>
      <c r="L62" s="66" t="s">
        <v>55</v>
      </c>
      <c r="M62" s="88">
        <f>2361080+1597045+530833+248565+1004847+6188410+6692043+0+1421649+2073946+1569259+710981+336820+970764+4069426+6558487+1275763-2361080-1597045-530833-248565-1004847-6188410-6692043-0-1421649</f>
        <v>17565446</v>
      </c>
      <c r="N62" s="62">
        <f t="shared" si="12"/>
        <v>59373915</v>
      </c>
      <c r="O62" s="89">
        <f t="shared" si="5"/>
        <v>66183808</v>
      </c>
      <c r="P62" s="63">
        <v>0</v>
      </c>
      <c r="Q62" s="96">
        <f>1072372-2376801</f>
        <v>-1304429</v>
      </c>
      <c r="R62" s="97">
        <f>1246891-2469451</f>
        <v>-1222560</v>
      </c>
    </row>
    <row r="63" spans="1:19" x14ac:dyDescent="0.2">
      <c r="A63" s="60">
        <f>'FERC Interest Rates'!A78</f>
        <v>43373</v>
      </c>
      <c r="B63" s="61">
        <v>2809188</v>
      </c>
      <c r="C63" s="61">
        <f>3168549+501-158</f>
        <v>3168892</v>
      </c>
      <c r="D63" s="61">
        <v>889025</v>
      </c>
      <c r="E63" s="62">
        <f t="shared" si="13"/>
        <v>6867105</v>
      </c>
      <c r="F63" s="63">
        <f>359+188-359</f>
        <v>188</v>
      </c>
      <c r="G63" s="61">
        <f>93391+118645-93391</f>
        <v>118645</v>
      </c>
      <c r="H63" s="62">
        <f t="shared" si="16"/>
        <v>118833</v>
      </c>
      <c r="I63" s="64">
        <f t="shared" si="2"/>
        <v>6985938</v>
      </c>
      <c r="J63" s="63">
        <f>32959033+44352608+36656724+34986825-32586753-44352608</f>
        <v>72015829</v>
      </c>
      <c r="K63" s="65">
        <f t="shared" si="11"/>
        <v>79001767</v>
      </c>
      <c r="L63" s="77" t="s">
        <v>55</v>
      </c>
      <c r="M63" s="88">
        <f>2073946+1569259+710981+336820+1343044+4069426+6558487+1275763+14392902+2302148+1821816+648766+336043+1086841+3186225+0+25764-2073946-1569259-710981-336820-970764-4069426-6558487-1275763-14392902</f>
        <v>9779883</v>
      </c>
      <c r="N63" s="62">
        <f t="shared" si="12"/>
        <v>62235946</v>
      </c>
      <c r="O63" s="89">
        <f t="shared" si="5"/>
        <v>69221884</v>
      </c>
      <c r="P63" s="63">
        <v>0</v>
      </c>
      <c r="Q63" s="96">
        <f>1999718-1072372</f>
        <v>927346</v>
      </c>
      <c r="R63" s="97">
        <f>2233399-1246891</f>
        <v>986508</v>
      </c>
    </row>
    <row r="64" spans="1:19" x14ac:dyDescent="0.2">
      <c r="A64" s="69">
        <f>'FERC Interest Rates'!A79</f>
        <v>43404</v>
      </c>
      <c r="B64" s="70">
        <v>5307116</v>
      </c>
      <c r="C64" s="70">
        <f>4934895+2079-501</f>
        <v>4936473</v>
      </c>
      <c r="D64" s="70">
        <v>1478716</v>
      </c>
      <c r="E64" s="71">
        <f t="shared" si="13"/>
        <v>11722305</v>
      </c>
      <c r="F64" s="92">
        <f>188+21-188</f>
        <v>21</v>
      </c>
      <c r="G64" s="70">
        <f>118645+197742-118645</f>
        <v>197742</v>
      </c>
      <c r="H64" s="71">
        <f t="shared" si="16"/>
        <v>197763</v>
      </c>
      <c r="I64" s="72">
        <f t="shared" si="2"/>
        <v>11920068</v>
      </c>
      <c r="J64" s="92">
        <f>36656724+34986825+38306298+20347223-36656724-34986825</f>
        <v>58653521</v>
      </c>
      <c r="K64" s="73">
        <f t="shared" si="11"/>
        <v>70573589</v>
      </c>
      <c r="L64" s="74" t="s">
        <v>55</v>
      </c>
      <c r="M64" s="92">
        <f>2302148+1821816+648766+336043+1086841+3186225+0+25764+2519545+1323607+785768+574709+654091+6582081+0+15208-2302148-1821816-648766-336043-1086841-3186225-0-25764</f>
        <v>12455009</v>
      </c>
      <c r="N64" s="71">
        <f t="shared" si="12"/>
        <v>46198512</v>
      </c>
      <c r="O64" s="93">
        <f t="shared" si="5"/>
        <v>58118580</v>
      </c>
      <c r="P64" s="92">
        <v>0</v>
      </c>
      <c r="Q64" s="98">
        <f>4772036-1999718</f>
        <v>2772318</v>
      </c>
      <c r="R64" s="99">
        <f>4424005-2233399</f>
        <v>2190606</v>
      </c>
    </row>
    <row r="65" spans="1:19" x14ac:dyDescent="0.2">
      <c r="A65" s="100">
        <f>'FERC Interest Rates'!A80</f>
        <v>43434</v>
      </c>
      <c r="B65" s="61">
        <v>8960930</v>
      </c>
      <c r="C65" s="61">
        <f>6947705+3464-2079</f>
        <v>6949090</v>
      </c>
      <c r="D65" s="61">
        <v>1174387</v>
      </c>
      <c r="E65" s="62">
        <f t="shared" si="13"/>
        <v>17084407</v>
      </c>
      <c r="F65" s="63">
        <f>21+63-21</f>
        <v>63</v>
      </c>
      <c r="G65" s="61">
        <f>197742+217688-197742</f>
        <v>217688</v>
      </c>
      <c r="H65" s="62">
        <f t="shared" ref="H65:H76" si="17">SUM(F65:G65)</f>
        <v>217751</v>
      </c>
      <c r="I65" s="64">
        <f t="shared" si="2"/>
        <v>17302158</v>
      </c>
      <c r="J65" s="63">
        <f>38306298+20347223+30607596+8010794-38306298-20347223</f>
        <v>38618390</v>
      </c>
      <c r="K65" s="62">
        <f t="shared" si="11"/>
        <v>55920548</v>
      </c>
      <c r="L65" s="101" t="s">
        <v>55</v>
      </c>
      <c r="M65" s="63">
        <f>2519545+1323607+785768+574709+654091+6582081+0+15208+2036183+702707+630069+446415+843484+7455224+392300+24401-2519545-1323607-785768-574709-654091-6582081-0-15208</f>
        <v>12530783</v>
      </c>
      <c r="N65" s="62">
        <f t="shared" si="12"/>
        <v>26087607</v>
      </c>
      <c r="O65" s="89">
        <f t="shared" si="5"/>
        <v>43389765</v>
      </c>
      <c r="P65" s="63">
        <v>0</v>
      </c>
      <c r="Q65" s="96">
        <f>11306377-4772036</f>
        <v>6534341</v>
      </c>
      <c r="R65" s="97">
        <f>8615742-4424005</f>
        <v>4191737</v>
      </c>
      <c r="S65" s="2" t="s">
        <v>56</v>
      </c>
    </row>
    <row r="66" spans="1:19" x14ac:dyDescent="0.2">
      <c r="A66" s="60">
        <f>'FERC Interest Rates'!A81</f>
        <v>43465</v>
      </c>
      <c r="B66" s="61">
        <v>17031202</v>
      </c>
      <c r="C66" s="61">
        <f>12847300+4915-3464</f>
        <v>12848751</v>
      </c>
      <c r="D66" s="61">
        <v>1780585</v>
      </c>
      <c r="E66" s="62">
        <f t="shared" si="13"/>
        <v>31660538</v>
      </c>
      <c r="F66" s="63">
        <f>63+79-63</f>
        <v>79</v>
      </c>
      <c r="G66" s="61">
        <f>217688+260482-217688</f>
        <v>260482</v>
      </c>
      <c r="H66" s="62">
        <f t="shared" si="17"/>
        <v>260561</v>
      </c>
      <c r="I66" s="64">
        <f t="shared" si="2"/>
        <v>31921099</v>
      </c>
      <c r="J66" s="63">
        <f>30607596+8010794+35363826+27155220-30607596-8010794</f>
        <v>62519046</v>
      </c>
      <c r="K66" s="62">
        <f t="shared" si="11"/>
        <v>94440145</v>
      </c>
      <c r="L66" s="101" t="s">
        <v>55</v>
      </c>
      <c r="M66" s="63">
        <f>2036183+702707+630069+446415+843484+7455224+392300+24401+2617891+938576+765472+502419+1192617+7824829+357236+82468-2036183-702707-630069-446415-843484-7455224-392300-24401</f>
        <v>14281508</v>
      </c>
      <c r="N66" s="62">
        <f t="shared" si="12"/>
        <v>48237538</v>
      </c>
      <c r="O66" s="89">
        <f t="shared" si="5"/>
        <v>80158637</v>
      </c>
      <c r="P66" s="63">
        <v>0</v>
      </c>
      <c r="Q66" s="96">
        <f>13675573-11306377</f>
        <v>2369196</v>
      </c>
      <c r="R66" s="97">
        <f>10228218-8615742</f>
        <v>1612476</v>
      </c>
    </row>
    <row r="67" spans="1:19" x14ac:dyDescent="0.2">
      <c r="A67" s="102">
        <f>'FERC Interest Rates'!A82</f>
        <v>43496</v>
      </c>
      <c r="B67" s="61">
        <v>19425579</v>
      </c>
      <c r="C67" s="61">
        <f>14600523+4626-4915</f>
        <v>14600234</v>
      </c>
      <c r="D67" s="61">
        <v>1764670</v>
      </c>
      <c r="E67" s="62">
        <f t="shared" si="13"/>
        <v>35790483</v>
      </c>
      <c r="F67" s="63">
        <f>79+7-79</f>
        <v>7</v>
      </c>
      <c r="G67" s="61">
        <f>260482+258811-260482</f>
        <v>258811</v>
      </c>
      <c r="H67" s="62">
        <f t="shared" si="17"/>
        <v>258818</v>
      </c>
      <c r="I67" s="64">
        <f t="shared" si="2"/>
        <v>36049301</v>
      </c>
      <c r="J67" s="63">
        <f>35363826+27155220+38940773+26818206-35363826-27155220</f>
        <v>65758979</v>
      </c>
      <c r="K67" s="62">
        <f t="shared" si="11"/>
        <v>101808280</v>
      </c>
      <c r="L67" s="101" t="s">
        <v>55</v>
      </c>
      <c r="M67" s="63">
        <f>2617891+938576+765472+502419+1192617+7824829+357236+82468+3202152+2041529+835418+564041+1220699+7679533+0+0-2617891-938576-765472-502419-1192617-7824829-357236-82468</f>
        <v>15543372</v>
      </c>
      <c r="N67" s="62">
        <f t="shared" si="12"/>
        <v>50215607</v>
      </c>
      <c r="O67" s="89">
        <f t="shared" si="5"/>
        <v>86264908</v>
      </c>
      <c r="P67" s="63">
        <v>0</v>
      </c>
      <c r="Q67" s="96">
        <f>13677389-13675573</f>
        <v>1816</v>
      </c>
      <c r="R67" s="97">
        <f>10187002-10228218</f>
        <v>-41216</v>
      </c>
    </row>
    <row r="68" spans="1:19" x14ac:dyDescent="0.2">
      <c r="A68" s="60">
        <f>'FERC Interest Rates'!A83</f>
        <v>43524</v>
      </c>
      <c r="B68" s="61">
        <v>20826493</v>
      </c>
      <c r="C68" s="61">
        <f>15520348+5486-4626</f>
        <v>15521208</v>
      </c>
      <c r="D68" s="61">
        <v>1942115</v>
      </c>
      <c r="E68" s="62">
        <f t="shared" si="13"/>
        <v>38289816</v>
      </c>
      <c r="F68" s="63">
        <f>7+0-7</f>
        <v>0</v>
      </c>
      <c r="G68" s="61">
        <f>258811+270184-258811</f>
        <v>270184</v>
      </c>
      <c r="H68" s="62">
        <f t="shared" si="17"/>
        <v>270184</v>
      </c>
      <c r="I68" s="64">
        <f t="shared" si="2"/>
        <v>38560000</v>
      </c>
      <c r="J68" s="63">
        <f>38940773+26818206+37253381+23693433-38940773-26818206</f>
        <v>60946814</v>
      </c>
      <c r="K68" s="62">
        <f t="shared" si="11"/>
        <v>99506814</v>
      </c>
      <c r="L68" s="101" t="s">
        <v>55</v>
      </c>
      <c r="M68" s="63">
        <f>3202152+2041529+835418+564041+1220699+7679533+0+0+2316555+2359414+735036+538901+1078245+7686555+2483404+39201-3202152-2041529-835418-564041-1220699-7679533-0-0</f>
        <v>17237311</v>
      </c>
      <c r="N68" s="62">
        <f t="shared" si="12"/>
        <v>43709503</v>
      </c>
      <c r="O68" s="89">
        <f t="shared" si="5"/>
        <v>82269503</v>
      </c>
      <c r="P68" s="63">
        <v>0</v>
      </c>
      <c r="Q68" s="96">
        <f>17127329-13677389</f>
        <v>3449940</v>
      </c>
      <c r="R68" s="97">
        <f>12666270-10187002</f>
        <v>2479268</v>
      </c>
    </row>
    <row r="69" spans="1:19" x14ac:dyDescent="0.2">
      <c r="A69" s="103">
        <f>'FERC Interest Rates'!A84</f>
        <v>43555</v>
      </c>
      <c r="B69" s="70">
        <v>22406676</v>
      </c>
      <c r="C69" s="70">
        <f>17597418+3527-5486</f>
        <v>17595459</v>
      </c>
      <c r="D69" s="70">
        <v>2139177</v>
      </c>
      <c r="E69" s="71">
        <f t="shared" si="13"/>
        <v>42141312</v>
      </c>
      <c r="F69" s="92">
        <v>0</v>
      </c>
      <c r="G69" s="70">
        <f>270184+248145-270184</f>
        <v>248145</v>
      </c>
      <c r="H69" s="71">
        <f t="shared" si="17"/>
        <v>248145</v>
      </c>
      <c r="I69" s="72">
        <f t="shared" ref="I69:I100" si="18">E69+H69</f>
        <v>42389457</v>
      </c>
      <c r="J69" s="92">
        <f>37253381+23693433+36801397+22665583-37253381-23693433</f>
        <v>59466980</v>
      </c>
      <c r="K69" s="71">
        <f t="shared" si="11"/>
        <v>101856437</v>
      </c>
      <c r="L69" s="104" t="s">
        <v>55</v>
      </c>
      <c r="M69" s="92">
        <f>2316555+2359414+735036+538901+1078245+7686555+2483404+39201+2298407+2520690+848257+538257+1154609+9312929+334503+112350-2316555-2359414-735036-538901-1078245-7686555-2483404-39201</f>
        <v>17120002</v>
      </c>
      <c r="N69" s="71">
        <f t="shared" si="12"/>
        <v>42346978</v>
      </c>
      <c r="O69" s="93">
        <f t="shared" ref="O69:O100" si="19">K69-M69</f>
        <v>84736435</v>
      </c>
      <c r="P69" s="92">
        <v>0</v>
      </c>
      <c r="Q69" s="98">
        <f>11032733-17127329</f>
        <v>-6094596</v>
      </c>
      <c r="R69" s="99">
        <f>8619566-12666270</f>
        <v>-4046704</v>
      </c>
    </row>
    <row r="70" spans="1:19" x14ac:dyDescent="0.2">
      <c r="A70" s="105">
        <f>'FERC Interest Rates'!A85</f>
        <v>43585</v>
      </c>
      <c r="B70" s="61">
        <v>12262358</v>
      </c>
      <c r="C70" s="61">
        <f>10128913+2258-3527</f>
        <v>10127644</v>
      </c>
      <c r="D70" s="61">
        <v>1670359</v>
      </c>
      <c r="E70" s="62">
        <f t="shared" si="13"/>
        <v>24060361</v>
      </c>
      <c r="F70" s="63">
        <f>0+128-0</f>
        <v>128</v>
      </c>
      <c r="G70" s="61">
        <f>248145+191467-248145</f>
        <v>191467</v>
      </c>
      <c r="H70" s="62">
        <f t="shared" si="17"/>
        <v>191595</v>
      </c>
      <c r="I70" s="64">
        <f t="shared" si="18"/>
        <v>24251956</v>
      </c>
      <c r="J70" s="63">
        <f>36773442+22665583+34981109+18550201-36801397-22665583</f>
        <v>53503355</v>
      </c>
      <c r="K70" s="62">
        <f t="shared" si="11"/>
        <v>77755311</v>
      </c>
      <c r="L70" s="101" t="s">
        <v>55</v>
      </c>
      <c r="M70" s="63">
        <f>2298407+2520690+848257+538257+1154609+9312929+334503+112350+2069826+2845634+769998+397319+1061450+8371884+0+8745-2298407-2520690-848257-538257-1154609-9312929-334503-112350</f>
        <v>15524856</v>
      </c>
      <c r="N70" s="62">
        <f t="shared" si="12"/>
        <v>37978499</v>
      </c>
      <c r="O70" s="89">
        <f t="shared" si="19"/>
        <v>62230455</v>
      </c>
      <c r="P70" s="63">
        <v>0</v>
      </c>
      <c r="Q70" s="96">
        <f>5722513-11032733</f>
        <v>-5310220</v>
      </c>
      <c r="R70" s="96">
        <f>4713041-8619566</f>
        <v>-3906525</v>
      </c>
      <c r="S70" s="2" t="s">
        <v>57</v>
      </c>
    </row>
    <row r="71" spans="1:19" x14ac:dyDescent="0.2">
      <c r="A71" s="106">
        <f>'FERC Interest Rates'!A86</f>
        <v>43616</v>
      </c>
      <c r="B71" s="61">
        <v>7409569</v>
      </c>
      <c r="C71" s="61">
        <f>6064993+645-2258</f>
        <v>6063380</v>
      </c>
      <c r="D71" s="61">
        <v>1057539</v>
      </c>
      <c r="E71" s="62">
        <f t="shared" si="13"/>
        <v>14530488</v>
      </c>
      <c r="F71" s="63">
        <f>128+151-128</f>
        <v>151</v>
      </c>
      <c r="G71" s="61">
        <f>191467+142256-191467</f>
        <v>142256</v>
      </c>
      <c r="H71" s="62">
        <f t="shared" si="17"/>
        <v>142407</v>
      </c>
      <c r="I71" s="64">
        <f t="shared" si="18"/>
        <v>14672895</v>
      </c>
      <c r="J71" s="63">
        <f>35006149+18550201+35884737+12077889-34981109-18550201</f>
        <v>47987666</v>
      </c>
      <c r="K71" s="62">
        <f t="shared" si="11"/>
        <v>62660561</v>
      </c>
      <c r="L71" s="101" t="s">
        <v>55</v>
      </c>
      <c r="M71" s="63">
        <f>2069826+2845634+769998+397319+1061450+8371884+0+8745+1973660+2219500+453427+390685+1024594+5401237+509919+210060-2069826-2845634-769998-397319-1061450-8371884-0-8745</f>
        <v>12183082</v>
      </c>
      <c r="N71" s="62">
        <f t="shared" si="12"/>
        <v>35804584</v>
      </c>
      <c r="O71" s="89">
        <f>K71-M71</f>
        <v>50477479</v>
      </c>
      <c r="P71" s="63">
        <v>0</v>
      </c>
      <c r="Q71" s="96">
        <f>3331371-5722513</f>
        <v>-2391142</v>
      </c>
      <c r="R71" s="96">
        <f>2695771-4713041</f>
        <v>-2017270</v>
      </c>
    </row>
    <row r="72" spans="1:19" x14ac:dyDescent="0.2">
      <c r="A72" s="106">
        <f>'FERC Interest Rates'!A87</f>
        <v>43646</v>
      </c>
      <c r="B72" s="61">
        <v>4046705</v>
      </c>
      <c r="C72" s="61">
        <f>3946075+367-645</f>
        <v>3945797</v>
      </c>
      <c r="D72" s="61">
        <f>854078</f>
        <v>854078</v>
      </c>
      <c r="E72" s="62">
        <f t="shared" si="13"/>
        <v>8846580</v>
      </c>
      <c r="F72" s="63">
        <f>151+0-151</f>
        <v>0</v>
      </c>
      <c r="G72" s="61">
        <f>142256+110987-142256</f>
        <v>110987</v>
      </c>
      <c r="H72" s="62">
        <f t="shared" si="17"/>
        <v>110987</v>
      </c>
      <c r="I72" s="64">
        <f t="shared" si="18"/>
        <v>8957567</v>
      </c>
      <c r="J72" s="63">
        <f>35884737+12077889+33440624+21488123-35884737-12077889</f>
        <v>54928747</v>
      </c>
      <c r="K72" s="62">
        <f t="shared" si="11"/>
        <v>63886314</v>
      </c>
      <c r="L72" s="101" t="s">
        <v>55</v>
      </c>
      <c r="M72" s="63">
        <f>1973660+2219500+453427+390685+1024594+5401237+509919+210060+2265713+2090677+759078+327788+937176+5673695+0+100169-1973660-2219500-453427-390685-1024594-5401237-509919-210060</f>
        <v>12154296</v>
      </c>
      <c r="N72" s="62">
        <f t="shared" si="12"/>
        <v>42774451</v>
      </c>
      <c r="O72" s="89">
        <f t="shared" si="19"/>
        <v>51732018</v>
      </c>
      <c r="P72" s="63">
        <v>0</v>
      </c>
      <c r="Q72" s="96">
        <f>2187188-3331371</f>
        <v>-1144183</v>
      </c>
      <c r="R72" s="96">
        <f>2099565-2695771</f>
        <v>-596206</v>
      </c>
    </row>
    <row r="73" spans="1:19" x14ac:dyDescent="0.2">
      <c r="A73" s="105">
        <f>'FERC Interest Rates'!A88</f>
        <v>43677</v>
      </c>
      <c r="B73" s="61">
        <v>3217527</v>
      </c>
      <c r="C73" s="61">
        <f>3460988+155-367</f>
        <v>3460776</v>
      </c>
      <c r="D73" s="61">
        <v>852365</v>
      </c>
      <c r="E73" s="62">
        <f t="shared" si="13"/>
        <v>7530668</v>
      </c>
      <c r="F73" s="63">
        <f>0+163-0</f>
        <v>163</v>
      </c>
      <c r="G73" s="61">
        <f>110987+120028-110987</f>
        <v>120028</v>
      </c>
      <c r="H73" s="62">
        <f t="shared" si="17"/>
        <v>120191</v>
      </c>
      <c r="I73" s="64">
        <f t="shared" si="18"/>
        <v>7650859</v>
      </c>
      <c r="J73" s="63">
        <f>33440624+21488123+33197167+48201005-33440624-21488123</f>
        <v>81398172</v>
      </c>
      <c r="K73" s="62">
        <f t="shared" si="11"/>
        <v>89049031</v>
      </c>
      <c r="L73" s="101" t="s">
        <v>55</v>
      </c>
      <c r="M73" s="63">
        <f>2265713+2090677+759078+327788+937176+5673695+0+100169+2468668+2697591+656415+339569+959617+6186256+8340220+0-2265713-2090677-759078-327788-937176-5673695-0-100169</f>
        <v>21648336</v>
      </c>
      <c r="N73" s="62">
        <f t="shared" si="12"/>
        <v>59749836</v>
      </c>
      <c r="O73" s="89">
        <f t="shared" si="19"/>
        <v>67400695</v>
      </c>
      <c r="P73" s="63">
        <v>0</v>
      </c>
      <c r="Q73" s="96">
        <f>2058587-2187188</f>
        <v>-128601</v>
      </c>
      <c r="R73" s="96">
        <f>2183931-2099565</f>
        <v>84366</v>
      </c>
    </row>
    <row r="74" spans="1:19" x14ac:dyDescent="0.2">
      <c r="A74" s="106">
        <f>'FERC Interest Rates'!A89</f>
        <v>43708</v>
      </c>
      <c r="B74" s="61">
        <v>2775098</v>
      </c>
      <c r="C74" s="61">
        <f>3192851+138-155</f>
        <v>3192834</v>
      </c>
      <c r="D74" s="61">
        <v>915216</v>
      </c>
      <c r="E74" s="62">
        <f t="shared" si="13"/>
        <v>6883148</v>
      </c>
      <c r="F74" s="63">
        <f>163+0-163</f>
        <v>0</v>
      </c>
      <c r="G74" s="61">
        <f>120028+93626-120028</f>
        <v>93626</v>
      </c>
      <c r="H74" s="62">
        <f t="shared" si="17"/>
        <v>93626</v>
      </c>
      <c r="I74" s="64">
        <f t="shared" si="18"/>
        <v>6976774</v>
      </c>
      <c r="J74" s="63">
        <f>33209086+48201005+35054871+57112060-33197167-48201005</f>
        <v>92178850</v>
      </c>
      <c r="K74" s="62">
        <f t="shared" si="11"/>
        <v>99155624</v>
      </c>
      <c r="L74" s="101" t="s">
        <v>55</v>
      </c>
      <c r="M74" s="63">
        <f>2468668+2697591+656415+339569+959617+6186256+8340220+0+2310615+2677115+629970+278437+979527+6575658+9118215+147250-2468668-2697591-656415-339569-959617-6186256-8340220-0</f>
        <v>22716787</v>
      </c>
      <c r="N74" s="62">
        <f t="shared" si="12"/>
        <v>69462063</v>
      </c>
      <c r="O74" s="89">
        <f t="shared" si="19"/>
        <v>76438837</v>
      </c>
      <c r="P74" s="63">
        <v>0</v>
      </c>
      <c r="Q74" s="96">
        <f>1100941-2058587</f>
        <v>-957646</v>
      </c>
      <c r="R74" s="96">
        <f>1243727-2183931</f>
        <v>-940204</v>
      </c>
    </row>
    <row r="75" spans="1:19" x14ac:dyDescent="0.2">
      <c r="A75" s="106">
        <f>'FERC Interest Rates'!A90</f>
        <v>43738</v>
      </c>
      <c r="B75" s="61">
        <v>2691847</v>
      </c>
      <c r="C75" s="61">
        <f>3019665+619-138</f>
        <v>3020146</v>
      </c>
      <c r="D75" s="61">
        <v>962596</v>
      </c>
      <c r="E75" s="62">
        <f t="shared" si="13"/>
        <v>6674589</v>
      </c>
      <c r="F75" s="63">
        <f>0+411-0</f>
        <v>411</v>
      </c>
      <c r="G75" s="61">
        <f>93626+111442-93626</f>
        <v>111442</v>
      </c>
      <c r="H75" s="62">
        <f t="shared" si="17"/>
        <v>111853</v>
      </c>
      <c r="I75" s="64">
        <f t="shared" si="18"/>
        <v>6786442</v>
      </c>
      <c r="J75" s="63">
        <f>35054871+57112060+38007048+48218642-35054871-57112060</f>
        <v>86225690</v>
      </c>
      <c r="K75" s="62">
        <f t="shared" si="11"/>
        <v>93012132</v>
      </c>
      <c r="L75" s="101" t="s">
        <v>55</v>
      </c>
      <c r="M75" s="63">
        <f>2310615+2677115+629970+278437+979527+6575658+9118215+147250+2238144+2457018+700843+318250+880129+6543518+6204407+451349-2310615-2677115-629970-278437-979527-6575658-9118215-147250</f>
        <v>19793658</v>
      </c>
      <c r="N75" s="62">
        <f t="shared" si="12"/>
        <v>66432032</v>
      </c>
      <c r="O75" s="89">
        <f t="shared" si="19"/>
        <v>73218474</v>
      </c>
      <c r="P75" s="63">
        <v>0</v>
      </c>
      <c r="Q75" s="96">
        <f>2696601-1100941</f>
        <v>1595660</v>
      </c>
      <c r="R75" s="96">
        <f>2978172-1243727</f>
        <v>1734445</v>
      </c>
    </row>
    <row r="76" spans="1:19" x14ac:dyDescent="0.2">
      <c r="A76" s="107">
        <f>'FERC Interest Rates'!A91</f>
        <v>43769</v>
      </c>
      <c r="B76" s="70">
        <v>6366467</v>
      </c>
      <c r="C76" s="70">
        <f>5534429+1350316-619</f>
        <v>6884126</v>
      </c>
      <c r="D76" s="70">
        <v>1687630</v>
      </c>
      <c r="E76" s="71">
        <f t="shared" si="13"/>
        <v>14938223</v>
      </c>
      <c r="F76" s="92">
        <f>411+317-411</f>
        <v>317</v>
      </c>
      <c r="G76" s="70">
        <f>111442+232820-111442</f>
        <v>232820</v>
      </c>
      <c r="H76" s="71">
        <f t="shared" si="17"/>
        <v>233137</v>
      </c>
      <c r="I76" s="72">
        <f t="shared" si="18"/>
        <v>15171360</v>
      </c>
      <c r="J76" s="92">
        <f>38794472+48218231+41355714+22420091-38007048-48218642</f>
        <v>64562818</v>
      </c>
      <c r="K76" s="71">
        <f t="shared" si="11"/>
        <v>79734178</v>
      </c>
      <c r="L76" s="104" t="s">
        <v>55</v>
      </c>
      <c r="M76" s="92">
        <f>2238144+2457018+700843+318250+880129+6543518+6204407+451349+2832256+2779753+787046+348739+985783+7985929+1743835+59022-2238144-2457018-700843-318250-880129-6543518-6204407-451349</f>
        <v>17522363</v>
      </c>
      <c r="N76" s="71">
        <f t="shared" si="12"/>
        <v>47040455</v>
      </c>
      <c r="O76" s="93">
        <f t="shared" si="19"/>
        <v>62211815</v>
      </c>
      <c r="P76" s="92">
        <v>0</v>
      </c>
      <c r="Q76" s="98">
        <f>7415550-2696601</f>
        <v>4718949</v>
      </c>
      <c r="R76" s="98">
        <f>6393900-2978172</f>
        <v>3415728</v>
      </c>
    </row>
    <row r="77" spans="1:19" x14ac:dyDescent="0.2">
      <c r="A77" s="105">
        <f>'FERC Interest Rates'!A92</f>
        <v>43799</v>
      </c>
      <c r="B77" s="61">
        <v>11628968</v>
      </c>
      <c r="C77" s="61">
        <f>10296014+1502701-1350316</f>
        <v>10448399</v>
      </c>
      <c r="D77" s="61">
        <v>1643539</v>
      </c>
      <c r="E77" s="62">
        <f t="shared" ref="E77:E100" si="20">SUM(B77:D77)</f>
        <v>23720906</v>
      </c>
      <c r="F77" s="63">
        <f>317+491-317</f>
        <v>491</v>
      </c>
      <c r="G77" s="61">
        <f>232820+230233-232820</f>
        <v>230233</v>
      </c>
      <c r="H77" s="62">
        <f t="shared" ref="H77:H88" si="21">SUM(F77:G77)</f>
        <v>230724</v>
      </c>
      <c r="I77" s="64">
        <f t="shared" si="18"/>
        <v>23951630</v>
      </c>
      <c r="J77" s="63">
        <f>41355846+22420091+37732887+26464477-41355714-22420091</f>
        <v>64197496</v>
      </c>
      <c r="K77" s="62">
        <f t="shared" si="11"/>
        <v>88149126</v>
      </c>
      <c r="L77" s="101" t="s">
        <v>55</v>
      </c>
      <c r="M77" s="63">
        <f>2832256+2779753+787046+348739+985783+7985929+1743835+59022+3143984+2719510+758864+325444+994562+7351963+188376+57819-2832256-2779753-787046-348739-985783-7985929-1743835-59022</f>
        <v>15540522</v>
      </c>
      <c r="N77" s="62">
        <f t="shared" si="12"/>
        <v>48656974</v>
      </c>
      <c r="O77" s="89">
        <f t="shared" si="19"/>
        <v>72608604</v>
      </c>
      <c r="P77" s="63">
        <v>0</v>
      </c>
      <c r="Q77" s="96">
        <f>11690320-7415550</f>
        <v>4274770</v>
      </c>
      <c r="R77" s="96">
        <f>10324809-6393900</f>
        <v>3930909</v>
      </c>
      <c r="S77" s="2" t="s">
        <v>56</v>
      </c>
    </row>
    <row r="78" spans="1:19" x14ac:dyDescent="0.2">
      <c r="A78" s="105">
        <f>'FERC Interest Rates'!A93</f>
        <v>43830</v>
      </c>
      <c r="B78" s="61">
        <v>17650518</v>
      </c>
      <c r="C78" s="61">
        <f>14749563+1693551-1502701</f>
        <v>14940413</v>
      </c>
      <c r="D78" s="61">
        <v>1791294</v>
      </c>
      <c r="E78" s="62">
        <f t="shared" si="20"/>
        <v>34382225</v>
      </c>
      <c r="F78" s="63">
        <f>491+261-491</f>
        <v>261</v>
      </c>
      <c r="G78" s="61">
        <f>230233+254015-230233</f>
        <v>254015</v>
      </c>
      <c r="H78" s="62">
        <f t="shared" si="21"/>
        <v>254276</v>
      </c>
      <c r="I78" s="64">
        <f t="shared" si="18"/>
        <v>34636501</v>
      </c>
      <c r="J78" s="63">
        <f>37759990+26464477+41056657+43590578-37732887-26464477</f>
        <v>84674338</v>
      </c>
      <c r="K78" s="62">
        <f t="shared" si="11"/>
        <v>119310839</v>
      </c>
      <c r="L78" s="101" t="s">
        <v>55</v>
      </c>
      <c r="M78" s="63">
        <f>3143984+2719510+758864+325444+994562+7351963+188376+57819+4182562+2894369+777031+492333+1120091+7386486+6845573+0-3143984-2719510-758864-325444-994562-7351963-188376-57819</f>
        <v>23698445</v>
      </c>
      <c r="N78" s="62">
        <f t="shared" si="12"/>
        <v>60975893</v>
      </c>
      <c r="O78" s="89">
        <f t="shared" si="19"/>
        <v>95612394</v>
      </c>
      <c r="P78" s="63">
        <v>0</v>
      </c>
      <c r="Q78" s="96">
        <f>13833214-11690320</f>
        <v>2142894</v>
      </c>
      <c r="R78" s="96">
        <f>11506709-10324809</f>
        <v>1181900</v>
      </c>
    </row>
    <row r="79" spans="1:19" x14ac:dyDescent="0.2">
      <c r="A79" s="105">
        <f>'FERC Interest Rates'!A94</f>
        <v>43861</v>
      </c>
      <c r="B79" s="61">
        <v>21443608</v>
      </c>
      <c r="C79" s="61">
        <f>17698627+1788033-1693551</f>
        <v>17793109</v>
      </c>
      <c r="D79" s="61">
        <v>1954006</v>
      </c>
      <c r="E79" s="62">
        <f t="shared" si="20"/>
        <v>41190723</v>
      </c>
      <c r="F79" s="63">
        <f>261+85-261</f>
        <v>85</v>
      </c>
      <c r="G79" s="61">
        <f>254015+256203-254015</f>
        <v>256203</v>
      </c>
      <c r="H79" s="62">
        <f t="shared" si="21"/>
        <v>256288</v>
      </c>
      <c r="I79" s="64">
        <f t="shared" si="18"/>
        <v>41447011</v>
      </c>
      <c r="J79" s="63">
        <f>41064766+43590578+42048545+33855213-41056657-43590578</f>
        <v>75911867</v>
      </c>
      <c r="K79" s="62">
        <f t="shared" si="11"/>
        <v>117358878</v>
      </c>
      <c r="L79" s="101" t="s">
        <v>55</v>
      </c>
      <c r="M79" s="63">
        <f>4182562+2894369+777031+492333+1120091+7386486+6845573+0+4206155+2962351+872878+386843+1160711+7350647+4214606+13899-4182562-2894369-777031-492333-1120091-7386486-6845573-0</f>
        <v>21168090</v>
      </c>
      <c r="N79" s="62">
        <f t="shared" si="12"/>
        <v>54743777</v>
      </c>
      <c r="O79" s="89">
        <f t="shared" si="19"/>
        <v>96190788</v>
      </c>
      <c r="P79" s="63">
        <v>0</v>
      </c>
      <c r="Q79" s="96">
        <f>11533219-13833214</f>
        <v>-2299995</v>
      </c>
      <c r="R79" s="96">
        <f>9522833-11506709</f>
        <v>-1983876</v>
      </c>
    </row>
    <row r="80" spans="1:19" x14ac:dyDescent="0.2">
      <c r="A80" s="105">
        <f>'FERC Interest Rates'!A95</f>
        <v>43890</v>
      </c>
      <c r="B80" s="61">
        <v>17506775</v>
      </c>
      <c r="C80" s="61">
        <f>14986629+1666428-1788033</f>
        <v>14865024</v>
      </c>
      <c r="D80" s="61">
        <v>1715867</v>
      </c>
      <c r="E80" s="62">
        <f t="shared" si="20"/>
        <v>34087666</v>
      </c>
      <c r="F80" s="63">
        <f>85+341-85</f>
        <v>341</v>
      </c>
      <c r="G80" s="61">
        <f>256203+228991-256203</f>
        <v>228991</v>
      </c>
      <c r="H80" s="62">
        <f t="shared" si="21"/>
        <v>229332</v>
      </c>
      <c r="I80" s="64">
        <f t="shared" si="18"/>
        <v>34316998</v>
      </c>
      <c r="J80" s="63">
        <f>42048545+33855213+39405583+28449361-42048545-33855213</f>
        <v>67854944</v>
      </c>
      <c r="K80" s="62">
        <f t="shared" si="11"/>
        <v>102171942</v>
      </c>
      <c r="L80" s="101" t="s">
        <v>55</v>
      </c>
      <c r="M80" s="63">
        <f>4206155+2962351+872878+386843+1160711+7350647+4214606+13899+3647038+3352730+759226+340736+950149+6493299+1673858+184428-4206155-2962351-872878-386843-1160711-7350647-4214606-13899</f>
        <v>17401464</v>
      </c>
      <c r="N80" s="62">
        <f t="shared" si="12"/>
        <v>50453480</v>
      </c>
      <c r="O80" s="89">
        <f t="shared" si="19"/>
        <v>84770478</v>
      </c>
      <c r="P80" s="63">
        <v>0</v>
      </c>
      <c r="Q80" s="96">
        <f>10865780-11533219</f>
        <v>-667439</v>
      </c>
      <c r="R80" s="96">
        <f>9324558-9522833</f>
        <v>-198275</v>
      </c>
    </row>
    <row r="81" spans="1:19" x14ac:dyDescent="0.2">
      <c r="A81" s="105">
        <f>'FERC Interest Rates'!A96</f>
        <v>43921</v>
      </c>
      <c r="B81" s="61">
        <v>17635811</v>
      </c>
      <c r="C81" s="61">
        <f>14813025+1704966-1666428</f>
        <v>14851563</v>
      </c>
      <c r="D81" s="61">
        <v>1653844</v>
      </c>
      <c r="E81" s="62">
        <f t="shared" si="20"/>
        <v>34141218</v>
      </c>
      <c r="F81" s="63">
        <f>341+182-341</f>
        <v>182</v>
      </c>
      <c r="G81" s="61">
        <f>228991+229265-228991</f>
        <v>229265</v>
      </c>
      <c r="H81" s="62">
        <f t="shared" si="21"/>
        <v>229447</v>
      </c>
      <c r="I81" s="64">
        <f t="shared" si="18"/>
        <v>34370665</v>
      </c>
      <c r="J81" s="63">
        <f>39405583+28449361+41570855+46338286-39405583-28449361</f>
        <v>87909141</v>
      </c>
      <c r="K81" s="62">
        <f t="shared" si="11"/>
        <v>122279806</v>
      </c>
      <c r="L81" s="101" t="s">
        <v>55</v>
      </c>
      <c r="M81" s="63">
        <f>3647038+3352730+759226+340736+950149+6493299+1673858+184428+3745212+3019501+723268+363829+1112427+5630590+7553041+249821-3647038-3352730-759226-340736-950149-6493299-1673858-184428</f>
        <v>22397689</v>
      </c>
      <c r="N81" s="62">
        <f t="shared" si="12"/>
        <v>65511452</v>
      </c>
      <c r="O81" s="89">
        <f t="shared" si="19"/>
        <v>99882117</v>
      </c>
      <c r="P81" s="63">
        <v>0</v>
      </c>
      <c r="Q81" s="96">
        <f>8736040-10865780</f>
        <v>-2129740</v>
      </c>
      <c r="R81" s="96">
        <f>7368968-9324558</f>
        <v>-1955590</v>
      </c>
    </row>
    <row r="82" spans="1:19" x14ac:dyDescent="0.2">
      <c r="A82" s="105">
        <f>'FERC Interest Rates'!A97</f>
        <v>43951</v>
      </c>
      <c r="B82" s="61">
        <v>13930299</v>
      </c>
      <c r="C82" s="61">
        <f>11273875+1367515-1704966</f>
        <v>10936424</v>
      </c>
      <c r="D82" s="61">
        <v>1666184</v>
      </c>
      <c r="E82" s="62">
        <f t="shared" ref="E82" si="22">SUM(B82:D82)</f>
        <v>26532907</v>
      </c>
      <c r="F82" s="63">
        <f>182+193-182</f>
        <v>193</v>
      </c>
      <c r="G82" s="61">
        <f>229265+189521-229265</f>
        <v>189521</v>
      </c>
      <c r="H82" s="62">
        <f t="shared" ref="H82" si="23">SUM(F82:G82)</f>
        <v>189714</v>
      </c>
      <c r="I82" s="64">
        <f t="shared" si="18"/>
        <v>26722621</v>
      </c>
      <c r="J82" s="63">
        <f>41570855+46338286+31527252+3270112+38601203-41570855-46338286</f>
        <v>73398567</v>
      </c>
      <c r="K82" s="62">
        <f t="shared" si="11"/>
        <v>100121188</v>
      </c>
      <c r="L82" s="101" t="s">
        <v>55</v>
      </c>
      <c r="M82" s="63">
        <f>3745212+3019501+723268+363829+1112427+5630590+7553041+249821+3270112+2756681+192062+280512+1144381+5477666+5121004+0-3745212-3019501-723268-363829-1112427-5630590-7553041-249821</f>
        <v>18242418</v>
      </c>
      <c r="N82" s="62">
        <f t="shared" si="12"/>
        <v>55156149</v>
      </c>
      <c r="O82" s="89">
        <f t="shared" si="19"/>
        <v>81878770</v>
      </c>
      <c r="P82" s="63">
        <v>0</v>
      </c>
      <c r="Q82" s="96">
        <f>3624357-8736040</f>
        <v>-5111683</v>
      </c>
      <c r="R82" s="96">
        <f>2944986-7368968</f>
        <v>-4423982</v>
      </c>
    </row>
    <row r="83" spans="1:19" x14ac:dyDescent="0.2">
      <c r="A83" s="105">
        <f>'FERC Interest Rates'!A98</f>
        <v>43982</v>
      </c>
      <c r="B83" s="61">
        <v>6809502</v>
      </c>
      <c r="C83" s="61">
        <f>6036390+950937-1367515</f>
        <v>5619812</v>
      </c>
      <c r="D83" s="61">
        <v>936161</v>
      </c>
      <c r="E83" s="62">
        <f t="shared" si="20"/>
        <v>13365475</v>
      </c>
      <c r="F83" s="63">
        <f>193+0-193</f>
        <v>0</v>
      </c>
      <c r="G83" s="61">
        <f>189521+139474-189521</f>
        <v>139474</v>
      </c>
      <c r="H83" s="62">
        <f t="shared" si="21"/>
        <v>139474</v>
      </c>
      <c r="I83" s="64">
        <f t="shared" si="18"/>
        <v>13504949</v>
      </c>
      <c r="J83" s="63">
        <f>34797599+38601203+33875275+11777244-34797364-38601203</f>
        <v>45652754</v>
      </c>
      <c r="K83" s="62">
        <f t="shared" si="11"/>
        <v>59157703</v>
      </c>
      <c r="L83" s="101" t="s">
        <v>55</v>
      </c>
      <c r="M83" s="63">
        <f>3270112+2756681+192062+280512+1144381+5477666+5121004+0+2781081+435041+274097+1164457+7824547+506157+8254-3270112-2756681-192062-280512-1144381-5477666-5121004-0</f>
        <v>12993634</v>
      </c>
      <c r="N83" s="62">
        <f t="shared" si="12"/>
        <v>32659120</v>
      </c>
      <c r="O83" s="89">
        <f t="shared" si="19"/>
        <v>46164069</v>
      </c>
      <c r="P83" s="63">
        <v>0</v>
      </c>
      <c r="Q83" s="96">
        <f>2235478-3624357</f>
        <v>-1388879</v>
      </c>
      <c r="R83" s="96">
        <f>1984707-2944986</f>
        <v>-960279</v>
      </c>
    </row>
    <row r="84" spans="1:19" x14ac:dyDescent="0.2">
      <c r="A84" s="105">
        <f>'FERC Interest Rates'!A99</f>
        <v>44012</v>
      </c>
      <c r="B84" s="61">
        <v>5005480</v>
      </c>
      <c r="C84" s="61">
        <f>4615973+712185-950937</f>
        <v>4377221</v>
      </c>
      <c r="D84" s="61">
        <v>1070787</v>
      </c>
      <c r="E84" s="62">
        <f t="shared" si="20"/>
        <v>10453488</v>
      </c>
      <c r="F84" s="63">
        <f>0+0-0</f>
        <v>0</v>
      </c>
      <c r="G84" s="61">
        <f>139589+109390-139474</f>
        <v>109505</v>
      </c>
      <c r="H84" s="62">
        <f t="shared" si="21"/>
        <v>109505</v>
      </c>
      <c r="I84" s="64">
        <f t="shared" si="18"/>
        <v>10562993</v>
      </c>
      <c r="J84" s="63">
        <f>33875275+11777244+32945023+11408471-33875275-11777244</f>
        <v>44353494</v>
      </c>
      <c r="K84" s="62">
        <f t="shared" si="11"/>
        <v>54916487</v>
      </c>
      <c r="L84" s="101" t="s">
        <v>55</v>
      </c>
      <c r="M84" s="63">
        <f>2781081+435041+274097+1164457+7824547+506157+8254+3279559+679596+279356+1044539+6309798+0+39426-2781081-435041-274097-1164457-7824547-506157-8254</f>
        <v>11632274</v>
      </c>
      <c r="N84" s="62">
        <f t="shared" si="12"/>
        <v>32721220</v>
      </c>
      <c r="O84" s="89">
        <f t="shared" si="19"/>
        <v>43284213</v>
      </c>
      <c r="P84" s="63">
        <v>0</v>
      </c>
      <c r="Q84" s="96">
        <f>1199677-2235478</f>
        <v>-1035801</v>
      </c>
      <c r="R84" s="96">
        <f>1103980-1984707</f>
        <v>-880727</v>
      </c>
    </row>
    <row r="85" spans="1:19" x14ac:dyDescent="0.2">
      <c r="A85" s="105">
        <f>'FERC Interest Rates'!A100</f>
        <v>44043</v>
      </c>
      <c r="B85" s="61">
        <v>4024864</v>
      </c>
      <c r="C85" s="61">
        <f>4096953+670051-712185</f>
        <v>4054819</v>
      </c>
      <c r="D85" s="61">
        <v>897742</v>
      </c>
      <c r="E85" s="62">
        <f t="shared" si="20"/>
        <v>8977425</v>
      </c>
      <c r="F85" s="63">
        <f>0+0-0</f>
        <v>0</v>
      </c>
      <c r="G85" s="61">
        <f>109390+106383-109390</f>
        <v>106383</v>
      </c>
      <c r="H85" s="62">
        <f t="shared" si="21"/>
        <v>106383</v>
      </c>
      <c r="I85" s="64">
        <f t="shared" si="18"/>
        <v>9083808</v>
      </c>
      <c r="J85" s="63">
        <f>31448107+11408471+35454115+25707386-32945023-11408471</f>
        <v>59664585</v>
      </c>
      <c r="K85" s="62">
        <f t="shared" si="11"/>
        <v>68748393</v>
      </c>
      <c r="L85" s="101" t="s">
        <v>55</v>
      </c>
      <c r="M85" s="63">
        <f>3279559+679596+279356+1044539+6309798+0+39426+3353938+405992+286757+943601+6950239+1583529+134999-3279559-679596-279356-1044539-6309798-0-39426</f>
        <v>13659055</v>
      </c>
      <c r="N85" s="62">
        <f t="shared" si="12"/>
        <v>46005530</v>
      </c>
      <c r="O85" s="89">
        <f t="shared" si="19"/>
        <v>55089338</v>
      </c>
      <c r="P85" s="63">
        <v>0</v>
      </c>
      <c r="Q85" s="96">
        <f>786164-1199677</f>
        <v>-413513</v>
      </c>
      <c r="R85" s="96">
        <f>801207-1103980</f>
        <v>-302773</v>
      </c>
    </row>
    <row r="86" spans="1:19" x14ac:dyDescent="0.2">
      <c r="A86" s="105">
        <f>'FERC Interest Rates'!A101</f>
        <v>44074</v>
      </c>
      <c r="B86" s="61">
        <v>2732363</v>
      </c>
      <c r="C86" s="61">
        <f>3163765+629835-670051</f>
        <v>3123549</v>
      </c>
      <c r="D86" s="61">
        <v>796082</v>
      </c>
      <c r="E86" s="62">
        <f t="shared" si="20"/>
        <v>6651994</v>
      </c>
      <c r="F86" s="63">
        <v>0</v>
      </c>
      <c r="G86" s="61">
        <f>106383+100500-106383</f>
        <v>100500</v>
      </c>
      <c r="H86" s="62">
        <f t="shared" si="21"/>
        <v>100500</v>
      </c>
      <c r="I86" s="64">
        <f t="shared" si="18"/>
        <v>6752494</v>
      </c>
      <c r="J86" s="63">
        <f>35454115+25707386+37500454+40126389-35454115-25707386</f>
        <v>77626843</v>
      </c>
      <c r="K86" s="62">
        <f t="shared" si="11"/>
        <v>84379337</v>
      </c>
      <c r="L86" s="101" t="s">
        <v>55</v>
      </c>
      <c r="M86" s="63">
        <f>3353938+405992+286757+943601+6950239+1583529+134999+3281965+636243+367353+874186+8114039+4164341+77745-3353938-405992-286757-943601-6950239-1583529-134999</f>
        <v>17515872</v>
      </c>
      <c r="N86" s="62">
        <f t="shared" si="12"/>
        <v>60110971</v>
      </c>
      <c r="O86" s="89">
        <f t="shared" si="19"/>
        <v>66863465</v>
      </c>
      <c r="P86" s="63">
        <v>0</v>
      </c>
      <c r="Q86" s="96">
        <f>1291073-786164</f>
        <v>504909</v>
      </c>
      <c r="R86" s="96">
        <f>1497403-801207</f>
        <v>696196</v>
      </c>
    </row>
    <row r="87" spans="1:19" x14ac:dyDescent="0.2">
      <c r="A87" s="105">
        <f>'FERC Interest Rates'!A102</f>
        <v>44104</v>
      </c>
      <c r="B87" s="61">
        <v>2948480</v>
      </c>
      <c r="C87" s="61">
        <f>3400273+614151-629835</f>
        <v>3384589</v>
      </c>
      <c r="D87" s="61">
        <v>962564</v>
      </c>
      <c r="E87" s="62">
        <f t="shared" si="20"/>
        <v>7295633</v>
      </c>
      <c r="F87" s="63">
        <v>0</v>
      </c>
      <c r="G87" s="61">
        <f>100500+94559-100500</f>
        <v>94559</v>
      </c>
      <c r="H87" s="62">
        <f t="shared" si="21"/>
        <v>94559</v>
      </c>
      <c r="I87" s="64">
        <f t="shared" si="18"/>
        <v>7390192</v>
      </c>
      <c r="J87" s="63">
        <f>37529314+40126389+39506153+43641251-37500454-40126389</f>
        <v>83176264</v>
      </c>
      <c r="K87" s="62">
        <f t="shared" si="11"/>
        <v>90566456</v>
      </c>
      <c r="L87" s="101" t="s">
        <v>55</v>
      </c>
      <c r="M87" s="63">
        <f>3281965+636243+367353+874186+8114039+4164341+77745+3365190+645648+401241+882295+4984455+6516174+67903-3281965-636243-367353-874186-8114039-4164341-77745</f>
        <v>16862906</v>
      </c>
      <c r="N87" s="62">
        <f t="shared" si="12"/>
        <v>66313358</v>
      </c>
      <c r="O87" s="89">
        <f t="shared" si="19"/>
        <v>73703550</v>
      </c>
      <c r="P87" s="63">
        <v>0</v>
      </c>
      <c r="Q87" s="96">
        <f>1851788-1291073</f>
        <v>560715</v>
      </c>
      <c r="R87" s="96">
        <f>2130040-1497403</f>
        <v>632637</v>
      </c>
    </row>
    <row r="88" spans="1:19" x14ac:dyDescent="0.2">
      <c r="A88" s="107">
        <f>'FERC Interest Rates'!A103</f>
        <v>44135</v>
      </c>
      <c r="B88" s="70">
        <v>4232461</v>
      </c>
      <c r="C88" s="70">
        <f>4270259+37233-614151</f>
        <v>3693341</v>
      </c>
      <c r="D88" s="70">
        <v>1374749</v>
      </c>
      <c r="E88" s="71">
        <f t="shared" si="20"/>
        <v>9300551</v>
      </c>
      <c r="F88" s="92">
        <v>0</v>
      </c>
      <c r="G88" s="70">
        <f>94559+178840-94559</f>
        <v>178840</v>
      </c>
      <c r="H88" s="71">
        <f t="shared" si="21"/>
        <v>178840</v>
      </c>
      <c r="I88" s="72">
        <f t="shared" si="18"/>
        <v>9479391</v>
      </c>
      <c r="J88" s="92">
        <f>39551688+43641251+42265094+27835999-39506153-43641251</f>
        <v>70146628</v>
      </c>
      <c r="K88" s="71">
        <f t="shared" si="11"/>
        <v>79626019</v>
      </c>
      <c r="L88" s="104" t="s">
        <v>55</v>
      </c>
      <c r="M88" s="92">
        <f>3365190+645648+401241+882295+4984455+6516174+67903+3222482+801554+429333+967135+7330347+1133014+54670-3365190-645648-401241-882295-4984455-6516174-67903</f>
        <v>13938535</v>
      </c>
      <c r="N88" s="71">
        <f t="shared" si="12"/>
        <v>56208093</v>
      </c>
      <c r="O88" s="93">
        <f t="shared" si="19"/>
        <v>65687484</v>
      </c>
      <c r="P88" s="92">
        <v>0</v>
      </c>
      <c r="Q88" s="98">
        <f>5866478-1851788</f>
        <v>4014690</v>
      </c>
      <c r="R88" s="98">
        <f>5961158-2130040</f>
        <v>3831118</v>
      </c>
    </row>
    <row r="89" spans="1:19" x14ac:dyDescent="0.2">
      <c r="A89" s="105">
        <f>'FERC Interest Rates'!A104</f>
        <v>44165</v>
      </c>
      <c r="B89" s="61">
        <v>10451912</v>
      </c>
      <c r="C89" s="61">
        <f>7364502+78623-37233</f>
        <v>7405892</v>
      </c>
      <c r="D89" s="61">
        <v>1202769</v>
      </c>
      <c r="E89" s="62">
        <f t="shared" si="20"/>
        <v>19060573</v>
      </c>
      <c r="F89" s="63">
        <f>0+0-0</f>
        <v>0</v>
      </c>
      <c r="G89" s="61">
        <f>178840+220318-178840</f>
        <v>220318</v>
      </c>
      <c r="H89" s="62">
        <f t="shared" ref="H89:H100" si="24">SUM(F89:G89)</f>
        <v>220318</v>
      </c>
      <c r="I89" s="64">
        <f t="shared" si="18"/>
        <v>19280891</v>
      </c>
      <c r="J89" s="63">
        <f>42222057+27835999+44035619+18336869-42265094-27835999</f>
        <v>62329451</v>
      </c>
      <c r="K89" s="62">
        <f t="shared" si="11"/>
        <v>81610342</v>
      </c>
      <c r="L89" s="101" t="s">
        <v>55</v>
      </c>
      <c r="M89" s="63">
        <f>3222482+801554+429333+967135+7330347+1133014+54670+3733619+658635+457902+981664+7462302+18635+3797-3222482-801554-429333-967135-7330347-1133014-54670</f>
        <v>13316554</v>
      </c>
      <c r="N89" s="62">
        <f t="shared" si="12"/>
        <v>49012897</v>
      </c>
      <c r="O89" s="89">
        <f t="shared" si="19"/>
        <v>68293788</v>
      </c>
      <c r="P89" s="63">
        <v>0</v>
      </c>
      <c r="Q89" s="96">
        <f>12357910-5866478</f>
        <v>6491432</v>
      </c>
      <c r="R89" s="96">
        <f>8615743-5961158</f>
        <v>2654585</v>
      </c>
      <c r="S89" s="2" t="s">
        <v>56</v>
      </c>
    </row>
    <row r="90" spans="1:19" x14ac:dyDescent="0.2">
      <c r="A90" s="105">
        <f>'FERC Interest Rates'!A105</f>
        <v>44196</v>
      </c>
      <c r="B90" s="61">
        <v>18475354</v>
      </c>
      <c r="C90" s="61">
        <f>13479796+160193-78623</f>
        <v>13561366</v>
      </c>
      <c r="D90" s="61">
        <v>1776301</v>
      </c>
      <c r="E90" s="62">
        <f t="shared" si="20"/>
        <v>33813021</v>
      </c>
      <c r="F90" s="63">
        <v>0</v>
      </c>
      <c r="G90" s="61">
        <f>220318+244469-220318</f>
        <v>244469</v>
      </c>
      <c r="H90" s="62">
        <f t="shared" si="24"/>
        <v>244469</v>
      </c>
      <c r="I90" s="64">
        <f t="shared" si="18"/>
        <v>34057490</v>
      </c>
      <c r="J90" s="63">
        <f>43645769+18336869+43599327+32725551-44035619-18336869</f>
        <v>75935028</v>
      </c>
      <c r="K90" s="62">
        <f t="shared" si="11"/>
        <v>109992518</v>
      </c>
      <c r="L90" s="101" t="s">
        <v>55</v>
      </c>
      <c r="M90" s="63">
        <f>3733619+658635+457902+981664+7462302+18635+3797+3961371+531780+434089+1038258+8629459+801796+0-3733619-658635-457902-981664-7462302-18635-3797</f>
        <v>15396753</v>
      </c>
      <c r="N90" s="62">
        <f t="shared" si="12"/>
        <v>60538275</v>
      </c>
      <c r="O90" s="89">
        <f t="shared" si="19"/>
        <v>94595765</v>
      </c>
      <c r="P90" s="63">
        <v>0</v>
      </c>
      <c r="Q90" s="96">
        <f>13204857-12357910</f>
        <v>846947</v>
      </c>
      <c r="R90" s="96">
        <f>9569772-8615743</f>
        <v>954029</v>
      </c>
    </row>
    <row r="91" spans="1:19" x14ac:dyDescent="0.2">
      <c r="A91" s="105">
        <f>'FERC Interest Rates'!A106</f>
        <v>44227</v>
      </c>
      <c r="B91" s="61">
        <v>19685299</v>
      </c>
      <c r="C91" s="61">
        <f>14382919+99979-160193</f>
        <v>14322705</v>
      </c>
      <c r="D91" s="61">
        <v>1695848</v>
      </c>
      <c r="E91" s="62">
        <f t="shared" si="20"/>
        <v>35703852</v>
      </c>
      <c r="F91" s="63">
        <v>0</v>
      </c>
      <c r="G91" s="61">
        <f>244469+248648-244469</f>
        <v>248648</v>
      </c>
      <c r="H91" s="62">
        <f t="shared" si="24"/>
        <v>248648</v>
      </c>
      <c r="I91" s="64">
        <f t="shared" si="18"/>
        <v>35952500</v>
      </c>
      <c r="J91" s="63">
        <f>43599327+32725551+45719530+25537457-43599327-32725551</f>
        <v>71256987</v>
      </c>
      <c r="K91" s="62">
        <f t="shared" si="11"/>
        <v>107209487</v>
      </c>
      <c r="L91" s="101" t="s">
        <v>55</v>
      </c>
      <c r="M91" s="63">
        <f>3961371+531780+434089+1038258+8629459+801796+0+3811005+784731+530523+1058820+7760458+392+0-3961371-531780-434089-1038258-8629459-801796-0</f>
        <v>13945929</v>
      </c>
      <c r="N91" s="62">
        <f t="shared" si="12"/>
        <v>57311058</v>
      </c>
      <c r="O91" s="89">
        <f t="shared" si="19"/>
        <v>93263558</v>
      </c>
      <c r="P91" s="63">
        <v>0</v>
      </c>
      <c r="Q91" s="96">
        <f>12651421-13204857</f>
        <v>-553436</v>
      </c>
      <c r="R91" s="96">
        <f>9206386-9569772</f>
        <v>-363386</v>
      </c>
    </row>
    <row r="92" spans="1:19" x14ac:dyDescent="0.2">
      <c r="A92" s="105">
        <f>'FERC Interest Rates'!A107</f>
        <v>44255</v>
      </c>
      <c r="B92" s="61">
        <v>18599534</v>
      </c>
      <c r="C92" s="61">
        <f>13476521+94958-99979</f>
        <v>13471500</v>
      </c>
      <c r="D92" s="61">
        <v>1598634</v>
      </c>
      <c r="E92" s="62">
        <f t="shared" si="20"/>
        <v>33669668</v>
      </c>
      <c r="F92" s="63">
        <v>0</v>
      </c>
      <c r="G92" s="61">
        <f>248648+239855-248648</f>
        <v>239855</v>
      </c>
      <c r="H92" s="62">
        <f t="shared" si="24"/>
        <v>239855</v>
      </c>
      <c r="I92" s="64">
        <f t="shared" si="18"/>
        <v>33909523</v>
      </c>
      <c r="J92" s="63">
        <f>45858410+25537457+41514070+25473750-45719530-25537457</f>
        <v>67126700</v>
      </c>
      <c r="K92" s="62">
        <f t="shared" si="11"/>
        <v>101036223</v>
      </c>
      <c r="L92" s="101" t="s">
        <v>55</v>
      </c>
      <c r="M92" s="63">
        <f>3811005+784731+530523+1058820+7760458+392+0+3364783+632596+377681+1028372+7001034+1613489+22799-3811005-784731-530523-1058820-7760458-392-0</f>
        <v>14040754</v>
      </c>
      <c r="N92" s="62">
        <f t="shared" si="12"/>
        <v>53085946</v>
      </c>
      <c r="O92" s="89">
        <f t="shared" si="19"/>
        <v>86995469</v>
      </c>
      <c r="P92" s="63">
        <v>0</v>
      </c>
      <c r="Q92" s="96">
        <f>13677184-12651421</f>
        <v>1025763</v>
      </c>
      <c r="R92" s="96">
        <f>9876392-9206386</f>
        <v>670006</v>
      </c>
    </row>
    <row r="93" spans="1:19" x14ac:dyDescent="0.2">
      <c r="A93" s="105">
        <f>'FERC Interest Rates'!A108</f>
        <v>44286</v>
      </c>
      <c r="B93" s="61">
        <v>19676756</v>
      </c>
      <c r="C93" s="61">
        <f>14680196+62188-94958</f>
        <v>14647426</v>
      </c>
      <c r="D93" s="61">
        <v>1818843</v>
      </c>
      <c r="E93" s="62">
        <f t="shared" si="20"/>
        <v>36143025</v>
      </c>
      <c r="F93" s="63">
        <v>0</v>
      </c>
      <c r="G93" s="61">
        <f>238893+235545-239855</f>
        <v>234583</v>
      </c>
      <c r="H93" s="62">
        <f t="shared" si="24"/>
        <v>234583</v>
      </c>
      <c r="I93" s="64">
        <f t="shared" si="18"/>
        <v>36377608</v>
      </c>
      <c r="J93" s="63">
        <f>41507244+25473750+44368952+41013439-41514070-25473750</f>
        <v>85375565</v>
      </c>
      <c r="K93" s="62">
        <f t="shared" si="11"/>
        <v>121753173</v>
      </c>
      <c r="L93" s="101" t="s">
        <v>55</v>
      </c>
      <c r="M93" s="63">
        <f>3364783+632596+377681+1028372+7001034+1613489+22799+3445221+731231+344914+1102778+8979413+3832585+108012-3364783-632596-377681-1028372-7001034-1613489-22799</f>
        <v>18544154</v>
      </c>
      <c r="N93" s="62">
        <f t="shared" si="12"/>
        <v>66831411</v>
      </c>
      <c r="O93" s="89">
        <f t="shared" si="19"/>
        <v>103209019</v>
      </c>
      <c r="P93" s="63">
        <v>0</v>
      </c>
      <c r="Q93" s="96">
        <f>8870023-13677184</f>
        <v>-4807161</v>
      </c>
      <c r="R93" s="96">
        <f>6599492-9876392</f>
        <v>-3276900</v>
      </c>
    </row>
    <row r="94" spans="1:19" x14ac:dyDescent="0.2">
      <c r="A94" s="105">
        <f>'FERC Interest Rates'!A109</f>
        <v>44316</v>
      </c>
      <c r="B94" s="61">
        <v>13567783</v>
      </c>
      <c r="C94" s="61">
        <f>10315166+37926-62188</f>
        <v>10290904</v>
      </c>
      <c r="D94" s="61">
        <v>1493168</v>
      </c>
      <c r="E94" s="62">
        <f t="shared" si="20"/>
        <v>25351855</v>
      </c>
      <c r="F94" s="63">
        <v>0</v>
      </c>
      <c r="G94" s="61">
        <f>235545+180576-235545</f>
        <v>180576</v>
      </c>
      <c r="H94" s="62">
        <f t="shared" si="24"/>
        <v>180576</v>
      </c>
      <c r="I94" s="64">
        <f t="shared" si="18"/>
        <v>25532431</v>
      </c>
      <c r="J94" s="63">
        <f>44368952+41013439+41719641+36076368-44368952-41013439</f>
        <v>77796009</v>
      </c>
      <c r="K94" s="62">
        <f t="shared" si="11"/>
        <v>103328440</v>
      </c>
      <c r="L94" s="101" t="s">
        <v>55</v>
      </c>
      <c r="M94" s="63">
        <f>3445221+731231+344914+1102778+8979413+3832585+108012+3529385+651362+244382+1083614+5907169+2326616+4777-3445221-731231-344914-1102778-8979413-3832585-108012</f>
        <v>13747305</v>
      </c>
      <c r="N94" s="62">
        <f t="shared" si="12"/>
        <v>64048704</v>
      </c>
      <c r="O94" s="89">
        <f t="shared" si="19"/>
        <v>89581135</v>
      </c>
      <c r="P94" s="63">
        <v>0</v>
      </c>
      <c r="Q94" s="96">
        <f>3671024-8870023</f>
        <v>-5198999</v>
      </c>
      <c r="R94" s="96">
        <f>2779511-6599492</f>
        <v>-3819981</v>
      </c>
    </row>
    <row r="95" spans="1:19" x14ac:dyDescent="0.2">
      <c r="A95" s="105">
        <f>'FERC Interest Rates'!A110</f>
        <v>44347</v>
      </c>
      <c r="B95" s="61">
        <v>6623364</v>
      </c>
      <c r="C95" s="61">
        <f>5587343+26515-37926</f>
        <v>5575932</v>
      </c>
      <c r="D95" s="61">
        <v>966305</v>
      </c>
      <c r="E95" s="62">
        <f t="shared" si="20"/>
        <v>13165601</v>
      </c>
      <c r="F95" s="63">
        <v>0</v>
      </c>
      <c r="G95" s="61">
        <f>180576+143789-180576</f>
        <v>143789</v>
      </c>
      <c r="H95" s="62">
        <f t="shared" si="24"/>
        <v>143789</v>
      </c>
      <c r="I95" s="64">
        <f t="shared" si="18"/>
        <v>13309390</v>
      </c>
      <c r="J95" s="63">
        <f>41719641+36076368+39005344+21435217-41719641-36076368</f>
        <v>60440561</v>
      </c>
      <c r="K95" s="62">
        <f t="shared" si="11"/>
        <v>73749951</v>
      </c>
      <c r="L95" s="101" t="s">
        <v>55</v>
      </c>
      <c r="M95" s="63">
        <f>3529385+651362+244382+1083614+5907169+2326616+4777+2947295+496918+305268+1112584+5745936+6639387+274441-3529385-651362-244382-1083614-5907169-2326616-4777</f>
        <v>17521829</v>
      </c>
      <c r="N95" s="62">
        <f t="shared" si="12"/>
        <v>42918732</v>
      </c>
      <c r="O95" s="89">
        <f t="shared" si="19"/>
        <v>56228122</v>
      </c>
      <c r="P95" s="63">
        <v>0</v>
      </c>
      <c r="Q95" s="96">
        <f>2344541-3671024</f>
        <v>-1326483</v>
      </c>
      <c r="R95" s="96">
        <f>1966052-2779511</f>
        <v>-813459</v>
      </c>
    </row>
    <row r="96" spans="1:19" x14ac:dyDescent="0.2">
      <c r="A96" s="105">
        <f>'FERC Interest Rates'!A111</f>
        <v>44377</v>
      </c>
      <c r="B96" s="61">
        <v>5165480</v>
      </c>
      <c r="C96" s="61">
        <f>4550614+5091-26515</f>
        <v>4529190</v>
      </c>
      <c r="D96" s="61">
        <v>1033233</v>
      </c>
      <c r="E96" s="62">
        <f t="shared" si="20"/>
        <v>10727903</v>
      </c>
      <c r="F96" s="63">
        <v>0</v>
      </c>
      <c r="G96" s="61">
        <f>143789+104510-143789</f>
        <v>104510</v>
      </c>
      <c r="H96" s="62">
        <f t="shared" si="24"/>
        <v>104510</v>
      </c>
      <c r="I96" s="64">
        <f t="shared" si="18"/>
        <v>10832413</v>
      </c>
      <c r="J96" s="63">
        <f>39005344+21435217+37655335+37862933-39005344-21435217</f>
        <v>75518268</v>
      </c>
      <c r="K96" s="62">
        <f t="shared" si="11"/>
        <v>86350681</v>
      </c>
      <c r="L96" s="101" t="s">
        <v>55</v>
      </c>
      <c r="M96" s="63">
        <f>2947295+496918+305268+1112584+5745936+6639387+274441+3187034+456697+220613+1091768+7240174+5347779+27594-2947295-496918-305268-1112584-5745936-6639387-274441</f>
        <v>17571659</v>
      </c>
      <c r="N96" s="62">
        <f t="shared" si="12"/>
        <v>57946609</v>
      </c>
      <c r="O96" s="89">
        <f t="shared" si="19"/>
        <v>68779022</v>
      </c>
      <c r="P96" s="63">
        <v>0</v>
      </c>
      <c r="Q96" s="96">
        <f>339559-2344541</f>
        <v>-2004982</v>
      </c>
      <c r="R96" s="96">
        <f>296580-1966052</f>
        <v>-1669472</v>
      </c>
    </row>
    <row r="97" spans="1:18" x14ac:dyDescent="0.2">
      <c r="A97" s="105">
        <f>'FERC Interest Rates'!A112</f>
        <v>44408</v>
      </c>
      <c r="B97" s="61">
        <v>3043741</v>
      </c>
      <c r="C97" s="61">
        <f>3066602+4542-5091</f>
        <v>3066053</v>
      </c>
      <c r="D97" s="61">
        <v>756419</v>
      </c>
      <c r="E97" s="62">
        <f t="shared" si="20"/>
        <v>6866213</v>
      </c>
      <c r="F97" s="63">
        <v>0</v>
      </c>
      <c r="G97" s="61">
        <f>104510+88811-104510</f>
        <v>88811</v>
      </c>
      <c r="H97" s="62">
        <f t="shared" si="24"/>
        <v>88811</v>
      </c>
      <c r="I97" s="64">
        <f t="shared" si="18"/>
        <v>6955024</v>
      </c>
      <c r="J97" s="63">
        <f>37655335+37862933+34670917+50814614-37655335-37862933</f>
        <v>85485531</v>
      </c>
      <c r="K97" s="62">
        <f t="shared" si="11"/>
        <v>92440555</v>
      </c>
      <c r="L97" s="101" t="s">
        <v>55</v>
      </c>
      <c r="M97" s="63">
        <f>3187034+456697+220613+1091768+7240174+5347779+27594+3150229+589887+231899+1057703+7874655+6774098+626809-3187034-456697-220613-1091768-7240174-5347779-27594</f>
        <v>20305280</v>
      </c>
      <c r="N97" s="62">
        <f t="shared" si="12"/>
        <v>65180251</v>
      </c>
      <c r="O97" s="89">
        <f t="shared" si="19"/>
        <v>72135275</v>
      </c>
      <c r="P97" s="63">
        <v>0</v>
      </c>
      <c r="Q97" s="96">
        <f>1242836-339559</f>
        <v>903277</v>
      </c>
      <c r="R97" s="96">
        <f>1248224-296580</f>
        <v>951644</v>
      </c>
    </row>
    <row r="98" spans="1:18" x14ac:dyDescent="0.2">
      <c r="A98" s="105">
        <f>'FERC Interest Rates'!A113</f>
        <v>44439</v>
      </c>
      <c r="B98" s="61">
        <v>2658664</v>
      </c>
      <c r="C98" s="61">
        <f>2878084+5411-4542</f>
        <v>2878953</v>
      </c>
      <c r="D98" s="61">
        <v>781119</v>
      </c>
      <c r="E98" s="62">
        <f t="shared" si="20"/>
        <v>6318736</v>
      </c>
      <c r="F98" s="63">
        <v>0</v>
      </c>
      <c r="G98" s="61">
        <f>88811+103033-88811</f>
        <v>103033</v>
      </c>
      <c r="H98" s="62">
        <f t="shared" si="24"/>
        <v>103033</v>
      </c>
      <c r="I98" s="64">
        <f t="shared" si="18"/>
        <v>6421769</v>
      </c>
      <c r="J98" s="63">
        <f>34670917+50814614+35431401+51134914-34670917-50814614</f>
        <v>86566315</v>
      </c>
      <c r="K98" s="62">
        <f t="shared" si="11"/>
        <v>92988084</v>
      </c>
      <c r="L98" s="101" t="s">
        <v>55</v>
      </c>
      <c r="M98" s="63">
        <f>3150229+589887+231899+1057703+7874655+6774098+626809+3198929+639207+263338+977831+8756668+7028098+1359828-3150229-589887-231899-1057703-7874655-6774098-626809</f>
        <v>22223899</v>
      </c>
      <c r="N98" s="62">
        <f t="shared" si="12"/>
        <v>64342416</v>
      </c>
      <c r="O98" s="89">
        <f t="shared" si="19"/>
        <v>70764185</v>
      </c>
      <c r="P98" s="63">
        <v>0</v>
      </c>
      <c r="Q98" s="96">
        <f>1319541-1242836</f>
        <v>76705</v>
      </c>
      <c r="R98" s="96">
        <f>1411426-1248224</f>
        <v>163202</v>
      </c>
    </row>
    <row r="99" spans="1:18" x14ac:dyDescent="0.2">
      <c r="A99" s="105">
        <f>'FERC Interest Rates'!A114</f>
        <v>44469</v>
      </c>
      <c r="B99" s="61">
        <v>3024586</v>
      </c>
      <c r="C99" s="61">
        <f>3108907+6417-5411</f>
        <v>3109913</v>
      </c>
      <c r="D99" s="61">
        <v>877970</v>
      </c>
      <c r="E99" s="62">
        <f t="shared" si="20"/>
        <v>7012469</v>
      </c>
      <c r="F99" s="63">
        <v>0</v>
      </c>
      <c r="G99" s="61">
        <f>103033+127498-103033</f>
        <v>127498</v>
      </c>
      <c r="H99" s="62">
        <f t="shared" si="24"/>
        <v>127498</v>
      </c>
      <c r="I99" s="64">
        <f t="shared" si="18"/>
        <v>7139967</v>
      </c>
      <c r="J99" s="63">
        <f>35446988+51134914+37269105+47984893-35431401-51134914</f>
        <v>85269585</v>
      </c>
      <c r="K99" s="62">
        <f t="shared" si="11"/>
        <v>92409552</v>
      </c>
      <c r="L99" s="101" t="s">
        <v>55</v>
      </c>
      <c r="M99" s="63">
        <f>3198929+639207+263338+977831+8756668+7028098+1359828+3209502+603823+243842+985969+7797525+7613521+91332-3198929-639207-263338-977831-8756668-7028098-1359828</f>
        <v>20545514</v>
      </c>
      <c r="N99" s="62">
        <f t="shared" si="12"/>
        <v>64724071</v>
      </c>
      <c r="O99" s="89">
        <f t="shared" si="19"/>
        <v>71864038</v>
      </c>
      <c r="P99" s="63">
        <v>0</v>
      </c>
      <c r="Q99" s="96">
        <f>2292851-1319541</f>
        <v>973310</v>
      </c>
      <c r="R99" s="96">
        <f>2330127-1411426</f>
        <v>918701</v>
      </c>
    </row>
    <row r="100" spans="1:18" x14ac:dyDescent="0.2">
      <c r="A100" s="105">
        <f>'FERC Interest Rates'!A115</f>
        <v>44500</v>
      </c>
      <c r="E100" s="62">
        <f t="shared" si="20"/>
        <v>0</v>
      </c>
      <c r="F100" s="63"/>
      <c r="H100" s="62">
        <f t="shared" si="24"/>
        <v>0</v>
      </c>
      <c r="I100" s="64">
        <f t="shared" si="18"/>
        <v>0</v>
      </c>
      <c r="J100" s="63"/>
      <c r="K100" s="62">
        <f t="shared" si="11"/>
        <v>0</v>
      </c>
      <c r="L100" s="101" t="s">
        <v>55</v>
      </c>
      <c r="M100" s="63"/>
      <c r="N100" s="62">
        <f t="shared" si="12"/>
        <v>0</v>
      </c>
      <c r="O100" s="89">
        <f t="shared" si="19"/>
        <v>0</v>
      </c>
      <c r="P100" s="63"/>
      <c r="Q100" s="96"/>
      <c r="R100" s="96"/>
    </row>
    <row r="101" spans="1:18" x14ac:dyDescent="0.2">
      <c r="A101" s="105"/>
    </row>
  </sheetData>
  <mergeCells count="12">
    <mergeCell ref="P3:P4"/>
    <mergeCell ref="Q3:R3"/>
    <mergeCell ref="A1:R1"/>
    <mergeCell ref="A2:R2"/>
    <mergeCell ref="A3:A4"/>
    <mergeCell ref="B3:E3"/>
    <mergeCell ref="F3:H3"/>
    <mergeCell ref="I3:I4"/>
    <mergeCell ref="J3:J4"/>
    <mergeCell ref="K3:K4"/>
    <mergeCell ref="L3:N3"/>
    <mergeCell ref="O3:O4"/>
  </mergeCells>
  <printOptions gridLinesSet="0"/>
  <pageMargins left="0.5" right="0.25" top="0.5" bottom="0.75" header="0.5" footer="0.5"/>
  <pageSetup scale="45" fitToHeight="0" orientation="portrait" r:id="rId1"/>
  <headerFooter alignWithMargins="0">
    <oddFooter>&amp;L&amp;B&amp;"Calibri(Body)"&amp;10 Cascade Natural Gas Corporation&amp;C&amp;B&amp;"Calibri(Body)"&amp;10 Page &amp;P of &amp;N&amp;R&amp;B&amp;"Calibri(Body)"&amp;10 Washington Deferral Accounts</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B1B3-264F-4A4B-B2B9-566AA090213F}">
  <sheetPr>
    <pageSetUpPr fitToPage="1"/>
  </sheetPr>
  <dimension ref="A1:M115"/>
  <sheetViews>
    <sheetView tabSelected="1" view="pageBreakPreview" zoomScaleNormal="75" zoomScaleSheetLayoutView="100" workbookViewId="0">
      <pane xSplit="1" ySplit="10" topLeftCell="B94" activePane="bottomRight" state="frozen"/>
      <selection activeCell="N106" sqref="N106"/>
      <selection pane="topRight" activeCell="N106" sqref="N106"/>
      <selection pane="bottomLeft" activeCell="N106" sqref="N106"/>
      <selection pane="bottomRight" activeCell="N106" sqref="N106"/>
    </sheetView>
  </sheetViews>
  <sheetFormatPr defaultColWidth="8.88671875" defaultRowHeight="12.75" x14ac:dyDescent="0.2"/>
  <cols>
    <col min="1" max="1" width="8.88671875" style="2" customWidth="1"/>
    <col min="2" max="2" width="10.6640625" style="2" customWidth="1"/>
    <col min="3" max="3" width="10.77734375" style="2" customWidth="1"/>
    <col min="4" max="4" width="11.21875" style="2" customWidth="1"/>
    <col min="5" max="6" width="10.33203125" style="2" bestFit="1" customWidth="1"/>
    <col min="7" max="7" width="11.88671875" style="2" customWidth="1"/>
    <col min="8" max="8" width="12.88671875" style="2" customWidth="1"/>
    <col min="9" max="9" width="1.21875" style="2" customWidth="1"/>
    <col min="10" max="10" width="10.44140625" style="2" customWidth="1"/>
    <col min="11" max="11" width="9.6640625" style="2" customWidth="1"/>
    <col min="12" max="12" width="9" style="115" bestFit="1" customWidth="1"/>
    <col min="13" max="13" width="10.33203125" style="2" bestFit="1" customWidth="1"/>
    <col min="14" max="14" width="34.21875" style="2" customWidth="1"/>
    <col min="15" max="16384" width="8.88671875" style="2"/>
  </cols>
  <sheetData>
    <row r="1" spans="1:13" x14ac:dyDescent="0.2">
      <c r="A1" s="138" t="s">
        <v>58</v>
      </c>
      <c r="B1" s="139"/>
      <c r="C1" s="140" t="s">
        <v>59</v>
      </c>
      <c r="D1" s="140"/>
      <c r="E1" s="140"/>
      <c r="F1" s="140"/>
      <c r="G1" s="140"/>
      <c r="H1" s="141"/>
      <c r="I1" s="114"/>
    </row>
    <row r="2" spans="1:13" x14ac:dyDescent="0.2">
      <c r="A2" s="142" t="s">
        <v>60</v>
      </c>
      <c r="B2" s="117"/>
      <c r="C2" s="143" t="s">
        <v>91</v>
      </c>
      <c r="D2" s="143"/>
      <c r="E2" s="143"/>
      <c r="F2" s="143"/>
      <c r="G2" s="143"/>
      <c r="H2" s="144"/>
      <c r="I2" s="114"/>
    </row>
    <row r="3" spans="1:13" x14ac:dyDescent="0.2">
      <c r="A3" s="142" t="s">
        <v>62</v>
      </c>
      <c r="B3" s="117"/>
      <c r="C3" s="118" t="s">
        <v>3</v>
      </c>
      <c r="D3" s="118"/>
      <c r="E3" s="118"/>
      <c r="F3" s="118"/>
      <c r="G3" s="118"/>
      <c r="H3" s="120"/>
      <c r="I3" s="114"/>
      <c r="K3" s="114"/>
    </row>
    <row r="4" spans="1:13" x14ac:dyDescent="0.2">
      <c r="A4" s="142" t="s">
        <v>63</v>
      </c>
      <c r="B4" s="117"/>
      <c r="C4" s="118" t="s">
        <v>64</v>
      </c>
      <c r="D4" s="118"/>
      <c r="E4" s="118"/>
      <c r="F4" s="118"/>
      <c r="G4" s="118"/>
      <c r="H4" s="120"/>
      <c r="I4" s="114"/>
    </row>
    <row r="5" spans="1:13" x14ac:dyDescent="0.2">
      <c r="A5" s="142" t="s">
        <v>65</v>
      </c>
      <c r="B5" s="117"/>
      <c r="C5" s="118" t="s">
        <v>66</v>
      </c>
      <c r="D5" s="118"/>
      <c r="E5" s="118"/>
      <c r="F5" s="118"/>
      <c r="G5" s="118"/>
      <c r="H5" s="120"/>
      <c r="I5" s="114"/>
    </row>
    <row r="6" spans="1:13" x14ac:dyDescent="0.2">
      <c r="A6" s="142" t="s">
        <v>67</v>
      </c>
      <c r="B6" s="117"/>
      <c r="C6" s="118" t="s">
        <v>68</v>
      </c>
      <c r="D6" s="118"/>
      <c r="E6" s="118"/>
      <c r="F6" s="118"/>
      <c r="G6" s="118"/>
      <c r="H6" s="120"/>
      <c r="I6" s="114"/>
      <c r="K6" s="114"/>
    </row>
    <row r="7" spans="1:13" s="149" customFormat="1" ht="54.75" customHeight="1" thickBot="1" x14ac:dyDescent="0.25">
      <c r="A7" s="145" t="s">
        <v>69</v>
      </c>
      <c r="B7" s="146"/>
      <c r="C7" s="147" t="s">
        <v>92</v>
      </c>
      <c r="D7" s="147"/>
      <c r="E7" s="147"/>
      <c r="F7" s="147"/>
      <c r="G7" s="147"/>
      <c r="H7" s="148"/>
      <c r="I7" s="125"/>
      <c r="K7" s="150"/>
      <c r="L7" s="151"/>
    </row>
    <row r="8" spans="1:13" x14ac:dyDescent="0.2">
      <c r="A8" s="152"/>
      <c r="B8" s="152"/>
      <c r="C8" s="153"/>
      <c r="D8" s="153"/>
      <c r="E8" s="153"/>
      <c r="F8" s="153"/>
      <c r="G8" s="153"/>
      <c r="H8" s="153"/>
      <c r="K8" s="114"/>
    </row>
    <row r="9" spans="1:13" x14ac:dyDescent="0.2">
      <c r="A9" s="7"/>
      <c r="D9" s="128" t="s">
        <v>72</v>
      </c>
      <c r="E9" s="128"/>
      <c r="F9" s="128"/>
    </row>
    <row r="10" spans="1:13" s="10" customFormat="1" ht="25.5" x14ac:dyDescent="0.2">
      <c r="A10" s="10" t="s">
        <v>22</v>
      </c>
      <c r="B10" s="10" t="s">
        <v>74</v>
      </c>
      <c r="C10" s="10" t="s">
        <v>51</v>
      </c>
      <c r="D10" s="10" t="s">
        <v>75</v>
      </c>
      <c r="E10" s="10" t="s">
        <v>76</v>
      </c>
      <c r="F10" s="10" t="s">
        <v>77</v>
      </c>
      <c r="G10" s="10" t="s">
        <v>78</v>
      </c>
      <c r="H10" s="10" t="s">
        <v>79</v>
      </c>
      <c r="I10" s="130"/>
      <c r="J10" s="10" t="s">
        <v>80</v>
      </c>
      <c r="L10" s="3"/>
      <c r="M10" s="3"/>
    </row>
    <row r="11" spans="1:13" hidden="1" x14ac:dyDescent="0.2">
      <c r="A11" s="131" t="s">
        <v>84</v>
      </c>
      <c r="B11" s="131"/>
      <c r="C11" s="131"/>
      <c r="D11" s="131"/>
      <c r="E11" s="131"/>
      <c r="F11" s="131"/>
      <c r="G11" s="131"/>
      <c r="H11" s="2">
        <v>5300789.51</v>
      </c>
      <c r="I11" s="132"/>
      <c r="M11" s="133"/>
    </row>
    <row r="12" spans="1:13" hidden="1" x14ac:dyDescent="0.2">
      <c r="A12" s="154">
        <f>'FERC Interest Rates'!A20</f>
        <v>41608</v>
      </c>
      <c r="D12" s="2">
        <f>-235790-543534.68</f>
        <v>-779324.68</v>
      </c>
      <c r="F12" s="2">
        <f t="shared" ref="F12:F13" si="0">ROUND(H11*VLOOKUP(A12,FERCINT13,2)/365*VLOOKUP(A12,FERCINT13,3),2)</f>
        <v>14159.64</v>
      </c>
      <c r="H12" s="2">
        <f t="shared" ref="H12:H75" si="1">H11+SUM(D12:G12)</f>
        <v>4535624.47</v>
      </c>
      <c r="I12" s="132"/>
      <c r="J12" s="2">
        <v>4535624.47</v>
      </c>
      <c r="M12" s="133"/>
    </row>
    <row r="13" spans="1:13" hidden="1" x14ac:dyDescent="0.2">
      <c r="A13" s="154">
        <f>'FERC Interest Rates'!A21</f>
        <v>41639</v>
      </c>
      <c r="D13" s="2">
        <f>-2151664.93-235790</f>
        <v>-2387454.9300000002</v>
      </c>
      <c r="F13" s="2">
        <f t="shared" si="0"/>
        <v>12519.57</v>
      </c>
      <c r="H13" s="2">
        <f t="shared" si="1"/>
        <v>2160689.1099999994</v>
      </c>
      <c r="I13" s="132"/>
      <c r="J13" s="2">
        <v>2160689.11</v>
      </c>
      <c r="M13" s="133"/>
    </row>
    <row r="14" spans="1:13" hidden="1" x14ac:dyDescent="0.2">
      <c r="A14" s="154">
        <f>'FERC Interest Rates'!A22</f>
        <v>41670</v>
      </c>
      <c r="D14" s="2">
        <f>-1890171.1-235790</f>
        <v>-2125961.1</v>
      </c>
      <c r="F14" s="2">
        <f t="shared" ref="F14:F26" si="2">ROUND(H13*VLOOKUP(A14,FERCINT14,2)/365*VLOOKUP(A14,FERCINT14,3),2)</f>
        <v>5964.09</v>
      </c>
      <c r="H14" s="2">
        <f t="shared" si="1"/>
        <v>40692.099999999162</v>
      </c>
      <c r="I14" s="132"/>
      <c r="J14" s="2">
        <v>40692.1</v>
      </c>
      <c r="M14" s="133"/>
    </row>
    <row r="15" spans="1:13" hidden="1" x14ac:dyDescent="0.2">
      <c r="A15" s="154">
        <f>'FERC Interest Rates'!A23</f>
        <v>41698</v>
      </c>
      <c r="D15" s="2">
        <f>-1628431.9-235790</f>
        <v>-1864221.9</v>
      </c>
      <c r="F15" s="2">
        <f t="shared" si="2"/>
        <v>101.45</v>
      </c>
      <c r="H15" s="2">
        <f t="shared" si="1"/>
        <v>-1823428.3500000008</v>
      </c>
      <c r="I15" s="132"/>
      <c r="J15" s="2">
        <v>-1823417.48</v>
      </c>
      <c r="M15" s="133"/>
    </row>
    <row r="16" spans="1:13" hidden="1" x14ac:dyDescent="0.2">
      <c r="A16" s="154">
        <f>'FERC Interest Rates'!A24</f>
        <v>41729</v>
      </c>
      <c r="D16" s="2">
        <v>128015.9</v>
      </c>
      <c r="F16" s="2">
        <f t="shared" si="2"/>
        <v>-5033.16</v>
      </c>
      <c r="H16" s="2">
        <f t="shared" si="1"/>
        <v>-1700445.6100000008</v>
      </c>
      <c r="I16" s="132"/>
      <c r="J16" s="2">
        <v>-1700434.71</v>
      </c>
      <c r="M16" s="133"/>
    </row>
    <row r="17" spans="1:13" hidden="1" x14ac:dyDescent="0.2">
      <c r="A17" s="154">
        <f>'FERC Interest Rates'!A25</f>
        <v>41759</v>
      </c>
      <c r="D17" s="2">
        <f>1545767.97-235790</f>
        <v>1309977.97</v>
      </c>
      <c r="F17" s="2">
        <f t="shared" si="2"/>
        <v>-4542.29</v>
      </c>
      <c r="H17" s="2">
        <f t="shared" si="1"/>
        <v>-395009.93000000087</v>
      </c>
      <c r="I17" s="132"/>
      <c r="J17" s="2">
        <v>-395009.93</v>
      </c>
      <c r="M17" s="133"/>
    </row>
    <row r="18" spans="1:13" hidden="1" x14ac:dyDescent="0.2">
      <c r="A18" s="154">
        <f>'FERC Interest Rates'!A26</f>
        <v>41790</v>
      </c>
      <c r="D18" s="2">
        <f>2390005.33-235790</f>
        <v>2154215.33</v>
      </c>
      <c r="F18" s="2">
        <f t="shared" si="2"/>
        <v>-1090.3399999999999</v>
      </c>
      <c r="H18" s="2">
        <f t="shared" si="1"/>
        <v>1758115.0599999994</v>
      </c>
      <c r="I18" s="132"/>
      <c r="J18" s="2">
        <v>1758115.06</v>
      </c>
      <c r="M18" s="133"/>
    </row>
    <row r="19" spans="1:13" hidden="1" x14ac:dyDescent="0.2">
      <c r="A19" s="154">
        <f>'FERC Interest Rates'!A27</f>
        <v>41820</v>
      </c>
      <c r="D19" s="2">
        <f>2129580.54-235790</f>
        <v>1893790.54</v>
      </c>
      <c r="F19" s="2">
        <f t="shared" si="2"/>
        <v>4696.33</v>
      </c>
      <c r="H19" s="2">
        <f t="shared" si="1"/>
        <v>3656601.9299999997</v>
      </c>
      <c r="I19" s="132"/>
      <c r="J19" s="2">
        <v>3656601.93</v>
      </c>
      <c r="M19" s="133"/>
    </row>
    <row r="20" spans="1:13" hidden="1" x14ac:dyDescent="0.2">
      <c r="A20" s="154">
        <f>'FERC Interest Rates'!A28</f>
        <v>41851</v>
      </c>
      <c r="D20" s="2">
        <f>2343224.81-235790</f>
        <v>2107434.81</v>
      </c>
      <c r="F20" s="2">
        <f t="shared" si="2"/>
        <v>10093.219999999999</v>
      </c>
      <c r="H20" s="2">
        <f t="shared" si="1"/>
        <v>5774129.96</v>
      </c>
      <c r="I20" s="132"/>
      <c r="J20" s="2">
        <v>5774129.96</v>
      </c>
      <c r="M20" s="133"/>
    </row>
    <row r="21" spans="1:13" hidden="1" x14ac:dyDescent="0.2">
      <c r="A21" s="154">
        <f>'FERC Interest Rates'!A29</f>
        <v>41882</v>
      </c>
      <c r="D21" s="2">
        <f>2806868.63-235790</f>
        <v>2571078.63</v>
      </c>
      <c r="F21" s="2">
        <f t="shared" si="2"/>
        <v>15938.18</v>
      </c>
      <c r="H21" s="2">
        <f t="shared" si="1"/>
        <v>8361146.7699999996</v>
      </c>
      <c r="I21" s="132"/>
      <c r="J21" s="2">
        <v>8361146.7699999996</v>
      </c>
      <c r="M21" s="133"/>
    </row>
    <row r="22" spans="1:13" hidden="1" x14ac:dyDescent="0.2">
      <c r="A22" s="154">
        <f>'FERC Interest Rates'!A30</f>
        <v>41912</v>
      </c>
      <c r="D22" s="2">
        <f>2483434.98-235790</f>
        <v>2247644.98</v>
      </c>
      <c r="F22" s="2">
        <f t="shared" si="2"/>
        <v>22334.57</v>
      </c>
      <c r="H22" s="2">
        <f t="shared" si="1"/>
        <v>10631126.32</v>
      </c>
      <c r="I22" s="132"/>
      <c r="J22" s="2">
        <v>10631126.32</v>
      </c>
      <c r="M22" s="133"/>
    </row>
    <row r="23" spans="1:13" hidden="1" x14ac:dyDescent="0.2">
      <c r="A23" s="154">
        <f>'FERC Interest Rates'!A31</f>
        <v>41943</v>
      </c>
      <c r="D23" s="2">
        <f>2177304.09-235790</f>
        <v>1941514.0899999999</v>
      </c>
      <c r="F23" s="2">
        <f t="shared" si="2"/>
        <v>29344.82</v>
      </c>
      <c r="H23" s="2">
        <f t="shared" si="1"/>
        <v>12601985.23</v>
      </c>
      <c r="I23" s="136"/>
      <c r="J23" s="2">
        <v>12601985.23</v>
      </c>
      <c r="M23" s="133"/>
    </row>
    <row r="24" spans="1:13" hidden="1" x14ac:dyDescent="0.2">
      <c r="A24" s="137" t="s">
        <v>86</v>
      </c>
      <c r="B24" s="137"/>
      <c r="C24" s="137"/>
      <c r="D24" s="137"/>
      <c r="E24" s="137"/>
      <c r="F24" s="137"/>
      <c r="G24" s="2">
        <v>-5821559.6299999999</v>
      </c>
      <c r="H24" s="2">
        <f t="shared" si="1"/>
        <v>6780425.6000000006</v>
      </c>
      <c r="I24" s="136"/>
    </row>
    <row r="25" spans="1:13" hidden="1" x14ac:dyDescent="0.2">
      <c r="A25" s="154">
        <f>'FERC Interest Rates'!A32</f>
        <v>41973</v>
      </c>
      <c r="D25" s="2">
        <v>-2042189.49</v>
      </c>
      <c r="F25" s="2">
        <f t="shared" si="2"/>
        <v>18112.099999999999</v>
      </c>
      <c r="H25" s="2">
        <f t="shared" si="1"/>
        <v>4756348.2100000009</v>
      </c>
      <c r="I25" s="136"/>
      <c r="J25" s="2">
        <v>4756348.21</v>
      </c>
      <c r="M25" s="133"/>
    </row>
    <row r="26" spans="1:13" hidden="1" x14ac:dyDescent="0.2">
      <c r="A26" s="154">
        <f>'FERC Interest Rates'!A33</f>
        <v>42004</v>
      </c>
      <c r="D26" s="2">
        <f>-1692473.19-235790</f>
        <v>-1928263.19</v>
      </c>
      <c r="F26" s="2">
        <f t="shared" si="2"/>
        <v>13128.82</v>
      </c>
      <c r="H26" s="2">
        <f t="shared" si="1"/>
        <v>2841213.8400000008</v>
      </c>
      <c r="I26" s="136"/>
      <c r="J26" s="2">
        <v>2841213.84</v>
      </c>
      <c r="M26" s="133"/>
    </row>
    <row r="27" spans="1:13" hidden="1" x14ac:dyDescent="0.2">
      <c r="A27" s="154">
        <f>'FERC Interest Rates'!A34</f>
        <v>42035</v>
      </c>
      <c r="D27" s="2">
        <f>-235790-2244525.95</f>
        <v>-2480315.9500000002</v>
      </c>
      <c r="F27" s="2">
        <f t="shared" ref="F27:F34" si="3">ROUND(H26*VLOOKUP(A27,FERCINT15,2)/365*VLOOKUP(A27,FERCINT15,3),2)</f>
        <v>7842.53</v>
      </c>
      <c r="H27" s="2">
        <f t="shared" si="1"/>
        <v>368740.42000000039</v>
      </c>
      <c r="I27" s="136"/>
      <c r="J27" s="2">
        <v>368740.42</v>
      </c>
      <c r="M27" s="133"/>
    </row>
    <row r="28" spans="1:13" hidden="1" x14ac:dyDescent="0.2">
      <c r="A28" s="154">
        <f>'FERC Interest Rates'!A35</f>
        <v>42063</v>
      </c>
      <c r="D28" s="2">
        <f>-235790-439032.16</f>
        <v>-674822.15999999992</v>
      </c>
      <c r="F28" s="2">
        <f t="shared" si="3"/>
        <v>919.33</v>
      </c>
      <c r="H28" s="2">
        <f t="shared" si="1"/>
        <v>-305162.40999999957</v>
      </c>
      <c r="I28" s="136"/>
      <c r="J28" s="2">
        <v>-305162.40999999997</v>
      </c>
      <c r="M28" s="133"/>
    </row>
    <row r="29" spans="1:13" hidden="1" x14ac:dyDescent="0.2">
      <c r="A29" s="154">
        <f>'FERC Interest Rates'!A36</f>
        <v>42094</v>
      </c>
      <c r="D29" s="2">
        <f>624226.35-235790</f>
        <v>388436.35</v>
      </c>
      <c r="F29" s="2">
        <f t="shared" si="3"/>
        <v>-842.33</v>
      </c>
      <c r="H29" s="2">
        <f t="shared" si="1"/>
        <v>82431.610000000393</v>
      </c>
      <c r="I29" s="136"/>
      <c r="J29" s="2">
        <v>82431.61</v>
      </c>
      <c r="M29" s="133"/>
    </row>
    <row r="30" spans="1:13" hidden="1" x14ac:dyDescent="0.2">
      <c r="A30" s="154">
        <f>'FERC Interest Rates'!A37</f>
        <v>42124</v>
      </c>
      <c r="D30" s="2">
        <v>577862.52</v>
      </c>
      <c r="F30" s="2">
        <f t="shared" si="3"/>
        <v>220.19</v>
      </c>
      <c r="H30" s="2">
        <f t="shared" si="1"/>
        <v>660514.3200000003</v>
      </c>
      <c r="I30" s="136"/>
      <c r="J30" s="2">
        <v>660514.31999999995</v>
      </c>
      <c r="M30" s="133"/>
    </row>
    <row r="31" spans="1:13" hidden="1" x14ac:dyDescent="0.2">
      <c r="A31" s="154">
        <f>'FERC Interest Rates'!A38</f>
        <v>42155</v>
      </c>
      <c r="D31" s="2">
        <f>-235790+2154521.16</f>
        <v>1918731.1600000001</v>
      </c>
      <c r="F31" s="2">
        <f t="shared" si="3"/>
        <v>1823.2</v>
      </c>
      <c r="H31" s="2">
        <f t="shared" si="1"/>
        <v>2581068.6800000006</v>
      </c>
      <c r="I31" s="136"/>
      <c r="J31" s="2">
        <v>2581068.6800000002</v>
      </c>
      <c r="M31" s="133"/>
    </row>
    <row r="32" spans="1:13" hidden="1" x14ac:dyDescent="0.2">
      <c r="A32" s="154">
        <f>'FERC Interest Rates'!A39</f>
        <v>42185</v>
      </c>
      <c r="D32" s="2">
        <f>-235790+3002370.29</f>
        <v>2766580.29</v>
      </c>
      <c r="F32" s="2">
        <f t="shared" si="3"/>
        <v>6894.64</v>
      </c>
      <c r="H32" s="2">
        <f t="shared" si="1"/>
        <v>5354543.6100000013</v>
      </c>
      <c r="I32" s="136"/>
      <c r="J32" s="2">
        <v>5354543.6100000003</v>
      </c>
      <c r="M32" s="133"/>
    </row>
    <row r="33" spans="1:13" hidden="1" x14ac:dyDescent="0.2">
      <c r="A33" s="154">
        <f>'FERC Interest Rates'!A40</f>
        <v>42216</v>
      </c>
      <c r="D33" s="2">
        <f>-235790+2635153.59</f>
        <v>2399363.59</v>
      </c>
      <c r="F33" s="2">
        <f t="shared" si="3"/>
        <v>14780.01</v>
      </c>
      <c r="H33" s="2">
        <f t="shared" si="1"/>
        <v>7768687.2100000009</v>
      </c>
      <c r="I33" s="136"/>
      <c r="J33" s="2">
        <v>7768687.21</v>
      </c>
      <c r="M33" s="133"/>
    </row>
    <row r="34" spans="1:13" hidden="1" x14ac:dyDescent="0.2">
      <c r="A34" s="154">
        <f>'FERC Interest Rates'!A41</f>
        <v>42247</v>
      </c>
      <c r="D34" s="2">
        <f>-235790+3068421.49</f>
        <v>2832631.49</v>
      </c>
      <c r="F34" s="2">
        <f t="shared" si="3"/>
        <v>21443.71</v>
      </c>
      <c r="H34" s="2">
        <f t="shared" si="1"/>
        <v>10622762.41</v>
      </c>
      <c r="I34" s="136"/>
      <c r="J34" s="2">
        <v>10622762.41</v>
      </c>
      <c r="M34" s="133"/>
    </row>
    <row r="35" spans="1:13" hidden="1" x14ac:dyDescent="0.2">
      <c r="A35" s="137" t="s">
        <v>87</v>
      </c>
      <c r="B35" s="137"/>
      <c r="C35" s="137"/>
      <c r="D35" s="137"/>
      <c r="E35" s="137"/>
      <c r="F35" s="137"/>
      <c r="G35" s="2">
        <v>-5384144.4199999999</v>
      </c>
      <c r="H35" s="2">
        <f t="shared" si="1"/>
        <v>5238617.99</v>
      </c>
      <c r="I35" s="136"/>
      <c r="M35" s="133"/>
    </row>
    <row r="36" spans="1:13" hidden="1" x14ac:dyDescent="0.2">
      <c r="A36" s="154">
        <f>'FERC Interest Rates'!A42</f>
        <v>42277</v>
      </c>
      <c r="D36" s="2">
        <f>-235790+2279842.94</f>
        <v>2044052.94</v>
      </c>
      <c r="F36" s="2">
        <f>ROUND(H35*VLOOKUP(A36,FERCINT15,2)/365*VLOOKUP(A36,FERCINT15,3),2)</f>
        <v>13993.57</v>
      </c>
      <c r="H36" s="2">
        <f t="shared" si="1"/>
        <v>7296664.5</v>
      </c>
      <c r="I36" s="136"/>
      <c r="J36" s="2">
        <v>7296664.5</v>
      </c>
      <c r="M36" s="133"/>
    </row>
    <row r="37" spans="1:13" hidden="1" x14ac:dyDescent="0.2">
      <c r="A37" s="154">
        <f>'FERC Interest Rates'!A43</f>
        <v>42308</v>
      </c>
      <c r="D37" s="2">
        <f>-235790+1685153.23</f>
        <v>1449363.23</v>
      </c>
      <c r="F37" s="2">
        <f>ROUND(H36*VLOOKUP(A37,FERCINT15,2)/365*VLOOKUP(A37,FERCINT15,3),2)</f>
        <v>20140.79</v>
      </c>
      <c r="H37" s="2">
        <f t="shared" si="1"/>
        <v>8766168.5199999996</v>
      </c>
      <c r="I37" s="136"/>
      <c r="J37" s="2">
        <v>8766168.5199999996</v>
      </c>
      <c r="M37" s="133"/>
    </row>
    <row r="38" spans="1:13" hidden="1" x14ac:dyDescent="0.2">
      <c r="A38" s="154">
        <f>'FERC Interest Rates'!A44</f>
        <v>42338</v>
      </c>
      <c r="D38" s="2">
        <f>-235790-1154654.65</f>
        <v>-1390444.65</v>
      </c>
      <c r="F38" s="2">
        <f>ROUND(H37*VLOOKUP(A38,FERCINT15,2)/365*VLOOKUP(A38,FERCINT15,3),2)</f>
        <v>23416.48</v>
      </c>
      <c r="H38" s="2">
        <f t="shared" si="1"/>
        <v>7399140.3499999996</v>
      </c>
      <c r="I38" s="136"/>
      <c r="J38" s="2">
        <v>7399140.3499999996</v>
      </c>
      <c r="M38" s="133"/>
    </row>
    <row r="39" spans="1:13" hidden="1" x14ac:dyDescent="0.2">
      <c r="A39" s="154">
        <f>'FERC Interest Rates'!A45</f>
        <v>42369</v>
      </c>
      <c r="D39" s="2">
        <f>-235790-2451396.83</f>
        <v>-2687186.83</v>
      </c>
      <c r="F39" s="2">
        <f>ROUND(H38*VLOOKUP(A39,FERCINT15,2)/365*VLOOKUP(A39,FERCINT15,3),2)</f>
        <v>20423.650000000001</v>
      </c>
      <c r="H39" s="2">
        <f t="shared" si="1"/>
        <v>4732377.17</v>
      </c>
      <c r="I39" s="136"/>
      <c r="J39" s="2">
        <v>4732377.17</v>
      </c>
      <c r="M39" s="133"/>
    </row>
    <row r="40" spans="1:13" hidden="1" x14ac:dyDescent="0.2">
      <c r="A40" s="154">
        <f>'FERC Interest Rates'!A46</f>
        <v>42400</v>
      </c>
      <c r="D40" s="2">
        <f>-235790-2843736.16</f>
        <v>-3079526.16</v>
      </c>
      <c r="F40" s="2">
        <f t="shared" ref="F40:F52" si="4">ROUND(H39*VLOOKUP(A40,FERCINT16,2)/365*VLOOKUP(A40,FERCINT16,3),2)</f>
        <v>13062.66</v>
      </c>
      <c r="H40" s="2">
        <f t="shared" si="1"/>
        <v>1665913.67</v>
      </c>
      <c r="I40" s="136"/>
      <c r="J40" s="2">
        <v>1665913.67</v>
      </c>
      <c r="M40" s="133"/>
    </row>
    <row r="41" spans="1:13" hidden="1" x14ac:dyDescent="0.2">
      <c r="A41" s="154">
        <f>'FERC Interest Rates'!A47</f>
        <v>42429</v>
      </c>
      <c r="D41" s="2">
        <f>-235790-733663.69</f>
        <v>-969453.69</v>
      </c>
      <c r="F41" s="2">
        <f t="shared" si="4"/>
        <v>4301.71</v>
      </c>
      <c r="H41" s="2">
        <f t="shared" si="1"/>
        <v>700761.69</v>
      </c>
      <c r="I41" s="136"/>
      <c r="J41" s="2">
        <v>700761.69</v>
      </c>
      <c r="M41" s="133"/>
    </row>
    <row r="42" spans="1:13" hidden="1" x14ac:dyDescent="0.2">
      <c r="A42" s="154">
        <f>'FERC Interest Rates'!A48</f>
        <v>42460</v>
      </c>
      <c r="D42" s="2">
        <f>-235790-251077.59</f>
        <v>-486867.58999999997</v>
      </c>
      <c r="F42" s="2">
        <f t="shared" si="4"/>
        <v>1934.29</v>
      </c>
      <c r="H42" s="2">
        <f t="shared" si="1"/>
        <v>215828.38999999996</v>
      </c>
      <c r="I42" s="136"/>
      <c r="J42" s="2">
        <v>215828.39</v>
      </c>
      <c r="M42" s="133"/>
    </row>
    <row r="43" spans="1:13" hidden="1" x14ac:dyDescent="0.2">
      <c r="A43" s="154">
        <f>'FERC Interest Rates'!A49</f>
        <v>42490</v>
      </c>
      <c r="D43" s="2">
        <f>-235790+1778810.98</f>
        <v>1543020.98</v>
      </c>
      <c r="F43" s="2">
        <f t="shared" si="4"/>
        <v>613.78</v>
      </c>
      <c r="H43" s="2">
        <f t="shared" si="1"/>
        <v>1759463.15</v>
      </c>
      <c r="I43" s="136"/>
      <c r="J43" s="2">
        <v>1759463.15</v>
      </c>
      <c r="M43" s="133"/>
    </row>
    <row r="44" spans="1:13" hidden="1" x14ac:dyDescent="0.2">
      <c r="A44" s="154">
        <f>'FERC Interest Rates'!A50</f>
        <v>42521</v>
      </c>
      <c r="D44" s="2">
        <f>-235790+2166277.82</f>
        <v>1930487.8199999998</v>
      </c>
      <c r="F44" s="2">
        <f t="shared" si="4"/>
        <v>5170.41</v>
      </c>
      <c r="H44" s="2">
        <f t="shared" si="1"/>
        <v>3695121.38</v>
      </c>
      <c r="I44" s="136"/>
      <c r="J44" s="2">
        <v>3695121.38</v>
      </c>
      <c r="M44" s="133"/>
    </row>
    <row r="45" spans="1:13" hidden="1" x14ac:dyDescent="0.2">
      <c r="A45" s="154">
        <f>'FERC Interest Rates'!A51</f>
        <v>42551</v>
      </c>
      <c r="D45" s="2">
        <f>-235790+2358521.52</f>
        <v>2122731.52</v>
      </c>
      <c r="F45" s="2">
        <f t="shared" si="4"/>
        <v>10508.32</v>
      </c>
      <c r="H45" s="2">
        <f t="shared" si="1"/>
        <v>5828361.2199999997</v>
      </c>
      <c r="I45" s="136"/>
      <c r="J45" s="2">
        <v>5828361.2199999997</v>
      </c>
      <c r="M45" s="133"/>
    </row>
    <row r="46" spans="1:13" hidden="1" x14ac:dyDescent="0.2">
      <c r="A46" s="154">
        <f>'FERC Interest Rates'!A52</f>
        <v>42582</v>
      </c>
      <c r="D46" s="2">
        <f>2544357.05-235790</f>
        <v>2308567.0499999998</v>
      </c>
      <c r="F46" s="2">
        <f t="shared" si="4"/>
        <v>17325.400000000001</v>
      </c>
      <c r="H46" s="2">
        <f t="shared" si="1"/>
        <v>8154253.6699999999</v>
      </c>
      <c r="I46" s="136"/>
      <c r="J46" s="2">
        <v>8154253.6699999999</v>
      </c>
      <c r="M46" s="133"/>
    </row>
    <row r="47" spans="1:13" hidden="1" x14ac:dyDescent="0.2">
      <c r="A47" s="154">
        <f>'FERC Interest Rates'!A53</f>
        <v>42613</v>
      </c>
      <c r="D47" s="2">
        <f>2676077.9-235790</f>
        <v>2440287.9</v>
      </c>
      <c r="F47" s="2">
        <f t="shared" si="4"/>
        <v>24239.360000000001</v>
      </c>
      <c r="H47" s="2">
        <f t="shared" si="1"/>
        <v>10618780.93</v>
      </c>
      <c r="I47" s="136"/>
      <c r="J47" s="2">
        <v>10618780.93</v>
      </c>
      <c r="M47" s="133"/>
    </row>
    <row r="48" spans="1:13" hidden="1" x14ac:dyDescent="0.2">
      <c r="A48" s="137" t="s">
        <v>87</v>
      </c>
      <c r="B48" s="137"/>
      <c r="C48" s="137"/>
      <c r="D48" s="137"/>
      <c r="E48" s="137"/>
      <c r="F48" s="137"/>
      <c r="G48" s="2">
        <v>-5863063.5199999996</v>
      </c>
      <c r="H48" s="2">
        <f t="shared" si="1"/>
        <v>4755717.41</v>
      </c>
      <c r="I48" s="136"/>
      <c r="M48" s="133"/>
    </row>
    <row r="49" spans="1:13" hidden="1" x14ac:dyDescent="0.2">
      <c r="A49" s="154">
        <f>'FERC Interest Rates'!A54</f>
        <v>42643</v>
      </c>
      <c r="D49" s="2">
        <f>2256459.89-235790</f>
        <v>2020669.8900000001</v>
      </c>
      <c r="F49" s="2">
        <f>ROUND(H48*VLOOKUP(A49,FERCINT16,2)/365*VLOOKUP(A49,FERCINT16,3),2)</f>
        <v>13680.83</v>
      </c>
      <c r="H49" s="2">
        <f>H48+SUM(D49:G49)</f>
        <v>6790068.1300000008</v>
      </c>
      <c r="I49" s="136"/>
      <c r="J49" s="2">
        <v>6790068.1299999999</v>
      </c>
      <c r="M49" s="133"/>
    </row>
    <row r="50" spans="1:13" hidden="1" x14ac:dyDescent="0.2">
      <c r="A50" s="154">
        <f>'FERC Interest Rates'!A55</f>
        <v>42674</v>
      </c>
      <c r="D50" s="2">
        <f>1223760.21-235790</f>
        <v>987970.21</v>
      </c>
      <c r="F50" s="2">
        <f t="shared" si="4"/>
        <v>20184.18</v>
      </c>
      <c r="H50" s="2">
        <f t="shared" si="1"/>
        <v>7798222.5200000005</v>
      </c>
      <c r="I50" s="136"/>
      <c r="J50" s="2">
        <v>7798222.5199999996</v>
      </c>
      <c r="M50" s="133"/>
    </row>
    <row r="51" spans="1:13" hidden="1" x14ac:dyDescent="0.2">
      <c r="A51" s="154">
        <f>'FERC Interest Rates'!A56</f>
        <v>42704</v>
      </c>
      <c r="D51" s="2">
        <f>-27093.75+6998.33-235790+279026.37</f>
        <v>23140.950000000012</v>
      </c>
      <c r="F51" s="2">
        <f t="shared" si="4"/>
        <v>22433.24</v>
      </c>
      <c r="H51" s="2">
        <f t="shared" si="1"/>
        <v>7843796.7100000009</v>
      </c>
      <c r="I51" s="136"/>
      <c r="J51" s="2">
        <v>7843796.71</v>
      </c>
      <c r="M51" s="133"/>
    </row>
    <row r="52" spans="1:13" hidden="1" x14ac:dyDescent="0.2">
      <c r="A52" s="154">
        <f>'FERC Interest Rates'!A57</f>
        <v>42735</v>
      </c>
      <c r="D52" s="2">
        <f>-3365220.01-255885.42</f>
        <v>-3621105.4299999997</v>
      </c>
      <c r="F52" s="2">
        <f t="shared" si="4"/>
        <v>23316.49</v>
      </c>
      <c r="H52" s="2">
        <f t="shared" si="1"/>
        <v>4246007.7700000014</v>
      </c>
      <c r="I52" s="136"/>
      <c r="J52" s="2">
        <v>4246007.7699999996</v>
      </c>
      <c r="M52" s="133"/>
    </row>
    <row r="53" spans="1:13" hidden="1" x14ac:dyDescent="0.2">
      <c r="A53" s="154">
        <f>'FERC Interest Rates'!A58</f>
        <v>42766</v>
      </c>
      <c r="D53" s="2">
        <f>-255885.42-3925040.15</f>
        <v>-4180925.57</v>
      </c>
      <c r="F53" s="2">
        <f t="shared" ref="F53:F65" si="5">ROUND(H52*VLOOKUP(A53,FERCINT17,2)/365*VLOOKUP(A53,FERCINT17,3),2)</f>
        <v>12621.69</v>
      </c>
      <c r="H53" s="2">
        <f t="shared" si="1"/>
        <v>77703.890000001527</v>
      </c>
      <c r="I53" s="136"/>
      <c r="J53" s="2">
        <v>77703.89</v>
      </c>
      <c r="M53" s="133"/>
    </row>
    <row r="54" spans="1:13" hidden="1" x14ac:dyDescent="0.2">
      <c r="A54" s="154">
        <f>'FERC Interest Rates'!A59</f>
        <v>42794</v>
      </c>
      <c r="D54" s="2">
        <f>-255885.42-2150057.29</f>
        <v>-2405942.71</v>
      </c>
      <c r="F54" s="2">
        <f t="shared" si="5"/>
        <v>208.63</v>
      </c>
      <c r="H54" s="2">
        <f t="shared" si="1"/>
        <v>-2328030.1899999985</v>
      </c>
      <c r="I54" s="136"/>
      <c r="J54" s="2">
        <v>-2328030.19</v>
      </c>
      <c r="M54" s="133"/>
    </row>
    <row r="55" spans="1:13" hidden="1" x14ac:dyDescent="0.2">
      <c r="A55" s="154">
        <f>'FERC Interest Rates'!A60</f>
        <v>42825</v>
      </c>
      <c r="D55" s="2">
        <f>-255885.42-552759.68</f>
        <v>-808645.10000000009</v>
      </c>
      <c r="F55" s="2">
        <f t="shared" si="5"/>
        <v>-6920.31</v>
      </c>
      <c r="H55" s="2">
        <f t="shared" si="1"/>
        <v>-3143595.5999999987</v>
      </c>
      <c r="I55" s="136"/>
      <c r="J55" s="2">
        <v>-3143595.6</v>
      </c>
      <c r="M55" s="133"/>
    </row>
    <row r="56" spans="1:13" hidden="1" x14ac:dyDescent="0.2">
      <c r="A56" s="154">
        <f>'FERC Interest Rates'!A61</f>
        <v>42855</v>
      </c>
      <c r="D56" s="2">
        <f>-255885.42+711602.06</f>
        <v>455716.64</v>
      </c>
      <c r="F56" s="2">
        <f t="shared" si="5"/>
        <v>-9585.81</v>
      </c>
      <c r="H56" s="2">
        <f t="shared" si="1"/>
        <v>-2697464.7699999986</v>
      </c>
      <c r="I56" s="136"/>
      <c r="J56" s="2">
        <v>-2697464.77</v>
      </c>
      <c r="M56" s="133"/>
    </row>
    <row r="57" spans="1:13" hidden="1" x14ac:dyDescent="0.2">
      <c r="A57" s="154">
        <f>'FERC Interest Rates'!A62</f>
        <v>42886</v>
      </c>
      <c r="D57" s="2">
        <f>1785186.57-255885.42</f>
        <v>1529301.1500000001</v>
      </c>
      <c r="F57" s="2">
        <f t="shared" si="5"/>
        <v>-8499.6</v>
      </c>
      <c r="H57" s="2">
        <f t="shared" si="1"/>
        <v>-1176663.2199999986</v>
      </c>
      <c r="I57" s="136"/>
      <c r="J57" s="2">
        <v>-1176663.22</v>
      </c>
      <c r="M57" s="133"/>
    </row>
    <row r="58" spans="1:13" hidden="1" x14ac:dyDescent="0.2">
      <c r="A58" s="154">
        <f>'FERC Interest Rates'!A63</f>
        <v>42916</v>
      </c>
      <c r="D58" s="2">
        <f>-255885.42+2860897.95</f>
        <v>2605012.5300000003</v>
      </c>
      <c r="F58" s="2">
        <f t="shared" si="5"/>
        <v>-3588.02</v>
      </c>
      <c r="H58" s="2">
        <f t="shared" si="1"/>
        <v>1424761.2900000017</v>
      </c>
      <c r="I58" s="136"/>
      <c r="J58" s="2">
        <v>1424761.29</v>
      </c>
      <c r="M58" s="133"/>
    </row>
    <row r="59" spans="1:13" hidden="1" x14ac:dyDescent="0.2">
      <c r="A59" s="154">
        <f>'FERC Interest Rates'!A64</f>
        <v>42947</v>
      </c>
      <c r="D59" s="2">
        <f>-255885.42+2782148.25</f>
        <v>2526262.83</v>
      </c>
      <c r="F59" s="2">
        <f t="shared" si="5"/>
        <v>4791.88</v>
      </c>
      <c r="H59" s="2">
        <f t="shared" si="1"/>
        <v>3955816.0000000019</v>
      </c>
      <c r="I59" s="136"/>
      <c r="J59" s="2">
        <v>3955816</v>
      </c>
      <c r="M59" s="133"/>
    </row>
    <row r="60" spans="1:13" hidden="1" x14ac:dyDescent="0.2">
      <c r="A60" s="154">
        <f>'FERC Interest Rates'!A65</f>
        <v>42978</v>
      </c>
      <c r="D60" s="2">
        <f>2895319.51-255885.42</f>
        <v>2639434.09</v>
      </c>
      <c r="F60" s="2">
        <f t="shared" si="5"/>
        <v>13304.55</v>
      </c>
      <c r="H60" s="2">
        <f t="shared" si="1"/>
        <v>6608554.6400000015</v>
      </c>
      <c r="I60" s="136"/>
      <c r="J60" s="2">
        <v>6608554.6399999997</v>
      </c>
      <c r="M60" s="133"/>
    </row>
    <row r="61" spans="1:13" hidden="1" x14ac:dyDescent="0.2">
      <c r="A61" s="154">
        <f>'FERC Interest Rates'!A66</f>
        <v>43008</v>
      </c>
      <c r="D61" s="2">
        <f>2319711.12-255885.42</f>
        <v>2063825.7000000002</v>
      </c>
      <c r="F61" s="2">
        <f t="shared" si="5"/>
        <v>21509.49</v>
      </c>
      <c r="H61" s="2">
        <f t="shared" si="1"/>
        <v>8693889.8300000019</v>
      </c>
      <c r="I61" s="136"/>
      <c r="J61" s="2">
        <v>8693889.8300000001</v>
      </c>
      <c r="M61" s="133"/>
    </row>
    <row r="62" spans="1:13" hidden="1" x14ac:dyDescent="0.2">
      <c r="A62" s="154">
        <f>'FERC Interest Rates'!A67</f>
        <v>43039</v>
      </c>
      <c r="D62" s="2">
        <v>1101849.6100000001</v>
      </c>
      <c r="F62" s="2">
        <f t="shared" si="5"/>
        <v>31086.02</v>
      </c>
      <c r="H62" s="2">
        <f t="shared" si="1"/>
        <v>9826825.4600000028</v>
      </c>
      <c r="I62" s="136"/>
      <c r="J62" s="2">
        <v>9826825.4600000009</v>
      </c>
      <c r="M62" s="133"/>
    </row>
    <row r="63" spans="1:13" hidden="1" x14ac:dyDescent="0.2">
      <c r="A63" s="137" t="s">
        <v>88</v>
      </c>
      <c r="B63" s="137"/>
      <c r="C63" s="137"/>
      <c r="D63" s="137"/>
      <c r="E63" s="137"/>
      <c r="F63" s="137"/>
      <c r="G63" s="2">
        <v>-3996277.46</v>
      </c>
      <c r="H63" s="2">
        <f t="shared" si="1"/>
        <v>5830548.0000000028</v>
      </c>
      <c r="I63" s="136"/>
      <c r="M63" s="133"/>
    </row>
    <row r="64" spans="1:13" hidden="1" x14ac:dyDescent="0.2">
      <c r="A64" s="154">
        <f>'FERC Interest Rates'!A68</f>
        <v>43069</v>
      </c>
      <c r="D64" s="2">
        <f>-897988.44-255885.42-255885.42</f>
        <v>-1409759.2799999998</v>
      </c>
      <c r="F64" s="2">
        <f>ROUND(H63*VLOOKUP(A64,FERCINT17,2)/365*VLOOKUP(A64,FERCINT17,3),2)</f>
        <v>20175.29</v>
      </c>
      <c r="H64" s="2">
        <f t="shared" si="1"/>
        <v>4440964.0100000035</v>
      </c>
      <c r="I64" s="136"/>
      <c r="J64" s="2">
        <v>4440964.01</v>
      </c>
      <c r="M64" s="133"/>
    </row>
    <row r="65" spans="1:13" hidden="1" x14ac:dyDescent="0.2">
      <c r="A65" s="154">
        <f>'FERC Interest Rates'!A69</f>
        <v>43100</v>
      </c>
      <c r="D65" s="2">
        <f>-255885.42-2475480.62</f>
        <v>-2731366.04</v>
      </c>
      <c r="F65" s="2">
        <f t="shared" si="5"/>
        <v>15879.18</v>
      </c>
      <c r="H65" s="2">
        <f t="shared" si="1"/>
        <v>1725477.1500000036</v>
      </c>
      <c r="I65" s="136"/>
      <c r="J65" s="2">
        <v>1725477.15</v>
      </c>
      <c r="M65" s="133"/>
    </row>
    <row r="66" spans="1:13" hidden="1" x14ac:dyDescent="0.2">
      <c r="A66" s="154">
        <f>'FERC Interest Rates'!A70</f>
        <v>43131</v>
      </c>
      <c r="D66" s="2">
        <f>-255885.42-2432578.96</f>
        <v>-2688464.38</v>
      </c>
      <c r="F66" s="2">
        <f t="shared" ref="F66:F78" si="6">ROUND(H65*VLOOKUP(A66,FERCINT18,2)/365*VLOOKUP(A66,FERCINT18,3),2)</f>
        <v>6228.26</v>
      </c>
      <c r="H66" s="2">
        <f t="shared" si="1"/>
        <v>-956758.96999999648</v>
      </c>
      <c r="I66" s="136"/>
      <c r="J66" s="2">
        <v>-956758.97</v>
      </c>
      <c r="M66" s="133"/>
    </row>
    <row r="67" spans="1:13" hidden="1" x14ac:dyDescent="0.2">
      <c r="A67" s="154">
        <f>'FERC Interest Rates'!A71</f>
        <v>43159</v>
      </c>
      <c r="D67" s="2">
        <f>-255885.42-1881476.29</f>
        <v>-2137361.71</v>
      </c>
      <c r="F67" s="2">
        <f t="shared" si="6"/>
        <v>-3119.3</v>
      </c>
      <c r="H67" s="2">
        <f t="shared" si="1"/>
        <v>-3097239.9799999963</v>
      </c>
      <c r="I67" s="136"/>
      <c r="J67" s="2">
        <v>-3097239.98</v>
      </c>
      <c r="M67" s="133"/>
    </row>
    <row r="68" spans="1:13" hidden="1" x14ac:dyDescent="0.2">
      <c r="A68" s="154">
        <f>'FERC Interest Rates'!A72</f>
        <v>43190</v>
      </c>
      <c r="D68" s="2">
        <f>-255885.42-527904.85</f>
        <v>-783790.27</v>
      </c>
      <c r="F68" s="2">
        <f t="shared" si="6"/>
        <v>-11179.76</v>
      </c>
      <c r="H68" s="2">
        <f t="shared" si="1"/>
        <v>-3892210.0099999961</v>
      </c>
      <c r="I68" s="136"/>
      <c r="J68" s="2">
        <v>-3892210.01</v>
      </c>
      <c r="M68" s="133"/>
    </row>
    <row r="69" spans="1:13" hidden="1" x14ac:dyDescent="0.2">
      <c r="A69" s="154">
        <f>'FERC Interest Rates'!A73</f>
        <v>43220</v>
      </c>
      <c r="D69" s="2">
        <f>-255885.42+736662.62</f>
        <v>480777.19999999995</v>
      </c>
      <c r="F69" s="2">
        <f t="shared" si="6"/>
        <v>-14299.87</v>
      </c>
      <c r="H69" s="2">
        <f t="shared" si="1"/>
        <v>-3425732.679999996</v>
      </c>
      <c r="I69" s="136"/>
      <c r="J69" s="2">
        <v>-3425732.68</v>
      </c>
      <c r="M69" s="133"/>
    </row>
    <row r="70" spans="1:13" hidden="1" x14ac:dyDescent="0.2">
      <c r="A70" s="154">
        <f>'FERC Interest Rates'!A74</f>
        <v>43251</v>
      </c>
      <c r="D70" s="2">
        <f>-255885.42+2305103.01</f>
        <v>2049217.5899999999</v>
      </c>
      <c r="F70" s="2">
        <f t="shared" si="6"/>
        <v>-13005.58</v>
      </c>
      <c r="H70" s="2">
        <f t="shared" si="1"/>
        <v>-1389520.6699999962</v>
      </c>
      <c r="I70" s="136"/>
      <c r="J70" s="2">
        <v>-1389520.67</v>
      </c>
      <c r="M70" s="133"/>
    </row>
    <row r="71" spans="1:13" hidden="1" x14ac:dyDescent="0.2">
      <c r="A71" s="154">
        <f>'FERC Interest Rates'!A75</f>
        <v>43281</v>
      </c>
      <c r="D71" s="2">
        <f>-255885.42+2275296</f>
        <v>2019410.58</v>
      </c>
      <c r="F71" s="2">
        <f t="shared" si="6"/>
        <v>-5105.0600000000004</v>
      </c>
      <c r="H71" s="2">
        <f t="shared" si="1"/>
        <v>624784.85000000382</v>
      </c>
      <c r="I71" s="136"/>
      <c r="J71" s="2">
        <v>624784.85</v>
      </c>
      <c r="M71" s="133"/>
    </row>
    <row r="72" spans="1:13" hidden="1" x14ac:dyDescent="0.2">
      <c r="A72" s="154">
        <f>'FERC Interest Rates'!A76</f>
        <v>43312</v>
      </c>
      <c r="D72" s="2">
        <f>-255885.42+2633195.8</f>
        <v>2377310.38</v>
      </c>
      <c r="F72" s="2">
        <f t="shared" si="6"/>
        <v>2488.6999999999998</v>
      </c>
      <c r="H72" s="2">
        <f t="shared" si="1"/>
        <v>3004583.9300000039</v>
      </c>
      <c r="I72" s="136"/>
      <c r="J72" s="2">
        <f>371388.13+2633195.8</f>
        <v>3004583.9299999997</v>
      </c>
      <c r="M72" s="133"/>
    </row>
    <row r="73" spans="1:13" hidden="1" x14ac:dyDescent="0.2">
      <c r="A73" s="154">
        <f>'FERC Interest Rates'!A77</f>
        <v>43343</v>
      </c>
      <c r="D73" s="2">
        <f>3035339.83-255885.42</f>
        <v>2779454.41</v>
      </c>
      <c r="F73" s="2">
        <f t="shared" si="6"/>
        <v>11968.12</v>
      </c>
      <c r="H73" s="2">
        <f t="shared" si="1"/>
        <v>5796006.4600000046</v>
      </c>
      <c r="I73" s="136"/>
      <c r="J73" s="2">
        <v>5796006.46</v>
      </c>
      <c r="M73" s="133"/>
    </row>
    <row r="74" spans="1:13" hidden="1" x14ac:dyDescent="0.2">
      <c r="A74" s="154">
        <f>'FERC Interest Rates'!A78</f>
        <v>43373</v>
      </c>
      <c r="D74" s="2">
        <f>-255885.42+2254070.8</f>
        <v>1998185.38</v>
      </c>
      <c r="F74" s="2">
        <f t="shared" si="6"/>
        <v>22342.41</v>
      </c>
      <c r="H74" s="2">
        <f t="shared" si="1"/>
        <v>7816534.2500000047</v>
      </c>
      <c r="I74" s="136"/>
      <c r="J74" s="2">
        <v>7816534.25</v>
      </c>
      <c r="M74" s="133"/>
    </row>
    <row r="75" spans="1:13" ht="18" hidden="1" customHeight="1" x14ac:dyDescent="0.2">
      <c r="A75" s="154">
        <f>'FERC Interest Rates'!A79</f>
        <v>43404</v>
      </c>
      <c r="D75" s="2">
        <f>986862.1-255885.42</f>
        <v>730976.67999999993</v>
      </c>
      <c r="F75" s="2">
        <f t="shared" si="6"/>
        <v>32927.949999999997</v>
      </c>
      <c r="H75" s="2">
        <f t="shared" si="1"/>
        <v>8580438.8800000045</v>
      </c>
      <c r="I75" s="136"/>
      <c r="J75" s="2">
        <v>8580438.8800000008</v>
      </c>
      <c r="M75" s="133"/>
    </row>
    <row r="76" spans="1:13" x14ac:dyDescent="0.2">
      <c r="A76" s="137" t="s">
        <v>88</v>
      </c>
      <c r="B76" s="137"/>
      <c r="C76" s="137"/>
      <c r="D76" s="137"/>
      <c r="E76" s="137"/>
      <c r="F76" s="137"/>
      <c r="G76" s="2">
        <v>-3040936.76</v>
      </c>
      <c r="H76" s="2">
        <f t="shared" ref="H76:H88" si="7">H75+SUM(D76:G76)</f>
        <v>5539502.1200000048</v>
      </c>
      <c r="I76" s="136"/>
      <c r="M76" s="133"/>
    </row>
    <row r="77" spans="1:13" x14ac:dyDescent="0.2">
      <c r="A77" s="154">
        <f>'FERC Interest Rates'!A80</f>
        <v>43434</v>
      </c>
      <c r="B77" s="132"/>
      <c r="C77" s="132"/>
      <c r="D77" s="2">
        <f>-352350.7-1006347.35</f>
        <v>-1358698.05</v>
      </c>
      <c r="E77" s="132"/>
      <c r="F77" s="2">
        <f t="shared" si="6"/>
        <v>22582.959999999999</v>
      </c>
      <c r="H77" s="2">
        <f t="shared" si="7"/>
        <v>4203387.0300000049</v>
      </c>
      <c r="I77" s="136"/>
      <c r="J77" s="2">
        <v>4203387.03</v>
      </c>
      <c r="M77" s="133"/>
    </row>
    <row r="78" spans="1:13" x14ac:dyDescent="0.2">
      <c r="A78" s="154">
        <f>'FERC Interest Rates'!A81</f>
        <v>43465</v>
      </c>
      <c r="B78" s="132"/>
      <c r="C78" s="132"/>
      <c r="D78" s="2">
        <f>-2725392.79+73490.98</f>
        <v>-2651901.81</v>
      </c>
      <c r="E78" s="132"/>
      <c r="F78" s="2">
        <f t="shared" si="6"/>
        <v>17707.2</v>
      </c>
      <c r="H78" s="2">
        <f t="shared" si="7"/>
        <v>1569192.420000005</v>
      </c>
      <c r="I78" s="136"/>
      <c r="J78" s="2">
        <v>1569192.42</v>
      </c>
      <c r="M78" s="133"/>
    </row>
    <row r="79" spans="1:13" x14ac:dyDescent="0.2">
      <c r="A79" s="154">
        <f>'FERC Interest Rates'!A82</f>
        <v>43496</v>
      </c>
      <c r="B79" s="132"/>
      <c r="C79" s="132"/>
      <c r="D79" s="2">
        <f>-352350.7-2243893.67</f>
        <v>-2596244.37</v>
      </c>
      <c r="E79" s="132"/>
      <c r="F79" s="2">
        <f t="shared" ref="F79:F88" si="8">ROUND(H78*VLOOKUP(A79,FERCINT19,2)/365*VLOOKUP(A79,FERCINT19,3),2)</f>
        <v>6903.59</v>
      </c>
      <c r="H79" s="2">
        <f t="shared" si="7"/>
        <v>-1020148.3599999952</v>
      </c>
      <c r="I79" s="136"/>
      <c r="J79" s="2">
        <v>-1020148.36</v>
      </c>
      <c r="M79" s="133"/>
    </row>
    <row r="80" spans="1:13" x14ac:dyDescent="0.2">
      <c r="A80" s="154">
        <f>'FERC Interest Rates'!A83</f>
        <v>43524</v>
      </c>
      <c r="B80" s="132"/>
      <c r="C80" s="132"/>
      <c r="D80" s="2">
        <f>-352350.7-4066257.52</f>
        <v>-4418608.22</v>
      </c>
      <c r="E80" s="132"/>
      <c r="F80" s="2">
        <f t="shared" si="8"/>
        <v>-4053.76</v>
      </c>
      <c r="H80" s="2">
        <f t="shared" si="7"/>
        <v>-5442810.3399999943</v>
      </c>
      <c r="I80" s="136"/>
      <c r="J80" s="2">
        <f>-1376552.82-4066257.52</f>
        <v>-5442810.3399999999</v>
      </c>
      <c r="M80" s="133"/>
    </row>
    <row r="81" spans="1:13" x14ac:dyDescent="0.2">
      <c r="A81" s="154">
        <f>'FERC Interest Rates'!A84</f>
        <v>43555</v>
      </c>
      <c r="B81" s="132"/>
      <c r="C81" s="132"/>
      <c r="D81" s="2">
        <f>-352350.7-1565906.59</f>
        <v>-1918257.29</v>
      </c>
      <c r="E81" s="132"/>
      <c r="F81" s="2">
        <f t="shared" si="8"/>
        <v>-23945.38</v>
      </c>
      <c r="H81" s="2">
        <f t="shared" si="7"/>
        <v>-7385013.0099999942</v>
      </c>
      <c r="I81" s="136"/>
      <c r="J81" s="2">
        <v>-7385013.0099999998</v>
      </c>
      <c r="M81" s="133"/>
    </row>
    <row r="82" spans="1:13" x14ac:dyDescent="0.2">
      <c r="A82" s="154">
        <f>'FERC Interest Rates'!A85</f>
        <v>43585</v>
      </c>
      <c r="B82" s="132"/>
      <c r="C82" s="132"/>
      <c r="D82" s="2">
        <f>1221377.19-352350.7</f>
        <v>869026.49</v>
      </c>
      <c r="E82" s="132"/>
      <c r="F82" s="2">
        <f t="shared" si="8"/>
        <v>-33080.81</v>
      </c>
      <c r="H82" s="2">
        <f t="shared" si="7"/>
        <v>-6549067.3299999945</v>
      </c>
      <c r="I82" s="136"/>
      <c r="J82" s="2">
        <v>-6549067.3300000001</v>
      </c>
      <c r="M82" s="133"/>
    </row>
    <row r="83" spans="1:13" x14ac:dyDescent="0.2">
      <c r="A83" s="154">
        <f>'FERC Interest Rates'!A86</f>
        <v>43616</v>
      </c>
      <c r="B83" s="132"/>
      <c r="C83" s="132"/>
      <c r="D83" s="2">
        <f>2009114.82-352350.7</f>
        <v>1656764.12</v>
      </c>
      <c r="E83" s="132"/>
      <c r="F83" s="2">
        <f t="shared" si="8"/>
        <v>-30314.11</v>
      </c>
      <c r="H83" s="2">
        <f t="shared" si="7"/>
        <v>-4922617.3199999947</v>
      </c>
      <c r="I83" s="136"/>
      <c r="J83" s="2">
        <v>-4922617.32</v>
      </c>
      <c r="M83" s="133"/>
    </row>
    <row r="84" spans="1:13" x14ac:dyDescent="0.2">
      <c r="A84" s="154">
        <f>'FERC Interest Rates'!A87</f>
        <v>43646</v>
      </c>
      <c r="B84" s="132"/>
      <c r="C84" s="132"/>
      <c r="D84" s="2">
        <f>2443588.78-352350.7</f>
        <v>2091238.0799999998</v>
      </c>
      <c r="E84" s="132"/>
      <c r="F84" s="2">
        <f t="shared" si="8"/>
        <v>-22050.63</v>
      </c>
      <c r="H84" s="2">
        <f t="shared" si="7"/>
        <v>-2853429.8699999945</v>
      </c>
      <c r="I84" s="136"/>
      <c r="J84" s="2">
        <f>-5297018.65+2443588.78</f>
        <v>-2853429.8700000006</v>
      </c>
      <c r="M84" s="133"/>
    </row>
    <row r="85" spans="1:13" x14ac:dyDescent="0.2">
      <c r="A85" s="154">
        <f>'FERC Interest Rates'!A88</f>
        <v>43677</v>
      </c>
      <c r="B85" s="132"/>
      <c r="C85" s="132"/>
      <c r="D85" s="2">
        <f>2494215.77-352350.7</f>
        <v>2141865.0699999998</v>
      </c>
      <c r="E85" s="132"/>
      <c r="F85" s="2">
        <f t="shared" si="8"/>
        <v>-13329.04</v>
      </c>
      <c r="H85" s="2">
        <f t="shared" si="7"/>
        <v>-724893.83999999473</v>
      </c>
      <c r="I85" s="136"/>
      <c r="J85" s="2">
        <v>-724893.84</v>
      </c>
      <c r="M85" s="133"/>
    </row>
    <row r="86" spans="1:13" x14ac:dyDescent="0.2">
      <c r="A86" s="154">
        <f>'FERC Interest Rates'!A89</f>
        <v>43708</v>
      </c>
      <c r="B86" s="132"/>
      <c r="C86" s="132"/>
      <c r="D86" s="2">
        <f>2635631.05-352350.7</f>
        <v>2283280.3499999996</v>
      </c>
      <c r="E86" s="132"/>
      <c r="F86" s="2">
        <f t="shared" si="8"/>
        <v>-3386.15</v>
      </c>
      <c r="H86" s="2">
        <f t="shared" si="7"/>
        <v>1555000.360000005</v>
      </c>
      <c r="I86" s="136"/>
      <c r="J86" s="2">
        <f>-1080630.69+2635631.05</f>
        <v>1555000.3599999999</v>
      </c>
      <c r="M86" s="133"/>
    </row>
    <row r="87" spans="1:13" x14ac:dyDescent="0.2">
      <c r="A87" s="154">
        <f>'FERC Interest Rates'!A90</f>
        <v>43738</v>
      </c>
      <c r="B87" s="132"/>
      <c r="C87" s="132"/>
      <c r="D87" s="2">
        <f>1785785.68-4837772.82-352350.7-2081113.59</f>
        <v>-5485451.4300000006</v>
      </c>
      <c r="E87" s="132"/>
      <c r="F87" s="2">
        <f t="shared" si="8"/>
        <v>7029.45</v>
      </c>
      <c r="H87" s="2">
        <f t="shared" si="7"/>
        <v>-3923421.6199999955</v>
      </c>
      <c r="I87" s="136"/>
      <c r="J87" s="2">
        <v>-3923421.62</v>
      </c>
      <c r="M87" s="133"/>
    </row>
    <row r="88" spans="1:13" x14ac:dyDescent="0.2">
      <c r="A88" s="154">
        <f>'FERC Interest Rates'!A91</f>
        <v>43769</v>
      </c>
      <c r="B88" s="132"/>
      <c r="C88" s="132"/>
      <c r="D88" s="2">
        <f>-364139.14-352350.7</f>
        <v>-716489.84000000008</v>
      </c>
      <c r="E88" s="132"/>
      <c r="F88" s="2">
        <f t="shared" si="8"/>
        <v>-18060.64</v>
      </c>
      <c r="H88" s="2">
        <f t="shared" si="7"/>
        <v>-4657972.0999999959</v>
      </c>
      <c r="I88" s="136"/>
      <c r="J88" s="2">
        <v>-4657972.0999999996</v>
      </c>
      <c r="M88" s="133"/>
    </row>
    <row r="89" spans="1:13" x14ac:dyDescent="0.2">
      <c r="A89" s="137" t="s">
        <v>93</v>
      </c>
      <c r="B89" s="137"/>
      <c r="C89" s="137"/>
      <c r="D89" s="137"/>
      <c r="E89" s="137"/>
      <c r="F89" s="137"/>
      <c r="G89" s="2">
        <v>7685675.8799999999</v>
      </c>
      <c r="H89" s="2">
        <f t="shared" ref="H89" si="9">H88+SUM(D89:G89)</f>
        <v>3027703.780000004</v>
      </c>
      <c r="I89" s="136"/>
      <c r="M89" s="133"/>
    </row>
    <row r="90" spans="1:13" x14ac:dyDescent="0.2">
      <c r="A90" s="154">
        <f>'FERC Interest Rates'!A92</f>
        <v>43799</v>
      </c>
      <c r="B90" s="132"/>
      <c r="C90" s="132"/>
      <c r="D90" s="2">
        <f>-1755909.97-352350.7+13888.75</f>
        <v>-2094371.92</v>
      </c>
      <c r="E90" s="132"/>
      <c r="F90" s="2">
        <f>ROUND(H89*VLOOKUP(A90,FERCINT19,2)/365*VLOOKUP(A90,FERCINT19,3),2)</f>
        <v>13487.8</v>
      </c>
      <c r="G90" s="2">
        <v>6718.25</v>
      </c>
      <c r="H90" s="2">
        <f>H89+SUM(D90:G90)</f>
        <v>953537.91000000411</v>
      </c>
      <c r="I90" s="136"/>
      <c r="J90" s="2">
        <v>946819.66</v>
      </c>
      <c r="M90" s="133"/>
    </row>
    <row r="91" spans="1:13" x14ac:dyDescent="0.2">
      <c r="A91" s="154">
        <f>'FERC Interest Rates'!A93</f>
        <v>43830</v>
      </c>
      <c r="B91" s="132"/>
      <c r="C91" s="132"/>
      <c r="D91" s="2">
        <v>-2859387.57</v>
      </c>
      <c r="E91" s="132"/>
      <c r="F91" s="2">
        <f t="shared" ref="F91" si="10">ROUND(H90*VLOOKUP(A91,FERCINT19,2)/365*VLOOKUP(A91,FERCINT19,3),2)</f>
        <v>4389.41</v>
      </c>
      <c r="H91" s="2">
        <f>H90+SUM(D91:G91)+19580.2</f>
        <v>-1881880.0499999956</v>
      </c>
      <c r="I91" s="136"/>
      <c r="J91" s="2">
        <v>-1901460.25</v>
      </c>
      <c r="M91" s="133"/>
    </row>
    <row r="92" spans="1:13" x14ac:dyDescent="0.2">
      <c r="A92" s="154">
        <f>'FERC Interest Rates'!A94</f>
        <v>43861</v>
      </c>
      <c r="B92" s="132"/>
      <c r="C92" s="132"/>
      <c r="D92" s="2">
        <f>-359068.95-2344316.43</f>
        <v>-2703385.3800000004</v>
      </c>
      <c r="E92" s="132"/>
      <c r="F92" s="2">
        <f t="shared" ref="F92:F104" si="11">ROUND(H91*VLOOKUP(A92,FERCINT20,2)/365*VLOOKUP(A92,FERCINT20,3),2)</f>
        <v>-7927.61</v>
      </c>
      <c r="H92" s="2">
        <f>H91+SUM(D92:G92)+22066.97</f>
        <v>-4571126.0699999956</v>
      </c>
      <c r="I92" s="136"/>
      <c r="J92" s="2">
        <v>-4612855.7300000004</v>
      </c>
      <c r="M92" s="133"/>
    </row>
    <row r="93" spans="1:13" x14ac:dyDescent="0.2">
      <c r="A93" s="154">
        <f>'FERC Interest Rates'!A95</f>
        <v>43890</v>
      </c>
      <c r="B93" s="132"/>
      <c r="C93" s="132"/>
      <c r="D93" s="2">
        <f>-1908269.24-359068.95</f>
        <v>-2267338.19</v>
      </c>
      <c r="E93" s="132"/>
      <c r="F93" s="2">
        <f t="shared" si="11"/>
        <v>-18013.990000000002</v>
      </c>
      <c r="H93" s="2">
        <f t="shared" ref="H93:H114" si="12">H92+SUM(D93:G93)</f>
        <v>-6856478.2499999963</v>
      </c>
      <c r="I93" s="136"/>
      <c r="J93" s="2">
        <f>-4948455.95-1908269.24</f>
        <v>-6856725.1900000004</v>
      </c>
      <c r="M93" s="133"/>
    </row>
    <row r="94" spans="1:13" x14ac:dyDescent="0.2">
      <c r="A94" s="154">
        <f>'FERC Interest Rates'!A96</f>
        <v>43921</v>
      </c>
      <c r="B94" s="132"/>
      <c r="C94" s="132"/>
      <c r="D94" s="2">
        <f>-1132094.18-359068.95</f>
        <v>-1491163.13</v>
      </c>
      <c r="E94" s="132"/>
      <c r="F94" s="2">
        <f t="shared" si="11"/>
        <v>-28883.62</v>
      </c>
      <c r="H94" s="2">
        <f t="shared" si="12"/>
        <v>-8376524.9999999963</v>
      </c>
      <c r="I94" s="136"/>
      <c r="J94" s="2">
        <v>-8376771.9400000004</v>
      </c>
      <c r="M94" s="133"/>
    </row>
    <row r="95" spans="1:13" x14ac:dyDescent="0.2">
      <c r="A95" s="154">
        <f>'FERC Interest Rates'!A97</f>
        <v>43951</v>
      </c>
      <c r="B95" s="132"/>
      <c r="C95" s="132"/>
      <c r="D95" s="2">
        <f>737922.46-359068.95</f>
        <v>378853.50999999995</v>
      </c>
      <c r="E95" s="132"/>
      <c r="F95" s="2">
        <f t="shared" si="11"/>
        <v>-32702.87</v>
      </c>
      <c r="H95" s="2">
        <f t="shared" si="12"/>
        <v>-8030374.3599999966</v>
      </c>
      <c r="I95" s="136"/>
      <c r="J95" s="2">
        <v>-8030374.3600000003</v>
      </c>
      <c r="M95" s="133"/>
    </row>
    <row r="96" spans="1:13" x14ac:dyDescent="0.2">
      <c r="A96" s="154">
        <f>'FERC Interest Rates'!A98</f>
        <v>43982</v>
      </c>
      <c r="B96" s="132"/>
      <c r="C96" s="132"/>
      <c r="D96" s="2">
        <f>1822375.24-359068.95</f>
        <v>1463306.29</v>
      </c>
      <c r="E96" s="132"/>
      <c r="F96" s="2">
        <f t="shared" si="11"/>
        <v>-32396.51</v>
      </c>
      <c r="H96" s="2">
        <f t="shared" si="12"/>
        <v>-6599464.5799999963</v>
      </c>
      <c r="I96" s="136"/>
      <c r="J96" s="2">
        <f>-8421839.82+1822375.24</f>
        <v>-6599464.5800000001</v>
      </c>
      <c r="M96" s="133"/>
    </row>
    <row r="97" spans="1:13" x14ac:dyDescent="0.2">
      <c r="A97" s="154">
        <f>'FERC Interest Rates'!A99</f>
        <v>44012</v>
      </c>
      <c r="B97" s="132"/>
      <c r="C97" s="132"/>
      <c r="D97" s="2">
        <f>-359068.95+2238074.24</f>
        <v>1879005.2900000003</v>
      </c>
      <c r="E97" s="132"/>
      <c r="F97" s="2">
        <f t="shared" si="11"/>
        <v>-25765.03</v>
      </c>
      <c r="H97" s="2">
        <f t="shared" si="12"/>
        <v>-4746224.3199999966</v>
      </c>
      <c r="I97" s="136"/>
      <c r="J97" s="2">
        <v>-4746224.32</v>
      </c>
      <c r="M97" s="133"/>
    </row>
    <row r="98" spans="1:13" x14ac:dyDescent="0.2">
      <c r="A98" s="154">
        <f>'FERC Interest Rates'!A100</f>
        <v>44043</v>
      </c>
      <c r="B98" s="132"/>
      <c r="C98" s="132"/>
      <c r="D98" s="2">
        <f>2503009.42-359068.95</f>
        <v>2143940.4699999997</v>
      </c>
      <c r="E98" s="132"/>
      <c r="F98" s="2">
        <f t="shared" si="11"/>
        <v>-13826.47</v>
      </c>
      <c r="H98" s="2">
        <f t="shared" si="12"/>
        <v>-2616110.319999997</v>
      </c>
      <c r="I98" s="136"/>
      <c r="J98" s="2">
        <v>-2616110.3199999998</v>
      </c>
      <c r="M98" s="133"/>
    </row>
    <row r="99" spans="1:13" x14ac:dyDescent="0.2">
      <c r="A99" s="154">
        <f>'FERC Interest Rates'!A101</f>
        <v>44074</v>
      </c>
      <c r="B99" s="132"/>
      <c r="C99" s="132"/>
      <c r="D99" s="2">
        <f>2419844.24-359068.95</f>
        <v>2060775.2900000003</v>
      </c>
      <c r="E99" s="132"/>
      <c r="F99" s="2">
        <f t="shared" si="11"/>
        <v>-7621.12</v>
      </c>
      <c r="H99" s="2">
        <f t="shared" si="12"/>
        <v>-562956.14999999688</v>
      </c>
      <c r="I99" s="136"/>
      <c r="J99" s="2">
        <f>-2982800.39+2419844.24</f>
        <v>-562956.14999999991</v>
      </c>
      <c r="M99" s="133"/>
    </row>
    <row r="100" spans="1:13" x14ac:dyDescent="0.2">
      <c r="A100" s="154">
        <f>'FERC Interest Rates'!A102</f>
        <v>44104</v>
      </c>
      <c r="B100" s="132"/>
      <c r="C100" s="132"/>
      <c r="D100" s="2">
        <f>2250759.68-359068.95</f>
        <v>1891690.7300000002</v>
      </c>
      <c r="E100" s="132"/>
      <c r="F100" s="2">
        <f t="shared" si="11"/>
        <v>-1587.07</v>
      </c>
      <c r="H100" s="2">
        <f t="shared" si="12"/>
        <v>1327147.5100000033</v>
      </c>
      <c r="I100" s="136"/>
      <c r="J100" s="2">
        <v>1327147.51</v>
      </c>
      <c r="M100" s="133"/>
    </row>
    <row r="101" spans="1:13" x14ac:dyDescent="0.2">
      <c r="A101" s="154">
        <f>'FERC Interest Rates'!A103</f>
        <v>44135</v>
      </c>
      <c r="B101" s="132"/>
      <c r="C101" s="132"/>
      <c r="D101" s="2">
        <f>817786.17-359068.95</f>
        <v>458717.22000000003</v>
      </c>
      <c r="E101" s="132"/>
      <c r="F101" s="2">
        <f t="shared" si="11"/>
        <v>3663.29</v>
      </c>
      <c r="H101" s="2">
        <f t="shared" si="12"/>
        <v>1789528.0200000033</v>
      </c>
      <c r="I101" s="136"/>
      <c r="J101" s="2">
        <v>1789528.02</v>
      </c>
      <c r="M101" s="133"/>
    </row>
    <row r="102" spans="1:13" x14ac:dyDescent="0.2">
      <c r="A102" s="137" t="s">
        <v>93</v>
      </c>
      <c r="B102" s="137"/>
      <c r="C102" s="137"/>
      <c r="D102" s="137"/>
      <c r="E102" s="137"/>
      <c r="F102" s="137"/>
      <c r="G102" s="2">
        <v>2638390.84</v>
      </c>
      <c r="H102" s="2">
        <f t="shared" si="12"/>
        <v>4427918.8600000031</v>
      </c>
      <c r="I102" s="136"/>
      <c r="M102" s="133"/>
    </row>
    <row r="103" spans="1:13" x14ac:dyDescent="0.2">
      <c r="A103" s="154">
        <f>'FERC Interest Rates'!A104</f>
        <v>44165</v>
      </c>
      <c r="B103" s="132"/>
      <c r="C103" s="132"/>
      <c r="D103" s="2">
        <f>-660317.71-359068.95-192.33+384.66</f>
        <v>-1019194.3299999998</v>
      </c>
      <c r="E103" s="132"/>
      <c r="F103" s="2">
        <f t="shared" si="11"/>
        <v>11828</v>
      </c>
      <c r="H103" s="2">
        <f t="shared" si="12"/>
        <v>3420552.5300000031</v>
      </c>
      <c r="I103" s="136"/>
      <c r="J103" s="2">
        <v>3420360.2</v>
      </c>
      <c r="M103" s="133"/>
    </row>
    <row r="104" spans="1:13" x14ac:dyDescent="0.2">
      <c r="A104" s="154">
        <f>'FERC Interest Rates'!A105</f>
        <v>44196</v>
      </c>
      <c r="B104" s="132"/>
      <c r="C104" s="132"/>
      <c r="D104" s="2">
        <f>-1630214.11-358876.62</f>
        <v>-1989090.73</v>
      </c>
      <c r="E104" s="132"/>
      <c r="F104" s="2">
        <f t="shared" si="11"/>
        <v>9441.66</v>
      </c>
      <c r="H104" s="2">
        <f t="shared" si="12"/>
        <v>1440903.460000003</v>
      </c>
      <c r="I104" s="136"/>
      <c r="J104" s="2">
        <v>1440517.74</v>
      </c>
      <c r="M104" s="133"/>
    </row>
    <row r="105" spans="1:13" x14ac:dyDescent="0.2">
      <c r="A105" s="154">
        <f>'FERC Interest Rates'!A106</f>
        <v>44227</v>
      </c>
      <c r="B105" s="132"/>
      <c r="C105" s="132"/>
      <c r="D105" s="2">
        <f>-1457925.47-358876.62</f>
        <v>-1816802.0899999999</v>
      </c>
      <c r="E105" s="132"/>
      <c r="F105" s="2">
        <f t="shared" ref="F105:F114" si="13">ROUND(H104*VLOOKUP(A105,FERCINT21,2)/365*VLOOKUP(A105,FERCINT21,3),2)</f>
        <v>3977.29</v>
      </c>
      <c r="H105" s="2">
        <f t="shared" si="12"/>
        <v>-371921.33999999682</v>
      </c>
      <c r="I105" s="136"/>
      <c r="J105" s="2">
        <v>-371923.47</v>
      </c>
      <c r="M105" s="133"/>
    </row>
    <row r="106" spans="1:13" x14ac:dyDescent="0.2">
      <c r="A106" s="154">
        <f>'FERC Interest Rates'!A107</f>
        <v>44255</v>
      </c>
      <c r="B106" s="132"/>
      <c r="C106" s="132"/>
      <c r="D106" s="2">
        <f>-1897964.36-358876.62</f>
        <v>-2256840.98</v>
      </c>
      <c r="E106" s="132"/>
      <c r="F106" s="2">
        <f t="shared" si="13"/>
        <v>-927.26</v>
      </c>
      <c r="H106" s="2">
        <f t="shared" si="12"/>
        <v>-2629689.5799999963</v>
      </c>
      <c r="I106" s="136"/>
      <c r="J106" s="2">
        <v>-2629689.58</v>
      </c>
      <c r="M106" s="133"/>
    </row>
    <row r="107" spans="1:13" x14ac:dyDescent="0.2">
      <c r="A107" s="154">
        <f>'FERC Interest Rates'!A108</f>
        <v>44286</v>
      </c>
      <c r="B107" s="132"/>
      <c r="C107" s="132"/>
      <c r="D107" s="2">
        <f>-358876.62-340624.4</f>
        <v>-699501.02</v>
      </c>
      <c r="E107" s="132"/>
      <c r="F107" s="2">
        <f t="shared" si="13"/>
        <v>-7258.66</v>
      </c>
      <c r="H107" s="2">
        <f t="shared" si="12"/>
        <v>-3336449.2599999965</v>
      </c>
      <c r="I107" s="136"/>
      <c r="J107" s="2">
        <v>-3336449.26</v>
      </c>
      <c r="M107" s="133"/>
    </row>
    <row r="108" spans="1:13" x14ac:dyDescent="0.2">
      <c r="A108" s="154">
        <f>'FERC Interest Rates'!A109</f>
        <v>44316</v>
      </c>
      <c r="B108" s="132"/>
      <c r="C108" s="132"/>
      <c r="D108" s="2">
        <f>1255557.62-358876.62</f>
        <v>896681.00000000012</v>
      </c>
      <c r="E108" s="132"/>
      <c r="F108" s="2">
        <f t="shared" si="13"/>
        <v>-8912.43</v>
      </c>
      <c r="H108" s="2">
        <f t="shared" si="12"/>
        <v>-2448680.6899999967</v>
      </c>
      <c r="I108" s="136"/>
      <c r="J108" s="2">
        <v>-2448680.69</v>
      </c>
      <c r="M108" s="133"/>
    </row>
    <row r="109" spans="1:13" x14ac:dyDescent="0.2">
      <c r="A109" s="154">
        <f>'FERC Interest Rates'!A110</f>
        <v>44347</v>
      </c>
      <c r="B109" s="132"/>
      <c r="C109" s="132"/>
      <c r="D109" s="2">
        <f>2250611.28-358876.62</f>
        <v>1891734.6599999997</v>
      </c>
      <c r="E109" s="132"/>
      <c r="F109" s="2">
        <f t="shared" si="13"/>
        <v>-6759.03</v>
      </c>
      <c r="H109" s="2">
        <f t="shared" si="12"/>
        <v>-563705.05999999703</v>
      </c>
      <c r="I109" s="136"/>
      <c r="J109" s="2">
        <v>-563705.06000000006</v>
      </c>
      <c r="M109" s="133"/>
    </row>
    <row r="110" spans="1:13" x14ac:dyDescent="0.2">
      <c r="A110" s="154">
        <f>'FERC Interest Rates'!A111</f>
        <v>44377</v>
      </c>
      <c r="B110" s="132"/>
      <c r="C110" s="132"/>
      <c r="D110" s="2">
        <f>2872548.62-358876.62</f>
        <v>2513672</v>
      </c>
      <c r="E110" s="132"/>
      <c r="F110" s="2">
        <f t="shared" si="13"/>
        <v>-1505.79</v>
      </c>
      <c r="H110" s="2">
        <f t="shared" si="12"/>
        <v>1948461.1500000029</v>
      </c>
      <c r="I110" s="136"/>
      <c r="J110" s="2">
        <v>1948461.15</v>
      </c>
      <c r="M110" s="133"/>
    </row>
    <row r="111" spans="1:13" x14ac:dyDescent="0.2">
      <c r="A111" s="154">
        <f>'FERC Interest Rates'!A112</f>
        <v>44408</v>
      </c>
      <c r="B111" s="132"/>
      <c r="C111" s="132"/>
      <c r="D111" s="2">
        <f>2651020.7-358876.62</f>
        <v>2292144.08</v>
      </c>
      <c r="E111" s="132"/>
      <c r="F111" s="2">
        <f t="shared" si="13"/>
        <v>5378.29</v>
      </c>
      <c r="H111" s="2">
        <f t="shared" si="12"/>
        <v>4245983.5200000033</v>
      </c>
      <c r="I111" s="136"/>
      <c r="J111" s="2">
        <v>4245983.5199999996</v>
      </c>
      <c r="M111" s="133"/>
    </row>
    <row r="112" spans="1:13" x14ac:dyDescent="0.2">
      <c r="A112" s="154">
        <f>'FERC Interest Rates'!A113</f>
        <v>44439</v>
      </c>
      <c r="B112" s="132"/>
      <c r="C112" s="132"/>
      <c r="D112" s="2">
        <f>2969206.75-358876.62</f>
        <v>2610330.13</v>
      </c>
      <c r="E112" s="132"/>
      <c r="F112" s="2">
        <f t="shared" si="13"/>
        <v>11720.08</v>
      </c>
      <c r="H112" s="2">
        <f t="shared" si="12"/>
        <v>6868033.7300000032</v>
      </c>
      <c r="I112" s="136"/>
      <c r="J112" s="2">
        <v>6868033.7300000004</v>
      </c>
      <c r="M112" s="133"/>
    </row>
    <row r="113" spans="1:13" x14ac:dyDescent="0.2">
      <c r="A113" s="154">
        <f>'FERC Interest Rates'!A114</f>
        <v>44469</v>
      </c>
      <c r="B113" s="132"/>
      <c r="C113" s="132"/>
      <c r="D113" s="2">
        <f>2511632.69-358876.62</f>
        <v>2152756.0699999998</v>
      </c>
      <c r="E113" s="132"/>
      <c r="F113" s="2">
        <f t="shared" si="13"/>
        <v>18346.12</v>
      </c>
      <c r="H113" s="2">
        <f t="shared" si="12"/>
        <v>9039135.9200000037</v>
      </c>
      <c r="I113" s="136"/>
      <c r="J113" s="2">
        <v>9039135.9199999999</v>
      </c>
      <c r="M113" s="133"/>
    </row>
    <row r="114" spans="1:13" x14ac:dyDescent="0.2">
      <c r="A114" s="154">
        <f>'FERC Interest Rates'!A115</f>
        <v>44500</v>
      </c>
      <c r="B114" s="132"/>
      <c r="C114" s="132"/>
      <c r="E114" s="132"/>
      <c r="F114" s="2">
        <f t="shared" si="13"/>
        <v>24950.49</v>
      </c>
      <c r="H114" s="2">
        <f t="shared" si="12"/>
        <v>9064086.4100000039</v>
      </c>
      <c r="I114" s="136"/>
      <c r="M114" s="133"/>
    </row>
    <row r="115" spans="1:13" x14ac:dyDescent="0.2">
      <c r="I115" s="136"/>
    </row>
  </sheetData>
  <mergeCells count="23">
    <mergeCell ref="A48:F48"/>
    <mergeCell ref="A63:F63"/>
    <mergeCell ref="A76:F76"/>
    <mergeCell ref="A89:F89"/>
    <mergeCell ref="A102:F102"/>
    <mergeCell ref="A7:B7"/>
    <mergeCell ref="C7:H7"/>
    <mergeCell ref="D9:F9"/>
    <mergeCell ref="A11:G11"/>
    <mergeCell ref="A24:F24"/>
    <mergeCell ref="A35:F35"/>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84"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DACB3-92D9-49C5-823E-63FC14C611EB}">
  <sheetPr>
    <pageSetUpPr fitToPage="1"/>
  </sheetPr>
  <dimension ref="A1:V115"/>
  <sheetViews>
    <sheetView tabSelected="1" view="pageBreakPreview" zoomScaleNormal="100" zoomScaleSheetLayoutView="100" workbookViewId="0">
      <pane ySplit="7" topLeftCell="A8" activePane="bottomLeft" state="frozen"/>
      <selection activeCell="N106" sqref="N106"/>
      <selection pane="bottomLeft" activeCell="N106" sqref="N106"/>
    </sheetView>
  </sheetViews>
  <sheetFormatPr defaultColWidth="8.88671875" defaultRowHeight="12.75" x14ac:dyDescent="0.2"/>
  <cols>
    <col min="1" max="2" width="8.88671875" style="2"/>
    <col min="3" max="3" width="10.109375" style="2" customWidth="1"/>
    <col min="4" max="4" width="8.88671875" style="2"/>
    <col min="5" max="5" width="11.44140625" style="2" customWidth="1"/>
    <col min="6" max="6" width="8.88671875" style="2"/>
    <col min="7" max="7" width="13.109375" style="2" customWidth="1"/>
    <col min="8" max="8" width="11.6640625" style="2" customWidth="1"/>
    <col min="9" max="9" width="1.21875" style="132" customWidth="1"/>
    <col min="10" max="10" width="11.33203125" style="2" customWidth="1"/>
    <col min="11" max="11" width="13.44140625" style="2" customWidth="1"/>
    <col min="12" max="12" width="11.88671875" style="115" customWidth="1"/>
    <col min="13" max="13" width="10.33203125" style="115" bestFit="1" customWidth="1"/>
    <col min="14" max="14" width="10.33203125" style="2" customWidth="1"/>
    <col min="15" max="15" width="8.88671875" style="2"/>
    <col min="16" max="16" width="8.109375" style="2" bestFit="1" customWidth="1"/>
    <col min="17" max="19" width="7.33203125" style="2" bestFit="1" customWidth="1"/>
    <col min="20" max="20" width="6.6640625" style="2" bestFit="1" customWidth="1"/>
    <col min="21" max="22" width="8.109375" style="2" bestFit="1" customWidth="1"/>
    <col min="23" max="16384" width="8.88671875" style="2"/>
  </cols>
  <sheetData>
    <row r="1" spans="1:22" x14ac:dyDescent="0.2">
      <c r="A1" s="138" t="s">
        <v>58</v>
      </c>
      <c r="B1" s="139"/>
      <c r="C1" s="169" t="s">
        <v>59</v>
      </c>
      <c r="D1" s="169"/>
      <c r="E1" s="169"/>
      <c r="F1" s="169"/>
      <c r="G1" s="169"/>
      <c r="H1" s="170"/>
      <c r="I1" s="114"/>
      <c r="J1" s="171"/>
    </row>
    <row r="2" spans="1:22" x14ac:dyDescent="0.2">
      <c r="A2" s="142" t="s">
        <v>60</v>
      </c>
      <c r="B2" s="117"/>
      <c r="C2" s="172" t="s">
        <v>130</v>
      </c>
      <c r="D2" s="172"/>
      <c r="E2" s="172"/>
      <c r="F2" s="172"/>
      <c r="G2" s="172"/>
      <c r="H2" s="173"/>
      <c r="I2" s="114"/>
      <c r="J2" s="171"/>
    </row>
    <row r="3" spans="1:22" x14ac:dyDescent="0.2">
      <c r="A3" s="142" t="s">
        <v>62</v>
      </c>
      <c r="B3" s="117"/>
      <c r="C3" s="172" t="s">
        <v>7</v>
      </c>
      <c r="D3" s="172"/>
      <c r="E3" s="172"/>
      <c r="F3" s="172"/>
      <c r="G3" s="172"/>
      <c r="H3" s="173"/>
      <c r="I3" s="114"/>
      <c r="J3" s="171"/>
    </row>
    <row r="4" spans="1:22" x14ac:dyDescent="0.2">
      <c r="A4" s="142" t="s">
        <v>63</v>
      </c>
      <c r="B4" s="117"/>
      <c r="C4" s="172" t="s">
        <v>131</v>
      </c>
      <c r="D4" s="172"/>
      <c r="E4" s="172"/>
      <c r="F4" s="172"/>
      <c r="G4" s="172"/>
      <c r="H4" s="173"/>
      <c r="I4" s="114"/>
      <c r="J4" s="171"/>
    </row>
    <row r="5" spans="1:22" x14ac:dyDescent="0.2">
      <c r="A5" s="142" t="s">
        <v>65</v>
      </c>
      <c r="B5" s="117"/>
      <c r="C5" s="172" t="s">
        <v>132</v>
      </c>
      <c r="D5" s="172"/>
      <c r="E5" s="172"/>
      <c r="F5" s="172"/>
      <c r="G5" s="172"/>
      <c r="H5" s="173"/>
      <c r="I5" s="114"/>
      <c r="J5" s="171"/>
    </row>
    <row r="6" spans="1:22" x14ac:dyDescent="0.2">
      <c r="A6" s="142" t="s">
        <v>67</v>
      </c>
      <c r="B6" s="117"/>
      <c r="C6" s="172" t="s">
        <v>133</v>
      </c>
      <c r="D6" s="172"/>
      <c r="E6" s="172"/>
      <c r="F6" s="172"/>
      <c r="G6" s="172"/>
      <c r="H6" s="173"/>
      <c r="I6" s="114"/>
      <c r="J6" s="171"/>
      <c r="K6" s="271"/>
      <c r="L6" s="272"/>
      <c r="M6" s="272"/>
      <c r="N6" s="271"/>
      <c r="O6" s="271"/>
      <c r="P6" s="271"/>
      <c r="Q6" s="271"/>
      <c r="R6" s="271"/>
      <c r="S6" s="271"/>
      <c r="T6" s="271"/>
      <c r="U6" s="271"/>
      <c r="V6" s="271"/>
    </row>
    <row r="7" spans="1:22" ht="13.5" thickBot="1" x14ac:dyDescent="0.25">
      <c r="A7" s="145" t="s">
        <v>69</v>
      </c>
      <c r="B7" s="146"/>
      <c r="C7" s="174" t="s">
        <v>134</v>
      </c>
      <c r="D7" s="174"/>
      <c r="E7" s="174"/>
      <c r="F7" s="174"/>
      <c r="G7" s="174"/>
      <c r="H7" s="175"/>
      <c r="I7" s="125"/>
      <c r="J7" s="176"/>
      <c r="K7" s="271"/>
      <c r="L7" s="272"/>
      <c r="M7" s="272"/>
      <c r="N7" s="271"/>
      <c r="O7" s="271"/>
      <c r="P7" s="271"/>
      <c r="Q7" s="271"/>
      <c r="R7" s="271"/>
      <c r="S7" s="271"/>
      <c r="T7" s="271"/>
      <c r="U7" s="271"/>
      <c r="V7" s="271"/>
    </row>
    <row r="8" spans="1:22" x14ac:dyDescent="0.2">
      <c r="A8" s="152"/>
      <c r="B8" s="152"/>
      <c r="C8" s="153"/>
      <c r="D8" s="153"/>
      <c r="E8" s="153"/>
      <c r="F8" s="153"/>
      <c r="G8" s="153"/>
      <c r="H8" s="153"/>
      <c r="I8" s="2"/>
      <c r="K8" s="273"/>
      <c r="L8" s="272"/>
      <c r="M8" s="272"/>
      <c r="N8" s="271"/>
      <c r="O8" s="271"/>
      <c r="P8" s="271"/>
      <c r="Q8" s="271"/>
      <c r="R8" s="271"/>
      <c r="S8" s="271"/>
      <c r="T8" s="271"/>
      <c r="U8" s="271"/>
      <c r="V8" s="271"/>
    </row>
    <row r="9" spans="1:22" x14ac:dyDescent="0.2">
      <c r="A9" s="7"/>
      <c r="D9" s="128" t="s">
        <v>72</v>
      </c>
      <c r="E9" s="128"/>
      <c r="F9" s="128"/>
      <c r="I9" s="2"/>
      <c r="K9" s="271"/>
      <c r="L9" s="272"/>
      <c r="M9" s="272"/>
      <c r="N9" s="271"/>
      <c r="O9" s="271"/>
      <c r="P9" s="271"/>
      <c r="Q9" s="271"/>
      <c r="R9" s="271"/>
      <c r="S9" s="271"/>
      <c r="T9" s="271"/>
      <c r="U9" s="271"/>
      <c r="V9" s="271"/>
    </row>
    <row r="10" spans="1:22" s="57" customFormat="1" ht="27.75" customHeight="1" x14ac:dyDescent="0.2">
      <c r="A10" s="10" t="s">
        <v>22</v>
      </c>
      <c r="B10" s="10" t="s">
        <v>74</v>
      </c>
      <c r="C10" s="10" t="s">
        <v>51</v>
      </c>
      <c r="D10" s="10" t="s">
        <v>75</v>
      </c>
      <c r="E10" s="10" t="s">
        <v>76</v>
      </c>
      <c r="F10" s="10" t="s">
        <v>77</v>
      </c>
      <c r="G10" s="10" t="s">
        <v>78</v>
      </c>
      <c r="H10" s="10" t="s">
        <v>79</v>
      </c>
      <c r="I10" s="130"/>
      <c r="J10" s="10" t="s">
        <v>80</v>
      </c>
      <c r="K10" s="274"/>
      <c r="L10" s="275"/>
      <c r="M10" s="275"/>
      <c r="N10" s="275"/>
      <c r="O10" s="271"/>
      <c r="P10" s="276">
        <v>503</v>
      </c>
      <c r="Q10" s="276">
        <v>504</v>
      </c>
      <c r="R10" s="276">
        <v>505</v>
      </c>
      <c r="S10" s="276">
        <v>511</v>
      </c>
      <c r="T10" s="276">
        <v>570</v>
      </c>
      <c r="U10" s="276" t="s">
        <v>9</v>
      </c>
      <c r="V10" s="274"/>
    </row>
    <row r="11" spans="1:22" hidden="1" x14ac:dyDescent="0.2">
      <c r="A11" s="177"/>
      <c r="B11" s="177"/>
      <c r="C11" s="177"/>
      <c r="D11" s="177"/>
      <c r="E11" s="177"/>
      <c r="F11" s="177"/>
      <c r="G11" s="177"/>
      <c r="H11" s="178"/>
      <c r="J11" s="176"/>
      <c r="K11" s="271"/>
      <c r="L11" s="272"/>
      <c r="M11" s="272"/>
      <c r="N11" s="271"/>
      <c r="O11" s="271" t="s">
        <v>135</v>
      </c>
      <c r="P11" s="277">
        <v>8910896</v>
      </c>
      <c r="Q11" s="277">
        <v>6877033</v>
      </c>
      <c r="R11" s="277">
        <v>1008488</v>
      </c>
      <c r="S11" s="277">
        <f>737068+235257</f>
        <v>972325</v>
      </c>
      <c r="T11" s="277">
        <v>248145</v>
      </c>
      <c r="U11" s="277">
        <f>SUM(P11:T11)</f>
        <v>18016887</v>
      </c>
      <c r="V11" s="271"/>
    </row>
    <row r="12" spans="1:22" hidden="1" x14ac:dyDescent="0.2">
      <c r="A12" s="179" t="s">
        <v>136</v>
      </c>
      <c r="B12" s="179"/>
      <c r="C12" s="179"/>
      <c r="D12" s="179"/>
      <c r="E12" s="179"/>
      <c r="F12" s="179"/>
      <c r="G12" s="178">
        <v>48566123.659999996</v>
      </c>
      <c r="H12" s="178"/>
      <c r="J12" s="180"/>
      <c r="K12" s="278"/>
      <c r="L12" s="272"/>
      <c r="M12" s="272"/>
      <c r="N12" s="271"/>
      <c r="O12" s="271" t="s">
        <v>137</v>
      </c>
      <c r="P12" s="277">
        <v>3351462</v>
      </c>
      <c r="Q12" s="277">
        <v>2223041</v>
      </c>
      <c r="R12" s="277">
        <v>322822</v>
      </c>
      <c r="S12" s="277">
        <f>291771+103792</f>
        <v>395563</v>
      </c>
      <c r="T12" s="277">
        <v>0</v>
      </c>
      <c r="U12" s="277">
        <f>SUM(P12:T12)</f>
        <v>6292888</v>
      </c>
      <c r="V12" s="271"/>
    </row>
    <row r="13" spans="1:22" hidden="1" x14ac:dyDescent="0.2">
      <c r="A13" s="179"/>
      <c r="B13" s="179"/>
      <c r="C13" s="179"/>
      <c r="D13" s="179"/>
      <c r="E13" s="179"/>
      <c r="F13" s="179"/>
      <c r="G13" s="178"/>
      <c r="H13" s="178">
        <f>SUM(G12:G12)</f>
        <v>48566123.659999996</v>
      </c>
      <c r="J13" s="181"/>
      <c r="K13" s="272"/>
      <c r="L13" s="272"/>
      <c r="M13" s="272"/>
      <c r="N13" s="271"/>
      <c r="O13" s="271" t="s">
        <v>138</v>
      </c>
      <c r="P13" s="198"/>
      <c r="Q13" s="198">
        <v>2258</v>
      </c>
      <c r="R13" s="198">
        <v>128</v>
      </c>
      <c r="S13" s="198"/>
      <c r="T13" s="198">
        <v>191467</v>
      </c>
      <c r="U13" s="198">
        <f>SUM(P13:T13)</f>
        <v>193853</v>
      </c>
      <c r="V13" s="271"/>
    </row>
    <row r="14" spans="1:22" hidden="1" x14ac:dyDescent="0.2">
      <c r="A14" s="183">
        <f>'FERC Interest Rates'!A85</f>
        <v>43585</v>
      </c>
      <c r="B14" s="178" t="s">
        <v>139</v>
      </c>
      <c r="C14" s="184">
        <f>6292888+193853</f>
        <v>6486741</v>
      </c>
      <c r="D14" s="185"/>
      <c r="E14" s="178">
        <f>SUM(ROUND(U11*0,2)+ROUND((U12+U13)*-0.07276,2))</f>
        <v>-471975.28</v>
      </c>
      <c r="F14" s="178">
        <f t="shared" ref="F14:F22" si="0">ROUND(H13*VLOOKUP(A14,FERCINT19,2)/365*VLOOKUP(A14,FERCINT19,3),2)</f>
        <v>217549.62</v>
      </c>
      <c r="G14" s="178"/>
      <c r="H14" s="178">
        <f>H13+SUM(E14:G14)</f>
        <v>48311698</v>
      </c>
      <c r="J14" s="180">
        <v>48238516.170000002</v>
      </c>
      <c r="K14" s="271"/>
      <c r="L14" s="272"/>
      <c r="M14" s="279"/>
      <c r="N14" s="280"/>
      <c r="O14" s="271" t="s">
        <v>9</v>
      </c>
      <c r="P14" s="277">
        <f t="shared" ref="P14:U14" si="1">SUM(P11:P13)</f>
        <v>12262358</v>
      </c>
      <c r="Q14" s="277">
        <f t="shared" si="1"/>
        <v>9102332</v>
      </c>
      <c r="R14" s="277">
        <f t="shared" si="1"/>
        <v>1331438</v>
      </c>
      <c r="S14" s="277">
        <f t="shared" si="1"/>
        <v>1367888</v>
      </c>
      <c r="T14" s="277">
        <f t="shared" si="1"/>
        <v>439612</v>
      </c>
      <c r="U14" s="277">
        <f t="shared" si="1"/>
        <v>24503628</v>
      </c>
      <c r="V14" s="271"/>
    </row>
    <row r="15" spans="1:22" x14ac:dyDescent="0.2">
      <c r="A15" s="183">
        <f>'FERC Interest Rates'!A86</f>
        <v>43616</v>
      </c>
      <c r="B15" s="188">
        <v>-7.2760000000000005E-2</v>
      </c>
      <c r="C15" s="184">
        <f>+'Therm Sales'!I71</f>
        <v>14672895</v>
      </c>
      <c r="D15" s="185"/>
      <c r="E15" s="189">
        <f>ROUND(C15*B15,2)-0.01</f>
        <v>-1067599.8500000001</v>
      </c>
      <c r="F15" s="178">
        <f t="shared" si="0"/>
        <v>223623.6</v>
      </c>
      <c r="G15" s="178"/>
      <c r="H15" s="178">
        <f>H14+SUM(D15:G15)</f>
        <v>47467721.75</v>
      </c>
      <c r="J15" s="180">
        <v>47467721.75</v>
      </c>
      <c r="K15" s="278"/>
      <c r="L15" s="272"/>
      <c r="M15" s="279"/>
      <c r="N15" s="280"/>
      <c r="O15" s="271"/>
      <c r="P15" s="271"/>
      <c r="Q15" s="271"/>
      <c r="R15" s="271"/>
      <c r="S15" s="271"/>
      <c r="T15" s="271"/>
      <c r="U15" s="271"/>
      <c r="V15" s="271"/>
    </row>
    <row r="16" spans="1:22" x14ac:dyDescent="0.2">
      <c r="A16" s="183">
        <f>'FERC Interest Rates'!A87</f>
        <v>43646</v>
      </c>
      <c r="B16" s="188">
        <v>-7.2760000000000005E-2</v>
      </c>
      <c r="C16" s="184">
        <f>+'Therm Sales'!I72</f>
        <v>8957567</v>
      </c>
      <c r="D16" s="190"/>
      <c r="E16" s="135">
        <f>ROUND(C16*B16,2)</f>
        <v>-651752.56999999995</v>
      </c>
      <c r="F16" s="178">
        <f t="shared" si="0"/>
        <v>212629.38</v>
      </c>
      <c r="G16" s="176"/>
      <c r="H16" s="191">
        <f>H15+SUM(D16:G16)</f>
        <v>47028598.560000002</v>
      </c>
      <c r="J16" s="180">
        <v>47028598.560000002</v>
      </c>
      <c r="K16" s="278"/>
      <c r="L16" s="272"/>
      <c r="M16" s="279"/>
      <c r="N16" s="280"/>
      <c r="O16" s="271"/>
      <c r="P16" s="271"/>
      <c r="Q16" s="271"/>
      <c r="R16" s="271"/>
      <c r="S16" s="271"/>
      <c r="T16" s="271"/>
      <c r="U16" s="271"/>
      <c r="V16" s="271"/>
    </row>
    <row r="17" spans="1:22" x14ac:dyDescent="0.2">
      <c r="A17" s="183">
        <f>'FERC Interest Rates'!A88</f>
        <v>43677</v>
      </c>
      <c r="B17" s="188">
        <v>-7.2760000000000005E-2</v>
      </c>
      <c r="C17" s="184">
        <f>+'Therm Sales'!I73</f>
        <v>7650859</v>
      </c>
      <c r="D17" s="190"/>
      <c r="E17" s="135">
        <f>ROUND(C17*B17,2)</f>
        <v>-556676.5</v>
      </c>
      <c r="F17" s="178">
        <f t="shared" si="0"/>
        <v>219681.54</v>
      </c>
      <c r="G17" s="176"/>
      <c r="H17" s="191">
        <f t="shared" ref="H17:H22" si="2">H16+SUM(D17:G17)</f>
        <v>46691603.600000001</v>
      </c>
      <c r="J17" s="2">
        <v>46691603.600000001</v>
      </c>
      <c r="K17" s="278"/>
      <c r="L17" s="272"/>
      <c r="M17" s="279"/>
      <c r="N17" s="280"/>
      <c r="O17" s="271"/>
      <c r="P17" s="271"/>
      <c r="Q17" s="271"/>
      <c r="R17" s="271"/>
      <c r="S17" s="271"/>
      <c r="T17" s="271"/>
      <c r="U17" s="271"/>
      <c r="V17" s="271"/>
    </row>
    <row r="18" spans="1:22" x14ac:dyDescent="0.2">
      <c r="A18" s="183">
        <f>'FERC Interest Rates'!A89</f>
        <v>43708</v>
      </c>
      <c r="B18" s="188">
        <v>-7.2760000000000005E-2</v>
      </c>
      <c r="C18" s="184">
        <f>+'Therm Sales'!I74</f>
        <v>6976774</v>
      </c>
      <c r="D18" s="190"/>
      <c r="E18" s="189">
        <f>ROUND(C18*B18,2)-0.01</f>
        <v>-507630.09</v>
      </c>
      <c r="F18" s="178">
        <f t="shared" si="0"/>
        <v>218107.35</v>
      </c>
      <c r="G18" s="176"/>
      <c r="H18" s="191">
        <f t="shared" si="2"/>
        <v>46402080.859999999</v>
      </c>
      <c r="J18" s="2">
        <v>46402080.859999999</v>
      </c>
      <c r="K18" s="278"/>
      <c r="L18" s="272"/>
      <c r="M18" s="279"/>
      <c r="N18" s="280"/>
      <c r="O18" s="271"/>
      <c r="P18" s="271"/>
      <c r="Q18" s="271"/>
      <c r="R18" s="271"/>
      <c r="S18" s="271"/>
      <c r="T18" s="271"/>
      <c r="U18" s="271"/>
      <c r="V18" s="271"/>
    </row>
    <row r="19" spans="1:22" x14ac:dyDescent="0.2">
      <c r="A19" s="183">
        <f>'FERC Interest Rates'!A90</f>
        <v>43738</v>
      </c>
      <c r="B19" s="188">
        <v>-7.2760000000000005E-2</v>
      </c>
      <c r="C19" s="184">
        <f>+'Therm Sales'!I75</f>
        <v>6786442</v>
      </c>
      <c r="D19" s="190"/>
      <c r="E19" s="135">
        <f t="shared" ref="E19:E21" si="3">ROUND(C19*B19,2)</f>
        <v>-493781.52</v>
      </c>
      <c r="F19" s="178">
        <f t="shared" si="0"/>
        <v>209762.83</v>
      </c>
      <c r="G19" s="176"/>
      <c r="H19" s="191">
        <f t="shared" si="2"/>
        <v>46118062.170000002</v>
      </c>
      <c r="J19" s="2">
        <v>46118062.170000002</v>
      </c>
      <c r="K19" s="278"/>
      <c r="L19" s="272"/>
      <c r="M19" s="279"/>
      <c r="N19" s="280"/>
      <c r="O19" s="271"/>
      <c r="P19" s="271"/>
      <c r="Q19" s="271"/>
      <c r="R19" s="271"/>
      <c r="S19" s="271"/>
      <c r="T19" s="271"/>
      <c r="U19" s="271"/>
      <c r="V19" s="271"/>
    </row>
    <row r="20" spans="1:22" x14ac:dyDescent="0.2">
      <c r="A20" s="183">
        <f>'FERC Interest Rates'!A91</f>
        <v>43769</v>
      </c>
      <c r="B20" s="188">
        <v>-7.2760000000000005E-2</v>
      </c>
      <c r="C20" s="184">
        <f>+'Therm Sales'!I76</f>
        <v>15171360</v>
      </c>
      <c r="D20" s="190"/>
      <c r="E20" s="135">
        <f>ROUND(C20*B20,2)</f>
        <v>-1103868.1499999999</v>
      </c>
      <c r="F20" s="178">
        <f t="shared" si="0"/>
        <v>212294.71</v>
      </c>
      <c r="G20" s="176"/>
      <c r="H20" s="191">
        <f t="shared" si="2"/>
        <v>45226488.730000004</v>
      </c>
      <c r="J20" s="2">
        <v>45226488.729999997</v>
      </c>
      <c r="K20" s="278"/>
      <c r="L20" s="272"/>
      <c r="M20" s="279"/>
      <c r="N20" s="280"/>
      <c r="O20" s="271"/>
      <c r="P20" s="271"/>
      <c r="Q20" s="271"/>
      <c r="R20" s="271"/>
      <c r="S20" s="271"/>
      <c r="T20" s="271"/>
      <c r="U20" s="271"/>
      <c r="V20" s="271"/>
    </row>
    <row r="21" spans="1:22" x14ac:dyDescent="0.2">
      <c r="A21" s="183">
        <f>'FERC Interest Rates'!A92</f>
        <v>43799</v>
      </c>
      <c r="B21" s="188">
        <v>-7.2760000000000005E-2</v>
      </c>
      <c r="C21" s="184">
        <f>+'Therm Sales'!I77</f>
        <v>23951630</v>
      </c>
      <c r="D21" s="190"/>
      <c r="E21" s="135">
        <f t="shared" si="3"/>
        <v>-1742720.6</v>
      </c>
      <c r="F21" s="178">
        <f t="shared" si="0"/>
        <v>201474.71</v>
      </c>
      <c r="G21" s="176"/>
      <c r="H21" s="191">
        <f t="shared" si="2"/>
        <v>43685242.840000004</v>
      </c>
      <c r="J21" s="2">
        <v>43685242.840000004</v>
      </c>
      <c r="K21" s="278"/>
      <c r="L21" s="272"/>
      <c r="M21" s="279"/>
      <c r="N21" s="280"/>
      <c r="O21" s="271"/>
      <c r="P21" s="271"/>
      <c r="Q21" s="271"/>
      <c r="R21" s="271"/>
      <c r="S21" s="271"/>
      <c r="T21" s="271"/>
      <c r="U21" s="271"/>
      <c r="V21" s="271"/>
    </row>
    <row r="22" spans="1:22" x14ac:dyDescent="0.2">
      <c r="A22" s="183">
        <f>'FERC Interest Rates'!A93</f>
        <v>43830</v>
      </c>
      <c r="B22" s="188">
        <v>-7.2760000000000005E-2</v>
      </c>
      <c r="C22" s="184">
        <f>+'Therm Sales'!I78</f>
        <v>34636501</v>
      </c>
      <c r="D22" s="162"/>
      <c r="E22" s="189">
        <f>ROUND(C22*B22,2)-0.01</f>
        <v>-2520151.8199999998</v>
      </c>
      <c r="F22" s="178">
        <f t="shared" si="0"/>
        <v>201095.74</v>
      </c>
      <c r="H22" s="191">
        <f t="shared" si="2"/>
        <v>41366186.760000005</v>
      </c>
      <c r="J22" s="2">
        <v>41366186.759999998</v>
      </c>
      <c r="K22" s="278"/>
      <c r="L22" s="272"/>
      <c r="M22" s="279"/>
      <c r="N22" s="280"/>
      <c r="O22" s="271"/>
      <c r="P22" s="271"/>
      <c r="Q22" s="271"/>
      <c r="R22" s="271"/>
      <c r="S22" s="271"/>
      <c r="T22" s="271"/>
      <c r="U22" s="271"/>
      <c r="V22" s="271"/>
    </row>
    <row r="23" spans="1:22" x14ac:dyDescent="0.2">
      <c r="A23" s="183">
        <f>'FERC Interest Rates'!A94</f>
        <v>43861</v>
      </c>
      <c r="B23" s="188">
        <v>-7.2760000000000005E-2</v>
      </c>
      <c r="C23" s="184">
        <f>+'Therm Sales'!I79</f>
        <v>41447011</v>
      </c>
      <c r="D23" s="162"/>
      <c r="E23" s="135">
        <f t="shared" ref="E23:E44" si="4">ROUND(C23*B23,2)</f>
        <v>-3015684.52</v>
      </c>
      <c r="F23" s="178">
        <f t="shared" ref="F23:F34" si="5">ROUND(H22*VLOOKUP(A23,FERCINT20,2)/365*VLOOKUP(A23,FERCINT20,3),2)</f>
        <v>174259.31</v>
      </c>
      <c r="H23" s="191">
        <f t="shared" ref="H23:H44" si="6">H22+SUM(D23:G23)</f>
        <v>38524761.550000004</v>
      </c>
      <c r="I23" s="136"/>
      <c r="J23" s="2">
        <v>38524761.549999997</v>
      </c>
      <c r="K23" s="278"/>
      <c r="L23" s="272"/>
      <c r="M23" s="279"/>
      <c r="N23" s="280"/>
      <c r="O23" s="271"/>
      <c r="P23" s="271"/>
      <c r="Q23" s="271"/>
      <c r="R23" s="271"/>
      <c r="S23" s="271"/>
      <c r="T23" s="271"/>
      <c r="U23" s="271"/>
      <c r="V23" s="271"/>
    </row>
    <row r="24" spans="1:22" x14ac:dyDescent="0.2">
      <c r="A24" s="183">
        <f>'FERC Interest Rates'!A95</f>
        <v>43890</v>
      </c>
      <c r="B24" s="188">
        <v>-7.2760000000000005E-2</v>
      </c>
      <c r="C24" s="184">
        <f>+'Therm Sales'!I80</f>
        <v>34316998</v>
      </c>
      <c r="D24" s="162"/>
      <c r="E24" s="189">
        <f>ROUND(C24*B24,2)-0.02</f>
        <v>-2496904.79</v>
      </c>
      <c r="F24" s="178">
        <f t="shared" si="5"/>
        <v>151819.22</v>
      </c>
      <c r="H24" s="191">
        <f t="shared" si="6"/>
        <v>36179675.980000004</v>
      </c>
      <c r="I24" s="136"/>
      <c r="J24" s="2">
        <v>36179675.979999997</v>
      </c>
      <c r="K24" s="278"/>
      <c r="L24" s="272"/>
      <c r="M24" s="279"/>
      <c r="N24" s="280"/>
      <c r="O24" s="271"/>
      <c r="P24" s="271"/>
      <c r="Q24" s="271"/>
      <c r="R24" s="271"/>
      <c r="S24" s="271"/>
      <c r="T24" s="271"/>
      <c r="U24" s="271"/>
      <c r="V24" s="271"/>
    </row>
    <row r="25" spans="1:22" x14ac:dyDescent="0.2">
      <c r="A25" s="183">
        <f>'FERC Interest Rates'!A96</f>
        <v>43921</v>
      </c>
      <c r="B25" s="188">
        <v>-7.2760000000000005E-2</v>
      </c>
      <c r="C25" s="184">
        <f>+'Therm Sales'!I81</f>
        <v>34370665</v>
      </c>
      <c r="D25" s="162"/>
      <c r="E25" s="189">
        <f>ROUND(C25*B25,2)+0.01</f>
        <v>-2500809.58</v>
      </c>
      <c r="F25" s="178">
        <f t="shared" si="5"/>
        <v>152410.6</v>
      </c>
      <c r="H25" s="191">
        <f t="shared" si="6"/>
        <v>33831277.000000007</v>
      </c>
      <c r="I25" s="136"/>
      <c r="J25" s="2">
        <v>33831277</v>
      </c>
      <c r="K25" s="278"/>
      <c r="L25" s="272"/>
      <c r="M25" s="279"/>
      <c r="N25" s="280"/>
      <c r="O25" s="271"/>
      <c r="P25" s="271"/>
      <c r="Q25" s="271"/>
      <c r="R25" s="271"/>
      <c r="S25" s="271"/>
      <c r="T25" s="271"/>
      <c r="U25" s="271"/>
      <c r="V25" s="271"/>
    </row>
    <row r="26" spans="1:22" x14ac:dyDescent="0.2">
      <c r="A26" s="183">
        <f>'FERC Interest Rates'!A97</f>
        <v>43951</v>
      </c>
      <c r="B26" s="188">
        <v>-7.2760000000000005E-2</v>
      </c>
      <c r="C26" s="184">
        <f>+'Therm Sales'!I82</f>
        <v>26722621</v>
      </c>
      <c r="D26" s="162"/>
      <c r="E26" s="135">
        <f t="shared" si="4"/>
        <v>-1944337.9</v>
      </c>
      <c r="F26" s="178">
        <f t="shared" si="5"/>
        <v>132081.01</v>
      </c>
      <c r="H26" s="191">
        <f t="shared" si="6"/>
        <v>32019020.110000007</v>
      </c>
      <c r="I26" s="136"/>
      <c r="J26" s="2">
        <v>32019020.109999999</v>
      </c>
      <c r="K26" s="278"/>
      <c r="L26" s="272"/>
      <c r="M26" s="279"/>
      <c r="N26" s="280"/>
      <c r="O26" s="271"/>
      <c r="P26" s="271"/>
      <c r="Q26" s="271"/>
      <c r="R26" s="271"/>
      <c r="S26" s="271"/>
      <c r="T26" s="271"/>
      <c r="U26" s="271"/>
      <c r="V26" s="271"/>
    </row>
    <row r="27" spans="1:22" x14ac:dyDescent="0.2">
      <c r="A27" s="183">
        <f>'FERC Interest Rates'!A98</f>
        <v>43982</v>
      </c>
      <c r="B27" s="188">
        <v>-7.2760000000000005E-2</v>
      </c>
      <c r="C27" s="184">
        <f>+'Therm Sales'!I83</f>
        <v>13504949</v>
      </c>
      <c r="D27" s="162"/>
      <c r="E27" s="135">
        <f t="shared" si="4"/>
        <v>-982620.09</v>
      </c>
      <c r="F27" s="178">
        <f t="shared" si="5"/>
        <v>129172.62</v>
      </c>
      <c r="H27" s="191">
        <f t="shared" si="6"/>
        <v>31165572.640000008</v>
      </c>
      <c r="I27" s="136"/>
      <c r="J27" s="2">
        <v>31165572.640000001</v>
      </c>
      <c r="K27" s="278"/>
      <c r="L27" s="272"/>
      <c r="M27" s="279"/>
      <c r="N27" s="280"/>
      <c r="O27" s="271"/>
      <c r="P27" s="271"/>
      <c r="Q27" s="271"/>
      <c r="R27" s="271"/>
      <c r="S27" s="271"/>
      <c r="T27" s="271"/>
      <c r="U27" s="271"/>
      <c r="V27" s="271"/>
    </row>
    <row r="28" spans="1:22" x14ac:dyDescent="0.2">
      <c r="A28" s="183">
        <f>'FERC Interest Rates'!A99</f>
        <v>44012</v>
      </c>
      <c r="B28" s="188">
        <v>-7.2760000000000005E-2</v>
      </c>
      <c r="C28" s="184">
        <f>+'Therm Sales'!I84</f>
        <v>10562993</v>
      </c>
      <c r="D28" s="162"/>
      <c r="E28" s="189">
        <f>ROUND(C28*B28,2)+0.02</f>
        <v>-768563.35</v>
      </c>
      <c r="F28" s="178">
        <f t="shared" si="5"/>
        <v>121673.81</v>
      </c>
      <c r="H28" s="191">
        <f t="shared" si="6"/>
        <v>30518683.100000009</v>
      </c>
      <c r="I28" s="136"/>
      <c r="J28" s="2">
        <v>30518683.100000001</v>
      </c>
      <c r="K28" s="278"/>
      <c r="L28" s="272"/>
      <c r="M28" s="279"/>
      <c r="N28" s="280"/>
      <c r="O28" s="271"/>
      <c r="P28" s="271"/>
      <c r="Q28" s="271"/>
      <c r="R28" s="271"/>
      <c r="S28" s="271"/>
      <c r="T28" s="271"/>
      <c r="U28" s="271"/>
      <c r="V28" s="271"/>
    </row>
    <row r="29" spans="1:22" x14ac:dyDescent="0.2">
      <c r="A29" s="183">
        <f>'FERC Interest Rates'!A100</f>
        <v>44043</v>
      </c>
      <c r="B29" s="188">
        <v>-7.2760000000000005E-2</v>
      </c>
      <c r="C29" s="184">
        <f>+'Therm Sales'!I85</f>
        <v>9083808</v>
      </c>
      <c r="D29" s="162"/>
      <c r="E29" s="135">
        <f t="shared" si="4"/>
        <v>-660937.87</v>
      </c>
      <c r="F29" s="178">
        <f t="shared" si="5"/>
        <v>88905.52</v>
      </c>
      <c r="H29" s="191">
        <f t="shared" si="6"/>
        <v>29946650.750000007</v>
      </c>
      <c r="I29" s="136"/>
      <c r="J29" s="2">
        <v>29946650.75</v>
      </c>
      <c r="K29" s="278"/>
      <c r="L29" s="272"/>
      <c r="M29" s="279"/>
      <c r="N29" s="280"/>
      <c r="O29" s="271"/>
      <c r="P29" s="271"/>
      <c r="Q29" s="271"/>
      <c r="R29" s="271"/>
      <c r="S29" s="271"/>
      <c r="T29" s="271"/>
      <c r="U29" s="271"/>
      <c r="V29" s="271"/>
    </row>
    <row r="30" spans="1:22" x14ac:dyDescent="0.2">
      <c r="A30" s="183">
        <f>'FERC Interest Rates'!A101</f>
        <v>44074</v>
      </c>
      <c r="B30" s="188">
        <v>-7.2760000000000005E-2</v>
      </c>
      <c r="C30" s="184">
        <f>+'Therm Sales'!I86</f>
        <v>6752494</v>
      </c>
      <c r="D30" s="162"/>
      <c r="E30" s="189">
        <f>ROUND(C30*B30,2)+0.01</f>
        <v>-491311.45</v>
      </c>
      <c r="F30" s="178">
        <f t="shared" si="5"/>
        <v>87239.11</v>
      </c>
      <c r="H30" s="191">
        <f t="shared" si="6"/>
        <v>29542578.410000008</v>
      </c>
      <c r="I30" s="136"/>
      <c r="J30" s="2">
        <v>29542578.41</v>
      </c>
      <c r="K30" s="278"/>
      <c r="L30" s="272"/>
      <c r="M30" s="279"/>
      <c r="N30" s="280"/>
      <c r="O30" s="271"/>
      <c r="P30" s="276"/>
      <c r="Q30" s="276"/>
      <c r="R30" s="276"/>
      <c r="S30" s="276"/>
      <c r="T30" s="276"/>
      <c r="U30" s="276"/>
      <c r="V30" s="271"/>
    </row>
    <row r="31" spans="1:22" x14ac:dyDescent="0.2">
      <c r="A31" s="183">
        <f>'FERC Interest Rates'!A102</f>
        <v>44104</v>
      </c>
      <c r="B31" s="188">
        <v>-7.2760000000000005E-2</v>
      </c>
      <c r="C31" s="184">
        <f>+'Therm Sales'!I87</f>
        <v>7390192</v>
      </c>
      <c r="D31" s="162"/>
      <c r="E31" s="189">
        <f>ROUND(C31*B31,2)+0.01</f>
        <v>-537710.36</v>
      </c>
      <c r="F31" s="178">
        <f t="shared" si="5"/>
        <v>83285.789999999994</v>
      </c>
      <c r="H31" s="191">
        <f t="shared" si="6"/>
        <v>29088153.840000007</v>
      </c>
      <c r="I31" s="136"/>
      <c r="J31" s="2">
        <v>29088153.84</v>
      </c>
      <c r="K31" s="278"/>
      <c r="L31" s="272"/>
      <c r="M31" s="279"/>
      <c r="N31" s="280"/>
      <c r="O31" s="271"/>
      <c r="P31" s="277"/>
      <c r="Q31" s="277"/>
      <c r="R31" s="277"/>
      <c r="S31" s="277"/>
      <c r="T31" s="277"/>
      <c r="U31" s="277"/>
      <c r="V31" s="271"/>
    </row>
    <row r="32" spans="1:22" x14ac:dyDescent="0.2">
      <c r="A32" s="183">
        <f>'FERC Interest Rates'!A103</f>
        <v>44135</v>
      </c>
      <c r="B32" s="188">
        <v>-7.2760000000000005E-2</v>
      </c>
      <c r="C32" s="184">
        <f>+'Therm Sales'!I88</f>
        <v>9479391</v>
      </c>
      <c r="D32" s="162"/>
      <c r="E32" s="135">
        <f t="shared" si="4"/>
        <v>-689720.49</v>
      </c>
      <c r="F32" s="178">
        <f t="shared" si="5"/>
        <v>80291.27</v>
      </c>
      <c r="H32" s="191">
        <f t="shared" si="6"/>
        <v>28478724.620000008</v>
      </c>
      <c r="I32" s="136"/>
      <c r="J32" s="2">
        <v>28478724.620000001</v>
      </c>
      <c r="K32" s="278"/>
      <c r="L32" s="272"/>
      <c r="M32" s="279"/>
      <c r="N32" s="280"/>
      <c r="O32" s="271"/>
      <c r="P32" s="277"/>
      <c r="Q32" s="277"/>
      <c r="R32" s="277"/>
      <c r="S32" s="277"/>
      <c r="T32" s="277"/>
      <c r="U32" s="277"/>
      <c r="V32" s="271"/>
    </row>
    <row r="33" spans="1:22" x14ac:dyDescent="0.2">
      <c r="A33" s="183">
        <f>'FERC Interest Rates'!A104</f>
        <v>44165</v>
      </c>
      <c r="B33" s="188">
        <v>-7.2760000000000005E-2</v>
      </c>
      <c r="C33" s="184">
        <f>+'Therm Sales'!I89</f>
        <v>19280891</v>
      </c>
      <c r="D33" s="162"/>
      <c r="E33" s="135">
        <f t="shared" si="4"/>
        <v>-1402877.63</v>
      </c>
      <c r="F33" s="178">
        <f>ROUND(H32*VLOOKUP(A33,FERCINT20,2)/365*VLOOKUP(A33,FERCINT20,3),2)</f>
        <v>76073.31</v>
      </c>
      <c r="H33" s="191">
        <f t="shared" si="6"/>
        <v>27151920.300000008</v>
      </c>
      <c r="I33" s="136"/>
      <c r="J33" s="2">
        <v>27151920.300000001</v>
      </c>
      <c r="K33" s="278"/>
      <c r="L33" s="272"/>
      <c r="M33" s="279"/>
      <c r="N33" s="271"/>
      <c r="O33" s="271" t="s">
        <v>140</v>
      </c>
      <c r="P33" s="277"/>
      <c r="Q33" s="277"/>
      <c r="R33" s="277"/>
      <c r="S33" s="277"/>
      <c r="T33" s="277"/>
      <c r="U33" s="277"/>
      <c r="V33" s="271"/>
    </row>
    <row r="34" spans="1:22" x14ac:dyDescent="0.2">
      <c r="A34" s="183">
        <f>'FERC Interest Rates'!A105</f>
        <v>44196</v>
      </c>
      <c r="B34" s="188">
        <v>-7.2760000000000005E-2</v>
      </c>
      <c r="C34" s="184">
        <f>+'Therm Sales'!I90</f>
        <v>34057490</v>
      </c>
      <c r="D34" s="162"/>
      <c r="E34" s="135">
        <f t="shared" si="4"/>
        <v>-2478022.9700000002</v>
      </c>
      <c r="F34" s="178">
        <f t="shared" si="5"/>
        <v>74946.740000000005</v>
      </c>
      <c r="H34" s="191">
        <f t="shared" si="6"/>
        <v>24748844.070000008</v>
      </c>
      <c r="I34" s="136"/>
      <c r="J34" s="2">
        <v>24748844.07</v>
      </c>
      <c r="K34" s="278"/>
      <c r="L34" s="272"/>
      <c r="M34" s="279"/>
      <c r="N34" s="271"/>
      <c r="O34" s="271"/>
      <c r="P34" s="271"/>
      <c r="Q34" s="271"/>
      <c r="R34" s="271"/>
      <c r="S34" s="271"/>
      <c r="T34" s="271"/>
      <c r="U34" s="271"/>
      <c r="V34" s="271"/>
    </row>
    <row r="35" spans="1:22" x14ac:dyDescent="0.2">
      <c r="A35" s="183">
        <f>'FERC Interest Rates'!A106</f>
        <v>44227</v>
      </c>
      <c r="B35" s="188">
        <v>-7.2760000000000005E-2</v>
      </c>
      <c r="C35" s="184">
        <f>+'Therm Sales'!I91</f>
        <v>35952500</v>
      </c>
      <c r="D35" s="162"/>
      <c r="E35" s="189">
        <f>ROUND(C35*B35,2)-0.01</f>
        <v>-2615903.9099999997</v>
      </c>
      <c r="F35" s="178">
        <f t="shared" ref="F35:F44" si="7">ROUND(H34*VLOOKUP(A35,FERCINT21,2)/365*VLOOKUP(A35,FERCINT21,3),2)</f>
        <v>68313.59</v>
      </c>
      <c r="H35" s="191">
        <f t="shared" si="6"/>
        <v>22201253.750000007</v>
      </c>
      <c r="I35" s="136"/>
      <c r="J35" s="2">
        <v>22201253.75</v>
      </c>
      <c r="K35" s="278"/>
      <c r="L35" s="272"/>
      <c r="M35" s="279"/>
      <c r="N35" s="271"/>
      <c r="O35" s="271"/>
      <c r="P35" s="271"/>
      <c r="Q35" s="271"/>
      <c r="R35" s="271"/>
      <c r="S35" s="271"/>
      <c r="T35" s="271"/>
      <c r="U35" s="271"/>
      <c r="V35" s="271"/>
    </row>
    <row r="36" spans="1:22" x14ac:dyDescent="0.2">
      <c r="A36" s="183">
        <f>'FERC Interest Rates'!A107</f>
        <v>44255</v>
      </c>
      <c r="B36" s="188">
        <v>-7.2760000000000005E-2</v>
      </c>
      <c r="C36" s="184">
        <f>+'Therm Sales'!I92</f>
        <v>33909523</v>
      </c>
      <c r="D36" s="162"/>
      <c r="E36" s="189">
        <f>ROUND(C36*B36,2)-0.01</f>
        <v>-2467256.9</v>
      </c>
      <c r="F36" s="178">
        <f t="shared" si="7"/>
        <v>55351.07</v>
      </c>
      <c r="H36" s="191">
        <f t="shared" si="6"/>
        <v>19789347.920000009</v>
      </c>
      <c r="I36" s="136"/>
      <c r="J36" s="2">
        <v>19789347.920000002</v>
      </c>
      <c r="K36" s="278"/>
      <c r="L36" s="272"/>
      <c r="M36" s="279"/>
      <c r="N36" s="271"/>
      <c r="O36" s="271"/>
      <c r="P36" s="271"/>
      <c r="Q36" s="271"/>
      <c r="R36" s="271"/>
      <c r="S36" s="271"/>
      <c r="T36" s="271"/>
      <c r="U36" s="271"/>
      <c r="V36" s="271"/>
    </row>
    <row r="37" spans="1:22" x14ac:dyDescent="0.2">
      <c r="A37" s="183">
        <f>'FERC Interest Rates'!A108</f>
        <v>44286</v>
      </c>
      <c r="B37" s="188">
        <v>-7.2760000000000005E-2</v>
      </c>
      <c r="C37" s="184">
        <f>+'Therm Sales'!I93</f>
        <v>36377608</v>
      </c>
      <c r="D37" s="162"/>
      <c r="E37" s="189">
        <f>ROUND(C37*B37,2)-0.01</f>
        <v>-2646834.7699999996</v>
      </c>
      <c r="F37" s="178">
        <f t="shared" si="7"/>
        <v>54624.02</v>
      </c>
      <c r="H37" s="191">
        <f t="shared" si="6"/>
        <v>17197137.170000009</v>
      </c>
      <c r="I37" s="136"/>
      <c r="J37" s="2">
        <v>17197137.170000002</v>
      </c>
      <c r="K37" s="278"/>
      <c r="L37" s="272"/>
      <c r="M37" s="279"/>
      <c r="N37" s="271"/>
      <c r="O37" s="271"/>
      <c r="P37" s="271"/>
      <c r="Q37" s="271"/>
      <c r="R37" s="271"/>
      <c r="S37" s="271"/>
      <c r="T37" s="271"/>
      <c r="U37" s="271"/>
      <c r="V37" s="271"/>
    </row>
    <row r="38" spans="1:22" x14ac:dyDescent="0.2">
      <c r="A38" s="183">
        <f>'FERC Interest Rates'!A109</f>
        <v>44316</v>
      </c>
      <c r="B38" s="188">
        <v>-7.2760000000000005E-2</v>
      </c>
      <c r="C38" s="184">
        <f>+'Therm Sales'!I94</f>
        <v>25532431</v>
      </c>
      <c r="D38" s="162"/>
      <c r="E38" s="189">
        <f>ROUND(C38*B38,2)+0.01</f>
        <v>-1857739.67</v>
      </c>
      <c r="F38" s="178">
        <f t="shared" si="7"/>
        <v>45937.56</v>
      </c>
      <c r="H38" s="191">
        <f t="shared" si="6"/>
        <v>15385335.06000001</v>
      </c>
      <c r="I38" s="136"/>
      <c r="J38" s="2">
        <v>15385335.060000001</v>
      </c>
      <c r="K38" s="278"/>
      <c r="L38" s="272"/>
      <c r="M38" s="279"/>
      <c r="N38" s="271"/>
      <c r="O38" s="271"/>
      <c r="P38" s="271"/>
      <c r="Q38" s="271"/>
      <c r="R38" s="271"/>
      <c r="S38" s="271"/>
      <c r="T38" s="271"/>
      <c r="U38" s="271"/>
      <c r="V38" s="271"/>
    </row>
    <row r="39" spans="1:22" x14ac:dyDescent="0.2">
      <c r="A39" s="183">
        <f>'FERC Interest Rates'!A110</f>
        <v>44347</v>
      </c>
      <c r="B39" s="188">
        <v>-7.2760000000000005E-2</v>
      </c>
      <c r="C39" s="184">
        <f>+'Therm Sales'!I95</f>
        <v>13309390</v>
      </c>
      <c r="D39" s="162"/>
      <c r="E39" s="135">
        <f t="shared" si="4"/>
        <v>-968391.22</v>
      </c>
      <c r="F39" s="178">
        <f t="shared" si="7"/>
        <v>42467.74</v>
      </c>
      <c r="H39" s="191">
        <f t="shared" si="6"/>
        <v>14459411.580000009</v>
      </c>
      <c r="I39" s="136"/>
      <c r="J39" s="2">
        <v>14459411.58</v>
      </c>
      <c r="K39" s="278"/>
      <c r="L39" s="272"/>
      <c r="M39" s="279"/>
      <c r="N39" s="271"/>
      <c r="O39" s="271"/>
      <c r="P39" s="271"/>
      <c r="Q39" s="271"/>
      <c r="R39" s="271"/>
      <c r="S39" s="271"/>
      <c r="T39" s="271"/>
      <c r="U39" s="271"/>
      <c r="V39" s="271"/>
    </row>
    <row r="40" spans="1:22" x14ac:dyDescent="0.2">
      <c r="A40" s="183">
        <f>'FERC Interest Rates'!A111</f>
        <v>44377</v>
      </c>
      <c r="B40" s="188">
        <v>-7.2760000000000005E-2</v>
      </c>
      <c r="C40" s="184">
        <f>+'Therm Sales'!I96</f>
        <v>10832413</v>
      </c>
      <c r="D40" s="162"/>
      <c r="E40" s="189">
        <f>ROUND(C40*B40,2)+0.01</f>
        <v>-788166.36</v>
      </c>
      <c r="F40" s="178">
        <f t="shared" si="7"/>
        <v>38624.46</v>
      </c>
      <c r="H40" s="191">
        <f t="shared" si="6"/>
        <v>13709869.680000009</v>
      </c>
      <c r="I40" s="136"/>
      <c r="J40" s="2">
        <v>13709869.68</v>
      </c>
      <c r="K40" s="278"/>
      <c r="L40" s="272"/>
      <c r="M40" s="279"/>
      <c r="N40" s="271"/>
      <c r="O40" s="271"/>
      <c r="P40" s="271"/>
      <c r="Q40" s="271"/>
      <c r="R40" s="271"/>
      <c r="S40" s="271"/>
      <c r="T40" s="271"/>
      <c r="U40" s="271"/>
      <c r="V40" s="271"/>
    </row>
    <row r="41" spans="1:22" x14ac:dyDescent="0.2">
      <c r="A41" s="183">
        <f>'FERC Interest Rates'!A112</f>
        <v>44408</v>
      </c>
      <c r="B41" s="188">
        <v>-7.2760000000000005E-2</v>
      </c>
      <c r="C41" s="184">
        <f>+'Therm Sales'!I97</f>
        <v>6955024</v>
      </c>
      <c r="D41" s="162"/>
      <c r="E41" s="135">
        <f t="shared" si="4"/>
        <v>-506047.55</v>
      </c>
      <c r="F41" s="178">
        <f t="shared" si="7"/>
        <v>37843</v>
      </c>
      <c r="H41" s="191">
        <f t="shared" si="6"/>
        <v>13241665.130000008</v>
      </c>
      <c r="I41" s="136"/>
      <c r="J41" s="2">
        <v>13241665.130000001</v>
      </c>
      <c r="K41" s="278"/>
      <c r="L41" s="272"/>
      <c r="M41" s="279"/>
      <c r="N41" s="271"/>
      <c r="O41" s="271"/>
      <c r="P41" s="271"/>
      <c r="Q41" s="271"/>
      <c r="R41" s="271"/>
      <c r="S41" s="271"/>
      <c r="T41" s="271"/>
      <c r="U41" s="271"/>
      <c r="V41" s="271"/>
    </row>
    <row r="42" spans="1:22" x14ac:dyDescent="0.2">
      <c r="A42" s="183">
        <f>'FERC Interest Rates'!A113</f>
        <v>44439</v>
      </c>
      <c r="B42" s="188">
        <v>-7.2760000000000005E-2</v>
      </c>
      <c r="C42" s="184">
        <f>+'Therm Sales'!I98</f>
        <v>6421769</v>
      </c>
      <c r="D42" s="162"/>
      <c r="E42" s="189">
        <f>ROUND(C42*B42,2)+0.01</f>
        <v>-467247.89999999997</v>
      </c>
      <c r="F42" s="178">
        <f t="shared" si="7"/>
        <v>36550.620000000003</v>
      </c>
      <c r="H42" s="191">
        <f t="shared" si="6"/>
        <v>12810967.850000009</v>
      </c>
      <c r="I42" s="136"/>
      <c r="J42" s="2">
        <v>12810967.85</v>
      </c>
      <c r="K42" s="135"/>
      <c r="M42" s="186"/>
    </row>
    <row r="43" spans="1:22" x14ac:dyDescent="0.2">
      <c r="A43" s="183">
        <f>'FERC Interest Rates'!A114</f>
        <v>44469</v>
      </c>
      <c r="B43" s="188">
        <v>-7.2760000000000005E-2</v>
      </c>
      <c r="C43" s="184">
        <f>+'Therm Sales'!I99</f>
        <v>7139967</v>
      </c>
      <c r="D43" s="162"/>
      <c r="E43" s="135">
        <f t="shared" si="4"/>
        <v>-519504</v>
      </c>
      <c r="F43" s="178">
        <f t="shared" si="7"/>
        <v>34221.08</v>
      </c>
      <c r="H43" s="191">
        <f t="shared" si="6"/>
        <v>12325684.930000009</v>
      </c>
      <c r="I43" s="136"/>
      <c r="J43" s="2">
        <v>12325684.93</v>
      </c>
      <c r="K43" s="135"/>
      <c r="M43" s="186"/>
    </row>
    <row r="44" spans="1:22" x14ac:dyDescent="0.2">
      <c r="A44" s="183">
        <f>'FERC Interest Rates'!A115</f>
        <v>44500</v>
      </c>
      <c r="B44" s="188">
        <v>-7.2760000000000005E-2</v>
      </c>
      <c r="C44" s="184">
        <f>+'Therm Sales'!I100</f>
        <v>0</v>
      </c>
      <c r="D44" s="162"/>
      <c r="E44" s="135">
        <f t="shared" si="4"/>
        <v>0</v>
      </c>
      <c r="F44" s="178">
        <f t="shared" si="7"/>
        <v>34022.269999999997</v>
      </c>
      <c r="H44" s="191">
        <f t="shared" si="6"/>
        <v>12359707.200000009</v>
      </c>
      <c r="I44" s="136"/>
      <c r="K44" s="135"/>
      <c r="M44" s="186"/>
    </row>
    <row r="45" spans="1:22" x14ac:dyDescent="0.2">
      <c r="I45" s="136"/>
    </row>
    <row r="46" spans="1:22" x14ac:dyDescent="0.2">
      <c r="I46" s="136"/>
    </row>
    <row r="47" spans="1:22" x14ac:dyDescent="0.2">
      <c r="I47" s="136"/>
    </row>
    <row r="48" spans="1:22" x14ac:dyDescent="0.2">
      <c r="I48" s="136"/>
    </row>
    <row r="49" spans="9:9" x14ac:dyDescent="0.2">
      <c r="I49" s="136"/>
    </row>
    <row r="50" spans="9:9" x14ac:dyDescent="0.2">
      <c r="I50" s="136"/>
    </row>
    <row r="51" spans="9:9" x14ac:dyDescent="0.2">
      <c r="I51" s="136"/>
    </row>
    <row r="52" spans="9:9" x14ac:dyDescent="0.2">
      <c r="I52" s="136"/>
    </row>
    <row r="53" spans="9:9" x14ac:dyDescent="0.2">
      <c r="I53" s="136"/>
    </row>
    <row r="54" spans="9:9" x14ac:dyDescent="0.2">
      <c r="I54" s="136"/>
    </row>
    <row r="55" spans="9:9" x14ac:dyDescent="0.2">
      <c r="I55" s="136"/>
    </row>
    <row r="56" spans="9:9" x14ac:dyDescent="0.2">
      <c r="I56" s="136"/>
    </row>
    <row r="57" spans="9:9" x14ac:dyDescent="0.2">
      <c r="I57" s="136"/>
    </row>
    <row r="58" spans="9:9" x14ac:dyDescent="0.2">
      <c r="I58" s="136"/>
    </row>
    <row r="59" spans="9:9" x14ac:dyDescent="0.2">
      <c r="I59" s="136"/>
    </row>
    <row r="60" spans="9:9" x14ac:dyDescent="0.2">
      <c r="I60" s="136"/>
    </row>
    <row r="61" spans="9:9" x14ac:dyDescent="0.2">
      <c r="I61" s="136"/>
    </row>
    <row r="62" spans="9:9" x14ac:dyDescent="0.2">
      <c r="I62" s="136"/>
    </row>
    <row r="63" spans="9:9" x14ac:dyDescent="0.2">
      <c r="I63" s="136"/>
    </row>
    <row r="64" spans="9:9" x14ac:dyDescent="0.2">
      <c r="I64" s="136"/>
    </row>
    <row r="65" spans="9:9" x14ac:dyDescent="0.2">
      <c r="I65" s="136"/>
    </row>
    <row r="66" spans="9:9" x14ac:dyDescent="0.2">
      <c r="I66" s="136"/>
    </row>
    <row r="67" spans="9:9" x14ac:dyDescent="0.2">
      <c r="I67" s="136"/>
    </row>
    <row r="68" spans="9:9" x14ac:dyDescent="0.2">
      <c r="I68" s="136"/>
    </row>
    <row r="69" spans="9:9" x14ac:dyDescent="0.2">
      <c r="I69" s="136"/>
    </row>
    <row r="70" spans="9:9" x14ac:dyDescent="0.2">
      <c r="I70" s="136"/>
    </row>
    <row r="71" spans="9:9" x14ac:dyDescent="0.2">
      <c r="I71" s="136"/>
    </row>
    <row r="72" spans="9:9" x14ac:dyDescent="0.2">
      <c r="I72" s="136"/>
    </row>
    <row r="73" spans="9:9" x14ac:dyDescent="0.2">
      <c r="I73" s="136"/>
    </row>
    <row r="74" spans="9:9" x14ac:dyDescent="0.2">
      <c r="I74" s="136"/>
    </row>
    <row r="75" spans="9:9" x14ac:dyDescent="0.2">
      <c r="I75" s="136"/>
    </row>
    <row r="76" spans="9:9" x14ac:dyDescent="0.2">
      <c r="I76" s="136"/>
    </row>
    <row r="77" spans="9:9" x14ac:dyDescent="0.2">
      <c r="I77" s="136"/>
    </row>
    <row r="78" spans="9:9" x14ac:dyDescent="0.2">
      <c r="I78" s="136"/>
    </row>
    <row r="79" spans="9:9" x14ac:dyDescent="0.2">
      <c r="I79" s="136"/>
    </row>
    <row r="80" spans="9:9" x14ac:dyDescent="0.2">
      <c r="I80" s="136"/>
    </row>
    <row r="81" spans="9:9" x14ac:dyDescent="0.2">
      <c r="I81" s="136"/>
    </row>
    <row r="82" spans="9:9" x14ac:dyDescent="0.2">
      <c r="I82" s="136"/>
    </row>
    <row r="83" spans="9:9" x14ac:dyDescent="0.2">
      <c r="I83" s="136"/>
    </row>
    <row r="84" spans="9:9" x14ac:dyDescent="0.2">
      <c r="I84" s="136"/>
    </row>
    <row r="85" spans="9:9" x14ac:dyDescent="0.2">
      <c r="I85" s="136"/>
    </row>
    <row r="86" spans="9:9" x14ac:dyDescent="0.2">
      <c r="I86" s="136"/>
    </row>
    <row r="87" spans="9:9" x14ac:dyDescent="0.2">
      <c r="I87" s="136"/>
    </row>
    <row r="88" spans="9:9" x14ac:dyDescent="0.2">
      <c r="I88" s="136"/>
    </row>
    <row r="89" spans="9:9" x14ac:dyDescent="0.2">
      <c r="I89" s="136"/>
    </row>
    <row r="90" spans="9:9" x14ac:dyDescent="0.2">
      <c r="I90" s="136"/>
    </row>
    <row r="91" spans="9:9" x14ac:dyDescent="0.2">
      <c r="I91" s="136"/>
    </row>
    <row r="92" spans="9:9" x14ac:dyDescent="0.2">
      <c r="I92" s="136"/>
    </row>
    <row r="93" spans="9:9" x14ac:dyDescent="0.2">
      <c r="I93" s="136"/>
    </row>
    <row r="94" spans="9:9" x14ac:dyDescent="0.2">
      <c r="I94" s="136"/>
    </row>
    <row r="95" spans="9:9" x14ac:dyDescent="0.2">
      <c r="I95" s="136"/>
    </row>
    <row r="96" spans="9:9" x14ac:dyDescent="0.2">
      <c r="I96" s="136"/>
    </row>
    <row r="97" spans="9:9" x14ac:dyDescent="0.2">
      <c r="I97" s="136"/>
    </row>
    <row r="98" spans="9:9" x14ac:dyDescent="0.2">
      <c r="I98" s="136"/>
    </row>
    <row r="99" spans="9:9" x14ac:dyDescent="0.2">
      <c r="I99" s="136"/>
    </row>
    <row r="100" spans="9:9" x14ac:dyDescent="0.2">
      <c r="I100" s="136"/>
    </row>
    <row r="101" spans="9:9" x14ac:dyDescent="0.2">
      <c r="I101" s="136"/>
    </row>
    <row r="102" spans="9:9" x14ac:dyDescent="0.2">
      <c r="I102" s="136"/>
    </row>
    <row r="103" spans="9:9" x14ac:dyDescent="0.2">
      <c r="I103" s="136"/>
    </row>
    <row r="104" spans="9:9" x14ac:dyDescent="0.2">
      <c r="I104" s="136"/>
    </row>
    <row r="105" spans="9:9" x14ac:dyDescent="0.2">
      <c r="I105" s="136"/>
    </row>
    <row r="106" spans="9:9" x14ac:dyDescent="0.2">
      <c r="I106" s="136"/>
    </row>
    <row r="107" spans="9:9" x14ac:dyDescent="0.2">
      <c r="I107" s="136"/>
    </row>
    <row r="108" spans="9:9" x14ac:dyDescent="0.2">
      <c r="I108" s="136"/>
    </row>
    <row r="109" spans="9:9" x14ac:dyDescent="0.2">
      <c r="I109" s="136"/>
    </row>
    <row r="110" spans="9:9" x14ac:dyDescent="0.2">
      <c r="I110" s="136"/>
    </row>
    <row r="111" spans="9:9" x14ac:dyDescent="0.2">
      <c r="I111" s="136"/>
    </row>
    <row r="112" spans="9:9" x14ac:dyDescent="0.2">
      <c r="I112" s="136"/>
    </row>
    <row r="113" spans="9:9" x14ac:dyDescent="0.2">
      <c r="I113" s="136"/>
    </row>
    <row r="114" spans="9:9" x14ac:dyDescent="0.2">
      <c r="I114" s="136"/>
    </row>
    <row r="115" spans="9:9" x14ac:dyDescent="0.2">
      <c r="I115" s="136"/>
    </row>
  </sheetData>
  <mergeCells count="17">
    <mergeCell ref="A7:B7"/>
    <mergeCell ref="C7:H7"/>
    <mergeCell ref="D9:F9"/>
    <mergeCell ref="A12:F12"/>
    <mergeCell ref="A13:F13"/>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80"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4F1A9-4B20-4448-9948-2AFE960E79CB}">
  <sheetPr>
    <pageSetUpPr fitToPage="1"/>
  </sheetPr>
  <dimension ref="A1:V115"/>
  <sheetViews>
    <sheetView tabSelected="1" view="pageBreakPreview" zoomScaleNormal="100" zoomScaleSheetLayoutView="100" workbookViewId="0">
      <pane ySplit="7" topLeftCell="A8" activePane="bottomLeft" state="frozen"/>
      <selection activeCell="N106" sqref="N106"/>
      <selection pane="bottomLeft" activeCell="N106" sqref="N106"/>
    </sheetView>
  </sheetViews>
  <sheetFormatPr defaultColWidth="8.88671875" defaultRowHeight="12.75" x14ac:dyDescent="0.2"/>
  <cols>
    <col min="1" max="2" width="8.88671875" style="2"/>
    <col min="3" max="3" width="10.109375" style="2" customWidth="1"/>
    <col min="4" max="4" width="8.88671875" style="2"/>
    <col min="5" max="5" width="11.44140625" style="2" customWidth="1"/>
    <col min="6" max="6" width="8.88671875" style="2"/>
    <col min="7" max="7" width="13.109375" style="2" customWidth="1"/>
    <col min="8" max="8" width="11.6640625" style="2" customWidth="1"/>
    <col min="9" max="9" width="1.21875" style="132" customWidth="1"/>
    <col min="10" max="10" width="11.33203125" style="2" customWidth="1"/>
    <col min="11" max="11" width="13.44140625" style="2" customWidth="1"/>
    <col min="12" max="12" width="11.88671875" style="115" customWidth="1"/>
    <col min="13" max="13" width="10.33203125" style="115" bestFit="1" customWidth="1"/>
    <col min="14" max="14" width="10.33203125" style="2" customWidth="1"/>
    <col min="15" max="15" width="8.88671875" style="2"/>
    <col min="16" max="16" width="8.109375" style="2" bestFit="1" customWidth="1"/>
    <col min="17" max="18" width="7.33203125" style="2" bestFit="1" customWidth="1"/>
    <col min="19" max="19" width="8.21875" style="2" bestFit="1" customWidth="1"/>
    <col min="20" max="20" width="7.109375" style="2" bestFit="1" customWidth="1"/>
    <col min="21" max="22" width="8.109375" style="2" bestFit="1" customWidth="1"/>
    <col min="23" max="16384" width="8.88671875" style="2"/>
  </cols>
  <sheetData>
    <row r="1" spans="1:22" x14ac:dyDescent="0.2">
      <c r="A1" s="138" t="s">
        <v>58</v>
      </c>
      <c r="B1" s="139"/>
      <c r="C1" s="169" t="s">
        <v>59</v>
      </c>
      <c r="D1" s="169"/>
      <c r="E1" s="169"/>
      <c r="F1" s="169"/>
      <c r="G1" s="169"/>
      <c r="H1" s="170"/>
      <c r="I1" s="114"/>
      <c r="J1" s="171"/>
    </row>
    <row r="2" spans="1:22" x14ac:dyDescent="0.2">
      <c r="A2" s="142" t="s">
        <v>60</v>
      </c>
      <c r="B2" s="117"/>
      <c r="C2" s="172" t="s">
        <v>141</v>
      </c>
      <c r="D2" s="172"/>
      <c r="E2" s="172"/>
      <c r="F2" s="172"/>
      <c r="G2" s="172"/>
      <c r="H2" s="173"/>
      <c r="I2" s="114"/>
      <c r="J2" s="171"/>
    </row>
    <row r="3" spans="1:22" x14ac:dyDescent="0.2">
      <c r="A3" s="142" t="s">
        <v>62</v>
      </c>
      <c r="B3" s="117"/>
      <c r="C3" s="172" t="s">
        <v>8</v>
      </c>
      <c r="D3" s="172"/>
      <c r="E3" s="172"/>
      <c r="F3" s="172"/>
      <c r="G3" s="172"/>
      <c r="H3" s="173"/>
      <c r="I3" s="114"/>
      <c r="J3" s="171"/>
    </row>
    <row r="4" spans="1:22" x14ac:dyDescent="0.2">
      <c r="A4" s="142" t="s">
        <v>63</v>
      </c>
      <c r="B4" s="117"/>
      <c r="C4" s="172" t="s">
        <v>131</v>
      </c>
      <c r="D4" s="172"/>
      <c r="E4" s="172"/>
      <c r="F4" s="172"/>
      <c r="G4" s="172"/>
      <c r="H4" s="173"/>
      <c r="I4" s="114"/>
      <c r="J4" s="171"/>
    </row>
    <row r="5" spans="1:22" x14ac:dyDescent="0.2">
      <c r="A5" s="142" t="s">
        <v>65</v>
      </c>
      <c r="B5" s="117"/>
      <c r="C5" s="172" t="s">
        <v>142</v>
      </c>
      <c r="D5" s="172"/>
      <c r="E5" s="172"/>
      <c r="F5" s="172"/>
      <c r="G5" s="172"/>
      <c r="H5" s="173"/>
      <c r="I5" s="114"/>
      <c r="J5" s="171"/>
    </row>
    <row r="6" spans="1:22" x14ac:dyDescent="0.2">
      <c r="A6" s="142" t="s">
        <v>67</v>
      </c>
      <c r="B6" s="117"/>
      <c r="C6" s="172" t="s">
        <v>143</v>
      </c>
      <c r="D6" s="172"/>
      <c r="E6" s="172"/>
      <c r="F6" s="172"/>
      <c r="G6" s="172"/>
      <c r="H6" s="173"/>
      <c r="I6" s="114"/>
      <c r="J6" s="171"/>
      <c r="K6" s="286"/>
      <c r="L6" s="287"/>
      <c r="M6" s="287"/>
      <c r="N6" s="286"/>
      <c r="O6" s="286"/>
      <c r="P6" s="286"/>
      <c r="Q6" s="286"/>
      <c r="R6" s="286"/>
      <c r="S6" s="286"/>
      <c r="T6" s="286"/>
      <c r="U6" s="286"/>
      <c r="V6" s="286"/>
    </row>
    <row r="7" spans="1:22" ht="13.5" thickBot="1" x14ac:dyDescent="0.25">
      <c r="A7" s="145" t="s">
        <v>69</v>
      </c>
      <c r="B7" s="146"/>
      <c r="C7" s="174" t="s">
        <v>144</v>
      </c>
      <c r="D7" s="174"/>
      <c r="E7" s="174"/>
      <c r="F7" s="174"/>
      <c r="G7" s="174"/>
      <c r="H7" s="175"/>
      <c r="I7" s="125"/>
      <c r="J7" s="176"/>
      <c r="K7" s="286"/>
      <c r="L7" s="287"/>
      <c r="M7" s="287"/>
      <c r="N7" s="286"/>
      <c r="O7" s="286"/>
      <c r="P7" s="286"/>
      <c r="Q7" s="286"/>
      <c r="R7" s="286"/>
      <c r="S7" s="286"/>
      <c r="T7" s="286"/>
      <c r="U7" s="286"/>
      <c r="V7" s="286"/>
    </row>
    <row r="8" spans="1:22" x14ac:dyDescent="0.2">
      <c r="A8" s="152"/>
      <c r="B8" s="152"/>
      <c r="C8" s="153"/>
      <c r="D8" s="153"/>
      <c r="E8" s="153"/>
      <c r="F8" s="153"/>
      <c r="G8" s="153"/>
      <c r="H8" s="153"/>
      <c r="I8" s="2"/>
      <c r="K8" s="288"/>
      <c r="L8" s="287"/>
      <c r="M8" s="287"/>
      <c r="N8" s="286"/>
      <c r="O8" s="286"/>
      <c r="P8" s="286"/>
      <c r="Q8" s="286"/>
      <c r="R8" s="286"/>
      <c r="S8" s="286"/>
      <c r="T8" s="286"/>
      <c r="U8" s="286"/>
      <c r="V8" s="286"/>
    </row>
    <row r="9" spans="1:22" x14ac:dyDescent="0.2">
      <c r="A9" s="7"/>
      <c r="D9" s="128" t="s">
        <v>72</v>
      </c>
      <c r="E9" s="128"/>
      <c r="F9" s="128"/>
      <c r="I9" s="2"/>
      <c r="K9" s="286"/>
      <c r="L9" s="287"/>
      <c r="M9" s="287"/>
      <c r="N9" s="286"/>
      <c r="O9" s="286"/>
      <c r="P9" s="286"/>
      <c r="Q9" s="286"/>
      <c r="R9" s="286"/>
      <c r="S9" s="286"/>
      <c r="T9" s="286"/>
      <c r="U9" s="286"/>
      <c r="V9" s="286"/>
    </row>
    <row r="10" spans="1:22" s="57" customFormat="1" ht="28.5" customHeight="1" x14ac:dyDescent="0.2">
      <c r="A10" s="10" t="s">
        <v>22</v>
      </c>
      <c r="B10" s="10" t="s">
        <v>74</v>
      </c>
      <c r="C10" s="10" t="s">
        <v>51</v>
      </c>
      <c r="D10" s="10" t="s">
        <v>75</v>
      </c>
      <c r="E10" s="10" t="s">
        <v>76</v>
      </c>
      <c r="F10" s="10" t="s">
        <v>77</v>
      </c>
      <c r="G10" s="10" t="s">
        <v>78</v>
      </c>
      <c r="H10" s="10" t="s">
        <v>79</v>
      </c>
      <c r="I10" s="130"/>
      <c r="J10" s="10" t="s">
        <v>80</v>
      </c>
      <c r="K10" s="289"/>
      <c r="L10" s="290"/>
      <c r="M10" s="290"/>
      <c r="N10" s="290"/>
      <c r="O10" s="289"/>
      <c r="P10" s="289"/>
      <c r="Q10" s="289"/>
      <c r="R10" s="289"/>
      <c r="S10" s="289"/>
      <c r="T10" s="289"/>
      <c r="U10" s="289"/>
      <c r="V10" s="289"/>
    </row>
    <row r="11" spans="1:22" x14ac:dyDescent="0.2">
      <c r="A11" s="177"/>
      <c r="B11" s="177"/>
      <c r="C11" s="177"/>
      <c r="D11" s="177"/>
      <c r="E11" s="177"/>
      <c r="F11" s="177"/>
      <c r="G11" s="177"/>
      <c r="H11" s="178"/>
      <c r="J11" s="176"/>
      <c r="K11" s="286"/>
      <c r="L11" s="287"/>
      <c r="M11" s="287"/>
      <c r="N11" s="286"/>
      <c r="O11" s="286"/>
      <c r="P11" s="291">
        <v>503</v>
      </c>
      <c r="Q11" s="291">
        <v>504</v>
      </c>
      <c r="R11" s="291">
        <v>505</v>
      </c>
      <c r="S11" s="291">
        <v>511</v>
      </c>
      <c r="T11" s="291">
        <v>570</v>
      </c>
      <c r="U11" s="291" t="s">
        <v>9</v>
      </c>
      <c r="V11" s="286"/>
    </row>
    <row r="12" spans="1:22" x14ac:dyDescent="0.2">
      <c r="A12" s="179" t="s">
        <v>136</v>
      </c>
      <c r="B12" s="179"/>
      <c r="C12" s="179"/>
      <c r="D12" s="179"/>
      <c r="E12" s="179"/>
      <c r="F12" s="179"/>
      <c r="G12" s="178">
        <v>46723924.869999997</v>
      </c>
      <c r="H12" s="178"/>
      <c r="J12" s="180"/>
      <c r="K12" s="292"/>
      <c r="L12" s="287"/>
      <c r="M12" s="287"/>
      <c r="N12" s="286"/>
      <c r="O12" s="286" t="s">
        <v>135</v>
      </c>
      <c r="P12" s="293">
        <v>7622134</v>
      </c>
      <c r="Q12" s="293">
        <f>5319138+2955</f>
        <v>5322093</v>
      </c>
      <c r="R12" s="293">
        <f>806453+317</f>
        <v>806770</v>
      </c>
      <c r="S12" s="293">
        <f>626870+1347361+292270</f>
        <v>2266501</v>
      </c>
      <c r="T12" s="293">
        <v>232820</v>
      </c>
      <c r="U12" s="293">
        <f>SUM(P12:T12)</f>
        <v>16250318</v>
      </c>
      <c r="V12" s="286"/>
    </row>
    <row r="13" spans="1:22" x14ac:dyDescent="0.2">
      <c r="A13" s="179" t="s">
        <v>145</v>
      </c>
      <c r="B13" s="179"/>
      <c r="C13" s="179"/>
      <c r="D13" s="179"/>
      <c r="E13" s="179"/>
      <c r="F13" s="179"/>
      <c r="G13" s="178">
        <v>-7685675.8799999999</v>
      </c>
      <c r="H13" s="178"/>
      <c r="J13" s="180"/>
      <c r="K13" s="292"/>
      <c r="L13" s="287"/>
      <c r="M13" s="287"/>
      <c r="N13" s="286"/>
      <c r="O13" s="286" t="s">
        <v>146</v>
      </c>
      <c r="P13" s="294">
        <v>0</v>
      </c>
      <c r="Q13" s="294">
        <v>-2955</v>
      </c>
      <c r="R13" s="294">
        <v>-317</v>
      </c>
      <c r="S13" s="294">
        <v>-1347361</v>
      </c>
      <c r="T13" s="294">
        <v>-232820</v>
      </c>
      <c r="U13" s="294">
        <f>SUM(P13:T13)</f>
        <v>-1583453</v>
      </c>
      <c r="V13" s="286"/>
    </row>
    <row r="14" spans="1:22" x14ac:dyDescent="0.2">
      <c r="A14" s="179" t="s">
        <v>147</v>
      </c>
      <c r="B14" s="179"/>
      <c r="C14" s="179"/>
      <c r="D14" s="179"/>
      <c r="E14" s="179"/>
      <c r="F14" s="179"/>
      <c r="G14" s="178">
        <v>-233366.03</v>
      </c>
      <c r="H14" s="178"/>
      <c r="J14" s="180"/>
      <c r="K14" s="292"/>
      <c r="L14" s="287"/>
      <c r="M14" s="287"/>
      <c r="N14" s="286"/>
      <c r="O14" s="286" t="s">
        <v>137</v>
      </c>
      <c r="P14" s="293">
        <v>4006834</v>
      </c>
      <c r="Q14" s="293">
        <v>2589532</v>
      </c>
      <c r="R14" s="293">
        <v>352170</v>
      </c>
      <c r="S14" s="293">
        <f>410158+192646</f>
        <v>602804</v>
      </c>
      <c r="T14" s="293">
        <v>0</v>
      </c>
      <c r="U14" s="293">
        <f>SUM(P14:T14)</f>
        <v>7551340</v>
      </c>
      <c r="V14" s="286"/>
    </row>
    <row r="15" spans="1:22" x14ac:dyDescent="0.2">
      <c r="A15" s="179"/>
      <c r="B15" s="179"/>
      <c r="C15" s="179"/>
      <c r="D15" s="179"/>
      <c r="E15" s="179"/>
      <c r="F15" s="179"/>
      <c r="G15" s="178"/>
      <c r="H15" s="178">
        <f>SUM(G12:G14)</f>
        <v>38804882.959999993</v>
      </c>
      <c r="J15" s="192"/>
      <c r="K15" s="287"/>
      <c r="L15" s="287"/>
      <c r="M15" s="287"/>
      <c r="N15" s="286"/>
      <c r="O15" s="286" t="s">
        <v>148</v>
      </c>
      <c r="P15" s="294">
        <v>0</v>
      </c>
      <c r="Q15" s="294">
        <v>3958</v>
      </c>
      <c r="R15" s="294">
        <v>491</v>
      </c>
      <c r="S15" s="294">
        <v>1498743</v>
      </c>
      <c r="T15" s="294">
        <v>230233</v>
      </c>
      <c r="U15" s="294">
        <f>SUM(P15:T15)</f>
        <v>1733425</v>
      </c>
      <c r="V15" s="286"/>
    </row>
    <row r="16" spans="1:22" x14ac:dyDescent="0.2">
      <c r="A16" s="183">
        <f>'FERC Interest Rates'!A92</f>
        <v>43799</v>
      </c>
      <c r="B16" s="178" t="s">
        <v>139</v>
      </c>
      <c r="C16" s="184">
        <f>+U16</f>
        <v>23951630</v>
      </c>
      <c r="D16" s="185"/>
      <c r="E16" s="178">
        <f>SUM(ROUND((U12+U13)*-0.0074,2)+ROUND((U14+U15)*-0.05671,2))</f>
        <v>-635073.82000000007</v>
      </c>
      <c r="F16" s="178">
        <f>ROUND(H15*VLOOKUP(A16,FERCINT19,2)/365*VLOOKUP(A16,FERCINT19,3),2)</f>
        <v>172867.78</v>
      </c>
      <c r="G16" s="178"/>
      <c r="H16" s="178">
        <f>H15+SUM(E16:G16)</f>
        <v>38342676.919999994</v>
      </c>
      <c r="J16" s="180">
        <v>38342676.920000002</v>
      </c>
      <c r="K16" s="286"/>
      <c r="L16" s="287"/>
      <c r="M16" s="295"/>
      <c r="N16" s="296"/>
      <c r="O16" s="286" t="s">
        <v>9</v>
      </c>
      <c r="P16" s="293">
        <f t="shared" ref="P16:U16" si="0">SUM(P12:P15)</f>
        <v>11628968</v>
      </c>
      <c r="Q16" s="293">
        <f t="shared" si="0"/>
        <v>7912628</v>
      </c>
      <c r="R16" s="293">
        <f t="shared" si="0"/>
        <v>1159114</v>
      </c>
      <c r="S16" s="293">
        <f t="shared" si="0"/>
        <v>3020687</v>
      </c>
      <c r="T16" s="293">
        <f t="shared" si="0"/>
        <v>230233</v>
      </c>
      <c r="U16" s="293">
        <f t="shared" si="0"/>
        <v>23951630</v>
      </c>
      <c r="V16" s="286"/>
    </row>
    <row r="17" spans="1:22" x14ac:dyDescent="0.2">
      <c r="A17" s="183">
        <f>'FERC Interest Rates'!A93</f>
        <v>43830</v>
      </c>
      <c r="B17" s="188">
        <v>-5.6710000000000003E-2</v>
      </c>
      <c r="C17" s="184">
        <f>+'Therm Sales'!I78</f>
        <v>34636501</v>
      </c>
      <c r="D17" s="185"/>
      <c r="E17" s="189">
        <f>ROUND(C17*B17,2)-0.01</f>
        <v>-1964235.98</v>
      </c>
      <c r="F17" s="178">
        <f t="shared" ref="F17" si="1">ROUND(H16*VLOOKUP(A17,FERCINT19,2)/365*VLOOKUP(A17,FERCINT19,3),2)</f>
        <v>176502.37</v>
      </c>
      <c r="G17" s="178"/>
      <c r="H17" s="178">
        <f>H16+SUM(D17:G17)</f>
        <v>36554943.309999995</v>
      </c>
      <c r="J17" s="180">
        <v>36554943.310000002</v>
      </c>
      <c r="K17" s="292"/>
      <c r="L17" s="287"/>
      <c r="M17" s="295"/>
      <c r="N17" s="296"/>
      <c r="O17" s="286"/>
      <c r="P17" s="286"/>
      <c r="Q17" s="286"/>
      <c r="R17" s="286"/>
      <c r="S17" s="286"/>
      <c r="T17" s="286"/>
      <c r="U17" s="286"/>
      <c r="V17" s="286"/>
    </row>
    <row r="18" spans="1:22" x14ac:dyDescent="0.2">
      <c r="A18" s="183">
        <f>'FERC Interest Rates'!A94</f>
        <v>43861</v>
      </c>
      <c r="B18" s="188">
        <v>-5.6710000000000003E-2</v>
      </c>
      <c r="C18" s="184">
        <f>+'Therm Sales'!I79</f>
        <v>41447011</v>
      </c>
      <c r="D18" s="190"/>
      <c r="E18" s="135">
        <f>ROUND(C18*B18,2)</f>
        <v>-2350459.9900000002</v>
      </c>
      <c r="F18" s="178">
        <f t="shared" ref="F18:F30" si="2">ROUND(H17*VLOOKUP(A18,FERCINT20,2)/365*VLOOKUP(A18,FERCINT20,3),2)</f>
        <v>153991.45000000001</v>
      </c>
      <c r="G18" s="176"/>
      <c r="H18" s="191">
        <f>H17+SUM(D18:G18)</f>
        <v>34358474.769999996</v>
      </c>
      <c r="J18" s="180">
        <v>34358474.770000003</v>
      </c>
      <c r="K18" s="292"/>
      <c r="L18" s="287"/>
      <c r="M18" s="295"/>
      <c r="N18" s="296"/>
      <c r="O18" s="286"/>
      <c r="P18" s="286"/>
      <c r="Q18" s="286"/>
      <c r="R18" s="286"/>
      <c r="S18" s="286"/>
      <c r="T18" s="286"/>
      <c r="U18" s="286"/>
      <c r="V18" s="286"/>
    </row>
    <row r="19" spans="1:22" x14ac:dyDescent="0.2">
      <c r="A19" s="183">
        <f>'FERC Interest Rates'!A95</f>
        <v>43890</v>
      </c>
      <c r="B19" s="188">
        <v>-5.6710000000000003E-2</v>
      </c>
      <c r="C19" s="184">
        <f>+'Therm Sales'!I80</f>
        <v>34316998</v>
      </c>
      <c r="D19" s="190"/>
      <c r="E19" s="135">
        <f>ROUND(C19*B19,2)</f>
        <v>-1946116.96</v>
      </c>
      <c r="F19" s="178">
        <f t="shared" si="2"/>
        <v>135400.63</v>
      </c>
      <c r="G19" s="176"/>
      <c r="H19" s="191">
        <f t="shared" ref="H19:H24" si="3">H18+SUM(D19:G19)</f>
        <v>32547758.439999998</v>
      </c>
      <c r="J19" s="2">
        <v>32547758.440000001</v>
      </c>
      <c r="K19" s="292"/>
      <c r="L19" s="287"/>
      <c r="M19" s="295"/>
      <c r="N19" s="296"/>
      <c r="O19" s="286"/>
      <c r="P19" s="286"/>
      <c r="Q19" s="286"/>
      <c r="R19" s="286"/>
      <c r="S19" s="286"/>
      <c r="T19" s="286"/>
      <c r="U19" s="286"/>
      <c r="V19" s="286"/>
    </row>
    <row r="20" spans="1:22" x14ac:dyDescent="0.2">
      <c r="A20" s="183">
        <f>'FERC Interest Rates'!A96</f>
        <v>43921</v>
      </c>
      <c r="B20" s="188">
        <v>-5.6710000000000003E-2</v>
      </c>
      <c r="C20" s="184">
        <f>+'Therm Sales'!I81</f>
        <v>34370665</v>
      </c>
      <c r="D20" s="190"/>
      <c r="E20" s="189">
        <f>ROUND(C20*B20,2)-0.01</f>
        <v>-1949160.42</v>
      </c>
      <c r="F20" s="178">
        <f t="shared" si="2"/>
        <v>137110.78</v>
      </c>
      <c r="G20" s="176"/>
      <c r="H20" s="191">
        <f t="shared" si="3"/>
        <v>30735708.799999997</v>
      </c>
      <c r="J20" s="2">
        <v>30735708.800000001</v>
      </c>
      <c r="K20" s="292"/>
      <c r="L20" s="287"/>
      <c r="M20" s="295"/>
      <c r="N20" s="296"/>
      <c r="O20" s="286"/>
      <c r="P20" s="286"/>
      <c r="Q20" s="286"/>
      <c r="R20" s="286"/>
      <c r="S20" s="286"/>
      <c r="T20" s="286"/>
      <c r="U20" s="286"/>
      <c r="V20" s="286"/>
    </row>
    <row r="21" spans="1:22" x14ac:dyDescent="0.2">
      <c r="A21" s="183">
        <f>'FERC Interest Rates'!A97</f>
        <v>43951</v>
      </c>
      <c r="B21" s="188">
        <v>-5.6710000000000003E-2</v>
      </c>
      <c r="C21" s="184">
        <f>+'Therm Sales'!I82</f>
        <v>26722621</v>
      </c>
      <c r="D21" s="190"/>
      <c r="E21" s="189">
        <f>ROUND(C21*B21,2)-0.01</f>
        <v>-1515439.85</v>
      </c>
      <c r="F21" s="178">
        <f t="shared" si="2"/>
        <v>119995.58</v>
      </c>
      <c r="G21" s="176"/>
      <c r="H21" s="191">
        <f t="shared" si="3"/>
        <v>29340264.529999997</v>
      </c>
      <c r="J21" s="2">
        <v>29340264.530000001</v>
      </c>
      <c r="K21" s="292"/>
      <c r="L21" s="287"/>
      <c r="M21" s="295"/>
      <c r="N21" s="296"/>
      <c r="O21" s="286"/>
      <c r="P21" s="286"/>
      <c r="Q21" s="286"/>
      <c r="R21" s="286"/>
      <c r="S21" s="286"/>
      <c r="T21" s="286"/>
      <c r="U21" s="286"/>
      <c r="V21" s="286"/>
    </row>
    <row r="22" spans="1:22" x14ac:dyDescent="0.2">
      <c r="A22" s="183">
        <f>'FERC Interest Rates'!A98</f>
        <v>43982</v>
      </c>
      <c r="B22" s="188">
        <v>-5.6710000000000003E-2</v>
      </c>
      <c r="C22" s="184">
        <f>+'Therm Sales'!I83</f>
        <v>13504949</v>
      </c>
      <c r="D22" s="190"/>
      <c r="E22" s="135">
        <f>ROUND(C22*B22,2)</f>
        <v>-765865.66</v>
      </c>
      <c r="F22" s="178">
        <f t="shared" si="2"/>
        <v>118365.86</v>
      </c>
      <c r="G22" s="176"/>
      <c r="H22" s="191">
        <f t="shared" si="3"/>
        <v>28692764.729999997</v>
      </c>
      <c r="J22" s="2">
        <v>28692764.73</v>
      </c>
      <c r="K22" s="292"/>
      <c r="L22" s="287"/>
      <c r="M22" s="295"/>
      <c r="N22" s="296"/>
      <c r="O22" s="286"/>
      <c r="P22" s="286"/>
      <c r="Q22" s="286"/>
      <c r="R22" s="286"/>
      <c r="S22" s="286"/>
      <c r="T22" s="286"/>
      <c r="U22" s="286"/>
      <c r="V22" s="286"/>
    </row>
    <row r="23" spans="1:22" x14ac:dyDescent="0.2">
      <c r="A23" s="183">
        <f>'FERC Interest Rates'!A99</f>
        <v>44012</v>
      </c>
      <c r="B23" s="188">
        <v>-5.6710000000000003E-2</v>
      </c>
      <c r="C23" s="184">
        <f>+'Therm Sales'!I84</f>
        <v>10562993</v>
      </c>
      <c r="D23" s="190"/>
      <c r="E23" s="135">
        <f t="shared" ref="E23" si="4">ROUND(C23*B23,2)</f>
        <v>-599027.32999999996</v>
      </c>
      <c r="F23" s="178">
        <f t="shared" si="2"/>
        <v>112019.7</v>
      </c>
      <c r="G23" s="176"/>
      <c r="H23" s="191">
        <f t="shared" si="3"/>
        <v>28205757.099999998</v>
      </c>
      <c r="I23" s="136"/>
      <c r="J23" s="2">
        <v>28205757.100000001</v>
      </c>
      <c r="K23" s="292"/>
      <c r="L23" s="287"/>
      <c r="M23" s="295"/>
      <c r="N23" s="296"/>
      <c r="O23" s="286"/>
      <c r="P23" s="286"/>
      <c r="Q23" s="286"/>
      <c r="R23" s="286"/>
      <c r="S23" s="286"/>
      <c r="T23" s="286"/>
      <c r="U23" s="286"/>
      <c r="V23" s="286"/>
    </row>
    <row r="24" spans="1:22" x14ac:dyDescent="0.2">
      <c r="A24" s="183">
        <f>'FERC Interest Rates'!A100</f>
        <v>44043</v>
      </c>
      <c r="B24" s="188">
        <v>-5.6710000000000003E-2</v>
      </c>
      <c r="C24" s="184">
        <f>+'Therm Sales'!I85</f>
        <v>9083808</v>
      </c>
      <c r="D24" s="162"/>
      <c r="E24" s="189">
        <f>ROUND(C24*B24,2)-0.01</f>
        <v>-515142.76</v>
      </c>
      <c r="F24" s="178">
        <f t="shared" si="2"/>
        <v>82167.62</v>
      </c>
      <c r="H24" s="191">
        <f t="shared" si="3"/>
        <v>27772781.959999997</v>
      </c>
      <c r="I24" s="136"/>
      <c r="J24" s="2">
        <v>27772781.960000001</v>
      </c>
      <c r="K24" s="292"/>
      <c r="L24" s="287"/>
      <c r="M24" s="295"/>
      <c r="N24" s="296"/>
      <c r="O24" s="286"/>
      <c r="P24" s="291">
        <v>503</v>
      </c>
      <c r="Q24" s="291">
        <v>504</v>
      </c>
      <c r="R24" s="291">
        <v>505</v>
      </c>
      <c r="S24" s="291">
        <v>511</v>
      </c>
      <c r="T24" s="291">
        <v>570</v>
      </c>
      <c r="U24" s="291" t="s">
        <v>9</v>
      </c>
      <c r="V24" s="286"/>
    </row>
    <row r="25" spans="1:22" x14ac:dyDescent="0.2">
      <c r="A25" s="183">
        <f>'FERC Interest Rates'!A101</f>
        <v>44074</v>
      </c>
      <c r="B25" s="188">
        <v>-5.6710000000000003E-2</v>
      </c>
      <c r="C25" s="184">
        <f>+'Therm Sales'!I86</f>
        <v>6752494</v>
      </c>
      <c r="D25" s="162"/>
      <c r="E25" s="189">
        <f>ROUND(C25*B25,2)-0.02</f>
        <v>-382933.95</v>
      </c>
      <c r="F25" s="178">
        <f t="shared" si="2"/>
        <v>80906.3</v>
      </c>
      <c r="H25" s="191">
        <f t="shared" ref="H25:H40" si="5">H24+SUM(D25:G25)</f>
        <v>27470754.309999999</v>
      </c>
      <c r="I25" s="136"/>
      <c r="J25" s="2">
        <v>27470754.309999999</v>
      </c>
      <c r="K25" s="292"/>
      <c r="L25" s="287"/>
      <c r="M25" s="295"/>
      <c r="N25" s="296"/>
      <c r="O25" s="286" t="s">
        <v>135</v>
      </c>
      <c r="P25" s="293">
        <v>6886950</v>
      </c>
      <c r="Q25" s="293">
        <f>4428383+3290</f>
        <v>4431673</v>
      </c>
      <c r="R25" s="293">
        <v>615235</v>
      </c>
      <c r="S25" s="293">
        <f>570674+33943+224068</f>
        <v>828685</v>
      </c>
      <c r="T25" s="293">
        <v>178840</v>
      </c>
      <c r="U25" s="293">
        <f>SUM(P25:T25)</f>
        <v>12941383</v>
      </c>
      <c r="V25" s="286"/>
    </row>
    <row r="26" spans="1:22" x14ac:dyDescent="0.2">
      <c r="A26" s="183">
        <f>'FERC Interest Rates'!A102</f>
        <v>44104</v>
      </c>
      <c r="B26" s="188">
        <v>-5.6710000000000003E-2</v>
      </c>
      <c r="C26" s="184">
        <f>+'Therm Sales'!I87</f>
        <v>7390192</v>
      </c>
      <c r="D26" s="162"/>
      <c r="E26" s="135">
        <f t="shared" ref="E26:E40" si="6">ROUND(C26*B26,2)</f>
        <v>-419097.79</v>
      </c>
      <c r="F26" s="178">
        <f t="shared" si="2"/>
        <v>77444.95</v>
      </c>
      <c r="H26" s="191">
        <f t="shared" si="5"/>
        <v>27129101.469999999</v>
      </c>
      <c r="I26" s="136"/>
      <c r="J26" s="2">
        <v>27129101.469999999</v>
      </c>
      <c r="K26" s="292"/>
      <c r="L26" s="287"/>
      <c r="M26" s="295"/>
      <c r="N26" s="296"/>
      <c r="O26" s="286" t="s">
        <v>146</v>
      </c>
      <c r="P26" s="294">
        <v>0</v>
      </c>
      <c r="Q26" s="294">
        <v>-3290</v>
      </c>
      <c r="R26" s="294">
        <v>0</v>
      </c>
      <c r="S26" s="294">
        <v>-33943</v>
      </c>
      <c r="T26" s="294">
        <v>-178840</v>
      </c>
      <c r="U26" s="294">
        <f>SUM(P26:T26)</f>
        <v>-216073</v>
      </c>
      <c r="V26" s="286"/>
    </row>
    <row r="27" spans="1:22" x14ac:dyDescent="0.2">
      <c r="A27" s="183">
        <f>'FERC Interest Rates'!A103</f>
        <v>44135</v>
      </c>
      <c r="B27" s="188">
        <v>-5.6710000000000003E-2</v>
      </c>
      <c r="C27" s="184">
        <f>+'Therm Sales'!I88</f>
        <v>9479391</v>
      </c>
      <c r="D27" s="162"/>
      <c r="E27" s="189">
        <f>ROUND(C27*B27,2)-0.01</f>
        <v>-537576.27</v>
      </c>
      <c r="F27" s="178">
        <f t="shared" si="2"/>
        <v>74883.75</v>
      </c>
      <c r="H27" s="191">
        <f t="shared" si="5"/>
        <v>26666408.949999999</v>
      </c>
      <c r="I27" s="136"/>
      <c r="J27" s="2">
        <v>26666408.949999999</v>
      </c>
      <c r="K27" s="292"/>
      <c r="L27" s="287"/>
      <c r="M27" s="295"/>
      <c r="N27" s="296"/>
      <c r="O27" s="286" t="s">
        <v>137</v>
      </c>
      <c r="P27" s="293">
        <v>3564962</v>
      </c>
      <c r="Q27" s="293">
        <v>2059842</v>
      </c>
      <c r="R27" s="293">
        <v>255052</v>
      </c>
      <c r="S27" s="293">
        <f>268370+108414</f>
        <v>376784</v>
      </c>
      <c r="T27" s="292">
        <v>0</v>
      </c>
      <c r="U27" s="293">
        <f>SUM(P27:T27)</f>
        <v>6256640</v>
      </c>
      <c r="V27" s="286"/>
    </row>
    <row r="28" spans="1:22" x14ac:dyDescent="0.2">
      <c r="A28" s="179" t="s">
        <v>149</v>
      </c>
      <c r="B28" s="179"/>
      <c r="C28" s="179"/>
      <c r="D28" s="179"/>
      <c r="E28" s="179"/>
      <c r="F28" s="179"/>
      <c r="G28" s="2">
        <f>9515894.87+277480.27</f>
        <v>9793375.1399999987</v>
      </c>
      <c r="H28" s="191">
        <f t="shared" si="5"/>
        <v>36459784.089999996</v>
      </c>
      <c r="I28" s="136"/>
      <c r="K28" s="292"/>
      <c r="L28" s="287"/>
      <c r="M28" s="295"/>
      <c r="N28" s="296"/>
      <c r="O28" s="286" t="s">
        <v>148</v>
      </c>
      <c r="P28" s="294">
        <v>0</v>
      </c>
      <c r="Q28" s="294">
        <v>5658</v>
      </c>
      <c r="R28" s="294">
        <v>0</v>
      </c>
      <c r="S28" s="294">
        <v>72965</v>
      </c>
      <c r="T28" s="294">
        <v>220318</v>
      </c>
      <c r="U28" s="294">
        <f>SUM(P28:T28)</f>
        <v>298941</v>
      </c>
      <c r="V28" s="286"/>
    </row>
    <row r="29" spans="1:22" x14ac:dyDescent="0.2">
      <c r="A29" s="183">
        <f>'FERC Interest Rates'!A104</f>
        <v>44165</v>
      </c>
      <c r="B29" s="178" t="s">
        <v>139</v>
      </c>
      <c r="C29" s="184">
        <f>+'Therm Sales'!I89</f>
        <v>19280891</v>
      </c>
      <c r="D29" s="162"/>
      <c r="E29" s="178">
        <f>SUM(ROUND((U25+U26)*-0.05671,2)+ROUND((U27+U28)*-0.07006,2))</f>
        <v>-1180936.33</v>
      </c>
      <c r="F29" s="178">
        <f t="shared" si="2"/>
        <v>97392.57</v>
      </c>
      <c r="H29" s="191">
        <f t="shared" si="5"/>
        <v>35376240.329999998</v>
      </c>
      <c r="I29" s="136"/>
      <c r="J29" s="2">
        <v>35375499.119999997</v>
      </c>
      <c r="K29" s="292"/>
      <c r="L29" s="287"/>
      <c r="M29" s="295"/>
      <c r="N29" s="296"/>
      <c r="O29" s="286" t="s">
        <v>9</v>
      </c>
      <c r="P29" s="293">
        <f t="shared" ref="P29:U29" si="7">SUM(P25:P28)</f>
        <v>10451912</v>
      </c>
      <c r="Q29" s="293">
        <f t="shared" si="7"/>
        <v>6493883</v>
      </c>
      <c r="R29" s="293">
        <f t="shared" si="7"/>
        <v>870287</v>
      </c>
      <c r="S29" s="293">
        <f t="shared" si="7"/>
        <v>1244491</v>
      </c>
      <c r="T29" s="293">
        <f>SUM(T25:T28)</f>
        <v>220318</v>
      </c>
      <c r="U29" s="293">
        <f t="shared" si="7"/>
        <v>19280891</v>
      </c>
      <c r="V29" s="286"/>
    </row>
    <row r="30" spans="1:22" x14ac:dyDescent="0.2">
      <c r="A30" s="183">
        <f>'FERC Interest Rates'!A105</f>
        <v>44196</v>
      </c>
      <c r="B30" s="188">
        <v>-7.0059999999999997E-2</v>
      </c>
      <c r="C30" s="184">
        <f>+'Therm Sales'!I90</f>
        <v>34057490</v>
      </c>
      <c r="D30" s="162"/>
      <c r="E30" s="135">
        <f t="shared" si="6"/>
        <v>-2386067.75</v>
      </c>
      <c r="F30" s="178">
        <f t="shared" si="2"/>
        <v>97648.12</v>
      </c>
      <c r="H30" s="191">
        <f t="shared" si="5"/>
        <v>33087820.699999999</v>
      </c>
      <c r="I30" s="136"/>
      <c r="J30" s="2">
        <f>33087079.49+741.21</f>
        <v>33087820.699999999</v>
      </c>
      <c r="K30" s="292"/>
      <c r="L30" s="287"/>
      <c r="M30" s="295"/>
      <c r="N30" s="296"/>
      <c r="O30" s="286"/>
      <c r="P30" s="286"/>
      <c r="Q30" s="286"/>
      <c r="R30" s="286"/>
      <c r="S30" s="286"/>
      <c r="T30" s="286"/>
      <c r="U30" s="286"/>
      <c r="V30" s="286"/>
    </row>
    <row r="31" spans="1:22" x14ac:dyDescent="0.2">
      <c r="A31" s="183">
        <f>'FERC Interest Rates'!A106</f>
        <v>44227</v>
      </c>
      <c r="B31" s="188">
        <v>-7.0059999999999997E-2</v>
      </c>
      <c r="C31" s="184">
        <f>+'Therm Sales'!I91</f>
        <v>35952500</v>
      </c>
      <c r="D31" s="162"/>
      <c r="E31" s="135">
        <f t="shared" si="6"/>
        <v>-2518832.15</v>
      </c>
      <c r="F31" s="178">
        <f t="shared" ref="F31:F40" si="8">ROUND(H30*VLOOKUP(A31,FERCINT21,2)/365*VLOOKUP(A31,FERCINT21,3),2)</f>
        <v>91331.45</v>
      </c>
      <c r="H31" s="191">
        <f t="shared" si="5"/>
        <v>30660320</v>
      </c>
      <c r="I31" s="136"/>
      <c r="J31" s="2">
        <v>30660320</v>
      </c>
      <c r="K31" s="292"/>
      <c r="L31" s="287"/>
      <c r="M31" s="295"/>
      <c r="N31" s="286"/>
      <c r="O31" s="286"/>
      <c r="P31" s="286"/>
      <c r="Q31" s="286"/>
      <c r="R31" s="286"/>
      <c r="S31" s="286"/>
      <c r="T31" s="286"/>
      <c r="U31" s="286"/>
      <c r="V31" s="286"/>
    </row>
    <row r="32" spans="1:22" x14ac:dyDescent="0.2">
      <c r="A32" s="183">
        <f>'FERC Interest Rates'!A107</f>
        <v>44255</v>
      </c>
      <c r="B32" s="188">
        <v>-7.0059999999999997E-2</v>
      </c>
      <c r="C32" s="184">
        <f>+'Therm Sales'!I92</f>
        <v>33909523</v>
      </c>
      <c r="D32" s="162"/>
      <c r="E32" s="135">
        <f t="shared" si="6"/>
        <v>-2375701.1800000002</v>
      </c>
      <c r="F32" s="178">
        <f t="shared" si="8"/>
        <v>76440.800000000003</v>
      </c>
      <c r="H32" s="191">
        <f t="shared" si="5"/>
        <v>28361059.620000001</v>
      </c>
      <c r="I32" s="136"/>
      <c r="J32" s="2">
        <v>28361059.620000001</v>
      </c>
      <c r="K32" s="292"/>
      <c r="L32" s="287"/>
      <c r="M32" s="295"/>
      <c r="N32" s="286"/>
      <c r="O32" s="286"/>
      <c r="P32" s="293"/>
      <c r="Q32" s="293"/>
      <c r="R32" s="293"/>
      <c r="S32" s="293"/>
      <c r="T32" s="293"/>
      <c r="U32" s="293"/>
      <c r="V32" s="286"/>
    </row>
    <row r="33" spans="1:22" x14ac:dyDescent="0.2">
      <c r="A33" s="183">
        <f>'FERC Interest Rates'!A108</f>
        <v>44286</v>
      </c>
      <c r="B33" s="188">
        <v>-7.0059999999999997E-2</v>
      </c>
      <c r="C33" s="184">
        <f>+'Therm Sales'!I93</f>
        <v>36377608</v>
      </c>
      <c r="D33" s="162"/>
      <c r="E33" s="189">
        <f>ROUND(C33*B33,2)-0.01</f>
        <v>-2548615.23</v>
      </c>
      <c r="F33" s="178">
        <f t="shared" si="8"/>
        <v>78284.289999999994</v>
      </c>
      <c r="H33" s="191">
        <f t="shared" si="5"/>
        <v>25890728.68</v>
      </c>
      <c r="I33" s="136"/>
      <c r="J33" s="2">
        <v>25890728.68</v>
      </c>
      <c r="K33" s="292"/>
      <c r="L33" s="287"/>
      <c r="M33" s="295"/>
      <c r="N33" s="286"/>
      <c r="O33" s="286"/>
      <c r="P33" s="293"/>
      <c r="Q33" s="293"/>
      <c r="R33" s="293"/>
      <c r="S33" s="293"/>
      <c r="T33" s="293"/>
      <c r="U33" s="293"/>
      <c r="V33" s="286"/>
    </row>
    <row r="34" spans="1:22" x14ac:dyDescent="0.2">
      <c r="A34" s="183">
        <f>'FERC Interest Rates'!A109</f>
        <v>44316</v>
      </c>
      <c r="B34" s="188">
        <v>-7.0059999999999997E-2</v>
      </c>
      <c r="C34" s="184">
        <f>+'Therm Sales'!I94</f>
        <v>25532431</v>
      </c>
      <c r="D34" s="162"/>
      <c r="E34" s="189">
        <f>ROUND(C34*B34,2)+0.01</f>
        <v>-1788802.11</v>
      </c>
      <c r="F34" s="178">
        <f t="shared" si="8"/>
        <v>69160.17</v>
      </c>
      <c r="H34" s="191">
        <f t="shared" si="5"/>
        <v>24171086.739999998</v>
      </c>
      <c r="I34" s="136"/>
      <c r="J34" s="2">
        <v>24171086.739999998</v>
      </c>
      <c r="K34" s="292"/>
      <c r="L34" s="287"/>
      <c r="M34" s="295"/>
      <c r="N34" s="286"/>
      <c r="O34" s="286"/>
      <c r="P34" s="293"/>
      <c r="Q34" s="293"/>
      <c r="R34" s="293"/>
      <c r="S34" s="293"/>
      <c r="T34" s="293"/>
      <c r="U34" s="293"/>
      <c r="V34" s="286"/>
    </row>
    <row r="35" spans="1:22" x14ac:dyDescent="0.2">
      <c r="A35" s="183">
        <f>'FERC Interest Rates'!A110</f>
        <v>44347</v>
      </c>
      <c r="B35" s="188">
        <v>-7.0059999999999997E-2</v>
      </c>
      <c r="C35" s="184">
        <f>+'Therm Sales'!I95</f>
        <v>13309390</v>
      </c>
      <c r="D35" s="162"/>
      <c r="E35" s="189">
        <f>ROUND(C35*B35,2)-0.01</f>
        <v>-932455.87</v>
      </c>
      <c r="F35" s="178">
        <f t="shared" si="8"/>
        <v>66718.820000000007</v>
      </c>
      <c r="H35" s="191">
        <f t="shared" si="5"/>
        <v>23305349.689999998</v>
      </c>
      <c r="I35" s="136"/>
      <c r="J35" s="2">
        <v>23305349.690000001</v>
      </c>
      <c r="K35" s="292"/>
      <c r="L35" s="287"/>
      <c r="M35" s="295"/>
      <c r="N35" s="286"/>
      <c r="O35" s="286"/>
      <c r="P35" s="286"/>
      <c r="Q35" s="286"/>
      <c r="R35" s="286"/>
      <c r="S35" s="286"/>
      <c r="T35" s="286"/>
      <c r="U35" s="286"/>
      <c r="V35" s="286"/>
    </row>
    <row r="36" spans="1:22" x14ac:dyDescent="0.2">
      <c r="A36" s="183">
        <f>'FERC Interest Rates'!A111</f>
        <v>44377</v>
      </c>
      <c r="B36" s="188">
        <v>-7.0059999999999997E-2</v>
      </c>
      <c r="C36" s="184">
        <f>+'Therm Sales'!I96</f>
        <v>10832413</v>
      </c>
      <c r="D36" s="162"/>
      <c r="E36" s="189">
        <f>ROUND(C36*B36,2)-0.01</f>
        <v>-758918.86</v>
      </c>
      <c r="F36" s="178">
        <f t="shared" si="8"/>
        <v>62254.02</v>
      </c>
      <c r="H36" s="191">
        <f t="shared" si="5"/>
        <v>22608684.849999998</v>
      </c>
      <c r="I36" s="136"/>
      <c r="J36" s="2">
        <v>22608684.850000001</v>
      </c>
      <c r="K36" s="292"/>
      <c r="L36" s="287"/>
      <c r="M36" s="295"/>
      <c r="N36" s="286"/>
      <c r="O36" s="286"/>
      <c r="P36" s="286"/>
      <c r="Q36" s="286"/>
      <c r="R36" s="286"/>
      <c r="S36" s="286"/>
      <c r="T36" s="286"/>
      <c r="U36" s="286"/>
      <c r="V36" s="286"/>
    </row>
    <row r="37" spans="1:22" x14ac:dyDescent="0.2">
      <c r="A37" s="183">
        <f>'FERC Interest Rates'!A112</f>
        <v>44408</v>
      </c>
      <c r="B37" s="188">
        <v>-7.0059999999999997E-2</v>
      </c>
      <c r="C37" s="184">
        <f>+'Therm Sales'!I97</f>
        <v>6955024</v>
      </c>
      <c r="D37" s="162"/>
      <c r="E37" s="189">
        <f>ROUND(C37*B37,2)+0.01</f>
        <v>-487268.97</v>
      </c>
      <c r="F37" s="178">
        <f t="shared" si="8"/>
        <v>62406.16</v>
      </c>
      <c r="H37" s="191">
        <f t="shared" si="5"/>
        <v>22183822.039999999</v>
      </c>
      <c r="I37" s="136"/>
      <c r="J37" s="2">
        <v>22183822.039999999</v>
      </c>
      <c r="K37" s="292"/>
      <c r="L37" s="287"/>
      <c r="M37" s="295"/>
      <c r="N37" s="286"/>
      <c r="O37" s="286"/>
      <c r="P37" s="286"/>
      <c r="Q37" s="286"/>
      <c r="R37" s="286"/>
      <c r="S37" s="286"/>
      <c r="T37" s="286"/>
      <c r="U37" s="286"/>
      <c r="V37" s="286"/>
    </row>
    <row r="38" spans="1:22" x14ac:dyDescent="0.2">
      <c r="A38" s="183">
        <f>'FERC Interest Rates'!A113</f>
        <v>44439</v>
      </c>
      <c r="B38" s="188">
        <v>-7.0059999999999997E-2</v>
      </c>
      <c r="C38" s="184">
        <f>+'Therm Sales'!I98</f>
        <v>6421769</v>
      </c>
      <c r="D38" s="162"/>
      <c r="E38" s="189">
        <f>ROUND(C38*B38,2)+0.01</f>
        <v>-449909.13</v>
      </c>
      <c r="F38" s="178">
        <f t="shared" si="8"/>
        <v>61233.43</v>
      </c>
      <c r="H38" s="191">
        <f t="shared" si="5"/>
        <v>21795146.34</v>
      </c>
      <c r="I38" s="136"/>
      <c r="J38" s="2">
        <v>21795146.34</v>
      </c>
      <c r="K38" s="292"/>
      <c r="L38" s="287"/>
      <c r="M38" s="295"/>
      <c r="N38" s="286"/>
      <c r="O38" s="286"/>
      <c r="P38" s="286"/>
      <c r="Q38" s="286"/>
      <c r="R38" s="286"/>
      <c r="S38" s="286"/>
      <c r="T38" s="286"/>
      <c r="U38" s="286"/>
      <c r="V38" s="286"/>
    </row>
    <row r="39" spans="1:22" x14ac:dyDescent="0.2">
      <c r="A39" s="183">
        <f>'FERC Interest Rates'!A114</f>
        <v>44469</v>
      </c>
      <c r="B39" s="188">
        <v>-7.0059999999999997E-2</v>
      </c>
      <c r="C39" s="184">
        <f>+'Therm Sales'!I99</f>
        <v>7139967</v>
      </c>
      <c r="D39" s="162"/>
      <c r="E39" s="135">
        <f t="shared" si="6"/>
        <v>-500226.09</v>
      </c>
      <c r="F39" s="178">
        <f t="shared" si="8"/>
        <v>58219.91</v>
      </c>
      <c r="H39" s="191">
        <f t="shared" si="5"/>
        <v>21353140.16</v>
      </c>
      <c r="I39" s="136"/>
      <c r="J39" s="2">
        <v>21353140.16</v>
      </c>
      <c r="K39" s="135"/>
      <c r="M39" s="186"/>
    </row>
    <row r="40" spans="1:22" x14ac:dyDescent="0.2">
      <c r="A40" s="183">
        <f>'FERC Interest Rates'!A115</f>
        <v>44500</v>
      </c>
      <c r="B40" s="188">
        <v>-7.0059999999999997E-2</v>
      </c>
      <c r="C40" s="184">
        <f>+'Therm Sales'!I100</f>
        <v>0</v>
      </c>
      <c r="D40" s="162"/>
      <c r="E40" s="135">
        <f t="shared" si="6"/>
        <v>0</v>
      </c>
      <c r="F40" s="178">
        <f t="shared" si="8"/>
        <v>58940.52</v>
      </c>
      <c r="H40" s="191">
        <f t="shared" si="5"/>
        <v>21412080.68</v>
      </c>
      <c r="I40" s="136"/>
      <c r="K40" s="135"/>
      <c r="M40" s="186"/>
    </row>
    <row r="41" spans="1:22" x14ac:dyDescent="0.2">
      <c r="I41" s="136"/>
      <c r="K41" s="135"/>
      <c r="M41" s="186"/>
    </row>
    <row r="42" spans="1:22" x14ac:dyDescent="0.2">
      <c r="I42" s="136"/>
    </row>
    <row r="43" spans="1:22" x14ac:dyDescent="0.2">
      <c r="I43" s="136"/>
    </row>
    <row r="44" spans="1:22" x14ac:dyDescent="0.2">
      <c r="I44" s="136"/>
    </row>
    <row r="45" spans="1:22" x14ac:dyDescent="0.2">
      <c r="I45" s="136"/>
    </row>
    <row r="46" spans="1:22" x14ac:dyDescent="0.2">
      <c r="I46" s="136"/>
    </row>
    <row r="47" spans="1:22" x14ac:dyDescent="0.2">
      <c r="I47" s="136"/>
    </row>
    <row r="48" spans="1:22" x14ac:dyDescent="0.2">
      <c r="I48" s="136"/>
    </row>
    <row r="49" spans="9:9" x14ac:dyDescent="0.2">
      <c r="I49" s="136"/>
    </row>
    <row r="50" spans="9:9" x14ac:dyDescent="0.2">
      <c r="I50" s="136"/>
    </row>
    <row r="51" spans="9:9" x14ac:dyDescent="0.2">
      <c r="I51" s="136"/>
    </row>
    <row r="52" spans="9:9" x14ac:dyDescent="0.2">
      <c r="I52" s="136"/>
    </row>
    <row r="53" spans="9:9" x14ac:dyDescent="0.2">
      <c r="I53" s="136"/>
    </row>
    <row r="54" spans="9:9" x14ac:dyDescent="0.2">
      <c r="I54" s="136"/>
    </row>
    <row r="55" spans="9:9" x14ac:dyDescent="0.2">
      <c r="I55" s="136"/>
    </row>
    <row r="56" spans="9:9" x14ac:dyDescent="0.2">
      <c r="I56" s="136"/>
    </row>
    <row r="57" spans="9:9" x14ac:dyDescent="0.2">
      <c r="I57" s="136"/>
    </row>
    <row r="58" spans="9:9" x14ac:dyDescent="0.2">
      <c r="I58" s="136"/>
    </row>
    <row r="59" spans="9:9" x14ac:dyDescent="0.2">
      <c r="I59" s="136"/>
    </row>
    <row r="60" spans="9:9" x14ac:dyDescent="0.2">
      <c r="I60" s="136"/>
    </row>
    <row r="61" spans="9:9" x14ac:dyDescent="0.2">
      <c r="I61" s="136"/>
    </row>
    <row r="62" spans="9:9" x14ac:dyDescent="0.2">
      <c r="I62" s="136"/>
    </row>
    <row r="63" spans="9:9" x14ac:dyDescent="0.2">
      <c r="I63" s="136"/>
    </row>
    <row r="64" spans="9:9" x14ac:dyDescent="0.2">
      <c r="I64" s="136"/>
    </row>
    <row r="65" spans="9:9" x14ac:dyDescent="0.2">
      <c r="I65" s="136"/>
    </row>
    <row r="66" spans="9:9" x14ac:dyDescent="0.2">
      <c r="I66" s="136"/>
    </row>
    <row r="67" spans="9:9" x14ac:dyDescent="0.2">
      <c r="I67" s="136"/>
    </row>
    <row r="68" spans="9:9" x14ac:dyDescent="0.2">
      <c r="I68" s="136"/>
    </row>
    <row r="69" spans="9:9" x14ac:dyDescent="0.2">
      <c r="I69" s="136"/>
    </row>
    <row r="70" spans="9:9" x14ac:dyDescent="0.2">
      <c r="I70" s="136"/>
    </row>
    <row r="71" spans="9:9" x14ac:dyDescent="0.2">
      <c r="I71" s="136"/>
    </row>
    <row r="72" spans="9:9" x14ac:dyDescent="0.2">
      <c r="I72" s="136"/>
    </row>
    <row r="73" spans="9:9" x14ac:dyDescent="0.2">
      <c r="I73" s="136"/>
    </row>
    <row r="74" spans="9:9" x14ac:dyDescent="0.2">
      <c r="I74" s="136"/>
    </row>
    <row r="75" spans="9:9" x14ac:dyDescent="0.2">
      <c r="I75" s="136"/>
    </row>
    <row r="76" spans="9:9" x14ac:dyDescent="0.2">
      <c r="I76" s="136"/>
    </row>
    <row r="77" spans="9:9" x14ac:dyDescent="0.2">
      <c r="I77" s="136"/>
    </row>
    <row r="78" spans="9:9" x14ac:dyDescent="0.2">
      <c r="I78" s="136"/>
    </row>
    <row r="79" spans="9:9" x14ac:dyDescent="0.2">
      <c r="I79" s="136"/>
    </row>
    <row r="80" spans="9:9" x14ac:dyDescent="0.2">
      <c r="I80" s="136"/>
    </row>
    <row r="81" spans="9:9" x14ac:dyDescent="0.2">
      <c r="I81" s="136"/>
    </row>
    <row r="82" spans="9:9" x14ac:dyDescent="0.2">
      <c r="I82" s="136"/>
    </row>
    <row r="83" spans="9:9" x14ac:dyDescent="0.2">
      <c r="I83" s="136"/>
    </row>
    <row r="84" spans="9:9" x14ac:dyDescent="0.2">
      <c r="I84" s="136"/>
    </row>
    <row r="85" spans="9:9" x14ac:dyDescent="0.2">
      <c r="I85" s="136"/>
    </row>
    <row r="86" spans="9:9" x14ac:dyDescent="0.2">
      <c r="I86" s="136"/>
    </row>
    <row r="87" spans="9:9" x14ac:dyDescent="0.2">
      <c r="I87" s="136"/>
    </row>
    <row r="88" spans="9:9" x14ac:dyDescent="0.2">
      <c r="I88" s="136"/>
    </row>
    <row r="89" spans="9:9" x14ac:dyDescent="0.2">
      <c r="I89" s="136"/>
    </row>
    <row r="90" spans="9:9" x14ac:dyDescent="0.2">
      <c r="I90" s="136"/>
    </row>
    <row r="91" spans="9:9" x14ac:dyDescent="0.2">
      <c r="I91" s="136"/>
    </row>
    <row r="92" spans="9:9" x14ac:dyDescent="0.2">
      <c r="I92" s="136"/>
    </row>
    <row r="93" spans="9:9" x14ac:dyDescent="0.2">
      <c r="I93" s="136"/>
    </row>
    <row r="94" spans="9:9" x14ac:dyDescent="0.2">
      <c r="I94" s="136"/>
    </row>
    <row r="95" spans="9:9" x14ac:dyDescent="0.2">
      <c r="I95" s="136"/>
    </row>
    <row r="96" spans="9:9" x14ac:dyDescent="0.2">
      <c r="I96" s="136"/>
    </row>
    <row r="97" spans="9:9" x14ac:dyDescent="0.2">
      <c r="I97" s="136"/>
    </row>
    <row r="98" spans="9:9" x14ac:dyDescent="0.2">
      <c r="I98" s="136"/>
    </row>
    <row r="99" spans="9:9" x14ac:dyDescent="0.2">
      <c r="I99" s="136"/>
    </row>
    <row r="100" spans="9:9" x14ac:dyDescent="0.2">
      <c r="I100" s="136"/>
    </row>
    <row r="101" spans="9:9" x14ac:dyDescent="0.2">
      <c r="I101" s="136"/>
    </row>
    <row r="102" spans="9:9" x14ac:dyDescent="0.2">
      <c r="I102" s="136"/>
    </row>
    <row r="103" spans="9:9" x14ac:dyDescent="0.2">
      <c r="I103" s="136"/>
    </row>
    <row r="104" spans="9:9" x14ac:dyDescent="0.2">
      <c r="I104" s="136"/>
    </row>
    <row r="105" spans="9:9" x14ac:dyDescent="0.2">
      <c r="I105" s="136"/>
    </row>
    <row r="106" spans="9:9" x14ac:dyDescent="0.2">
      <c r="I106" s="136"/>
    </row>
    <row r="107" spans="9:9" x14ac:dyDescent="0.2">
      <c r="I107" s="136"/>
    </row>
    <row r="108" spans="9:9" x14ac:dyDescent="0.2">
      <c r="I108" s="136"/>
    </row>
    <row r="109" spans="9:9" x14ac:dyDescent="0.2">
      <c r="I109" s="136"/>
    </row>
    <row r="110" spans="9:9" x14ac:dyDescent="0.2">
      <c r="I110" s="136"/>
    </row>
    <row r="111" spans="9:9" x14ac:dyDescent="0.2">
      <c r="I111" s="136"/>
    </row>
    <row r="112" spans="9:9" x14ac:dyDescent="0.2">
      <c r="I112" s="136"/>
    </row>
    <row r="113" spans="9:9" x14ac:dyDescent="0.2">
      <c r="I113" s="136"/>
    </row>
    <row r="114" spans="9:9" x14ac:dyDescent="0.2">
      <c r="I114" s="136"/>
    </row>
    <row r="115" spans="9:9" x14ac:dyDescent="0.2">
      <c r="I115" s="136"/>
    </row>
  </sheetData>
  <mergeCells count="20">
    <mergeCell ref="A15:F15"/>
    <mergeCell ref="A28:F28"/>
    <mergeCell ref="A7:B7"/>
    <mergeCell ref="C7:H7"/>
    <mergeCell ref="D9:F9"/>
    <mergeCell ref="A12:F12"/>
    <mergeCell ref="A13:F13"/>
    <mergeCell ref="A14:F14"/>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80"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28653-555B-4815-A2FD-001C890357BE}">
  <dimension ref="A1:I30"/>
  <sheetViews>
    <sheetView showGridLines="0" tabSelected="1" view="pageBreakPreview" zoomScale="110" zoomScaleNormal="100" zoomScaleSheetLayoutView="110" workbookViewId="0">
      <selection activeCell="N106" sqref="N106"/>
    </sheetView>
  </sheetViews>
  <sheetFormatPr defaultRowHeight="12.75" x14ac:dyDescent="0.2"/>
  <cols>
    <col min="1" max="1" width="1.33203125" style="1" customWidth="1"/>
    <col min="2" max="2" width="7.77734375" style="1" customWidth="1"/>
    <col min="3" max="3" width="20.5546875" style="1" customWidth="1"/>
    <col min="4" max="4" width="15.88671875" style="1" customWidth="1"/>
    <col min="5" max="5" width="15.5546875" style="1" customWidth="1"/>
    <col min="6" max="6" width="12.77734375" style="1" bestFit="1" customWidth="1"/>
    <col min="7" max="7" width="13.77734375" style="1" bestFit="1" customWidth="1"/>
    <col min="8" max="8" width="2.88671875" style="1" customWidth="1"/>
    <col min="9" max="16384" width="8.88671875" style="1"/>
  </cols>
  <sheetData>
    <row r="1" spans="1:9" ht="18" customHeight="1" x14ac:dyDescent="0.2">
      <c r="A1" s="217"/>
      <c r="B1" s="218" t="s">
        <v>183</v>
      </c>
      <c r="C1" s="218"/>
      <c r="D1" s="218"/>
      <c r="E1" s="218"/>
      <c r="F1" s="218"/>
      <c r="G1" s="219"/>
      <c r="H1" s="220"/>
      <c r="I1" s="217"/>
    </row>
    <row r="2" spans="1:9" ht="15" x14ac:dyDescent="0.2">
      <c r="A2" s="217"/>
      <c r="B2" s="218" t="s">
        <v>184</v>
      </c>
      <c r="C2" s="221">
        <f>'[3]Core Cost Incurred'!B2</f>
        <v>44464</v>
      </c>
      <c r="D2" s="222"/>
      <c r="E2" s="222"/>
      <c r="F2" s="222"/>
      <c r="G2" s="222"/>
      <c r="H2" s="217"/>
      <c r="I2" s="217"/>
    </row>
    <row r="3" spans="1:9" x14ac:dyDescent="0.2">
      <c r="A3" s="217"/>
      <c r="B3" s="217"/>
      <c r="C3" s="217"/>
      <c r="D3" s="217"/>
      <c r="E3" s="217"/>
      <c r="F3" s="217"/>
      <c r="G3" s="217"/>
      <c r="H3" s="217"/>
      <c r="I3" s="217"/>
    </row>
    <row r="4" spans="1:9" ht="15" customHeight="1" thickBot="1" x14ac:dyDescent="0.25">
      <c r="A4" s="217"/>
      <c r="B4" s="223"/>
      <c r="C4" s="223"/>
      <c r="D4" s="223"/>
      <c r="E4" s="223"/>
      <c r="F4" s="224"/>
      <c r="G4" s="225"/>
      <c r="H4" s="217"/>
      <c r="I4" s="217"/>
    </row>
    <row r="5" spans="1:9" ht="14.25" x14ac:dyDescent="0.2">
      <c r="A5" s="217"/>
      <c r="B5" s="226"/>
      <c r="C5" s="226"/>
      <c r="D5" s="227" t="s">
        <v>185</v>
      </c>
      <c r="E5" s="227" t="s">
        <v>186</v>
      </c>
      <c r="F5" s="228" t="s">
        <v>76</v>
      </c>
      <c r="G5" s="227" t="s">
        <v>9</v>
      </c>
      <c r="H5" s="217"/>
      <c r="I5" s="217"/>
    </row>
    <row r="6" spans="1:9" ht="15" x14ac:dyDescent="0.25">
      <c r="A6" s="217"/>
      <c r="B6" s="229" t="s">
        <v>187</v>
      </c>
      <c r="C6" s="230"/>
      <c r="D6" s="231">
        <v>692010</v>
      </c>
      <c r="E6" s="231">
        <v>691010</v>
      </c>
      <c r="F6" s="232">
        <v>693010</v>
      </c>
      <c r="G6" s="231"/>
      <c r="H6" s="217"/>
      <c r="I6" s="217"/>
    </row>
    <row r="7" spans="1:9" ht="15.75" customHeight="1" x14ac:dyDescent="0.2">
      <c r="A7" s="217"/>
      <c r="B7" s="233" t="s">
        <v>188</v>
      </c>
      <c r="C7" s="233"/>
      <c r="D7" s="234"/>
      <c r="E7" s="234"/>
      <c r="F7" s="235"/>
      <c r="G7" s="236">
        <f>SUM(D7:F7)</f>
        <v>0</v>
      </c>
      <c r="H7" s="217"/>
      <c r="I7" s="217"/>
    </row>
    <row r="8" spans="1:9" ht="15.75" customHeight="1" x14ac:dyDescent="0.2">
      <c r="A8" s="217"/>
      <c r="B8" s="237" t="s">
        <v>189</v>
      </c>
      <c r="C8" s="237"/>
      <c r="D8" s="238">
        <f>+'[3]WA Rates'!K39</f>
        <v>2262781.44</v>
      </c>
      <c r="E8" s="238">
        <f>+'[3]WA Rates'!L39</f>
        <v>1478738.05</v>
      </c>
      <c r="F8" s="239">
        <f>+'[3]WA Rates'!M39</f>
        <v>1019730.0899999999</v>
      </c>
      <c r="G8" s="236">
        <f>SUM(D8:F8)</f>
        <v>4761249.58</v>
      </c>
      <c r="H8" s="217"/>
      <c r="I8" s="217"/>
    </row>
    <row r="9" spans="1:9" ht="15.75" customHeight="1" x14ac:dyDescent="0.2">
      <c r="A9" s="217"/>
      <c r="B9" s="240" t="s">
        <v>190</v>
      </c>
      <c r="C9" s="240"/>
      <c r="D9" s="234">
        <f>SUM(D7:D8)</f>
        <v>2262781.44</v>
      </c>
      <c r="E9" s="234">
        <f>SUM(E7:E8)</f>
        <v>1478738.05</v>
      </c>
      <c r="F9" s="235">
        <f>SUM(F7:F8)</f>
        <v>1019730.0899999999</v>
      </c>
      <c r="G9" s="241">
        <f>SUM(G7:G8)</f>
        <v>4761249.58</v>
      </c>
      <c r="H9" s="217"/>
      <c r="I9" s="217"/>
    </row>
    <row r="10" spans="1:9" ht="15.75" customHeight="1" x14ac:dyDescent="0.2">
      <c r="A10" s="217"/>
      <c r="B10" s="240" t="s">
        <v>191</v>
      </c>
      <c r="C10" s="240"/>
      <c r="D10" s="242">
        <f>'[3]Core Cost Incurred'!K43</f>
        <v>3719902.4900000007</v>
      </c>
      <c r="E10" s="242">
        <f>'[3]Core Cost Incurred'!K44</f>
        <v>3990370.7400000007</v>
      </c>
      <c r="F10" s="243">
        <v>0</v>
      </c>
      <c r="G10" s="244">
        <f>SUM(D10:E10)</f>
        <v>7710273.2300000014</v>
      </c>
      <c r="H10" s="217"/>
      <c r="I10" s="217"/>
    </row>
    <row r="11" spans="1:9" ht="15.75" customHeight="1" x14ac:dyDescent="0.2">
      <c r="A11" s="217"/>
      <c r="B11" s="240" t="s">
        <v>192</v>
      </c>
      <c r="C11" s="240"/>
      <c r="D11" s="245">
        <f>D9-D10</f>
        <v>-1457121.0500000007</v>
      </c>
      <c r="E11" s="246">
        <f>E9-E10</f>
        <v>-2511632.6900000004</v>
      </c>
      <c r="F11" s="246">
        <f t="shared" ref="F11" si="0">F9-F10</f>
        <v>1019730.0899999999</v>
      </c>
      <c r="G11" s="245">
        <f>G9-G10</f>
        <v>-2949023.6500000013</v>
      </c>
      <c r="H11" s="217"/>
      <c r="I11" s="217"/>
    </row>
    <row r="12" spans="1:9" ht="15.75" customHeight="1" x14ac:dyDescent="0.2">
      <c r="A12" s="217"/>
      <c r="B12" s="240" t="s">
        <v>193</v>
      </c>
      <c r="C12" s="240"/>
      <c r="D12" s="269">
        <v>580.99</v>
      </c>
      <c r="E12" s="247"/>
      <c r="F12" s="248"/>
      <c r="G12" s="270">
        <f>D12</f>
        <v>580.99</v>
      </c>
      <c r="H12" s="217"/>
      <c r="I12" s="217"/>
    </row>
    <row r="13" spans="1:9" ht="15.75" customHeight="1" x14ac:dyDescent="0.2">
      <c r="A13" s="217"/>
      <c r="B13" s="229" t="s">
        <v>194</v>
      </c>
      <c r="C13" s="229"/>
      <c r="D13" s="245"/>
      <c r="E13" s="245">
        <f>358876.62</f>
        <v>358876.62</v>
      </c>
      <c r="F13" s="249"/>
      <c r="G13" s="236">
        <f>E13</f>
        <v>358876.62</v>
      </c>
      <c r="H13" s="217"/>
      <c r="I13" s="217"/>
    </row>
    <row r="14" spans="1:9" ht="15.75" customHeight="1" x14ac:dyDescent="0.25">
      <c r="A14" s="217"/>
      <c r="B14" s="250" t="s">
        <v>195</v>
      </c>
      <c r="C14" s="251"/>
      <c r="D14" s="252">
        <f>+D9-D10+D12</f>
        <v>-1456540.0600000008</v>
      </c>
      <c r="E14" s="252">
        <f>+E11+E13</f>
        <v>-2152756.0700000003</v>
      </c>
      <c r="F14" s="253">
        <f>+F9-F10</f>
        <v>1019730.0899999999</v>
      </c>
      <c r="G14" s="252">
        <f>G11+G13+G12</f>
        <v>-2589566.040000001</v>
      </c>
      <c r="H14" s="217"/>
      <c r="I14" s="217"/>
    </row>
    <row r="15" spans="1:9" ht="14.25" customHeight="1" x14ac:dyDescent="0.2">
      <c r="A15" s="217"/>
      <c r="B15" s="217"/>
      <c r="C15" s="217"/>
      <c r="D15" s="240"/>
      <c r="E15" s="240"/>
      <c r="F15" s="254"/>
      <c r="G15" s="240"/>
      <c r="H15" s="217"/>
      <c r="I15" s="217"/>
    </row>
    <row r="16" spans="1:9" ht="14.25" customHeight="1" x14ac:dyDescent="0.2">
      <c r="A16" s="217"/>
      <c r="B16" s="217"/>
      <c r="C16" s="217"/>
      <c r="D16" s="240" t="s">
        <v>196</v>
      </c>
      <c r="E16" s="240"/>
      <c r="F16" s="254"/>
      <c r="G16" s="240"/>
      <c r="H16" s="217"/>
      <c r="I16" s="217"/>
    </row>
    <row r="17" spans="1:9" ht="14.25" customHeight="1" x14ac:dyDescent="0.2">
      <c r="A17" s="217"/>
      <c r="B17" s="217"/>
      <c r="C17" s="217"/>
      <c r="D17" s="240"/>
      <c r="E17" s="255"/>
      <c r="F17" s="254"/>
      <c r="G17" s="240"/>
      <c r="H17" s="217"/>
      <c r="I17" s="217"/>
    </row>
    <row r="18" spans="1:9" ht="14.25" customHeight="1" x14ac:dyDescent="0.2">
      <c r="A18" s="217"/>
      <c r="B18" s="256" t="s">
        <v>197</v>
      </c>
      <c r="C18" s="256"/>
      <c r="D18" s="234" t="s">
        <v>0</v>
      </c>
      <c r="E18" s="257" t="s">
        <v>0</v>
      </c>
      <c r="F18" s="258"/>
      <c r="G18" s="259"/>
      <c r="H18" s="217"/>
      <c r="I18" s="217"/>
    </row>
    <row r="19" spans="1:9" ht="14.25" customHeight="1" x14ac:dyDescent="0.2">
      <c r="A19" s="217"/>
      <c r="B19" s="217"/>
      <c r="C19" s="217"/>
      <c r="D19" s="260"/>
      <c r="E19" s="260"/>
      <c r="F19" s="261"/>
      <c r="G19" s="240"/>
      <c r="H19" s="217"/>
      <c r="I19" s="217"/>
    </row>
    <row r="20" spans="1:9" ht="14.25" customHeight="1" x14ac:dyDescent="0.2">
      <c r="A20" s="217"/>
      <c r="B20" s="217"/>
      <c r="C20" s="217"/>
      <c r="D20" s="236">
        <f>-D14</f>
        <v>1456540.0600000008</v>
      </c>
      <c r="E20" s="236">
        <f>-E11-E13</f>
        <v>2152756.0700000003</v>
      </c>
      <c r="F20" s="262">
        <f>-F14</f>
        <v>-1019730.0899999999</v>
      </c>
      <c r="G20" s="236">
        <f>SUM(D20:F20)</f>
        <v>2589566.040000001</v>
      </c>
      <c r="H20" s="217"/>
      <c r="I20" s="217"/>
    </row>
    <row r="21" spans="1:9" ht="14.25" customHeight="1" thickBot="1" x14ac:dyDescent="0.25">
      <c r="A21" s="217"/>
      <c r="B21" s="256" t="s">
        <v>198</v>
      </c>
      <c r="C21" s="256"/>
      <c r="D21" s="263" t="s">
        <v>2</v>
      </c>
      <c r="E21" s="264" t="s">
        <v>3</v>
      </c>
      <c r="F21" s="265"/>
      <c r="G21" s="259"/>
      <c r="H21" s="217"/>
      <c r="I21" s="217"/>
    </row>
    <row r="22" spans="1:9" x14ac:dyDescent="0.2">
      <c r="A22" s="217"/>
      <c r="B22" s="217"/>
      <c r="C22" s="217"/>
      <c r="D22" s="217"/>
      <c r="E22" s="217"/>
      <c r="F22" s="217"/>
      <c r="G22" s="217"/>
      <c r="H22" s="217"/>
      <c r="I22" s="217"/>
    </row>
    <row r="23" spans="1:9" x14ac:dyDescent="0.2">
      <c r="A23" s="217"/>
      <c r="B23" s="217"/>
      <c r="C23" s="217"/>
      <c r="D23" s="217"/>
      <c r="E23" s="266"/>
      <c r="F23" s="267"/>
      <c r="G23" s="217"/>
      <c r="H23" s="217"/>
      <c r="I23" s="217"/>
    </row>
    <row r="24" spans="1:9" x14ac:dyDescent="0.2">
      <c r="A24" s="217"/>
      <c r="B24" s="217"/>
      <c r="C24" s="217"/>
      <c r="D24" s="217"/>
      <c r="E24" s="266"/>
      <c r="F24" s="267"/>
      <c r="G24" s="217"/>
      <c r="H24" s="217"/>
      <c r="I24" s="217"/>
    </row>
    <row r="25" spans="1:9" x14ac:dyDescent="0.2">
      <c r="A25" s="217"/>
      <c r="B25" s="217"/>
      <c r="C25" s="217"/>
      <c r="D25" s="217"/>
      <c r="E25" s="266"/>
      <c r="F25" s="267"/>
      <c r="G25" s="217"/>
      <c r="H25" s="217"/>
      <c r="I25" s="217"/>
    </row>
    <row r="26" spans="1:9" x14ac:dyDescent="0.2">
      <c r="A26" s="217"/>
      <c r="B26" s="217"/>
      <c r="C26" s="217"/>
      <c r="D26" s="217"/>
      <c r="E26" s="217"/>
      <c r="F26" s="267"/>
      <c r="G26" s="217"/>
      <c r="H26" s="217"/>
      <c r="I26" s="217"/>
    </row>
    <row r="27" spans="1:9" x14ac:dyDescent="0.2">
      <c r="A27" s="217"/>
      <c r="B27" s="217"/>
      <c r="C27" s="217"/>
      <c r="D27" s="217"/>
      <c r="E27" s="217"/>
      <c r="F27" s="217"/>
      <c r="G27" s="217"/>
      <c r="H27" s="217"/>
      <c r="I27" s="217"/>
    </row>
    <row r="28" spans="1:9" x14ac:dyDescent="0.2">
      <c r="A28" s="217"/>
      <c r="B28" s="217"/>
      <c r="C28" s="217"/>
      <c r="D28" s="217"/>
      <c r="E28" s="217"/>
      <c r="F28" s="217"/>
      <c r="G28" s="217"/>
      <c r="H28" s="217"/>
      <c r="I28" s="217"/>
    </row>
    <row r="29" spans="1:9" x14ac:dyDescent="0.2">
      <c r="A29" s="217"/>
      <c r="B29" s="268"/>
      <c r="C29" s="268"/>
      <c r="D29" s="217"/>
      <c r="E29" s="217"/>
      <c r="F29" s="217"/>
      <c r="G29" s="217"/>
      <c r="H29" s="217"/>
      <c r="I29" s="217"/>
    </row>
    <row r="30" spans="1:9" x14ac:dyDescent="0.2">
      <c r="A30" s="217"/>
      <c r="B30" s="217"/>
      <c r="C30" s="217"/>
      <c r="D30" s="217"/>
      <c r="E30" s="217"/>
      <c r="F30" s="217"/>
      <c r="G30" s="217"/>
      <c r="H30" s="217"/>
      <c r="I30" s="217"/>
    </row>
  </sheetData>
  <mergeCells count="3">
    <mergeCell ref="B4:E4"/>
    <mergeCell ref="B7:C7"/>
    <mergeCell ref="B8:C8"/>
  </mergeCells>
  <pageMargins left="0.75" right="0.75" top="0.7" bottom="1" header="0.7" footer="0.5"/>
  <pageSetup scale="76" fitToHeight="0" orientation="portrait" cellComments="asDisplayed" r:id="rId1"/>
  <headerFooter alignWithMargins="0">
    <oddHeader xml:space="preserve">&amp;C&amp;"Arial,Bold"&amp;12&amp;A          </oddHeader>
    <oddFooter>&amp;L&amp;B&amp;"Calibri(Body)"&amp;10 Cascade Natural Gas Corporation&amp;C&amp;B&amp;"Calibri(Body)"&amp;10 Page &amp;P of &amp;N&amp;R&amp;B&amp;"Calibri(Body)"&amp;10 Washington Deferral Accounts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943CC-018A-4E11-BC87-BC08B73F68E3}">
  <sheetPr>
    <pageSetUpPr fitToPage="1"/>
  </sheetPr>
  <dimension ref="A1:M115"/>
  <sheetViews>
    <sheetView showGridLines="0" tabSelected="1" view="pageBreakPreview" zoomScaleNormal="60" zoomScaleSheetLayoutView="100" workbookViewId="0">
      <pane ySplit="10" topLeftCell="A11" activePane="bottomLeft" state="frozen"/>
      <selection activeCell="N106" sqref="N106"/>
      <selection pane="bottomLeft" activeCell="N106" sqref="N106"/>
    </sheetView>
  </sheetViews>
  <sheetFormatPr defaultColWidth="8.88671875" defaultRowHeight="12.75" x14ac:dyDescent="0.2"/>
  <cols>
    <col min="1" max="1" width="10.88671875" style="2" customWidth="1"/>
    <col min="2" max="2" width="7.77734375" style="2" customWidth="1"/>
    <col min="3" max="3" width="10.77734375" style="2" customWidth="1"/>
    <col min="4" max="4" width="11.21875" style="2" customWidth="1"/>
    <col min="5" max="5" width="9.77734375" style="2" bestFit="1" customWidth="1"/>
    <col min="6" max="6" width="6.6640625" style="2" bestFit="1" customWidth="1"/>
    <col min="7" max="7" width="10.77734375" style="2" bestFit="1" customWidth="1"/>
    <col min="8" max="8" width="11.77734375" style="2" customWidth="1"/>
    <col min="9" max="9" width="1.21875" style="2" customWidth="1"/>
    <col min="10" max="10" width="10.88671875" style="2" customWidth="1"/>
    <col min="11" max="11" width="10.33203125" style="2" customWidth="1"/>
    <col min="12" max="12" width="9" style="2" bestFit="1" customWidth="1"/>
    <col min="13" max="13" width="10.33203125" style="2" bestFit="1" customWidth="1"/>
    <col min="14" max="16384" width="8.88671875" style="2"/>
  </cols>
  <sheetData>
    <row r="1" spans="1:13" x14ac:dyDescent="0.2">
      <c r="A1" s="138" t="s">
        <v>58</v>
      </c>
      <c r="B1" s="139"/>
      <c r="C1" s="140" t="s">
        <v>59</v>
      </c>
      <c r="D1" s="140"/>
      <c r="E1" s="140"/>
      <c r="F1" s="140"/>
      <c r="G1" s="140"/>
      <c r="H1" s="141"/>
      <c r="I1" s="114"/>
    </row>
    <row r="2" spans="1:13" x14ac:dyDescent="0.2">
      <c r="A2" s="142" t="s">
        <v>60</v>
      </c>
      <c r="B2" s="117"/>
      <c r="C2" s="118" t="s">
        <v>111</v>
      </c>
      <c r="D2" s="118"/>
      <c r="E2" s="118"/>
      <c r="F2" s="118"/>
      <c r="G2" s="118"/>
      <c r="H2" s="120"/>
      <c r="I2" s="114"/>
    </row>
    <row r="3" spans="1:13" x14ac:dyDescent="0.2">
      <c r="A3" s="142" t="s">
        <v>62</v>
      </c>
      <c r="B3" s="117"/>
      <c r="C3" s="118" t="s">
        <v>112</v>
      </c>
      <c r="D3" s="118"/>
      <c r="E3" s="118"/>
      <c r="F3" s="118"/>
      <c r="G3" s="118"/>
      <c r="H3" s="120"/>
      <c r="I3" s="114"/>
    </row>
    <row r="4" spans="1:13" x14ac:dyDescent="0.2">
      <c r="A4" s="142" t="s">
        <v>63</v>
      </c>
      <c r="B4" s="117"/>
      <c r="C4" s="143" t="s">
        <v>101</v>
      </c>
      <c r="D4" s="143"/>
      <c r="E4" s="143"/>
      <c r="F4" s="143"/>
      <c r="G4" s="143"/>
      <c r="H4" s="144"/>
      <c r="I4" s="114"/>
    </row>
    <row r="5" spans="1:13" x14ac:dyDescent="0.2">
      <c r="A5" s="142" t="s">
        <v>65</v>
      </c>
      <c r="B5" s="117"/>
      <c r="C5" s="163" t="s">
        <v>113</v>
      </c>
      <c r="D5" s="118"/>
      <c r="E5" s="118"/>
      <c r="F5" s="118"/>
      <c r="G5" s="118"/>
      <c r="H5" s="120"/>
      <c r="I5" s="114"/>
    </row>
    <row r="6" spans="1:13" x14ac:dyDescent="0.2">
      <c r="A6" s="142" t="s">
        <v>67</v>
      </c>
      <c r="B6" s="117"/>
      <c r="C6" s="118" t="s">
        <v>68</v>
      </c>
      <c r="D6" s="118"/>
      <c r="E6" s="118"/>
      <c r="F6" s="118"/>
      <c r="G6" s="118"/>
      <c r="H6" s="120"/>
      <c r="I6" s="114"/>
    </row>
    <row r="7" spans="1:13" ht="27.75" customHeight="1" thickBot="1" x14ac:dyDescent="0.25">
      <c r="A7" s="145" t="s">
        <v>69</v>
      </c>
      <c r="B7" s="146"/>
      <c r="C7" s="147" t="s">
        <v>114</v>
      </c>
      <c r="D7" s="147"/>
      <c r="E7" s="147"/>
      <c r="F7" s="147"/>
      <c r="G7" s="147"/>
      <c r="H7" s="148"/>
      <c r="I7" s="125"/>
    </row>
    <row r="8" spans="1:13" x14ac:dyDescent="0.2">
      <c r="A8" s="152"/>
      <c r="B8" s="152"/>
      <c r="C8" s="153"/>
      <c r="D8" s="153"/>
      <c r="E8" s="153"/>
      <c r="F8" s="153"/>
      <c r="G8" s="153"/>
      <c r="H8" s="153"/>
      <c r="K8" s="114"/>
    </row>
    <row r="9" spans="1:13" x14ac:dyDescent="0.2">
      <c r="A9" s="7"/>
      <c r="D9" s="128" t="s">
        <v>72</v>
      </c>
      <c r="E9" s="128"/>
      <c r="F9" s="128"/>
    </row>
    <row r="10" spans="1:13" s="10" customFormat="1" ht="22.5" customHeight="1" x14ac:dyDescent="0.2">
      <c r="A10" s="10" t="s">
        <v>22</v>
      </c>
      <c r="B10" s="10" t="s">
        <v>74</v>
      </c>
      <c r="C10" s="10" t="s">
        <v>51</v>
      </c>
      <c r="D10" s="10" t="s">
        <v>75</v>
      </c>
      <c r="E10" s="10" t="s">
        <v>76</v>
      </c>
      <c r="F10" s="10" t="s">
        <v>77</v>
      </c>
      <c r="G10" s="10" t="s">
        <v>78</v>
      </c>
      <c r="H10" s="10" t="s">
        <v>79</v>
      </c>
      <c r="I10" s="130"/>
      <c r="J10" s="10" t="s">
        <v>80</v>
      </c>
      <c r="L10" s="3"/>
      <c r="M10" s="3"/>
    </row>
    <row r="11" spans="1:13" hidden="1" x14ac:dyDescent="0.2">
      <c r="A11" s="131" t="s">
        <v>115</v>
      </c>
      <c r="B11" s="131"/>
      <c r="C11" s="131"/>
      <c r="D11" s="131"/>
      <c r="E11" s="131"/>
      <c r="F11" s="131"/>
      <c r="G11" s="131"/>
      <c r="H11" s="2">
        <v>0</v>
      </c>
      <c r="I11" s="132"/>
      <c r="L11" s="115"/>
      <c r="M11" s="133"/>
    </row>
    <row r="12" spans="1:13" hidden="1" x14ac:dyDescent="0.2">
      <c r="A12" s="154">
        <f>'FERC Interest Rates'!A56</f>
        <v>42704</v>
      </c>
      <c r="D12" s="2">
        <f>325429.79+1504154.47</f>
        <v>1829584.26</v>
      </c>
      <c r="F12" s="162"/>
      <c r="H12" s="2">
        <f t="shared" ref="H12:H36" si="0">H11+SUM(D12:G12)</f>
        <v>1829584.26</v>
      </c>
      <c r="I12" s="132"/>
      <c r="J12" s="2">
        <v>1829584.26</v>
      </c>
      <c r="L12" s="115"/>
      <c r="M12" s="133"/>
    </row>
    <row r="13" spans="1:13" hidden="1" x14ac:dyDescent="0.2">
      <c r="A13" s="154">
        <f>'FERC Interest Rates'!A57</f>
        <v>42735</v>
      </c>
      <c r="D13" s="2">
        <v>390272.83</v>
      </c>
      <c r="F13" s="162"/>
      <c r="H13" s="2">
        <f t="shared" si="0"/>
        <v>2219857.09</v>
      </c>
      <c r="I13" s="132"/>
      <c r="J13" s="2">
        <v>2219857.09</v>
      </c>
      <c r="L13" s="115"/>
      <c r="M13" s="133"/>
    </row>
    <row r="14" spans="1:13" hidden="1" x14ac:dyDescent="0.2">
      <c r="A14" s="154">
        <f>'FERC Interest Rates'!A58</f>
        <v>42766</v>
      </c>
      <c r="D14" s="2">
        <f>272326.45+192536</f>
        <v>464862.45</v>
      </c>
      <c r="F14" s="162"/>
      <c r="H14" s="2">
        <f t="shared" si="0"/>
        <v>2684719.54</v>
      </c>
      <c r="I14" s="132"/>
      <c r="J14" s="2">
        <v>2684719.54</v>
      </c>
      <c r="L14" s="115"/>
      <c r="M14" s="133"/>
    </row>
    <row r="15" spans="1:13" hidden="1" x14ac:dyDescent="0.2">
      <c r="A15" s="154">
        <f>'FERC Interest Rates'!A59</f>
        <v>42794</v>
      </c>
      <c r="D15" s="2">
        <v>109382</v>
      </c>
      <c r="F15" s="162"/>
      <c r="H15" s="2">
        <f t="shared" si="0"/>
        <v>2794101.54</v>
      </c>
      <c r="I15" s="132"/>
      <c r="J15" s="2">
        <v>2794101.54</v>
      </c>
      <c r="L15" s="115"/>
      <c r="M15" s="133"/>
    </row>
    <row r="16" spans="1:13" hidden="1" x14ac:dyDescent="0.2">
      <c r="A16" s="154">
        <f>'FERC Interest Rates'!A60</f>
        <v>42825</v>
      </c>
      <c r="D16" s="2">
        <v>168936.75</v>
      </c>
      <c r="F16" s="162"/>
      <c r="H16" s="2">
        <f t="shared" si="0"/>
        <v>2963038.29</v>
      </c>
      <c r="I16" s="132"/>
      <c r="J16" s="2">
        <v>2963038.29</v>
      </c>
      <c r="L16" s="115"/>
      <c r="M16" s="133"/>
    </row>
    <row r="17" spans="1:13" hidden="1" x14ac:dyDescent="0.2">
      <c r="A17" s="154">
        <f>'FERC Interest Rates'!A61</f>
        <v>42855</v>
      </c>
      <c r="D17" s="2">
        <v>190068.32</v>
      </c>
      <c r="F17" s="162"/>
      <c r="H17" s="2">
        <f t="shared" si="0"/>
        <v>3153106.61</v>
      </c>
      <c r="I17" s="132"/>
      <c r="J17" s="2">
        <v>3153106.61</v>
      </c>
      <c r="L17" s="115"/>
      <c r="M17" s="133"/>
    </row>
    <row r="18" spans="1:13" hidden="1" x14ac:dyDescent="0.2">
      <c r="A18" s="154">
        <f>'FERC Interest Rates'!A62</f>
        <v>42886</v>
      </c>
      <c r="D18" s="2">
        <v>73109.5</v>
      </c>
      <c r="F18" s="162"/>
      <c r="H18" s="2">
        <f t="shared" si="0"/>
        <v>3226216.11</v>
      </c>
      <c r="I18" s="132"/>
      <c r="J18" s="2">
        <v>3226216.11</v>
      </c>
      <c r="L18" s="115"/>
      <c r="M18" s="133"/>
    </row>
    <row r="19" spans="1:13" hidden="1" x14ac:dyDescent="0.2">
      <c r="A19" s="154">
        <f>'FERC Interest Rates'!A63</f>
        <v>42916</v>
      </c>
      <c r="D19" s="2">
        <f>518868.82+62942-28803</f>
        <v>553007.82000000007</v>
      </c>
      <c r="F19" s="162"/>
      <c r="H19" s="2">
        <f t="shared" si="0"/>
        <v>3779223.9299999997</v>
      </c>
      <c r="I19" s="132"/>
      <c r="J19" s="2">
        <v>3808026.93</v>
      </c>
      <c r="L19" s="115"/>
      <c r="M19" s="133"/>
    </row>
    <row r="20" spans="1:13" hidden="1" x14ac:dyDescent="0.2">
      <c r="A20" s="154">
        <f>'FERC Interest Rates'!A64</f>
        <v>42947</v>
      </c>
      <c r="D20" s="2">
        <v>77847.12</v>
      </c>
      <c r="F20" s="162"/>
      <c r="H20" s="2">
        <f t="shared" si="0"/>
        <v>3857071.05</v>
      </c>
      <c r="I20" s="132"/>
      <c r="J20" s="2">
        <v>3885874.05</v>
      </c>
      <c r="L20" s="115"/>
      <c r="M20" s="133"/>
    </row>
    <row r="21" spans="1:13" hidden="1" x14ac:dyDescent="0.2">
      <c r="A21" s="154">
        <f>'FERC Interest Rates'!A65</f>
        <v>42978</v>
      </c>
      <c r="D21" s="2">
        <f>158071.04+280033.17</f>
        <v>438104.20999999996</v>
      </c>
      <c r="F21" s="162"/>
      <c r="H21" s="2">
        <f t="shared" si="0"/>
        <v>4295175.26</v>
      </c>
      <c r="I21" s="132"/>
      <c r="J21" s="2">
        <v>4323978.26</v>
      </c>
      <c r="L21" s="115"/>
      <c r="M21" s="133"/>
    </row>
    <row r="22" spans="1:13" hidden="1" x14ac:dyDescent="0.2">
      <c r="A22" s="154">
        <f>'FERC Interest Rates'!A66</f>
        <v>43008</v>
      </c>
      <c r="D22" s="2">
        <v>619247.39</v>
      </c>
      <c r="F22" s="162"/>
      <c r="H22" s="2">
        <f t="shared" si="0"/>
        <v>4914422.6499999994</v>
      </c>
      <c r="I22" s="132"/>
      <c r="J22" s="2">
        <v>4943225.6500000004</v>
      </c>
      <c r="L22" s="115"/>
      <c r="M22" s="133"/>
    </row>
    <row r="23" spans="1:13" hidden="1" x14ac:dyDescent="0.2">
      <c r="A23" s="154">
        <f>'FERC Interest Rates'!A67</f>
        <v>43039</v>
      </c>
      <c r="D23" s="2">
        <v>530347.31999999995</v>
      </c>
      <c r="F23" s="162"/>
      <c r="H23" s="2">
        <f t="shared" si="0"/>
        <v>5444769.9699999997</v>
      </c>
      <c r="I23" s="136"/>
      <c r="J23" s="2">
        <v>5444769.9699999997</v>
      </c>
      <c r="L23" s="115"/>
      <c r="M23" s="133"/>
    </row>
    <row r="24" spans="1:13" hidden="1" x14ac:dyDescent="0.2">
      <c r="A24" s="154">
        <f>'FERC Interest Rates'!A68</f>
        <v>43069</v>
      </c>
      <c r="D24" s="2">
        <v>436250.57</v>
      </c>
      <c r="F24" s="162"/>
      <c r="H24" s="2">
        <f t="shared" si="0"/>
        <v>5881020.54</v>
      </c>
      <c r="I24" s="136"/>
      <c r="J24" s="2">
        <v>5881020.54</v>
      </c>
      <c r="L24" s="115"/>
      <c r="M24" s="133"/>
    </row>
    <row r="25" spans="1:13" hidden="1" x14ac:dyDescent="0.2">
      <c r="A25" s="154">
        <f>'FERC Interest Rates'!A69</f>
        <v>43100</v>
      </c>
      <c r="D25" s="2">
        <v>157673.95000000001</v>
      </c>
      <c r="F25" s="162"/>
      <c r="H25" s="2">
        <f t="shared" si="0"/>
        <v>6038694.4900000002</v>
      </c>
      <c r="I25" s="136"/>
      <c r="J25" s="2">
        <v>6038694.4900000002</v>
      </c>
      <c r="L25" s="115"/>
      <c r="M25" s="133"/>
    </row>
    <row r="26" spans="1:13" hidden="1" x14ac:dyDescent="0.2">
      <c r="A26" s="154">
        <f>'FERC Interest Rates'!A70</f>
        <v>43131</v>
      </c>
      <c r="D26" s="2">
        <v>26261.16</v>
      </c>
      <c r="F26" s="162"/>
      <c r="H26" s="2">
        <f t="shared" si="0"/>
        <v>6064955.6500000004</v>
      </c>
      <c r="I26" s="136"/>
      <c r="J26" s="2">
        <v>6064955.6500000004</v>
      </c>
      <c r="L26" s="115"/>
      <c r="M26" s="133"/>
    </row>
    <row r="27" spans="1:13" hidden="1" x14ac:dyDescent="0.2">
      <c r="A27" s="154">
        <f>'FERC Interest Rates'!A71</f>
        <v>43159</v>
      </c>
      <c r="D27" s="2">
        <v>17396.48</v>
      </c>
      <c r="F27" s="162"/>
      <c r="H27" s="2">
        <f t="shared" si="0"/>
        <v>6082352.1300000008</v>
      </c>
      <c r="I27" s="136"/>
      <c r="J27" s="2">
        <v>6082352.1299999999</v>
      </c>
      <c r="L27" s="115"/>
      <c r="M27" s="133"/>
    </row>
    <row r="28" spans="1:13" hidden="1" x14ac:dyDescent="0.2">
      <c r="A28" s="154">
        <f>'FERC Interest Rates'!A72</f>
        <v>43190</v>
      </c>
      <c r="D28" s="2">
        <v>338011.56</v>
      </c>
      <c r="F28" s="162"/>
      <c r="H28" s="2">
        <f t="shared" si="0"/>
        <v>6420363.6900000004</v>
      </c>
      <c r="I28" s="136"/>
      <c r="J28" s="2">
        <v>6420363.6900000004</v>
      </c>
      <c r="L28" s="115"/>
      <c r="M28" s="133"/>
    </row>
    <row r="29" spans="1:13" hidden="1" x14ac:dyDescent="0.2">
      <c r="A29" s="154">
        <f>'FERC Interest Rates'!A73</f>
        <v>43220</v>
      </c>
      <c r="D29" s="2">
        <v>151734.49</v>
      </c>
      <c r="F29" s="162"/>
      <c r="H29" s="2">
        <f t="shared" si="0"/>
        <v>6572098.1800000006</v>
      </c>
      <c r="I29" s="136"/>
      <c r="J29" s="2">
        <v>6572098.1799999997</v>
      </c>
      <c r="L29" s="115"/>
      <c r="M29" s="133"/>
    </row>
    <row r="30" spans="1:13" hidden="1" x14ac:dyDescent="0.2">
      <c r="A30" s="154">
        <f>'FERC Interest Rates'!A74</f>
        <v>43251</v>
      </c>
      <c r="D30" s="2">
        <f>86916.82-1007417.53</f>
        <v>-920500.71</v>
      </c>
      <c r="F30" s="162"/>
      <c r="H30" s="2">
        <f t="shared" si="0"/>
        <v>5651597.4700000007</v>
      </c>
      <c r="I30" s="136"/>
      <c r="J30" s="2">
        <v>5651597.4699999997</v>
      </c>
      <c r="L30" s="115"/>
      <c r="M30" s="133"/>
    </row>
    <row r="31" spans="1:13" hidden="1" x14ac:dyDescent="0.2">
      <c r="A31" s="154">
        <f>'FERC Interest Rates'!A75</f>
        <v>43281</v>
      </c>
      <c r="D31" s="2">
        <v>139629.48000000001</v>
      </c>
      <c r="F31" s="162"/>
      <c r="H31" s="2">
        <f t="shared" si="0"/>
        <v>5791226.9500000011</v>
      </c>
      <c r="I31" s="136"/>
      <c r="J31" s="2">
        <v>5791226.9500000002</v>
      </c>
      <c r="L31" s="115"/>
      <c r="M31" s="133"/>
    </row>
    <row r="32" spans="1:13" hidden="1" x14ac:dyDescent="0.2">
      <c r="A32" s="154">
        <f>'FERC Interest Rates'!A76</f>
        <v>43312</v>
      </c>
      <c r="D32" s="2">
        <v>84422.19</v>
      </c>
      <c r="F32" s="162"/>
      <c r="H32" s="2">
        <f t="shared" si="0"/>
        <v>5875649.1400000015</v>
      </c>
      <c r="I32" s="136"/>
      <c r="J32" s="2">
        <v>5875649.1399999997</v>
      </c>
      <c r="L32" s="115"/>
      <c r="M32" s="133"/>
    </row>
    <row r="33" spans="1:13" hidden="1" x14ac:dyDescent="0.2">
      <c r="A33" s="154"/>
      <c r="F33" s="11" t="s">
        <v>116</v>
      </c>
      <c r="G33" s="2">
        <v>-5423017.3499999996</v>
      </c>
      <c r="H33" s="2">
        <f>+H32+G33</f>
        <v>452631.7900000019</v>
      </c>
      <c r="I33" s="136"/>
      <c r="L33" s="115"/>
      <c r="M33" s="133"/>
    </row>
    <row r="34" spans="1:13" hidden="1" x14ac:dyDescent="0.2">
      <c r="A34" s="154">
        <f>'FERC Interest Rates'!A77</f>
        <v>43343</v>
      </c>
      <c r="D34" s="2">
        <v>452125.91</v>
      </c>
      <c r="F34" s="162"/>
      <c r="H34" s="2">
        <f>H33+SUM(D34:G34)</f>
        <v>904757.70000000182</v>
      </c>
      <c r="I34" s="136"/>
      <c r="J34" s="2">
        <v>904757.7</v>
      </c>
      <c r="L34" s="115"/>
      <c r="M34" s="133"/>
    </row>
    <row r="35" spans="1:13" hidden="1" x14ac:dyDescent="0.2">
      <c r="A35" s="154">
        <f>'FERC Interest Rates'!A78</f>
        <v>43373</v>
      </c>
      <c r="D35" s="2">
        <v>974073.17</v>
      </c>
      <c r="F35" s="162"/>
      <c r="H35" s="2">
        <f t="shared" si="0"/>
        <v>1878830.870000002</v>
      </c>
      <c r="I35" s="136"/>
      <c r="J35" s="2">
        <v>1878830.87</v>
      </c>
      <c r="L35" s="115"/>
      <c r="M35" s="133"/>
    </row>
    <row r="36" spans="1:13" hidden="1" x14ac:dyDescent="0.2">
      <c r="A36" s="154">
        <f>'FERC Interest Rates'!A79</f>
        <v>43404</v>
      </c>
      <c r="D36" s="2">
        <v>557816.93999999994</v>
      </c>
      <c r="F36" s="162"/>
      <c r="H36" s="2">
        <f t="shared" si="0"/>
        <v>2436647.8100000019</v>
      </c>
      <c r="I36" s="136"/>
      <c r="J36" s="2">
        <v>2436647.81</v>
      </c>
      <c r="L36" s="115"/>
      <c r="M36" s="133"/>
    </row>
    <row r="37" spans="1:13" hidden="1" x14ac:dyDescent="0.2">
      <c r="A37" s="154">
        <f>'FERC Interest Rates'!A80</f>
        <v>43434</v>
      </c>
      <c r="D37" s="2">
        <v>116255.54</v>
      </c>
      <c r="F37" s="162"/>
      <c r="H37" s="2">
        <f t="shared" ref="H37:H75" si="1">H36+SUM(D37:G37)</f>
        <v>2552903.350000002</v>
      </c>
      <c r="I37" s="136"/>
      <c r="J37" s="2">
        <v>2552903.35</v>
      </c>
      <c r="L37" s="115"/>
      <c r="M37" s="133"/>
    </row>
    <row r="38" spans="1:13" hidden="1" x14ac:dyDescent="0.2">
      <c r="A38" s="154">
        <f>'FERC Interest Rates'!A81</f>
        <v>43465</v>
      </c>
      <c r="D38" s="2">
        <v>2879176.41</v>
      </c>
      <c r="F38" s="162"/>
      <c r="H38" s="2">
        <f t="shared" si="1"/>
        <v>5432079.7600000016</v>
      </c>
      <c r="I38" s="136"/>
      <c r="J38" s="2">
        <v>5432079.7599999998</v>
      </c>
      <c r="L38" s="115"/>
      <c r="M38" s="133"/>
    </row>
    <row r="39" spans="1:13" hidden="1" x14ac:dyDescent="0.2">
      <c r="A39" s="154">
        <f>'FERC Interest Rates'!A82</f>
        <v>43496</v>
      </c>
      <c r="D39" s="2">
        <v>0</v>
      </c>
      <c r="F39" s="162"/>
      <c r="H39" s="2">
        <f t="shared" si="1"/>
        <v>5432079.7600000016</v>
      </c>
      <c r="I39" s="136"/>
      <c r="J39" s="2">
        <v>5432079.7599999998</v>
      </c>
      <c r="L39" s="115"/>
      <c r="M39" s="133"/>
    </row>
    <row r="40" spans="1:13" hidden="1" x14ac:dyDescent="0.2">
      <c r="A40" s="154">
        <f>'FERC Interest Rates'!A83</f>
        <v>43524</v>
      </c>
      <c r="D40" s="2">
        <v>1277.6600000000001</v>
      </c>
      <c r="F40" s="162"/>
      <c r="H40" s="2">
        <f t="shared" si="1"/>
        <v>5433357.4200000018</v>
      </c>
      <c r="I40" s="136"/>
      <c r="J40" s="2">
        <v>5433357.4199999999</v>
      </c>
      <c r="L40" s="115"/>
      <c r="M40" s="133"/>
    </row>
    <row r="41" spans="1:13" hidden="1" x14ac:dyDescent="0.2">
      <c r="A41" s="154">
        <f>'FERC Interest Rates'!A84</f>
        <v>43555</v>
      </c>
      <c r="D41" s="2">
        <v>34609.919999999998</v>
      </c>
      <c r="E41" s="162"/>
      <c r="F41" s="162"/>
      <c r="H41" s="2">
        <f t="shared" si="1"/>
        <v>5467967.3400000017</v>
      </c>
      <c r="I41" s="136"/>
      <c r="J41" s="2">
        <v>5467967.3399999999</v>
      </c>
      <c r="L41" s="115"/>
      <c r="M41" s="133"/>
    </row>
    <row r="42" spans="1:13" hidden="1" x14ac:dyDescent="0.2">
      <c r="A42" s="154">
        <f>'FERC Interest Rates'!A85</f>
        <v>43585</v>
      </c>
      <c r="D42" s="2">
        <v>70274.070000000007</v>
      </c>
      <c r="E42" s="162"/>
      <c r="F42" s="162"/>
      <c r="H42" s="2">
        <f t="shared" si="1"/>
        <v>5538241.410000002</v>
      </c>
      <c r="I42" s="136"/>
      <c r="J42" s="2">
        <v>5538241.4100000001</v>
      </c>
      <c r="L42" s="115"/>
      <c r="M42" s="133"/>
    </row>
    <row r="43" spans="1:13" hidden="1" x14ac:dyDescent="0.2">
      <c r="A43" s="154">
        <f>'FERC Interest Rates'!A86</f>
        <v>43616</v>
      </c>
      <c r="D43" s="2">
        <v>5021.25</v>
      </c>
      <c r="E43" s="162"/>
      <c r="F43" s="162"/>
      <c r="H43" s="2">
        <f t="shared" si="1"/>
        <v>5543262.660000002</v>
      </c>
      <c r="I43" s="136"/>
      <c r="J43" s="2">
        <v>5543262.6600000001</v>
      </c>
      <c r="L43" s="115"/>
      <c r="M43" s="133"/>
    </row>
    <row r="44" spans="1:13" hidden="1" x14ac:dyDescent="0.2">
      <c r="A44" s="154">
        <f>'FERC Interest Rates'!A87</f>
        <v>43646</v>
      </c>
      <c r="D44" s="2">
        <v>438.17</v>
      </c>
      <c r="E44" s="162"/>
      <c r="F44" s="162"/>
      <c r="H44" s="2">
        <f t="shared" si="1"/>
        <v>5543700.8300000019</v>
      </c>
      <c r="I44" s="136"/>
      <c r="J44" s="2">
        <v>5543700.8300000001</v>
      </c>
      <c r="L44" s="115"/>
      <c r="M44" s="133"/>
    </row>
    <row r="45" spans="1:13" x14ac:dyDescent="0.2">
      <c r="A45" s="154">
        <f>'FERC Interest Rates'!A88</f>
        <v>43677</v>
      </c>
      <c r="B45" s="132"/>
      <c r="C45" s="132"/>
      <c r="D45" s="2">
        <f>1750+759581.44</f>
        <v>761331.44</v>
      </c>
      <c r="E45" s="132"/>
      <c r="F45" s="132"/>
      <c r="H45" s="2">
        <f t="shared" si="1"/>
        <v>6305032.2700000014</v>
      </c>
      <c r="I45" s="136"/>
      <c r="J45" s="2">
        <v>6305032.2699999996</v>
      </c>
      <c r="L45" s="115"/>
      <c r="M45" s="133"/>
    </row>
    <row r="46" spans="1:13" x14ac:dyDescent="0.2">
      <c r="A46" s="154">
        <f>'FERC Interest Rates'!A89</f>
        <v>43708</v>
      </c>
      <c r="B46" s="132"/>
      <c r="C46" s="132"/>
      <c r="D46" s="2">
        <f>81479.52+99893.83</f>
        <v>181373.35</v>
      </c>
      <c r="E46" s="132"/>
      <c r="F46" s="132"/>
      <c r="H46" s="2">
        <f t="shared" si="1"/>
        <v>6486405.620000001</v>
      </c>
      <c r="I46" s="136"/>
      <c r="J46" s="2">
        <f>6386511.79+99893.83</f>
        <v>6486405.6200000001</v>
      </c>
      <c r="L46" s="115"/>
      <c r="M46" s="133"/>
    </row>
    <row r="47" spans="1:13" x14ac:dyDescent="0.2">
      <c r="A47" s="154">
        <f>'FERC Interest Rates'!A90</f>
        <v>43738</v>
      </c>
      <c r="B47" s="132"/>
      <c r="C47" s="132"/>
      <c r="D47" s="2">
        <v>443745.21</v>
      </c>
      <c r="E47" s="132"/>
      <c r="F47" s="132"/>
      <c r="H47" s="2">
        <f t="shared" si="1"/>
        <v>6930150.830000001</v>
      </c>
      <c r="I47" s="136"/>
      <c r="J47" s="2">
        <v>6930150.8300000001</v>
      </c>
      <c r="L47" s="115"/>
      <c r="M47" s="133"/>
    </row>
    <row r="48" spans="1:13" x14ac:dyDescent="0.2">
      <c r="A48" s="154">
        <f>'FERC Interest Rates'!A91</f>
        <v>43769</v>
      </c>
      <c r="B48" s="132"/>
      <c r="C48" s="132"/>
      <c r="D48" s="2">
        <v>535214.29</v>
      </c>
      <c r="E48" s="132"/>
      <c r="F48" s="132"/>
      <c r="H48" s="2">
        <f t="shared" si="1"/>
        <v>7465365.120000001</v>
      </c>
      <c r="I48" s="136"/>
      <c r="J48" s="2">
        <v>7465365.1200000001</v>
      </c>
      <c r="L48" s="115"/>
      <c r="M48" s="133"/>
    </row>
    <row r="49" spans="1:13" x14ac:dyDescent="0.2">
      <c r="A49" s="154">
        <f>'FERC Interest Rates'!A92</f>
        <v>43799</v>
      </c>
      <c r="B49" s="132"/>
      <c r="C49" s="132"/>
      <c r="D49" s="2">
        <v>278722.92</v>
      </c>
      <c r="E49" s="132"/>
      <c r="F49" s="132"/>
      <c r="H49" s="2">
        <f t="shared" si="1"/>
        <v>7744088.040000001</v>
      </c>
      <c r="I49" s="136"/>
      <c r="J49" s="2">
        <v>7744088.04</v>
      </c>
      <c r="L49" s="115"/>
      <c r="M49" s="133"/>
    </row>
    <row r="50" spans="1:13" x14ac:dyDescent="0.2">
      <c r="A50" s="154">
        <f>'FERC Interest Rates'!A93</f>
        <v>43830</v>
      </c>
      <c r="B50" s="132"/>
      <c r="C50" s="132"/>
      <c r="D50" s="2">
        <f>273905.9-2587.56</f>
        <v>271318.34000000003</v>
      </c>
      <c r="E50" s="132"/>
      <c r="F50" s="132"/>
      <c r="H50" s="2">
        <f t="shared" si="1"/>
        <v>8015406.3800000008</v>
      </c>
      <c r="I50" s="136"/>
      <c r="J50" s="2">
        <v>8015406.3799999999</v>
      </c>
      <c r="L50" s="115"/>
      <c r="M50" s="133"/>
    </row>
    <row r="51" spans="1:13" x14ac:dyDescent="0.2">
      <c r="A51" s="154">
        <f>'FERC Interest Rates'!A94</f>
        <v>43861</v>
      </c>
      <c r="B51" s="132"/>
      <c r="C51" s="132"/>
      <c r="D51" s="2">
        <v>11155.91</v>
      </c>
      <c r="E51" s="132"/>
      <c r="F51" s="132"/>
      <c r="H51" s="2">
        <f t="shared" si="1"/>
        <v>8026562.290000001</v>
      </c>
      <c r="I51" s="136"/>
      <c r="J51" s="2">
        <v>8026562.29</v>
      </c>
      <c r="L51" s="115"/>
      <c r="M51" s="133"/>
    </row>
    <row r="52" spans="1:13" x14ac:dyDescent="0.2">
      <c r="A52" s="154">
        <f>'FERC Interest Rates'!A95</f>
        <v>43890</v>
      </c>
      <c r="B52" s="132"/>
      <c r="C52" s="132"/>
      <c r="D52" s="2">
        <v>1144</v>
      </c>
      <c r="E52" s="132"/>
      <c r="F52" s="132"/>
      <c r="H52" s="2">
        <f>H51+SUM(D52:G52)</f>
        <v>8027706.290000001</v>
      </c>
      <c r="I52" s="136"/>
      <c r="J52" s="2">
        <v>8027706.29</v>
      </c>
      <c r="L52" s="115"/>
      <c r="M52" s="133"/>
    </row>
    <row r="53" spans="1:13" ht="15.75" customHeight="1" x14ac:dyDescent="0.2">
      <c r="A53" s="137" t="s">
        <v>117</v>
      </c>
      <c r="B53" s="137"/>
      <c r="C53" s="137"/>
      <c r="D53" s="137"/>
      <c r="E53" s="137"/>
      <c r="F53" s="137"/>
      <c r="G53" s="2">
        <v>-6290724.1500000004</v>
      </c>
      <c r="H53" s="2">
        <f>+H52+G53</f>
        <v>1736982.1400000006</v>
      </c>
      <c r="I53" s="136"/>
      <c r="L53" s="115"/>
      <c r="M53" s="133"/>
    </row>
    <row r="54" spans="1:13" x14ac:dyDescent="0.2">
      <c r="A54" s="154">
        <f>'FERC Interest Rates'!A96</f>
        <v>43921</v>
      </c>
      <c r="B54" s="132"/>
      <c r="C54" s="132"/>
      <c r="D54" s="2">
        <v>86418.52</v>
      </c>
      <c r="E54" s="132"/>
      <c r="F54" s="132"/>
      <c r="H54" s="2">
        <f>H53+SUM(D54:G54)</f>
        <v>1823400.6600000006</v>
      </c>
      <c r="I54" s="136"/>
      <c r="J54" s="2">
        <v>1823400.66</v>
      </c>
      <c r="L54" s="115"/>
      <c r="M54" s="133"/>
    </row>
    <row r="55" spans="1:13" x14ac:dyDescent="0.2">
      <c r="A55" s="154">
        <f>'FERC Interest Rates'!A97</f>
        <v>43951</v>
      </c>
      <c r="B55" s="132"/>
      <c r="C55" s="132"/>
      <c r="D55" s="2">
        <v>2081.69</v>
      </c>
      <c r="E55" s="132"/>
      <c r="F55" s="132"/>
      <c r="H55" s="2">
        <f t="shared" si="1"/>
        <v>1825482.3500000006</v>
      </c>
      <c r="I55" s="136"/>
      <c r="J55" s="2">
        <v>1825482.35</v>
      </c>
      <c r="L55" s="115"/>
      <c r="M55" s="133"/>
    </row>
    <row r="56" spans="1:13" x14ac:dyDescent="0.2">
      <c r="A56" s="154">
        <f>'FERC Interest Rates'!A98</f>
        <v>43982</v>
      </c>
      <c r="B56" s="132"/>
      <c r="C56" s="132"/>
      <c r="D56" s="2">
        <v>346776.05</v>
      </c>
      <c r="E56" s="132"/>
      <c r="F56" s="132"/>
      <c r="H56" s="2">
        <f t="shared" si="1"/>
        <v>2172258.4000000004</v>
      </c>
      <c r="I56" s="136"/>
      <c r="J56" s="2">
        <v>2172258.4</v>
      </c>
      <c r="L56" s="115"/>
      <c r="M56" s="133"/>
    </row>
    <row r="57" spans="1:13" x14ac:dyDescent="0.2">
      <c r="A57" s="154">
        <f>'FERC Interest Rates'!A99</f>
        <v>44012</v>
      </c>
      <c r="B57" s="132"/>
      <c r="C57" s="132"/>
      <c r="D57" s="2">
        <v>1219982.8700000001</v>
      </c>
      <c r="E57" s="132"/>
      <c r="F57" s="132"/>
      <c r="H57" s="2">
        <f t="shared" si="1"/>
        <v>3392241.2700000005</v>
      </c>
      <c r="I57" s="136"/>
      <c r="J57" s="2">
        <v>3392241.27</v>
      </c>
      <c r="L57" s="115"/>
      <c r="M57" s="133"/>
    </row>
    <row r="58" spans="1:13" x14ac:dyDescent="0.2">
      <c r="A58" s="154">
        <f>'FERC Interest Rates'!A100</f>
        <v>44043</v>
      </c>
      <c r="B58" s="132"/>
      <c r="C58" s="132"/>
      <c r="D58" s="2">
        <v>315175.03000000003</v>
      </c>
      <c r="E58" s="132"/>
      <c r="F58" s="132"/>
      <c r="H58" s="2">
        <f t="shared" si="1"/>
        <v>3707416.3000000007</v>
      </c>
      <c r="I58" s="136"/>
      <c r="J58" s="2">
        <v>3707416.3</v>
      </c>
      <c r="L58" s="115"/>
      <c r="M58" s="133"/>
    </row>
    <row r="59" spans="1:13" x14ac:dyDescent="0.2">
      <c r="A59" s="154">
        <f>'FERC Interest Rates'!A101</f>
        <v>44074</v>
      </c>
      <c r="B59" s="132"/>
      <c r="C59" s="132"/>
      <c r="D59" s="2">
        <v>675353.08</v>
      </c>
      <c r="E59" s="132"/>
      <c r="F59" s="132"/>
      <c r="H59" s="2">
        <f t="shared" si="1"/>
        <v>4382769.3800000008</v>
      </c>
      <c r="I59" s="136"/>
      <c r="J59" s="2">
        <v>4382769.38</v>
      </c>
      <c r="L59" s="115"/>
      <c r="M59" s="133"/>
    </row>
    <row r="60" spans="1:13" x14ac:dyDescent="0.2">
      <c r="A60" s="154">
        <f>'FERC Interest Rates'!A102</f>
        <v>44104</v>
      </c>
      <c r="B60" s="132"/>
      <c r="C60" s="132"/>
      <c r="D60" s="2">
        <v>471124.24</v>
      </c>
      <c r="E60" s="132"/>
      <c r="F60" s="132"/>
      <c r="H60" s="2">
        <f t="shared" si="1"/>
        <v>4853893.620000001</v>
      </c>
      <c r="I60" s="136"/>
      <c r="J60" s="2">
        <v>4853893.62</v>
      </c>
      <c r="L60" s="115"/>
      <c r="M60" s="133"/>
    </row>
    <row r="61" spans="1:13" x14ac:dyDescent="0.2">
      <c r="A61" s="154">
        <f>'FERC Interest Rates'!A103</f>
        <v>44135</v>
      </c>
      <c r="B61" s="132"/>
      <c r="C61" s="132"/>
      <c r="D61" s="2">
        <v>820906.74</v>
      </c>
      <c r="E61" s="132"/>
      <c r="F61" s="132"/>
      <c r="H61" s="2">
        <f t="shared" si="1"/>
        <v>5674800.3600000013</v>
      </c>
      <c r="I61" s="136"/>
      <c r="J61" s="2">
        <v>5674800.3600000003</v>
      </c>
      <c r="L61" s="115"/>
      <c r="M61" s="133"/>
    </row>
    <row r="62" spans="1:13" x14ac:dyDescent="0.2">
      <c r="A62" s="154">
        <f>'FERC Interest Rates'!A104</f>
        <v>44165</v>
      </c>
      <c r="B62" s="132"/>
      <c r="C62" s="132"/>
      <c r="D62" s="2">
        <v>507068.32</v>
      </c>
      <c r="E62" s="132"/>
      <c r="F62" s="132"/>
      <c r="H62" s="2">
        <f t="shared" si="1"/>
        <v>6181868.6800000016</v>
      </c>
      <c r="I62" s="136"/>
      <c r="J62" s="2">
        <v>6181868.6799999997</v>
      </c>
      <c r="L62" s="115"/>
      <c r="M62" s="133"/>
    </row>
    <row r="63" spans="1:13" x14ac:dyDescent="0.2">
      <c r="A63" s="137" t="s">
        <v>118</v>
      </c>
      <c r="B63" s="137"/>
      <c r="C63" s="137"/>
      <c r="D63" s="137"/>
      <c r="E63" s="137"/>
      <c r="F63" s="137"/>
      <c r="G63" s="2">
        <v>858644.39</v>
      </c>
      <c r="H63" s="2">
        <f t="shared" si="1"/>
        <v>7040513.0700000012</v>
      </c>
      <c r="I63" s="136"/>
      <c r="L63" s="115"/>
      <c r="M63" s="133"/>
    </row>
    <row r="64" spans="1:13" x14ac:dyDescent="0.2">
      <c r="A64" s="154">
        <f>'FERC Interest Rates'!A105</f>
        <v>44196</v>
      </c>
      <c r="B64" s="132"/>
      <c r="C64" s="132"/>
      <c r="D64" s="2">
        <v>267614.2</v>
      </c>
      <c r="E64" s="132"/>
      <c r="F64" s="132"/>
      <c r="H64" s="2">
        <f t="shared" si="1"/>
        <v>7308127.2700000014</v>
      </c>
      <c r="I64" s="136"/>
      <c r="J64" s="2">
        <v>7308127.2699999996</v>
      </c>
      <c r="L64" s="115"/>
      <c r="M64" s="133"/>
    </row>
    <row r="65" spans="1:13" x14ac:dyDescent="0.2">
      <c r="A65" s="154">
        <f>'FERC Interest Rates'!A106</f>
        <v>44227</v>
      </c>
      <c r="B65" s="132"/>
      <c r="C65" s="132"/>
      <c r="D65" s="2">
        <v>-190515.89</v>
      </c>
      <c r="E65" s="132"/>
      <c r="F65" s="132"/>
      <c r="H65" s="2">
        <f t="shared" si="1"/>
        <v>7117611.3800000018</v>
      </c>
      <c r="I65" s="136"/>
      <c r="J65" s="2">
        <v>7117611.3799999999</v>
      </c>
      <c r="L65" s="115"/>
      <c r="M65" s="133"/>
    </row>
    <row r="66" spans="1:13" x14ac:dyDescent="0.2">
      <c r="A66" s="154">
        <f>'FERC Interest Rates'!A107</f>
        <v>44255</v>
      </c>
      <c r="B66" s="132"/>
      <c r="C66" s="132"/>
      <c r="D66" s="2">
        <v>1631.92</v>
      </c>
      <c r="E66" s="132"/>
      <c r="F66" s="132"/>
      <c r="H66" s="2">
        <f t="shared" si="1"/>
        <v>7119243.3000000017</v>
      </c>
      <c r="I66" s="136"/>
      <c r="J66" s="2">
        <v>7119243.2999999998</v>
      </c>
      <c r="L66" s="115"/>
      <c r="M66" s="133"/>
    </row>
    <row r="67" spans="1:13" x14ac:dyDescent="0.2">
      <c r="A67" s="154">
        <f>'FERC Interest Rates'!A108</f>
        <v>44286</v>
      </c>
      <c r="B67" s="132"/>
      <c r="C67" s="132"/>
      <c r="D67" s="2">
        <v>13329.89</v>
      </c>
      <c r="E67" s="132"/>
      <c r="F67" s="132"/>
      <c r="H67" s="2">
        <f t="shared" si="1"/>
        <v>7132573.1900000013</v>
      </c>
      <c r="I67" s="136"/>
      <c r="J67" s="2">
        <v>7132573.1900000004</v>
      </c>
      <c r="L67" s="115"/>
      <c r="M67" s="133"/>
    </row>
    <row r="68" spans="1:13" x14ac:dyDescent="0.2">
      <c r="A68" s="154">
        <f>'FERC Interest Rates'!A109</f>
        <v>44316</v>
      </c>
      <c r="B68" s="132"/>
      <c r="C68" s="132"/>
      <c r="D68" s="2">
        <v>4127.04</v>
      </c>
      <c r="E68" s="132"/>
      <c r="F68" s="132"/>
      <c r="H68" s="2">
        <f t="shared" si="1"/>
        <v>7136700.2300000014</v>
      </c>
      <c r="I68" s="136"/>
      <c r="J68" s="2">
        <v>7136700.2300000004</v>
      </c>
      <c r="L68" s="115"/>
      <c r="M68" s="133"/>
    </row>
    <row r="69" spans="1:13" x14ac:dyDescent="0.2">
      <c r="A69" s="154">
        <f>'FERC Interest Rates'!A110</f>
        <v>44347</v>
      </c>
      <c r="B69" s="132"/>
      <c r="C69" s="132"/>
      <c r="D69" s="2">
        <v>155194.99</v>
      </c>
      <c r="E69" s="132"/>
      <c r="F69" s="132"/>
      <c r="H69" s="2">
        <f t="shared" si="1"/>
        <v>7291895.2200000016</v>
      </c>
      <c r="I69" s="136"/>
      <c r="J69" s="2">
        <v>7291895.2199999997</v>
      </c>
      <c r="L69" s="115"/>
      <c r="M69" s="133"/>
    </row>
    <row r="70" spans="1:13" x14ac:dyDescent="0.2">
      <c r="A70" s="154">
        <f>'FERC Interest Rates'!A111</f>
        <v>44377</v>
      </c>
      <c r="B70" s="132"/>
      <c r="C70" s="132"/>
      <c r="D70" s="2">
        <v>527061.65</v>
      </c>
      <c r="E70" s="132"/>
      <c r="F70" s="132"/>
      <c r="H70" s="2">
        <f t="shared" si="1"/>
        <v>7818956.870000002</v>
      </c>
      <c r="I70" s="136"/>
      <c r="J70" s="2">
        <v>7818956.8700000001</v>
      </c>
      <c r="L70" s="115"/>
      <c r="M70" s="133"/>
    </row>
    <row r="71" spans="1:13" x14ac:dyDescent="0.2">
      <c r="A71" s="137" t="s">
        <v>119</v>
      </c>
      <c r="B71" s="137"/>
      <c r="C71" s="137"/>
      <c r="D71" s="137"/>
      <c r="E71" s="137"/>
      <c r="F71" s="137"/>
      <c r="G71" s="2">
        <v>-2571965</v>
      </c>
      <c r="H71" s="2">
        <f t="shared" si="1"/>
        <v>5246991.870000002</v>
      </c>
      <c r="I71" s="136"/>
      <c r="L71" s="115"/>
      <c r="M71" s="133"/>
    </row>
    <row r="72" spans="1:13" x14ac:dyDescent="0.2">
      <c r="A72" s="154">
        <f>'FERC Interest Rates'!A112</f>
        <v>44408</v>
      </c>
      <c r="B72" s="132"/>
      <c r="C72" s="132"/>
      <c r="D72" s="2">
        <v>529681.18999999994</v>
      </c>
      <c r="E72" s="132"/>
      <c r="F72" s="132"/>
      <c r="H72" s="2">
        <f t="shared" si="1"/>
        <v>5776673.0600000024</v>
      </c>
      <c r="I72" s="136"/>
      <c r="J72" s="2">
        <v>5776673.0599999996</v>
      </c>
      <c r="L72" s="115"/>
      <c r="M72" s="133"/>
    </row>
    <row r="73" spans="1:13" x14ac:dyDescent="0.2">
      <c r="A73" s="154">
        <f>'FERC Interest Rates'!A113</f>
        <v>44439</v>
      </c>
      <c r="B73" s="132"/>
      <c r="C73" s="132"/>
      <c r="D73" s="2">
        <v>460457.4</v>
      </c>
      <c r="E73" s="132"/>
      <c r="F73" s="132"/>
      <c r="H73" s="2">
        <f t="shared" si="1"/>
        <v>6237130.4600000028</v>
      </c>
      <c r="I73" s="136"/>
      <c r="J73" s="2">
        <v>6237130.46</v>
      </c>
      <c r="L73" s="115"/>
      <c r="M73" s="133"/>
    </row>
    <row r="74" spans="1:13" x14ac:dyDescent="0.2">
      <c r="A74" s="154">
        <f>'FERC Interest Rates'!A114</f>
        <v>44469</v>
      </c>
      <c r="B74" s="132"/>
      <c r="C74" s="132"/>
      <c r="D74" s="2">
        <v>454052.97</v>
      </c>
      <c r="E74" s="132"/>
      <c r="F74" s="132"/>
      <c r="H74" s="2">
        <f t="shared" si="1"/>
        <v>6691183.4300000025</v>
      </c>
      <c r="I74" s="136"/>
      <c r="J74" s="2">
        <v>6691183.4299999997</v>
      </c>
      <c r="L74" s="115"/>
      <c r="M74" s="133"/>
    </row>
    <row r="75" spans="1:13" x14ac:dyDescent="0.2">
      <c r="A75" s="154">
        <f>'FERC Interest Rates'!A115</f>
        <v>44500</v>
      </c>
      <c r="B75" s="132"/>
      <c r="C75" s="132"/>
      <c r="E75" s="132"/>
      <c r="F75" s="132"/>
      <c r="H75" s="2">
        <f t="shared" si="1"/>
        <v>6691183.4300000025</v>
      </c>
      <c r="I75" s="136"/>
      <c r="L75" s="115"/>
      <c r="M75" s="133"/>
    </row>
    <row r="76" spans="1:13" x14ac:dyDescent="0.2">
      <c r="A76" s="154"/>
      <c r="I76" s="136"/>
    </row>
    <row r="77" spans="1:13" x14ac:dyDescent="0.2">
      <c r="I77" s="136"/>
    </row>
    <row r="78" spans="1:13" x14ac:dyDescent="0.2">
      <c r="I78" s="136"/>
    </row>
    <row r="79" spans="1:13" x14ac:dyDescent="0.2">
      <c r="I79" s="136"/>
    </row>
    <row r="80" spans="1:13" x14ac:dyDescent="0.2">
      <c r="I80" s="136"/>
    </row>
    <row r="81" spans="9:9" x14ac:dyDescent="0.2">
      <c r="I81" s="136"/>
    </row>
    <row r="82" spans="9:9" x14ac:dyDescent="0.2">
      <c r="I82" s="136"/>
    </row>
    <row r="83" spans="9:9" x14ac:dyDescent="0.2">
      <c r="I83" s="136"/>
    </row>
    <row r="84" spans="9:9" x14ac:dyDescent="0.2">
      <c r="I84" s="136"/>
    </row>
    <row r="85" spans="9:9" x14ac:dyDescent="0.2">
      <c r="I85" s="136"/>
    </row>
    <row r="86" spans="9:9" x14ac:dyDescent="0.2">
      <c r="I86" s="136"/>
    </row>
    <row r="87" spans="9:9" x14ac:dyDescent="0.2">
      <c r="I87" s="136"/>
    </row>
    <row r="88" spans="9:9" x14ac:dyDescent="0.2">
      <c r="I88" s="136"/>
    </row>
    <row r="89" spans="9:9" x14ac:dyDescent="0.2">
      <c r="I89" s="136"/>
    </row>
    <row r="90" spans="9:9" x14ac:dyDescent="0.2">
      <c r="I90" s="136"/>
    </row>
    <row r="91" spans="9:9" x14ac:dyDescent="0.2">
      <c r="I91" s="136"/>
    </row>
    <row r="92" spans="9:9" x14ac:dyDescent="0.2">
      <c r="I92" s="136"/>
    </row>
    <row r="93" spans="9:9" x14ac:dyDescent="0.2">
      <c r="I93" s="136"/>
    </row>
    <row r="94" spans="9:9" x14ac:dyDescent="0.2">
      <c r="I94" s="136"/>
    </row>
    <row r="95" spans="9:9" x14ac:dyDescent="0.2">
      <c r="I95" s="136"/>
    </row>
    <row r="96" spans="9:9" x14ac:dyDescent="0.2">
      <c r="I96" s="136"/>
    </row>
    <row r="97" spans="9:9" x14ac:dyDescent="0.2">
      <c r="I97" s="136"/>
    </row>
    <row r="98" spans="9:9" x14ac:dyDescent="0.2">
      <c r="I98" s="136"/>
    </row>
    <row r="99" spans="9:9" x14ac:dyDescent="0.2">
      <c r="I99" s="136"/>
    </row>
    <row r="100" spans="9:9" x14ac:dyDescent="0.2">
      <c r="I100" s="136"/>
    </row>
    <row r="101" spans="9:9" x14ac:dyDescent="0.2">
      <c r="I101" s="136"/>
    </row>
    <row r="102" spans="9:9" x14ac:dyDescent="0.2">
      <c r="I102" s="136"/>
    </row>
    <row r="103" spans="9:9" x14ac:dyDescent="0.2">
      <c r="I103" s="136"/>
    </row>
    <row r="104" spans="9:9" x14ac:dyDescent="0.2">
      <c r="I104" s="136"/>
    </row>
    <row r="105" spans="9:9" x14ac:dyDescent="0.2">
      <c r="I105" s="136"/>
    </row>
    <row r="106" spans="9:9" x14ac:dyDescent="0.2">
      <c r="I106" s="136"/>
    </row>
    <row r="107" spans="9:9" x14ac:dyDescent="0.2">
      <c r="I107" s="136"/>
    </row>
    <row r="108" spans="9:9" x14ac:dyDescent="0.2">
      <c r="I108" s="136"/>
    </row>
    <row r="109" spans="9:9" x14ac:dyDescent="0.2">
      <c r="I109" s="136"/>
    </row>
    <row r="110" spans="9:9" x14ac:dyDescent="0.2">
      <c r="I110" s="136"/>
    </row>
    <row r="111" spans="9:9" x14ac:dyDescent="0.2">
      <c r="I111" s="136"/>
    </row>
    <row r="112" spans="9:9" x14ac:dyDescent="0.2">
      <c r="I112" s="136"/>
    </row>
    <row r="113" spans="9:9" x14ac:dyDescent="0.2">
      <c r="I113" s="136"/>
    </row>
    <row r="114" spans="9:9" x14ac:dyDescent="0.2">
      <c r="I114" s="136"/>
    </row>
    <row r="115" spans="9:9" x14ac:dyDescent="0.2">
      <c r="I115" s="136"/>
    </row>
  </sheetData>
  <mergeCells count="19">
    <mergeCell ref="A71:F71"/>
    <mergeCell ref="A7:B7"/>
    <mergeCell ref="C7:H7"/>
    <mergeCell ref="D9:F9"/>
    <mergeCell ref="A11:G11"/>
    <mergeCell ref="A53:F53"/>
    <mergeCell ref="A63:F63"/>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90"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7A89B-871C-4BB8-A463-0367D3F54448}">
  <sheetPr>
    <pageSetUpPr fitToPage="1"/>
  </sheetPr>
  <dimension ref="A1:M115"/>
  <sheetViews>
    <sheetView tabSelected="1" view="pageBreakPreview" zoomScaleNormal="75" zoomScaleSheetLayoutView="100" workbookViewId="0">
      <pane xSplit="1" ySplit="10" topLeftCell="B11" activePane="bottomRight" state="frozen"/>
      <selection activeCell="N106" sqref="N106"/>
      <selection pane="topRight" activeCell="N106" sqref="N106"/>
      <selection pane="bottomLeft" activeCell="N106" sqref="N106"/>
      <selection pane="bottomRight" activeCell="N106" sqref="N106"/>
    </sheetView>
  </sheetViews>
  <sheetFormatPr defaultColWidth="8.88671875" defaultRowHeight="12.75" x14ac:dyDescent="0.2"/>
  <cols>
    <col min="1" max="1" width="9.33203125" style="2" customWidth="1"/>
    <col min="2" max="2" width="7" style="2" bestFit="1" customWidth="1"/>
    <col min="3" max="3" width="10.77734375" style="2" customWidth="1"/>
    <col min="4" max="4" width="14.77734375" style="2" bestFit="1" customWidth="1"/>
    <col min="5" max="5" width="9.77734375" style="2" bestFit="1" customWidth="1"/>
    <col min="6" max="6" width="6.88671875" style="2" bestFit="1" customWidth="1"/>
    <col min="7" max="7" width="9.6640625" style="2" bestFit="1" customWidth="1"/>
    <col min="8" max="8" width="12.77734375" style="2" bestFit="1" customWidth="1"/>
    <col min="9" max="9" width="1.21875" style="2" customWidth="1"/>
    <col min="10" max="10" width="11" style="2" customWidth="1"/>
    <col min="11" max="11" width="10.33203125" style="2" customWidth="1"/>
    <col min="12" max="12" width="9" style="2" bestFit="1" customWidth="1"/>
    <col min="13" max="13" width="10.33203125" style="2" bestFit="1" customWidth="1"/>
    <col min="14" max="16384" width="8.88671875" style="2"/>
  </cols>
  <sheetData>
    <row r="1" spans="1:13" x14ac:dyDescent="0.2">
      <c r="A1" s="138" t="s">
        <v>58</v>
      </c>
      <c r="B1" s="139"/>
      <c r="C1" s="155" t="s">
        <v>59</v>
      </c>
      <c r="D1" s="155"/>
      <c r="E1" s="155"/>
      <c r="F1" s="155"/>
      <c r="G1" s="155"/>
      <c r="H1" s="156"/>
      <c r="I1" s="114"/>
    </row>
    <row r="2" spans="1:13" x14ac:dyDescent="0.2">
      <c r="A2" s="142" t="s">
        <v>60</v>
      </c>
      <c r="B2" s="117"/>
      <c r="C2" s="118" t="s">
        <v>120</v>
      </c>
      <c r="D2" s="118"/>
      <c r="E2" s="118"/>
      <c r="F2" s="118"/>
      <c r="G2" s="118"/>
      <c r="H2" s="120"/>
      <c r="I2" s="114"/>
    </row>
    <row r="3" spans="1:13" x14ac:dyDescent="0.2">
      <c r="A3" s="142" t="s">
        <v>62</v>
      </c>
      <c r="B3" s="117"/>
      <c r="C3" s="118" t="s">
        <v>10</v>
      </c>
      <c r="D3" s="118"/>
      <c r="E3" s="118"/>
      <c r="F3" s="118"/>
      <c r="G3" s="118"/>
      <c r="H3" s="120"/>
      <c r="I3" s="114"/>
    </row>
    <row r="4" spans="1:13" x14ac:dyDescent="0.2">
      <c r="A4" s="142" t="s">
        <v>63</v>
      </c>
      <c r="B4" s="117"/>
      <c r="C4" s="118" t="s">
        <v>64</v>
      </c>
      <c r="D4" s="118"/>
      <c r="E4" s="118"/>
      <c r="F4" s="118"/>
      <c r="G4" s="118"/>
      <c r="H4" s="120"/>
      <c r="I4" s="114"/>
    </row>
    <row r="5" spans="1:13" x14ac:dyDescent="0.2">
      <c r="A5" s="142" t="s">
        <v>65</v>
      </c>
      <c r="B5" s="117"/>
      <c r="C5" s="118" t="s">
        <v>66</v>
      </c>
      <c r="D5" s="118"/>
      <c r="E5" s="118"/>
      <c r="F5" s="118"/>
      <c r="G5" s="118"/>
      <c r="H5" s="120"/>
      <c r="I5" s="114"/>
    </row>
    <row r="6" spans="1:13" x14ac:dyDescent="0.2">
      <c r="A6" s="142" t="s">
        <v>67</v>
      </c>
      <c r="B6" s="117"/>
      <c r="C6" s="118" t="s">
        <v>95</v>
      </c>
      <c r="D6" s="118"/>
      <c r="E6" s="118"/>
      <c r="F6" s="118"/>
      <c r="G6" s="118"/>
      <c r="H6" s="120"/>
      <c r="I6" s="114"/>
    </row>
    <row r="7" spans="1:13" ht="13.5" thickBot="1" x14ac:dyDescent="0.25">
      <c r="A7" s="145" t="s">
        <v>69</v>
      </c>
      <c r="B7" s="146"/>
      <c r="C7" s="147" t="s">
        <v>121</v>
      </c>
      <c r="D7" s="147"/>
      <c r="E7" s="147"/>
      <c r="F7" s="147"/>
      <c r="G7" s="147"/>
      <c r="H7" s="148"/>
      <c r="I7" s="125"/>
    </row>
    <row r="8" spans="1:13" x14ac:dyDescent="0.2">
      <c r="A8" s="152"/>
      <c r="B8" s="152"/>
      <c r="C8" s="153"/>
      <c r="D8" s="153"/>
      <c r="E8" s="153"/>
      <c r="F8" s="153"/>
      <c r="G8" s="153"/>
      <c r="H8" s="153"/>
      <c r="K8" s="114"/>
    </row>
    <row r="9" spans="1:13" ht="12" customHeight="1" x14ac:dyDescent="0.2">
      <c r="A9" s="7"/>
      <c r="D9" s="128" t="s">
        <v>72</v>
      </c>
      <c r="E9" s="128"/>
      <c r="F9" s="128"/>
    </row>
    <row r="10" spans="1:13" s="10" customFormat="1" ht="30" customHeight="1" x14ac:dyDescent="0.2">
      <c r="A10" s="10" t="s">
        <v>22</v>
      </c>
      <c r="B10" s="10" t="s">
        <v>74</v>
      </c>
      <c r="C10" s="10" t="s">
        <v>51</v>
      </c>
      <c r="D10" s="10" t="s">
        <v>75</v>
      </c>
      <c r="E10" s="10" t="s">
        <v>76</v>
      </c>
      <c r="F10" s="10" t="s">
        <v>77</v>
      </c>
      <c r="G10" s="10" t="s">
        <v>78</v>
      </c>
      <c r="H10" s="10" t="s">
        <v>79</v>
      </c>
      <c r="I10" s="130"/>
      <c r="J10" s="10" t="s">
        <v>80</v>
      </c>
      <c r="L10" s="3"/>
      <c r="M10" s="3"/>
    </row>
    <row r="11" spans="1:13" hidden="1" x14ac:dyDescent="0.2">
      <c r="A11" s="131" t="s">
        <v>84</v>
      </c>
      <c r="B11" s="131"/>
      <c r="C11" s="131"/>
      <c r="D11" s="131"/>
      <c r="E11" s="131"/>
      <c r="F11" s="131"/>
      <c r="G11" s="131"/>
      <c r="H11" s="2">
        <v>158578.29</v>
      </c>
      <c r="I11" s="132"/>
      <c r="L11" s="115"/>
      <c r="M11" s="133"/>
    </row>
    <row r="12" spans="1:13" hidden="1" x14ac:dyDescent="0.2">
      <c r="A12" s="154">
        <f>'FERC Interest Rates'!A20</f>
        <v>41608</v>
      </c>
      <c r="D12" s="2">
        <v>24828.55</v>
      </c>
      <c r="F12" s="2">
        <f t="shared" ref="F12:F13" si="0">ROUND(H11*VLOOKUP(A12,FERCINT13,2)/365*VLOOKUP(A12,FERCINT13,3),2)</f>
        <v>423.6</v>
      </c>
      <c r="H12" s="2">
        <f t="shared" ref="H12:H36" si="1">+SUM(D12:G12)+H11</f>
        <v>183830.44</v>
      </c>
      <c r="I12" s="132"/>
      <c r="J12" s="2">
        <v>183830.44</v>
      </c>
      <c r="L12" s="115"/>
      <c r="M12" s="133"/>
    </row>
    <row r="13" spans="1:13" hidden="1" x14ac:dyDescent="0.2">
      <c r="A13" s="154">
        <f>'FERC Interest Rates'!A21</f>
        <v>41639</v>
      </c>
      <c r="D13" s="2">
        <v>61920.67</v>
      </c>
      <c r="F13" s="2">
        <f t="shared" si="0"/>
        <v>507.42</v>
      </c>
      <c r="H13" s="2">
        <f t="shared" si="1"/>
        <v>246258.53</v>
      </c>
      <c r="I13" s="132"/>
      <c r="J13" s="2">
        <v>246258.53</v>
      </c>
      <c r="L13" s="115"/>
      <c r="M13" s="133"/>
    </row>
    <row r="14" spans="1:13" hidden="1" x14ac:dyDescent="0.2">
      <c r="A14" s="154">
        <f>'FERC Interest Rates'!A22</f>
        <v>41670</v>
      </c>
      <c r="D14" s="2">
        <v>106224.99</v>
      </c>
      <c r="F14" s="2">
        <f t="shared" ref="F14:F26" si="2">ROUND(H13*VLOOKUP(A14,FERCINT14,2)/365*VLOOKUP(A14,FERCINT14,3),2)</f>
        <v>679.74</v>
      </c>
      <c r="H14" s="2">
        <f t="shared" si="1"/>
        <v>353163.26</v>
      </c>
      <c r="I14" s="132"/>
      <c r="J14" s="2">
        <v>353163.26</v>
      </c>
      <c r="L14" s="115"/>
      <c r="M14" s="133"/>
    </row>
    <row r="15" spans="1:13" hidden="1" x14ac:dyDescent="0.2">
      <c r="A15" s="154">
        <f>'FERC Interest Rates'!A23</f>
        <v>41698</v>
      </c>
      <c r="D15" s="2">
        <f>16449+6136.5</f>
        <v>22585.5</v>
      </c>
      <c r="F15" s="2">
        <f t="shared" si="2"/>
        <v>880.49</v>
      </c>
      <c r="H15" s="2">
        <f t="shared" si="1"/>
        <v>376629.25</v>
      </c>
      <c r="I15" s="132"/>
      <c r="J15" s="2">
        <v>376723.59</v>
      </c>
      <c r="L15" s="115"/>
      <c r="M15" s="133"/>
    </row>
    <row r="16" spans="1:13" hidden="1" x14ac:dyDescent="0.2">
      <c r="A16" s="154">
        <f>'FERC Interest Rates'!A24</f>
        <v>41729</v>
      </c>
      <c r="D16" s="2">
        <f>11600+4102.2</f>
        <v>15702.2</v>
      </c>
      <c r="F16" s="2">
        <f t="shared" si="2"/>
        <v>1039.5999999999999</v>
      </c>
      <c r="H16" s="2">
        <f t="shared" si="1"/>
        <v>393371.05</v>
      </c>
      <c r="I16" s="132"/>
      <c r="J16" s="2">
        <v>393465.65</v>
      </c>
      <c r="L16" s="115"/>
      <c r="M16" s="133"/>
    </row>
    <row r="17" spans="1:13" hidden="1" x14ac:dyDescent="0.2">
      <c r="A17" s="154">
        <f>'FERC Interest Rates'!A25</f>
        <v>41759</v>
      </c>
      <c r="D17" s="2">
        <v>6983.2</v>
      </c>
      <c r="F17" s="2">
        <f t="shared" si="2"/>
        <v>1050.79</v>
      </c>
      <c r="H17" s="2">
        <f t="shared" si="1"/>
        <v>401405.04</v>
      </c>
      <c r="I17" s="132"/>
      <c r="J17" s="2">
        <v>401405.04</v>
      </c>
      <c r="L17" s="115"/>
      <c r="M17" s="133"/>
    </row>
    <row r="18" spans="1:13" hidden="1" x14ac:dyDescent="0.2">
      <c r="A18" s="154">
        <f>'FERC Interest Rates'!A26</f>
        <v>41790</v>
      </c>
      <c r="D18" s="2">
        <v>23544</v>
      </c>
      <c r="F18" s="2">
        <f t="shared" si="2"/>
        <v>1107.99</v>
      </c>
      <c r="H18" s="2">
        <f t="shared" si="1"/>
        <v>426057.02999999997</v>
      </c>
      <c r="I18" s="132"/>
      <c r="J18" s="2">
        <v>426057.03</v>
      </c>
      <c r="L18" s="115"/>
      <c r="M18" s="133"/>
    </row>
    <row r="19" spans="1:13" hidden="1" x14ac:dyDescent="0.2">
      <c r="A19" s="154">
        <f>'FERC Interest Rates'!A27</f>
        <v>41820</v>
      </c>
      <c r="D19" s="2">
        <v>-3291</v>
      </c>
      <c r="F19" s="2">
        <f t="shared" si="2"/>
        <v>1138.0999999999999</v>
      </c>
      <c r="H19" s="2">
        <f t="shared" si="1"/>
        <v>423904.12999999995</v>
      </c>
      <c r="I19" s="132"/>
      <c r="J19" s="2">
        <v>423904.13</v>
      </c>
      <c r="L19" s="115"/>
      <c r="M19" s="133"/>
    </row>
    <row r="20" spans="1:13" hidden="1" x14ac:dyDescent="0.2">
      <c r="A20" s="154">
        <f>'FERC Interest Rates'!A28</f>
        <v>41851</v>
      </c>
      <c r="D20" s="2">
        <v>54271</v>
      </c>
      <c r="F20" s="2">
        <f t="shared" si="2"/>
        <v>1170.0899999999999</v>
      </c>
      <c r="H20" s="2">
        <f t="shared" si="1"/>
        <v>479345.22</v>
      </c>
      <c r="I20" s="132"/>
      <c r="J20" s="2">
        <v>479345.22</v>
      </c>
      <c r="L20" s="115"/>
      <c r="M20" s="133"/>
    </row>
    <row r="21" spans="1:13" hidden="1" x14ac:dyDescent="0.2">
      <c r="A21" s="154">
        <f>'FERC Interest Rates'!A29</f>
        <v>41882</v>
      </c>
      <c r="D21" s="2">
        <v>6460</v>
      </c>
      <c r="F21" s="2">
        <f t="shared" si="2"/>
        <v>1323.12</v>
      </c>
      <c r="H21" s="2">
        <f t="shared" si="1"/>
        <v>487128.33999999997</v>
      </c>
      <c r="I21" s="132"/>
      <c r="J21" s="2">
        <v>487128.34</v>
      </c>
      <c r="L21" s="115"/>
      <c r="M21" s="133"/>
    </row>
    <row r="22" spans="1:13" hidden="1" x14ac:dyDescent="0.2">
      <c r="A22" s="154">
        <f>'FERC Interest Rates'!A30</f>
        <v>41912</v>
      </c>
      <c r="D22" s="2">
        <v>97919.2</v>
      </c>
      <c r="F22" s="2">
        <f t="shared" si="2"/>
        <v>1301.23</v>
      </c>
      <c r="H22" s="2">
        <f t="shared" si="1"/>
        <v>586348.77</v>
      </c>
      <c r="I22" s="132"/>
      <c r="J22" s="2">
        <v>586348.77</v>
      </c>
      <c r="L22" s="115"/>
      <c r="M22" s="133"/>
    </row>
    <row r="23" spans="1:13" hidden="1" x14ac:dyDescent="0.2">
      <c r="A23" s="154">
        <f>'FERC Interest Rates'!A31</f>
        <v>41943</v>
      </c>
      <c r="D23" s="2">
        <v>4238.3</v>
      </c>
      <c r="F23" s="2">
        <f t="shared" si="2"/>
        <v>1618.48</v>
      </c>
      <c r="H23" s="2">
        <f t="shared" si="1"/>
        <v>592205.55000000005</v>
      </c>
      <c r="I23" s="136"/>
      <c r="J23" s="2">
        <v>592205.55000000005</v>
      </c>
      <c r="L23" s="115"/>
      <c r="M23" s="133"/>
    </row>
    <row r="24" spans="1:13" hidden="1" x14ac:dyDescent="0.2">
      <c r="A24" s="137" t="s">
        <v>122</v>
      </c>
      <c r="B24" s="137"/>
      <c r="C24" s="137"/>
      <c r="D24" s="137"/>
      <c r="E24" s="137"/>
      <c r="F24" s="137"/>
      <c r="G24" s="2">
        <v>-483282.64</v>
      </c>
      <c r="H24" s="2">
        <f t="shared" si="1"/>
        <v>108922.91000000003</v>
      </c>
      <c r="I24" s="136"/>
    </row>
    <row r="25" spans="1:13" hidden="1" x14ac:dyDescent="0.2">
      <c r="A25" s="154">
        <f>'FERC Interest Rates'!A32</f>
        <v>41973</v>
      </c>
      <c r="D25" s="2">
        <v>33374.75</v>
      </c>
      <c r="F25" s="2">
        <f t="shared" si="2"/>
        <v>290.95999999999998</v>
      </c>
      <c r="H25" s="2">
        <f t="shared" si="1"/>
        <v>142588.62000000002</v>
      </c>
      <c r="I25" s="136"/>
      <c r="J25" s="2">
        <v>142588.62</v>
      </c>
      <c r="L25" s="115"/>
      <c r="M25" s="133"/>
    </row>
    <row r="26" spans="1:13" hidden="1" x14ac:dyDescent="0.2">
      <c r="A26" s="154">
        <f>'FERC Interest Rates'!A33</f>
        <v>42004</v>
      </c>
      <c r="D26" s="2">
        <v>21640</v>
      </c>
      <c r="F26" s="2">
        <f t="shared" si="2"/>
        <v>393.58</v>
      </c>
      <c r="H26" s="2">
        <f t="shared" si="1"/>
        <v>164622.20000000001</v>
      </c>
      <c r="I26" s="136"/>
      <c r="J26" s="2">
        <v>164622.20000000001</v>
      </c>
      <c r="L26" s="115"/>
      <c r="M26" s="133"/>
    </row>
    <row r="27" spans="1:13" hidden="1" x14ac:dyDescent="0.2">
      <c r="A27" s="154">
        <f>'FERC Interest Rates'!A34</f>
        <v>42035</v>
      </c>
      <c r="D27" s="2">
        <v>37399</v>
      </c>
      <c r="F27" s="2">
        <f t="shared" ref="F27:F36" si="3">ROUND(H26*VLOOKUP(A27,FERCINT15,2)/365*VLOOKUP(A27,FERCINT15,3),2)</f>
        <v>454.4</v>
      </c>
      <c r="H27" s="2">
        <f t="shared" si="1"/>
        <v>202475.6</v>
      </c>
      <c r="I27" s="136"/>
      <c r="J27" s="2">
        <v>202475.6</v>
      </c>
      <c r="L27" s="115"/>
      <c r="M27" s="133"/>
    </row>
    <row r="28" spans="1:13" hidden="1" x14ac:dyDescent="0.2">
      <c r="A28" s="154">
        <f>'FERC Interest Rates'!A35</f>
        <v>42063</v>
      </c>
      <c r="D28" s="2">
        <v>55859</v>
      </c>
      <c r="F28" s="2">
        <f t="shared" si="3"/>
        <v>504.8</v>
      </c>
      <c r="H28" s="2">
        <f t="shared" si="1"/>
        <v>258839.40000000002</v>
      </c>
      <c r="I28" s="136"/>
      <c r="J28" s="2">
        <v>258839.4</v>
      </c>
      <c r="L28" s="115"/>
      <c r="M28" s="133"/>
    </row>
    <row r="29" spans="1:13" hidden="1" x14ac:dyDescent="0.2">
      <c r="A29" s="154">
        <f>'FERC Interest Rates'!A36</f>
        <v>42094</v>
      </c>
      <c r="D29" s="2">
        <v>169431.4</v>
      </c>
      <c r="F29" s="2">
        <f t="shared" si="3"/>
        <v>714.47</v>
      </c>
      <c r="H29" s="2">
        <f t="shared" si="1"/>
        <v>428985.27</v>
      </c>
      <c r="I29" s="136"/>
      <c r="J29" s="2">
        <v>428985.27</v>
      </c>
      <c r="L29" s="115"/>
      <c r="M29" s="133"/>
    </row>
    <row r="30" spans="1:13" hidden="1" x14ac:dyDescent="0.2">
      <c r="A30" s="154">
        <f>'FERC Interest Rates'!A37</f>
        <v>42124</v>
      </c>
      <c r="D30" s="2">
        <v>28883.5</v>
      </c>
      <c r="F30" s="2">
        <f t="shared" si="3"/>
        <v>1145.92</v>
      </c>
      <c r="H30" s="2">
        <f t="shared" si="1"/>
        <v>459014.69</v>
      </c>
      <c r="I30" s="136"/>
      <c r="J30" s="2">
        <v>459014.69</v>
      </c>
      <c r="L30" s="115"/>
      <c r="M30" s="133"/>
    </row>
    <row r="31" spans="1:13" hidden="1" x14ac:dyDescent="0.2">
      <c r="A31" s="154">
        <f>'FERC Interest Rates'!A38</f>
        <v>42155</v>
      </c>
      <c r="D31" s="2">
        <v>5600</v>
      </c>
      <c r="F31" s="2">
        <f t="shared" si="3"/>
        <v>1267.01</v>
      </c>
      <c r="H31" s="2">
        <f t="shared" si="1"/>
        <v>465881.7</v>
      </c>
      <c r="I31" s="136"/>
      <c r="J31" s="2">
        <v>465881.7</v>
      </c>
      <c r="L31" s="115"/>
      <c r="M31" s="133"/>
    </row>
    <row r="32" spans="1:13" hidden="1" x14ac:dyDescent="0.2">
      <c r="A32" s="154">
        <f>'FERC Interest Rates'!A39</f>
        <v>42185</v>
      </c>
      <c r="D32" s="2">
        <v>9188</v>
      </c>
      <c r="F32" s="2">
        <f t="shared" si="3"/>
        <v>1244.48</v>
      </c>
      <c r="H32" s="2">
        <f t="shared" si="1"/>
        <v>476314.18</v>
      </c>
      <c r="I32" s="136"/>
      <c r="J32" s="2">
        <v>476314.18</v>
      </c>
      <c r="L32" s="115"/>
      <c r="M32" s="133"/>
    </row>
    <row r="33" spans="1:13" hidden="1" x14ac:dyDescent="0.2">
      <c r="A33" s="154">
        <f>'FERC Interest Rates'!A40</f>
        <v>42216</v>
      </c>
      <c r="D33" s="2">
        <v>51916.2</v>
      </c>
      <c r="F33" s="2">
        <f t="shared" si="3"/>
        <v>1314.76</v>
      </c>
      <c r="H33" s="2">
        <f t="shared" si="1"/>
        <v>529545.14</v>
      </c>
      <c r="I33" s="136"/>
      <c r="J33" s="2">
        <v>529545.14</v>
      </c>
      <c r="L33" s="115"/>
      <c r="M33" s="133"/>
    </row>
    <row r="34" spans="1:13" hidden="1" x14ac:dyDescent="0.2">
      <c r="A34" s="154">
        <f>'FERC Interest Rates'!A41</f>
        <v>42247</v>
      </c>
      <c r="D34" s="2">
        <v>9960</v>
      </c>
      <c r="F34" s="2">
        <f t="shared" si="3"/>
        <v>1461.69</v>
      </c>
      <c r="H34" s="2">
        <f t="shared" si="1"/>
        <v>540966.82999999996</v>
      </c>
      <c r="I34" s="136"/>
      <c r="J34" s="2">
        <v>540966.82999999996</v>
      </c>
      <c r="L34" s="115"/>
      <c r="M34" s="133"/>
    </row>
    <row r="35" spans="1:13" hidden="1" x14ac:dyDescent="0.2">
      <c r="A35" s="154">
        <f>'FERC Interest Rates'!A42</f>
        <v>42277</v>
      </c>
      <c r="D35" s="2">
        <v>171485.2</v>
      </c>
      <c r="F35" s="2">
        <f>ROUND(H34*VLOOKUP(A35,FERCINT15,2)/365*VLOOKUP(A35,FERCINT15,3),2)</f>
        <v>1445.05</v>
      </c>
      <c r="H35" s="2">
        <f>+SUM(D35:G35)+H34</f>
        <v>713897.08</v>
      </c>
      <c r="I35" s="136"/>
      <c r="J35" s="2">
        <v>713897.08</v>
      </c>
      <c r="L35" s="115"/>
      <c r="M35" s="133"/>
    </row>
    <row r="36" spans="1:13" hidden="1" x14ac:dyDescent="0.2">
      <c r="A36" s="154">
        <f>'FERC Interest Rates'!A43</f>
        <v>42308</v>
      </c>
      <c r="D36" s="2">
        <v>63970</v>
      </c>
      <c r="F36" s="2">
        <f t="shared" si="3"/>
        <v>1970.55</v>
      </c>
      <c r="H36" s="2">
        <f t="shared" si="1"/>
        <v>779837.63</v>
      </c>
      <c r="I36" s="136"/>
      <c r="J36" s="2">
        <v>779837.63</v>
      </c>
      <c r="L36" s="115"/>
      <c r="M36" s="133"/>
    </row>
    <row r="37" spans="1:13" hidden="1" x14ac:dyDescent="0.2">
      <c r="A37" s="154">
        <f>'FERC Interest Rates'!A44</f>
        <v>42338</v>
      </c>
      <c r="D37" s="2">
        <v>0</v>
      </c>
      <c r="F37" s="2">
        <f t="shared" ref="F37:F39" si="4">ROUND(H36*VLOOKUP(A37,FERCINT15,2)/365*VLOOKUP(A37,FERCINT15,3),2)</f>
        <v>2083.13</v>
      </c>
      <c r="H37" s="2">
        <f t="shared" ref="H37:H75" si="5">+SUM(D37:G37)+H36</f>
        <v>781920.76</v>
      </c>
      <c r="I37" s="136"/>
      <c r="J37" s="2">
        <v>781920.76</v>
      </c>
      <c r="L37" s="115"/>
      <c r="M37" s="133"/>
    </row>
    <row r="38" spans="1:13" hidden="1" x14ac:dyDescent="0.2">
      <c r="A38" s="137" t="s">
        <v>123</v>
      </c>
      <c r="B38" s="137"/>
      <c r="C38" s="137"/>
      <c r="D38" s="137"/>
      <c r="E38" s="137"/>
      <c r="F38" s="137"/>
      <c r="G38" s="2">
        <v>-535321.06999999995</v>
      </c>
      <c r="H38" s="2">
        <f t="shared" si="5"/>
        <v>246599.69000000006</v>
      </c>
      <c r="I38" s="136"/>
      <c r="L38" s="115"/>
      <c r="M38" s="133"/>
    </row>
    <row r="39" spans="1:13" hidden="1" x14ac:dyDescent="0.2">
      <c r="A39" s="154">
        <f>'FERC Interest Rates'!A45</f>
        <v>42369</v>
      </c>
      <c r="D39" s="2">
        <v>106186</v>
      </c>
      <c r="F39" s="2">
        <f t="shared" si="4"/>
        <v>680.68</v>
      </c>
      <c r="H39" s="2">
        <f t="shared" si="5"/>
        <v>353466.37000000005</v>
      </c>
      <c r="I39" s="136"/>
      <c r="J39" s="2">
        <v>353466.37</v>
      </c>
      <c r="L39" s="115"/>
      <c r="M39" s="133"/>
    </row>
    <row r="40" spans="1:13" hidden="1" x14ac:dyDescent="0.2">
      <c r="A40" s="154">
        <f>'FERC Interest Rates'!A46</f>
        <v>42400</v>
      </c>
      <c r="D40" s="2">
        <v>42155</v>
      </c>
      <c r="F40" s="2">
        <f t="shared" ref="F40:F52" si="6">ROUND(H39*VLOOKUP(A40,FERCINT16,2)/365*VLOOKUP(A40,FERCINT16,3),2)</f>
        <v>975.66</v>
      </c>
      <c r="H40" s="2">
        <f t="shared" si="5"/>
        <v>396597.03</v>
      </c>
      <c r="I40" s="136"/>
      <c r="J40" s="2">
        <v>396597.03</v>
      </c>
      <c r="L40" s="115"/>
      <c r="M40" s="133"/>
    </row>
    <row r="41" spans="1:13" hidden="1" x14ac:dyDescent="0.2">
      <c r="A41" s="154">
        <f>'FERC Interest Rates'!A47</f>
        <v>42429</v>
      </c>
      <c r="D41" s="2">
        <v>46723.95</v>
      </c>
      <c r="F41" s="2">
        <f t="shared" si="6"/>
        <v>1024.0899999999999</v>
      </c>
      <c r="H41" s="2">
        <f t="shared" si="5"/>
        <v>444345.07</v>
      </c>
      <c r="I41" s="136"/>
      <c r="J41" s="2">
        <v>444345.07</v>
      </c>
      <c r="L41" s="115"/>
      <c r="M41" s="133"/>
    </row>
    <row r="42" spans="1:13" hidden="1" x14ac:dyDescent="0.2">
      <c r="A42" s="154">
        <f>'FERC Interest Rates'!A48</f>
        <v>42460</v>
      </c>
      <c r="D42" s="2">
        <v>4550</v>
      </c>
      <c r="F42" s="2">
        <f t="shared" si="6"/>
        <v>1226.51</v>
      </c>
      <c r="H42" s="2">
        <f t="shared" si="5"/>
        <v>450121.58</v>
      </c>
      <c r="I42" s="136"/>
      <c r="J42" s="2">
        <v>450121.58</v>
      </c>
      <c r="L42" s="115"/>
      <c r="M42" s="133"/>
    </row>
    <row r="43" spans="1:13" hidden="1" x14ac:dyDescent="0.2">
      <c r="A43" s="154">
        <f>'FERC Interest Rates'!A49</f>
        <v>42490</v>
      </c>
      <c r="D43" s="2">
        <v>4473</v>
      </c>
      <c r="F43" s="2">
        <f t="shared" si="6"/>
        <v>1280.07</v>
      </c>
      <c r="H43" s="2">
        <f t="shared" si="5"/>
        <v>455874.65</v>
      </c>
      <c r="I43" s="136"/>
      <c r="J43" s="2">
        <v>455874.65</v>
      </c>
      <c r="L43" s="115"/>
      <c r="M43" s="133"/>
    </row>
    <row r="44" spans="1:13" hidden="1" x14ac:dyDescent="0.2">
      <c r="A44" s="154">
        <f>'FERC Interest Rates'!A50</f>
        <v>42521</v>
      </c>
      <c r="D44" s="2">
        <v>40528</v>
      </c>
      <c r="F44" s="2">
        <f t="shared" si="6"/>
        <v>1339.65</v>
      </c>
      <c r="H44" s="2">
        <f t="shared" si="5"/>
        <v>497742.30000000005</v>
      </c>
      <c r="I44" s="136"/>
      <c r="J44" s="2">
        <v>497742.3</v>
      </c>
      <c r="L44" s="115"/>
      <c r="M44" s="133"/>
    </row>
    <row r="45" spans="1:13" hidden="1" x14ac:dyDescent="0.2">
      <c r="A45" s="154">
        <f>'FERC Interest Rates'!A51</f>
        <v>42551</v>
      </c>
      <c r="D45" s="2">
        <v>6989</v>
      </c>
      <c r="F45" s="2">
        <f t="shared" si="6"/>
        <v>1415.5</v>
      </c>
      <c r="H45" s="2">
        <f t="shared" si="5"/>
        <v>506146.80000000005</v>
      </c>
      <c r="I45" s="136"/>
      <c r="J45" s="2">
        <v>506146.8</v>
      </c>
      <c r="L45" s="115"/>
      <c r="M45" s="133"/>
    </row>
    <row r="46" spans="1:13" hidden="1" x14ac:dyDescent="0.2">
      <c r="A46" s="154">
        <f>'FERC Interest Rates'!A52</f>
        <v>42582</v>
      </c>
      <c r="D46" s="2">
        <f>2580+4908</f>
        <v>7488</v>
      </c>
      <c r="F46" s="2">
        <f t="shared" si="6"/>
        <v>1504.57</v>
      </c>
      <c r="H46" s="2">
        <f t="shared" si="5"/>
        <v>515139.37000000005</v>
      </c>
      <c r="I46" s="136"/>
      <c r="J46" s="2">
        <v>515139.37</v>
      </c>
      <c r="L46" s="115"/>
      <c r="M46" s="133"/>
    </row>
    <row r="47" spans="1:13" hidden="1" x14ac:dyDescent="0.2">
      <c r="A47" s="154">
        <f>'FERC Interest Rates'!A53</f>
        <v>42613</v>
      </c>
      <c r="D47" s="2">
        <v>19963.5</v>
      </c>
      <c r="F47" s="2">
        <f t="shared" si="6"/>
        <v>1531.3</v>
      </c>
      <c r="H47" s="2">
        <f t="shared" si="5"/>
        <v>536634.17000000004</v>
      </c>
      <c r="I47" s="136"/>
      <c r="J47" s="2">
        <v>536634.17000000004</v>
      </c>
      <c r="L47" s="115"/>
      <c r="M47" s="133"/>
    </row>
    <row r="48" spans="1:13" hidden="1" x14ac:dyDescent="0.2">
      <c r="A48" s="154">
        <f>'FERC Interest Rates'!A54</f>
        <v>42643</v>
      </c>
      <c r="D48" s="2">
        <f>22375+2149.65</f>
        <v>24524.65</v>
      </c>
      <c r="F48" s="2">
        <f t="shared" si="6"/>
        <v>1543.74</v>
      </c>
      <c r="H48" s="2">
        <f t="shared" si="5"/>
        <v>562702.56000000006</v>
      </c>
      <c r="I48" s="136"/>
      <c r="J48" s="2">
        <v>562702.56000000006</v>
      </c>
      <c r="L48" s="115"/>
      <c r="M48" s="133"/>
    </row>
    <row r="49" spans="1:13" hidden="1" x14ac:dyDescent="0.2">
      <c r="A49" s="154">
        <f>'FERC Interest Rates'!A55</f>
        <v>42674</v>
      </c>
      <c r="D49" s="2">
        <v>0</v>
      </c>
      <c r="F49" s="2">
        <f t="shared" si="6"/>
        <v>1672.69</v>
      </c>
      <c r="H49" s="2">
        <f t="shared" si="5"/>
        <v>564375.25</v>
      </c>
      <c r="I49" s="136"/>
      <c r="J49" s="2">
        <v>564375.25</v>
      </c>
      <c r="L49" s="115"/>
      <c r="M49" s="133"/>
    </row>
    <row r="50" spans="1:13" hidden="1" x14ac:dyDescent="0.2">
      <c r="A50" s="137" t="s">
        <v>124</v>
      </c>
      <c r="B50" s="137"/>
      <c r="C50" s="137"/>
      <c r="D50" s="137"/>
      <c r="E50" s="137"/>
      <c r="F50" s="137"/>
      <c r="G50" s="2">
        <v>-519697.25</v>
      </c>
      <c r="H50" s="2">
        <f t="shared" si="5"/>
        <v>44678</v>
      </c>
      <c r="I50" s="136"/>
      <c r="L50" s="115"/>
      <c r="M50" s="133"/>
    </row>
    <row r="51" spans="1:13" hidden="1" x14ac:dyDescent="0.2">
      <c r="A51" s="154">
        <f>'FERC Interest Rates'!A56</f>
        <v>42704</v>
      </c>
      <c r="D51" s="2">
        <v>213476.98</v>
      </c>
      <c r="F51" s="2">
        <f t="shared" si="6"/>
        <v>128.53</v>
      </c>
      <c r="H51" s="2">
        <f t="shared" si="5"/>
        <v>258283.51</v>
      </c>
      <c r="I51" s="136"/>
      <c r="J51" s="2">
        <v>258154.98</v>
      </c>
      <c r="L51" s="115"/>
      <c r="M51" s="133"/>
    </row>
    <row r="52" spans="1:13" hidden="1" x14ac:dyDescent="0.2">
      <c r="A52" s="154">
        <f>'FERC Interest Rates'!A57</f>
        <v>42735</v>
      </c>
      <c r="D52" s="2">
        <f>42403.12+40955.44</f>
        <v>83358.559999999998</v>
      </c>
      <c r="F52" s="2">
        <f t="shared" si="6"/>
        <v>767.77</v>
      </c>
      <c r="H52" s="2">
        <f t="shared" si="5"/>
        <v>342409.84</v>
      </c>
      <c r="I52" s="136"/>
      <c r="J52" s="2">
        <v>342409.84</v>
      </c>
      <c r="L52" s="115"/>
      <c r="M52" s="133"/>
    </row>
    <row r="53" spans="1:13" hidden="1" x14ac:dyDescent="0.2">
      <c r="A53" s="154">
        <f>'FERC Interest Rates'!A58</f>
        <v>42766</v>
      </c>
      <c r="D53" s="2">
        <v>0</v>
      </c>
      <c r="F53" s="2">
        <f t="shared" ref="F53:F62" si="7">ROUND(H52*VLOOKUP(A53,FERCINT17,2)/365*VLOOKUP(A53,FERCINT17,3),2)</f>
        <v>1017.85</v>
      </c>
      <c r="H53" s="2">
        <f t="shared" si="5"/>
        <v>343427.69</v>
      </c>
      <c r="I53" s="136"/>
      <c r="J53" s="2">
        <v>343427.69</v>
      </c>
      <c r="L53" s="115"/>
      <c r="M53" s="133"/>
    </row>
    <row r="54" spans="1:13" hidden="1" x14ac:dyDescent="0.2">
      <c r="A54" s="154">
        <f>'FERC Interest Rates'!A59</f>
        <v>42794</v>
      </c>
      <c r="D54" s="2">
        <f>10882.25+29905</f>
        <v>40787.25</v>
      </c>
      <c r="F54" s="2">
        <f t="shared" si="7"/>
        <v>922.08</v>
      </c>
      <c r="H54" s="2">
        <f t="shared" si="5"/>
        <v>385137.02</v>
      </c>
      <c r="I54" s="136"/>
      <c r="J54" s="2">
        <v>385137.02</v>
      </c>
      <c r="L54" s="115"/>
      <c r="M54" s="133"/>
    </row>
    <row r="55" spans="1:13" hidden="1" x14ac:dyDescent="0.2">
      <c r="A55" s="154">
        <f>'FERC Interest Rates'!A60</f>
        <v>42825</v>
      </c>
      <c r="D55" s="2">
        <f>1091.24+3400</f>
        <v>4491.24</v>
      </c>
      <c r="F55" s="2">
        <f t="shared" si="7"/>
        <v>1144.8599999999999</v>
      </c>
      <c r="H55" s="2">
        <f t="shared" si="5"/>
        <v>390773.12</v>
      </c>
      <c r="I55" s="136"/>
      <c r="J55" s="2">
        <v>390773.12</v>
      </c>
      <c r="L55" s="115"/>
      <c r="M55" s="133"/>
    </row>
    <row r="56" spans="1:13" hidden="1" x14ac:dyDescent="0.2">
      <c r="A56" s="154">
        <f>'FERC Interest Rates'!A61</f>
        <v>42855</v>
      </c>
      <c r="D56" s="2">
        <v>28779.5</v>
      </c>
      <c r="F56" s="2">
        <f t="shared" si="7"/>
        <v>1191.5899999999999</v>
      </c>
      <c r="H56" s="2">
        <f t="shared" si="5"/>
        <v>420744.21</v>
      </c>
      <c r="I56" s="136"/>
      <c r="J56" s="2">
        <v>420744.21</v>
      </c>
      <c r="L56" s="115"/>
      <c r="M56" s="133"/>
    </row>
    <row r="57" spans="1:13" hidden="1" x14ac:dyDescent="0.2">
      <c r="A57" s="154">
        <f>'FERC Interest Rates'!A62</f>
        <v>42886</v>
      </c>
      <c r="D57" s="2">
        <v>20974.400000000001</v>
      </c>
      <c r="F57" s="2">
        <f t="shared" si="7"/>
        <v>1325.75</v>
      </c>
      <c r="H57" s="2">
        <f t="shared" si="5"/>
        <v>443044.36000000004</v>
      </c>
      <c r="I57" s="136"/>
      <c r="J57" s="2">
        <v>443044.36</v>
      </c>
      <c r="L57" s="115"/>
      <c r="M57" s="133"/>
    </row>
    <row r="58" spans="1:13" hidden="1" x14ac:dyDescent="0.2">
      <c r="A58" s="154">
        <f>'FERC Interest Rates'!A63</f>
        <v>42916</v>
      </c>
      <c r="D58" s="2">
        <v>28083.65</v>
      </c>
      <c r="F58" s="2">
        <f t="shared" si="7"/>
        <v>1350.98</v>
      </c>
      <c r="H58" s="2">
        <f t="shared" si="5"/>
        <v>472478.99000000005</v>
      </c>
      <c r="I58" s="136"/>
      <c r="J58" s="2">
        <v>472478.99</v>
      </c>
      <c r="L58" s="115"/>
      <c r="M58" s="133"/>
    </row>
    <row r="59" spans="1:13" hidden="1" x14ac:dyDescent="0.2">
      <c r="A59" s="154">
        <f>'FERC Interest Rates'!A64</f>
        <v>42947</v>
      </c>
      <c r="D59" s="2">
        <f>2895-21442.5</f>
        <v>-18547.5</v>
      </c>
      <c r="F59" s="2">
        <f t="shared" si="7"/>
        <v>1589.08</v>
      </c>
      <c r="H59" s="2">
        <f t="shared" si="5"/>
        <v>455520.57000000007</v>
      </c>
      <c r="I59" s="136"/>
      <c r="J59" s="2">
        <v>455520.57</v>
      </c>
      <c r="L59" s="115"/>
      <c r="M59" s="133"/>
    </row>
    <row r="60" spans="1:13" hidden="1" x14ac:dyDescent="0.2">
      <c r="A60" s="154">
        <f>'FERC Interest Rates'!A65</f>
        <v>42978</v>
      </c>
      <c r="D60" s="2">
        <f>37068.84+39620.18-650-600</f>
        <v>75439.01999999999</v>
      </c>
      <c r="F60" s="2">
        <f t="shared" si="7"/>
        <v>1532.05</v>
      </c>
      <c r="H60" s="2">
        <f t="shared" si="5"/>
        <v>532491.64</v>
      </c>
      <c r="I60" s="136"/>
      <c r="J60" s="2">
        <v>532491.64</v>
      </c>
      <c r="L60" s="115"/>
      <c r="M60" s="133"/>
    </row>
    <row r="61" spans="1:13" hidden="1" x14ac:dyDescent="0.2">
      <c r="A61" s="154">
        <f>'FERC Interest Rates'!A66</f>
        <v>43008</v>
      </c>
      <c r="D61" s="2">
        <v>0</v>
      </c>
      <c r="F61" s="2">
        <f t="shared" si="7"/>
        <v>1733.15</v>
      </c>
      <c r="H61" s="2">
        <f t="shared" si="5"/>
        <v>534224.79</v>
      </c>
      <c r="I61" s="136"/>
      <c r="J61" s="2">
        <v>534224.79</v>
      </c>
      <c r="L61" s="115"/>
      <c r="M61" s="133"/>
    </row>
    <row r="62" spans="1:13" hidden="1" x14ac:dyDescent="0.2">
      <c r="A62" s="154">
        <f>'FERC Interest Rates'!A67</f>
        <v>43039</v>
      </c>
      <c r="D62" s="2">
        <f>25136+53412</f>
        <v>78548</v>
      </c>
      <c r="F62" s="2">
        <f t="shared" si="7"/>
        <v>1910.18</v>
      </c>
      <c r="H62" s="2">
        <f t="shared" si="5"/>
        <v>614682.97</v>
      </c>
      <c r="I62" s="136"/>
      <c r="J62" s="2">
        <v>614682.97</v>
      </c>
      <c r="L62" s="115"/>
      <c r="M62" s="133"/>
    </row>
    <row r="63" spans="1:13" hidden="1" x14ac:dyDescent="0.2">
      <c r="A63" s="137" t="s">
        <v>124</v>
      </c>
      <c r="B63" s="137"/>
      <c r="C63" s="137"/>
      <c r="D63" s="137"/>
      <c r="E63" s="137"/>
      <c r="F63" s="137"/>
      <c r="G63" s="2">
        <v>-460179.79</v>
      </c>
      <c r="H63" s="2">
        <f t="shared" si="5"/>
        <v>154503.18</v>
      </c>
      <c r="I63" s="136"/>
      <c r="L63" s="115"/>
      <c r="M63" s="133"/>
    </row>
    <row r="64" spans="1:13" hidden="1" x14ac:dyDescent="0.2">
      <c r="A64" s="154">
        <f>'FERC Interest Rates'!A68</f>
        <v>43069</v>
      </c>
      <c r="D64" s="2">
        <f>32939.25+17373</f>
        <v>50312.25</v>
      </c>
      <c r="F64" s="2">
        <f>ROUND(H63*VLOOKUP(A64,FERCINT17,2)/365*VLOOKUP(A64,FERCINT17,3),2)</f>
        <v>534.62</v>
      </c>
      <c r="H64" s="2">
        <f t="shared" si="5"/>
        <v>205350.05</v>
      </c>
      <c r="I64" s="136"/>
      <c r="J64" s="2">
        <v>205350.05</v>
      </c>
      <c r="L64" s="115"/>
      <c r="M64" s="133"/>
    </row>
    <row r="65" spans="1:13" hidden="1" x14ac:dyDescent="0.2">
      <c r="A65" s="154">
        <f>'FERC Interest Rates'!A69</f>
        <v>43100</v>
      </c>
      <c r="D65" s="2">
        <f>126561.3-734.25</f>
        <v>125827.05</v>
      </c>
      <c r="F65" s="2">
        <f>ROUND(H64*VLOOKUP(A65,FERCINT17,2)/365*VLOOKUP(A65,FERCINT17,3),2)</f>
        <v>734.25</v>
      </c>
      <c r="H65" s="2">
        <f t="shared" si="5"/>
        <v>331911.34999999998</v>
      </c>
      <c r="I65" s="136"/>
      <c r="J65" s="2">
        <v>331911.34999999998</v>
      </c>
      <c r="L65" s="115"/>
      <c r="M65" s="133"/>
    </row>
    <row r="66" spans="1:13" hidden="1" x14ac:dyDescent="0.2">
      <c r="A66" s="154">
        <f>'FERC Interest Rates'!A70</f>
        <v>43131</v>
      </c>
      <c r="D66" s="2">
        <v>16554.25</v>
      </c>
      <c r="F66" s="2">
        <f t="shared" ref="F66:F78" si="8">ROUND(H65*VLOOKUP(A66,FERCINT18,2)/365*VLOOKUP(A66,FERCINT18,3),2)</f>
        <v>1198.06</v>
      </c>
      <c r="H66" s="2">
        <f t="shared" si="5"/>
        <v>349663.66</v>
      </c>
      <c r="I66" s="136"/>
      <c r="J66" s="2">
        <v>349663.66</v>
      </c>
      <c r="L66" s="115"/>
      <c r="M66" s="133"/>
    </row>
    <row r="67" spans="1:13" hidden="1" x14ac:dyDescent="0.2">
      <c r="A67" s="154">
        <f>'FERC Interest Rates'!A71</f>
        <v>43159</v>
      </c>
      <c r="D67" s="2">
        <v>109895.15</v>
      </c>
      <c r="F67" s="2">
        <f t="shared" si="8"/>
        <v>1140</v>
      </c>
      <c r="H67" s="2">
        <f t="shared" si="5"/>
        <v>460698.80999999994</v>
      </c>
      <c r="I67" s="136"/>
      <c r="J67" s="2">
        <v>460698.81</v>
      </c>
      <c r="L67" s="115"/>
      <c r="M67" s="133"/>
    </row>
    <row r="68" spans="1:13" hidden="1" x14ac:dyDescent="0.2">
      <c r="A68" s="154">
        <f>'FERC Interest Rates'!A72</f>
        <v>43190</v>
      </c>
      <c r="D68" s="2">
        <v>0</v>
      </c>
      <c r="F68" s="2">
        <f t="shared" si="8"/>
        <v>1662.93</v>
      </c>
      <c r="H68" s="2">
        <f t="shared" si="5"/>
        <v>462361.73999999993</v>
      </c>
      <c r="I68" s="136"/>
      <c r="J68" s="2">
        <v>462361.74</v>
      </c>
      <c r="L68" s="115"/>
      <c r="M68" s="133"/>
    </row>
    <row r="69" spans="1:13" hidden="1" x14ac:dyDescent="0.2">
      <c r="A69" s="154">
        <f>'FERC Interest Rates'!A73</f>
        <v>43220</v>
      </c>
      <c r="D69" s="2">
        <v>58267.93</v>
      </c>
      <c r="F69" s="2">
        <f t="shared" si="8"/>
        <v>1698.7</v>
      </c>
      <c r="H69" s="2">
        <f t="shared" si="5"/>
        <v>522328.36999999994</v>
      </c>
      <c r="I69" s="136"/>
      <c r="J69" s="2">
        <v>522328.37</v>
      </c>
      <c r="L69" s="115"/>
      <c r="M69" s="133"/>
    </row>
    <row r="70" spans="1:13" hidden="1" x14ac:dyDescent="0.2">
      <c r="A70" s="154">
        <f>'FERC Interest Rates'!A74</f>
        <v>43251</v>
      </c>
      <c r="D70" s="2">
        <v>59699.5</v>
      </c>
      <c r="F70" s="2">
        <f t="shared" si="8"/>
        <v>1982.99</v>
      </c>
      <c r="H70" s="2">
        <f t="shared" si="5"/>
        <v>584010.86</v>
      </c>
      <c r="I70" s="136"/>
      <c r="J70" s="2">
        <v>584010.86</v>
      </c>
      <c r="L70" s="115"/>
      <c r="M70" s="133"/>
    </row>
    <row r="71" spans="1:13" hidden="1" x14ac:dyDescent="0.2">
      <c r="A71" s="154">
        <f>'FERC Interest Rates'!A75</f>
        <v>43281</v>
      </c>
      <c r="D71" s="2">
        <v>163358.29999999999</v>
      </c>
      <c r="F71" s="2">
        <f t="shared" si="8"/>
        <v>2145.64</v>
      </c>
      <c r="H71" s="2">
        <f t="shared" si="5"/>
        <v>749514.8</v>
      </c>
      <c r="I71" s="136"/>
      <c r="J71" s="2">
        <v>749514.8</v>
      </c>
      <c r="L71" s="115"/>
      <c r="M71" s="133"/>
    </row>
    <row r="72" spans="1:13" hidden="1" x14ac:dyDescent="0.2">
      <c r="A72" s="154">
        <f>'FERC Interest Rates'!A76</f>
        <v>43312</v>
      </c>
      <c r="D72" s="2">
        <v>105554.05</v>
      </c>
      <c r="F72" s="2">
        <f t="shared" si="8"/>
        <v>2985.53</v>
      </c>
      <c r="H72" s="2">
        <f t="shared" si="5"/>
        <v>858054.38</v>
      </c>
      <c r="I72" s="136"/>
      <c r="J72" s="2">
        <v>858054.38</v>
      </c>
      <c r="L72" s="115"/>
      <c r="M72" s="133"/>
    </row>
    <row r="73" spans="1:13" hidden="1" x14ac:dyDescent="0.2">
      <c r="A73" s="154">
        <f>'FERC Interest Rates'!A77</f>
        <v>43343</v>
      </c>
      <c r="D73" s="2">
        <v>42842.2</v>
      </c>
      <c r="F73" s="2">
        <f t="shared" si="8"/>
        <v>3417.88</v>
      </c>
      <c r="H73" s="2">
        <f t="shared" si="5"/>
        <v>904314.46</v>
      </c>
      <c r="I73" s="136"/>
      <c r="J73" s="2">
        <v>904314.46</v>
      </c>
      <c r="L73" s="115"/>
      <c r="M73" s="133"/>
    </row>
    <row r="74" spans="1:13" hidden="1" x14ac:dyDescent="0.2">
      <c r="A74" s="154">
        <f>'FERC Interest Rates'!A78</f>
        <v>43373</v>
      </c>
      <c r="D74" s="2">
        <v>0</v>
      </c>
      <c r="F74" s="2">
        <f t="shared" si="8"/>
        <v>3485.95</v>
      </c>
      <c r="H74" s="2">
        <f t="shared" si="5"/>
        <v>907800.40999999992</v>
      </c>
      <c r="I74" s="136"/>
      <c r="J74" s="2">
        <v>907800.41</v>
      </c>
      <c r="L74" s="115"/>
      <c r="M74" s="133"/>
    </row>
    <row r="75" spans="1:13" hidden="1" x14ac:dyDescent="0.2">
      <c r="A75" s="154">
        <f>'FERC Interest Rates'!A79</f>
        <v>43404</v>
      </c>
      <c r="D75" s="2">
        <v>245757.14</v>
      </c>
      <c r="F75" s="2">
        <f t="shared" si="8"/>
        <v>3824.2</v>
      </c>
      <c r="H75" s="2">
        <f t="shared" si="5"/>
        <v>1157381.75</v>
      </c>
      <c r="I75" s="136"/>
      <c r="J75" s="2">
        <v>1157381.75</v>
      </c>
      <c r="L75" s="115"/>
      <c r="M75" s="133"/>
    </row>
    <row r="76" spans="1:13" hidden="1" x14ac:dyDescent="0.2">
      <c r="A76" s="137" t="s">
        <v>124</v>
      </c>
      <c r="B76" s="137"/>
      <c r="C76" s="137"/>
      <c r="D76" s="137"/>
      <c r="E76" s="137"/>
      <c r="F76" s="137"/>
      <c r="G76" s="2">
        <v>-868436.09</v>
      </c>
      <c r="H76" s="2">
        <f t="shared" ref="H76:H87" si="9">+SUM(D76:G76)+H75</f>
        <v>288945.66000000003</v>
      </c>
      <c r="I76" s="136"/>
      <c r="L76" s="115"/>
      <c r="M76" s="133"/>
    </row>
    <row r="77" spans="1:13" hidden="1" x14ac:dyDescent="0.2">
      <c r="A77" s="154">
        <f>'FERC Interest Rates'!A80</f>
        <v>43434</v>
      </c>
      <c r="D77" s="2">
        <v>62900.65</v>
      </c>
      <c r="F77" s="2">
        <f t="shared" si="8"/>
        <v>1177.95</v>
      </c>
      <c r="H77" s="2">
        <f t="shared" si="9"/>
        <v>353024.26</v>
      </c>
      <c r="I77" s="136"/>
      <c r="J77" s="2">
        <v>353024.26</v>
      </c>
      <c r="L77" s="115"/>
      <c r="M77" s="133"/>
    </row>
    <row r="78" spans="1:13" hidden="1" x14ac:dyDescent="0.2">
      <c r="A78" s="154">
        <f>'FERC Interest Rates'!A81</f>
        <v>43465</v>
      </c>
      <c r="D78" s="2">
        <v>30133.96</v>
      </c>
      <c r="F78" s="2">
        <f t="shared" si="8"/>
        <v>1487.15</v>
      </c>
      <c r="H78" s="2">
        <f t="shared" si="9"/>
        <v>384645.37</v>
      </c>
      <c r="I78" s="136"/>
      <c r="J78" s="2">
        <v>384645.37</v>
      </c>
      <c r="L78" s="115"/>
      <c r="M78" s="133"/>
    </row>
    <row r="79" spans="1:13" hidden="1" x14ac:dyDescent="0.2">
      <c r="A79" s="154">
        <f>'FERC Interest Rates'!A82</f>
        <v>43496</v>
      </c>
      <c r="D79" s="2">
        <v>12568</v>
      </c>
      <c r="F79" s="2">
        <f t="shared" ref="F79:F88" si="10">ROUND(H78*VLOOKUP(A79,FERCINT19,2)/365*VLOOKUP(A79,FERCINT19,3),2)</f>
        <v>1692.23</v>
      </c>
      <c r="H79" s="2">
        <f t="shared" si="9"/>
        <v>398905.59999999998</v>
      </c>
      <c r="I79" s="136"/>
      <c r="J79" s="2">
        <v>398905.59999999998</v>
      </c>
      <c r="L79" s="115"/>
      <c r="M79" s="133"/>
    </row>
    <row r="80" spans="1:13" hidden="1" x14ac:dyDescent="0.2">
      <c r="A80" s="154">
        <f>'FERC Interest Rates'!A83</f>
        <v>43524</v>
      </c>
      <c r="D80" s="2">
        <v>63287</v>
      </c>
      <c r="F80" s="2">
        <f t="shared" si="10"/>
        <v>1585.13</v>
      </c>
      <c r="H80" s="2">
        <f t="shared" si="9"/>
        <v>463777.73</v>
      </c>
      <c r="I80" s="136"/>
      <c r="J80" s="2">
        <v>463777.73</v>
      </c>
      <c r="L80" s="115"/>
      <c r="M80" s="133"/>
    </row>
    <row r="81" spans="1:13" hidden="1" x14ac:dyDescent="0.2">
      <c r="A81" s="154">
        <f>'FERC Interest Rates'!A84</f>
        <v>43555</v>
      </c>
      <c r="D81" s="2">
        <v>17170.5</v>
      </c>
      <c r="F81" s="2">
        <f t="shared" si="10"/>
        <v>2040.37</v>
      </c>
      <c r="H81" s="2">
        <f t="shared" si="9"/>
        <v>482988.6</v>
      </c>
      <c r="I81" s="136"/>
      <c r="J81" s="2">
        <v>482988.6</v>
      </c>
      <c r="L81" s="115"/>
      <c r="M81" s="133"/>
    </row>
    <row r="82" spans="1:13" hidden="1" x14ac:dyDescent="0.2">
      <c r="A82" s="154">
        <f>'FERC Interest Rates'!A85</f>
        <v>43585</v>
      </c>
      <c r="D82" s="2">
        <v>148908.5</v>
      </c>
      <c r="F82" s="2">
        <f t="shared" si="10"/>
        <v>2163.52</v>
      </c>
      <c r="H82" s="2">
        <f t="shared" si="9"/>
        <v>634060.62</v>
      </c>
      <c r="I82" s="136"/>
      <c r="J82" s="2">
        <v>634060.62</v>
      </c>
      <c r="L82" s="115"/>
      <c r="M82" s="133"/>
    </row>
    <row r="83" spans="1:13" hidden="1" x14ac:dyDescent="0.2">
      <c r="A83" s="154">
        <f>'FERC Interest Rates'!A86</f>
        <v>43616</v>
      </c>
      <c r="D83" s="2">
        <v>26801.5</v>
      </c>
      <c r="F83" s="2">
        <f t="shared" si="10"/>
        <v>2934.92</v>
      </c>
      <c r="H83" s="2">
        <f t="shared" si="9"/>
        <v>663797.04</v>
      </c>
      <c r="I83" s="136"/>
      <c r="J83" s="2">
        <v>663797.04</v>
      </c>
      <c r="L83" s="115"/>
      <c r="M83" s="133"/>
    </row>
    <row r="84" spans="1:13" x14ac:dyDescent="0.2">
      <c r="A84" s="154">
        <f>'FERC Interest Rates'!A87</f>
        <v>43646</v>
      </c>
      <c r="B84" s="132"/>
      <c r="C84" s="132"/>
      <c r="D84" s="2">
        <v>145001.82999999999</v>
      </c>
      <c r="E84" s="132"/>
      <c r="F84" s="2">
        <f t="shared" si="10"/>
        <v>2973.45</v>
      </c>
      <c r="H84" s="2">
        <f t="shared" si="9"/>
        <v>811772.32000000007</v>
      </c>
      <c r="I84" s="136"/>
      <c r="J84" s="2">
        <v>811772.32</v>
      </c>
      <c r="L84" s="115"/>
      <c r="M84" s="133"/>
    </row>
    <row r="85" spans="1:13" x14ac:dyDescent="0.2">
      <c r="A85" s="154">
        <f>'FERC Interest Rates'!A88</f>
        <v>43677</v>
      </c>
      <c r="B85" s="132"/>
      <c r="C85" s="132"/>
      <c r="D85" s="2">
        <v>201351.13</v>
      </c>
      <c r="E85" s="132"/>
      <c r="F85" s="2">
        <f t="shared" si="10"/>
        <v>3791.98</v>
      </c>
      <c r="H85" s="2">
        <f t="shared" si="9"/>
        <v>1016915.43</v>
      </c>
      <c r="I85" s="136"/>
      <c r="J85" s="2">
        <v>1016915.43</v>
      </c>
      <c r="L85" s="115"/>
      <c r="M85" s="133"/>
    </row>
    <row r="86" spans="1:13" x14ac:dyDescent="0.2">
      <c r="A86" s="154">
        <f>'FERC Interest Rates'!A89</f>
        <v>43708</v>
      </c>
      <c r="B86" s="132"/>
      <c r="C86" s="132"/>
      <c r="D86" s="2">
        <v>18309.5</v>
      </c>
      <c r="E86" s="132"/>
      <c r="F86" s="2">
        <f t="shared" si="10"/>
        <v>4750.25</v>
      </c>
      <c r="H86" s="2">
        <f t="shared" si="9"/>
        <v>1039975.18</v>
      </c>
      <c r="I86" s="136"/>
      <c r="J86" s="2">
        <v>1039975.18</v>
      </c>
      <c r="L86" s="115"/>
      <c r="M86" s="133"/>
    </row>
    <row r="87" spans="1:13" x14ac:dyDescent="0.2">
      <c r="A87" s="154">
        <f>'FERC Interest Rates'!A90</f>
        <v>43738</v>
      </c>
      <c r="B87" s="132"/>
      <c r="C87" s="132"/>
      <c r="D87" s="2">
        <v>113986</v>
      </c>
      <c r="E87" s="132"/>
      <c r="F87" s="2">
        <f t="shared" si="10"/>
        <v>4701.26</v>
      </c>
      <c r="H87" s="2">
        <f t="shared" si="9"/>
        <v>1158662.44</v>
      </c>
      <c r="I87" s="136"/>
      <c r="J87" s="2">
        <v>1158662.44</v>
      </c>
      <c r="L87" s="115"/>
      <c r="M87" s="133"/>
    </row>
    <row r="88" spans="1:13" x14ac:dyDescent="0.2">
      <c r="A88" s="154">
        <f>'FERC Interest Rates'!A91</f>
        <v>43769</v>
      </c>
      <c r="B88" s="132"/>
      <c r="C88" s="132"/>
      <c r="D88" s="2">
        <v>166950</v>
      </c>
      <c r="E88" s="132"/>
      <c r="F88" s="2">
        <f t="shared" si="10"/>
        <v>5333.66</v>
      </c>
      <c r="H88" s="2">
        <f>+SUM(D88:G88)+H87</f>
        <v>1330946.0999999999</v>
      </c>
      <c r="I88" s="136"/>
      <c r="J88" s="2">
        <v>1330946.1000000001</v>
      </c>
      <c r="L88" s="115"/>
      <c r="M88" s="133"/>
    </row>
    <row r="89" spans="1:13" x14ac:dyDescent="0.2">
      <c r="A89" s="137" t="s">
        <v>124</v>
      </c>
      <c r="B89" s="137"/>
      <c r="C89" s="137"/>
      <c r="D89" s="137"/>
      <c r="E89" s="137"/>
      <c r="F89" s="137"/>
      <c r="G89" s="2">
        <v>-1031008.45</v>
      </c>
      <c r="H89" s="2">
        <f t="shared" ref="H89" si="11">+SUM(D89:G89)+H88</f>
        <v>299937.64999999991</v>
      </c>
      <c r="I89" s="136"/>
      <c r="L89" s="115"/>
      <c r="M89" s="133"/>
    </row>
    <row r="90" spans="1:13" x14ac:dyDescent="0.2">
      <c r="A90" s="154">
        <f>'FERC Interest Rates'!A92</f>
        <v>43799</v>
      </c>
      <c r="B90" s="132"/>
      <c r="C90" s="132"/>
      <c r="D90" s="2">
        <v>7220</v>
      </c>
      <c r="E90" s="132"/>
      <c r="F90" s="2">
        <f>ROUND(H89*VLOOKUP(A90,FERCINT19,2)/365*VLOOKUP(A90,FERCINT19,3),2)</f>
        <v>1336.16</v>
      </c>
      <c r="H90" s="2">
        <f>+SUM(D90:G90)+H89</f>
        <v>308493.80999999988</v>
      </c>
      <c r="I90" s="136"/>
      <c r="J90" s="2">
        <v>308493.81</v>
      </c>
      <c r="L90" s="115"/>
      <c r="M90" s="133"/>
    </row>
    <row r="91" spans="1:13" x14ac:dyDescent="0.2">
      <c r="A91" s="154">
        <f>'FERC Interest Rates'!A93</f>
        <v>43830</v>
      </c>
      <c r="B91" s="132"/>
      <c r="C91" s="132"/>
      <c r="D91" s="2">
        <v>63428.5</v>
      </c>
      <c r="E91" s="132"/>
      <c r="F91" s="2">
        <f t="shared" ref="F91" si="12">ROUND(H90*VLOOKUP(A91,FERCINT19,2)/365*VLOOKUP(A91,FERCINT19,3),2)</f>
        <v>1420.09</v>
      </c>
      <c r="H91" s="2">
        <f t="shared" ref="H91:H114" si="13">+SUM(D91:G91)+H90</f>
        <v>373342.39999999991</v>
      </c>
      <c r="I91" s="136"/>
      <c r="J91" s="2">
        <v>373342.4</v>
      </c>
      <c r="L91" s="115"/>
      <c r="M91" s="133"/>
    </row>
    <row r="92" spans="1:13" x14ac:dyDescent="0.2">
      <c r="A92" s="154">
        <f>'FERC Interest Rates'!A94</f>
        <v>43861</v>
      </c>
      <c r="B92" s="132"/>
      <c r="C92" s="132"/>
      <c r="D92" s="2">
        <v>52593.38</v>
      </c>
      <c r="E92" s="132"/>
      <c r="F92" s="2">
        <f t="shared" ref="F92:F104" si="14">ROUND(H91*VLOOKUP(A92,FERCINT20,2)/365*VLOOKUP(A92,FERCINT20,3),2)</f>
        <v>1572.74</v>
      </c>
      <c r="H92" s="2">
        <f t="shared" si="13"/>
        <v>427508.5199999999</v>
      </c>
      <c r="I92" s="136"/>
      <c r="J92" s="2">
        <v>427508.52</v>
      </c>
      <c r="L92" s="115"/>
      <c r="M92" s="133"/>
    </row>
    <row r="93" spans="1:13" x14ac:dyDescent="0.2">
      <c r="A93" s="154">
        <f>'FERC Interest Rates'!A95</f>
        <v>43890</v>
      </c>
      <c r="B93" s="132"/>
      <c r="C93" s="132"/>
      <c r="D93" s="2">
        <v>118099.97</v>
      </c>
      <c r="E93" s="132"/>
      <c r="F93" s="2">
        <f t="shared" si="14"/>
        <v>1684.73</v>
      </c>
      <c r="H93" s="2">
        <f t="shared" si="13"/>
        <v>547293.21999999986</v>
      </c>
      <c r="I93" s="136"/>
      <c r="J93" s="2">
        <v>547293.22</v>
      </c>
      <c r="L93" s="115"/>
      <c r="M93" s="133"/>
    </row>
    <row r="94" spans="1:13" x14ac:dyDescent="0.2">
      <c r="A94" s="154">
        <f>'FERC Interest Rates'!A96</f>
        <v>43921</v>
      </c>
      <c r="B94" s="132"/>
      <c r="C94" s="132"/>
      <c r="D94" s="2">
        <v>11932.5</v>
      </c>
      <c r="E94" s="132"/>
      <c r="F94" s="2">
        <f t="shared" si="14"/>
        <v>2305.5300000000002</v>
      </c>
      <c r="H94" s="2">
        <f t="shared" si="13"/>
        <v>561531.24999999988</v>
      </c>
      <c r="I94" s="136"/>
      <c r="J94" s="2">
        <v>561531.25</v>
      </c>
      <c r="L94" s="115"/>
      <c r="M94" s="133"/>
    </row>
    <row r="95" spans="1:13" x14ac:dyDescent="0.2">
      <c r="A95" s="154">
        <f>'FERC Interest Rates'!A97</f>
        <v>43951</v>
      </c>
      <c r="B95" s="132"/>
      <c r="C95" s="132"/>
      <c r="D95" s="2">
        <v>32396.07</v>
      </c>
      <c r="E95" s="132"/>
      <c r="F95" s="2">
        <f t="shared" si="14"/>
        <v>2192.2800000000002</v>
      </c>
      <c r="H95" s="2">
        <f t="shared" si="13"/>
        <v>596119.59999999986</v>
      </c>
      <c r="I95" s="136"/>
      <c r="J95" s="2">
        <v>596119.6</v>
      </c>
      <c r="L95" s="115"/>
      <c r="M95" s="133"/>
    </row>
    <row r="96" spans="1:13" x14ac:dyDescent="0.2">
      <c r="A96" s="154">
        <f>'FERC Interest Rates'!A98</f>
        <v>43982</v>
      </c>
      <c r="B96" s="132"/>
      <c r="C96" s="132"/>
      <c r="D96" s="2">
        <v>54436.76</v>
      </c>
      <c r="E96" s="132"/>
      <c r="F96" s="2">
        <f t="shared" si="14"/>
        <v>2404.89</v>
      </c>
      <c r="H96" s="2">
        <f t="shared" si="13"/>
        <v>652961.24999999988</v>
      </c>
      <c r="I96" s="136"/>
      <c r="J96" s="2">
        <v>652961.25</v>
      </c>
      <c r="L96" s="115"/>
      <c r="M96" s="133"/>
    </row>
    <row r="97" spans="1:13" x14ac:dyDescent="0.2">
      <c r="A97" s="154">
        <f>'FERC Interest Rates'!A99</f>
        <v>44012</v>
      </c>
      <c r="B97" s="132"/>
      <c r="C97" s="132"/>
      <c r="D97" s="2">
        <v>115070</v>
      </c>
      <c r="E97" s="132"/>
      <c r="F97" s="2">
        <f t="shared" si="14"/>
        <v>2549.23</v>
      </c>
      <c r="H97" s="2">
        <f t="shared" si="13"/>
        <v>770580.47999999986</v>
      </c>
      <c r="I97" s="136"/>
      <c r="J97" s="2">
        <v>770580.47999999998</v>
      </c>
      <c r="L97" s="115"/>
      <c r="M97" s="133"/>
    </row>
    <row r="98" spans="1:13" x14ac:dyDescent="0.2">
      <c r="A98" s="154">
        <f>'FERC Interest Rates'!A100</f>
        <v>44043</v>
      </c>
      <c r="B98" s="132"/>
      <c r="C98" s="132"/>
      <c r="D98" s="2">
        <v>90537.5</v>
      </c>
      <c r="E98" s="132"/>
      <c r="F98" s="2">
        <f t="shared" si="14"/>
        <v>2244.8200000000002</v>
      </c>
      <c r="H98" s="2">
        <f t="shared" si="13"/>
        <v>863362.79999999981</v>
      </c>
      <c r="I98" s="136"/>
      <c r="J98" s="2">
        <v>863362.8</v>
      </c>
      <c r="L98" s="115"/>
      <c r="M98" s="133"/>
    </row>
    <row r="99" spans="1:13" x14ac:dyDescent="0.2">
      <c r="A99" s="154">
        <f>'FERC Interest Rates'!A101</f>
        <v>44074</v>
      </c>
      <c r="B99" s="132"/>
      <c r="C99" s="132"/>
      <c r="D99" s="2">
        <v>84537</v>
      </c>
      <c r="E99" s="132"/>
      <c r="F99" s="2">
        <f t="shared" si="14"/>
        <v>2515.11</v>
      </c>
      <c r="H99" s="2">
        <f t="shared" si="13"/>
        <v>950414.9099999998</v>
      </c>
      <c r="I99" s="136"/>
      <c r="J99" s="2">
        <v>950414.91</v>
      </c>
      <c r="L99" s="115"/>
      <c r="M99" s="133"/>
    </row>
    <row r="100" spans="1:13" x14ac:dyDescent="0.2">
      <c r="A100" s="154">
        <f>'FERC Interest Rates'!A102</f>
        <v>44104</v>
      </c>
      <c r="B100" s="132"/>
      <c r="C100" s="132"/>
      <c r="D100" s="2">
        <v>67292</v>
      </c>
      <c r="E100" s="132"/>
      <c r="F100" s="2">
        <f t="shared" si="14"/>
        <v>2679.39</v>
      </c>
      <c r="H100" s="2">
        <f t="shared" si="13"/>
        <v>1020386.2999999998</v>
      </c>
      <c r="I100" s="136"/>
      <c r="J100" s="2">
        <v>1020386.3</v>
      </c>
      <c r="L100" s="115"/>
      <c r="M100" s="133"/>
    </row>
    <row r="101" spans="1:13" x14ac:dyDescent="0.2">
      <c r="A101" s="154">
        <f>'FERC Interest Rates'!A103</f>
        <v>44135</v>
      </c>
      <c r="B101" s="132"/>
      <c r="C101" s="132"/>
      <c r="D101" s="2">
        <v>142546</v>
      </c>
      <c r="E101" s="132"/>
      <c r="F101" s="2">
        <f t="shared" si="14"/>
        <v>2816.55</v>
      </c>
      <c r="H101" s="2">
        <f t="shared" si="13"/>
        <v>1165748.8499999999</v>
      </c>
      <c r="I101" s="136"/>
      <c r="J101" s="2">
        <v>1165748.8500000001</v>
      </c>
      <c r="L101" s="115"/>
      <c r="M101" s="133"/>
    </row>
    <row r="102" spans="1:13" x14ac:dyDescent="0.2">
      <c r="A102" s="137" t="s">
        <v>124</v>
      </c>
      <c r="B102" s="137"/>
      <c r="C102" s="137"/>
      <c r="D102" s="137"/>
      <c r="E102" s="137"/>
      <c r="F102" s="137"/>
      <c r="G102" s="2">
        <v>-870715.77</v>
      </c>
      <c r="H102" s="2">
        <f t="shared" si="13"/>
        <v>295033.07999999984</v>
      </c>
      <c r="I102" s="136"/>
      <c r="L102" s="115"/>
      <c r="M102" s="133"/>
    </row>
    <row r="103" spans="1:13" x14ac:dyDescent="0.2">
      <c r="A103" s="154">
        <f>'FERC Interest Rates'!A104</f>
        <v>44165</v>
      </c>
      <c r="B103" s="132"/>
      <c r="C103" s="132"/>
      <c r="D103" s="2">
        <v>54160.3</v>
      </c>
      <c r="E103" s="132"/>
      <c r="F103" s="2">
        <f t="shared" si="14"/>
        <v>788.1</v>
      </c>
      <c r="H103" s="2">
        <f t="shared" si="13"/>
        <v>349981.47999999986</v>
      </c>
      <c r="I103" s="136"/>
      <c r="J103" s="2">
        <v>349981.48</v>
      </c>
      <c r="L103" s="115"/>
      <c r="M103" s="133"/>
    </row>
    <row r="104" spans="1:13" x14ac:dyDescent="0.2">
      <c r="A104" s="154">
        <f>'FERC Interest Rates'!A105</f>
        <v>44196</v>
      </c>
      <c r="B104" s="132"/>
      <c r="C104" s="132"/>
      <c r="D104" s="2">
        <v>44903.98</v>
      </c>
      <c r="E104" s="164"/>
      <c r="F104" s="2">
        <f t="shared" si="14"/>
        <v>966.04</v>
      </c>
      <c r="H104" s="2">
        <f t="shared" si="13"/>
        <v>395851.49999999988</v>
      </c>
      <c r="I104" s="136"/>
      <c r="J104" s="2">
        <v>395851.5</v>
      </c>
      <c r="L104" s="115"/>
      <c r="M104" s="133"/>
    </row>
    <row r="105" spans="1:13" x14ac:dyDescent="0.2">
      <c r="A105" s="154">
        <f>'FERC Interest Rates'!A106</f>
        <v>44227</v>
      </c>
      <c r="B105" s="132"/>
      <c r="C105" s="132"/>
      <c r="D105" s="2">
        <v>53749.26</v>
      </c>
      <c r="E105" s="164"/>
      <c r="F105" s="2">
        <f t="shared" ref="F105:F114" si="15">ROUND(H104*VLOOKUP(A105,FERCINT21,2)/365*VLOOKUP(A105,FERCINT21,3),2)</f>
        <v>1092.6600000000001</v>
      </c>
      <c r="H105" s="2">
        <f t="shared" si="13"/>
        <v>450693.41999999987</v>
      </c>
      <c r="I105" s="136"/>
      <c r="J105" s="2">
        <v>450693.42</v>
      </c>
      <c r="L105" s="115"/>
      <c r="M105" s="133"/>
    </row>
    <row r="106" spans="1:13" x14ac:dyDescent="0.2">
      <c r="A106" s="154">
        <f>'FERC Interest Rates'!A107</f>
        <v>44255</v>
      </c>
      <c r="B106" s="132"/>
      <c r="C106" s="132"/>
      <c r="D106" s="2">
        <v>68773.86</v>
      </c>
      <c r="E106" s="132"/>
      <c r="F106" s="2">
        <f t="shared" si="15"/>
        <v>1123.6500000000001</v>
      </c>
      <c r="H106" s="2">
        <f t="shared" si="13"/>
        <v>520590.92999999988</v>
      </c>
      <c r="I106" s="136"/>
      <c r="J106" s="2">
        <v>520590.93</v>
      </c>
      <c r="L106" s="115"/>
      <c r="M106" s="133"/>
    </row>
    <row r="107" spans="1:13" x14ac:dyDescent="0.2">
      <c r="A107" s="154">
        <f>'FERC Interest Rates'!A108</f>
        <v>44286</v>
      </c>
      <c r="B107" s="132"/>
      <c r="C107" s="132"/>
      <c r="D107" s="2">
        <v>111603.5</v>
      </c>
      <c r="E107" s="132"/>
      <c r="F107" s="2">
        <f t="shared" si="15"/>
        <v>1436.97</v>
      </c>
      <c r="H107" s="2">
        <f t="shared" si="13"/>
        <v>633631.39999999991</v>
      </c>
      <c r="I107" s="136"/>
      <c r="J107" s="2">
        <v>633631.4</v>
      </c>
      <c r="L107" s="115"/>
      <c r="M107" s="133"/>
    </row>
    <row r="108" spans="1:13" x14ac:dyDescent="0.2">
      <c r="A108" s="154">
        <f>'FERC Interest Rates'!A109</f>
        <v>44316</v>
      </c>
      <c r="B108" s="132"/>
      <c r="C108" s="132"/>
      <c r="D108" s="2">
        <v>23800</v>
      </c>
      <c r="E108" s="132"/>
      <c r="F108" s="2">
        <f t="shared" si="15"/>
        <v>1692.58</v>
      </c>
      <c r="H108" s="2">
        <f t="shared" si="13"/>
        <v>659123.97999999986</v>
      </c>
      <c r="I108" s="136"/>
      <c r="J108" s="2">
        <v>659123.98</v>
      </c>
      <c r="L108" s="115"/>
      <c r="M108" s="133"/>
    </row>
    <row r="109" spans="1:13" x14ac:dyDescent="0.2">
      <c r="A109" s="154">
        <f>'FERC Interest Rates'!A110</f>
        <v>44347</v>
      </c>
      <c r="B109" s="132"/>
      <c r="C109" s="132"/>
      <c r="D109" s="2">
        <v>26870.75</v>
      </c>
      <c r="E109" s="164"/>
      <c r="F109" s="2">
        <f t="shared" si="15"/>
        <v>1819.36</v>
      </c>
      <c r="H109" s="2">
        <f t="shared" si="13"/>
        <v>687814.08999999985</v>
      </c>
      <c r="I109" s="136"/>
      <c r="J109" s="2">
        <v>687814.09</v>
      </c>
      <c r="L109" s="115"/>
      <c r="M109" s="133"/>
    </row>
    <row r="110" spans="1:13" x14ac:dyDescent="0.2">
      <c r="A110" s="154">
        <f>'FERC Interest Rates'!A111</f>
        <v>44377</v>
      </c>
      <c r="B110" s="132"/>
      <c r="C110" s="132"/>
      <c r="D110" s="2">
        <v>213390.44</v>
      </c>
      <c r="E110" s="164"/>
      <c r="F110" s="2">
        <f t="shared" si="15"/>
        <v>1837.31</v>
      </c>
      <c r="H110" s="2">
        <f t="shared" si="13"/>
        <v>903041.83999999985</v>
      </c>
      <c r="I110" s="136"/>
      <c r="J110" s="2">
        <v>903041.84</v>
      </c>
      <c r="L110" s="115"/>
      <c r="M110" s="133"/>
    </row>
    <row r="111" spans="1:13" x14ac:dyDescent="0.2">
      <c r="A111" s="154">
        <f>'FERC Interest Rates'!A112</f>
        <v>44408</v>
      </c>
      <c r="B111" s="132"/>
      <c r="C111" s="132"/>
      <c r="D111" s="2">
        <v>72728</v>
      </c>
      <c r="E111" s="132"/>
      <c r="F111" s="2">
        <f t="shared" si="15"/>
        <v>2492.64</v>
      </c>
      <c r="H111" s="2">
        <f t="shared" si="13"/>
        <v>978262.47999999986</v>
      </c>
      <c r="I111" s="136"/>
      <c r="J111" s="2">
        <v>978262.48</v>
      </c>
      <c r="L111" s="115"/>
      <c r="M111" s="133"/>
    </row>
    <row r="112" spans="1:13" x14ac:dyDescent="0.2">
      <c r="A112" s="154">
        <f>'FERC Interest Rates'!A113</f>
        <v>44439</v>
      </c>
      <c r="B112" s="132"/>
      <c r="C112" s="132"/>
      <c r="D112" s="2">
        <v>59046.35</v>
      </c>
      <c r="E112" s="132"/>
      <c r="F112" s="2">
        <f t="shared" si="15"/>
        <v>2700.27</v>
      </c>
      <c r="H112" s="2">
        <f t="shared" si="13"/>
        <v>1040009.0999999999</v>
      </c>
      <c r="I112" s="136"/>
      <c r="J112" s="2">
        <v>1040009.1</v>
      </c>
      <c r="L112" s="115"/>
      <c r="M112" s="133"/>
    </row>
    <row r="113" spans="1:13" x14ac:dyDescent="0.2">
      <c r="A113" s="154">
        <f>'FERC Interest Rates'!A114</f>
        <v>44469</v>
      </c>
      <c r="B113" s="132"/>
      <c r="C113" s="132"/>
      <c r="D113" s="2">
        <v>91608</v>
      </c>
      <c r="E113" s="132"/>
      <c r="F113" s="2">
        <f t="shared" si="15"/>
        <v>2778.11</v>
      </c>
      <c r="H113" s="2">
        <f t="shared" si="13"/>
        <v>1134395.21</v>
      </c>
      <c r="I113" s="136"/>
      <c r="J113" s="2">
        <v>1134395.21</v>
      </c>
      <c r="L113" s="115"/>
      <c r="M113" s="133"/>
    </row>
    <row r="114" spans="1:13" x14ac:dyDescent="0.2">
      <c r="A114" s="154">
        <f>'FERC Interest Rates'!A115</f>
        <v>44500</v>
      </c>
      <c r="B114" s="132"/>
      <c r="C114" s="132"/>
      <c r="E114" s="132"/>
      <c r="F114" s="2">
        <f t="shared" si="15"/>
        <v>3131.24</v>
      </c>
      <c r="H114" s="2">
        <f t="shared" si="13"/>
        <v>1137526.45</v>
      </c>
      <c r="I114" s="136"/>
      <c r="L114" s="115"/>
      <c r="M114" s="133"/>
    </row>
    <row r="115" spans="1:13" x14ac:dyDescent="0.2">
      <c r="A115" s="154"/>
      <c r="I115" s="136"/>
    </row>
  </sheetData>
  <mergeCells count="23">
    <mergeCell ref="A50:F50"/>
    <mergeCell ref="A63:F63"/>
    <mergeCell ref="A76:F76"/>
    <mergeCell ref="A89:F89"/>
    <mergeCell ref="A102:F102"/>
    <mergeCell ref="A7:B7"/>
    <mergeCell ref="C7:H7"/>
    <mergeCell ref="D9:F9"/>
    <mergeCell ref="A11:G11"/>
    <mergeCell ref="A24:F24"/>
    <mergeCell ref="A38:F38"/>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88"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E0526-F934-4EA6-BCB6-D0EB783CD9E9}">
  <sheetPr>
    <pageSetUpPr fitToPage="1"/>
  </sheetPr>
  <dimension ref="A1:M115"/>
  <sheetViews>
    <sheetView tabSelected="1" view="pageBreakPreview" zoomScaleNormal="75" zoomScaleSheetLayoutView="100" workbookViewId="0">
      <pane xSplit="1" ySplit="10" topLeftCell="B11" activePane="bottomRight" state="frozen"/>
      <selection activeCell="N106" sqref="N106"/>
      <selection pane="topRight" activeCell="N106" sqref="N106"/>
      <selection pane="bottomLeft" activeCell="N106" sqref="N106"/>
      <selection pane="bottomRight" activeCell="N106" sqref="N106"/>
    </sheetView>
  </sheetViews>
  <sheetFormatPr defaultColWidth="8.88671875" defaultRowHeight="12.75" x14ac:dyDescent="0.2"/>
  <cols>
    <col min="1" max="1" width="9.6640625" style="2" bestFit="1" customWidth="1"/>
    <col min="2" max="2" width="7" style="2" bestFit="1" customWidth="1"/>
    <col min="3" max="3" width="9.77734375" style="2" customWidth="1"/>
    <col min="4" max="4" width="9.21875" style="2" customWidth="1"/>
    <col min="5" max="5" width="9.77734375" style="2" bestFit="1" customWidth="1"/>
    <col min="6" max="6" width="6.88671875" style="2" bestFit="1" customWidth="1"/>
    <col min="7" max="7" width="9.6640625" style="2" bestFit="1" customWidth="1"/>
    <col min="8" max="8" width="12.77734375" style="2" bestFit="1" customWidth="1"/>
    <col min="9" max="9" width="1.21875" style="2" customWidth="1"/>
    <col min="10" max="10" width="10.88671875" style="2" customWidth="1"/>
    <col min="11" max="11" width="9.33203125" style="2" customWidth="1"/>
    <col min="12" max="12" width="9" style="2" bestFit="1" customWidth="1"/>
    <col min="13" max="13" width="10.33203125" style="2" bestFit="1" customWidth="1"/>
    <col min="14" max="16384" width="8.88671875" style="2"/>
  </cols>
  <sheetData>
    <row r="1" spans="1:13" x14ac:dyDescent="0.2">
      <c r="A1" s="138" t="s">
        <v>58</v>
      </c>
      <c r="B1" s="139"/>
      <c r="C1" s="155" t="s">
        <v>59</v>
      </c>
      <c r="D1" s="155"/>
      <c r="E1" s="155"/>
      <c r="F1" s="155"/>
      <c r="G1" s="155"/>
      <c r="H1" s="156"/>
      <c r="I1" s="114"/>
    </row>
    <row r="2" spans="1:13" x14ac:dyDescent="0.2">
      <c r="A2" s="142" t="s">
        <v>60</v>
      </c>
      <c r="B2" s="117"/>
      <c r="C2" s="118" t="s">
        <v>125</v>
      </c>
      <c r="D2" s="118"/>
      <c r="E2" s="118"/>
      <c r="F2" s="118"/>
      <c r="G2" s="118"/>
      <c r="H2" s="120"/>
      <c r="I2" s="114"/>
    </row>
    <row r="3" spans="1:13" x14ac:dyDescent="0.2">
      <c r="A3" s="142" t="s">
        <v>62</v>
      </c>
      <c r="B3" s="117"/>
      <c r="C3" s="118" t="s">
        <v>11</v>
      </c>
      <c r="D3" s="118"/>
      <c r="E3" s="118"/>
      <c r="F3" s="118"/>
      <c r="G3" s="118"/>
      <c r="H3" s="120"/>
      <c r="I3" s="114"/>
    </row>
    <row r="4" spans="1:13" x14ac:dyDescent="0.2">
      <c r="A4" s="142" t="s">
        <v>63</v>
      </c>
      <c r="B4" s="117"/>
      <c r="C4" s="143" t="s">
        <v>64</v>
      </c>
      <c r="D4" s="143"/>
      <c r="E4" s="143"/>
      <c r="F4" s="143"/>
      <c r="G4" s="143"/>
      <c r="H4" s="144"/>
      <c r="I4" s="114"/>
    </row>
    <row r="5" spans="1:13" x14ac:dyDescent="0.2">
      <c r="A5" s="142" t="s">
        <v>65</v>
      </c>
      <c r="B5" s="117"/>
      <c r="C5" s="118" t="s">
        <v>66</v>
      </c>
      <c r="D5" s="118"/>
      <c r="E5" s="118"/>
      <c r="F5" s="118"/>
      <c r="G5" s="118"/>
      <c r="H5" s="120"/>
      <c r="I5" s="114"/>
    </row>
    <row r="6" spans="1:13" x14ac:dyDescent="0.2">
      <c r="A6" s="142" t="s">
        <v>67</v>
      </c>
      <c r="B6" s="117"/>
      <c r="C6" s="118" t="s">
        <v>95</v>
      </c>
      <c r="D6" s="118"/>
      <c r="E6" s="118"/>
      <c r="F6" s="118"/>
      <c r="G6" s="118"/>
      <c r="H6" s="120"/>
      <c r="I6" s="114"/>
    </row>
    <row r="7" spans="1:13" ht="13.5" thickBot="1" x14ac:dyDescent="0.25">
      <c r="A7" s="145" t="s">
        <v>69</v>
      </c>
      <c r="B7" s="146"/>
      <c r="C7" s="147" t="s">
        <v>121</v>
      </c>
      <c r="D7" s="147"/>
      <c r="E7" s="147"/>
      <c r="F7" s="147"/>
      <c r="G7" s="147"/>
      <c r="H7" s="148"/>
      <c r="I7" s="125"/>
    </row>
    <row r="8" spans="1:13" x14ac:dyDescent="0.2">
      <c r="A8" s="152"/>
      <c r="B8" s="152"/>
      <c r="C8" s="153"/>
      <c r="D8" s="153"/>
      <c r="E8" s="153"/>
      <c r="F8" s="153"/>
      <c r="G8" s="153"/>
      <c r="H8" s="153"/>
      <c r="K8" s="114"/>
    </row>
    <row r="9" spans="1:13" x14ac:dyDescent="0.2">
      <c r="A9" s="7"/>
      <c r="D9" s="128" t="s">
        <v>72</v>
      </c>
      <c r="E9" s="128"/>
      <c r="F9" s="128"/>
    </row>
    <row r="10" spans="1:13" s="10" customFormat="1" ht="27.75" customHeight="1" x14ac:dyDescent="0.2">
      <c r="A10" s="10" t="s">
        <v>22</v>
      </c>
      <c r="B10" s="10" t="s">
        <v>74</v>
      </c>
      <c r="C10" s="10" t="s">
        <v>51</v>
      </c>
      <c r="D10" s="10" t="s">
        <v>75</v>
      </c>
      <c r="E10" s="10" t="s">
        <v>76</v>
      </c>
      <c r="F10" s="10" t="s">
        <v>77</v>
      </c>
      <c r="G10" s="10" t="s">
        <v>78</v>
      </c>
      <c r="H10" s="10" t="s">
        <v>79</v>
      </c>
      <c r="I10" s="130"/>
      <c r="J10" s="10" t="s">
        <v>80</v>
      </c>
      <c r="L10" s="3"/>
      <c r="M10" s="3"/>
    </row>
    <row r="11" spans="1:13" hidden="1" x14ac:dyDescent="0.2">
      <c r="A11" s="131" t="s">
        <v>84</v>
      </c>
      <c r="B11" s="131"/>
      <c r="C11" s="131"/>
      <c r="D11" s="131"/>
      <c r="E11" s="131"/>
      <c r="F11" s="131"/>
      <c r="G11" s="131"/>
      <c r="H11" s="2">
        <v>34127.81</v>
      </c>
      <c r="I11" s="132"/>
      <c r="L11" s="115"/>
      <c r="M11" s="133"/>
    </row>
    <row r="12" spans="1:13" hidden="1" x14ac:dyDescent="0.2">
      <c r="A12" s="154">
        <f>'FERC Interest Rates'!A20</f>
        <v>41608</v>
      </c>
      <c r="D12" s="2">
        <f>589.95+3436.51</f>
        <v>4026.46</v>
      </c>
      <c r="F12" s="2">
        <f t="shared" ref="F12:F13" si="0">ROUND(H11*VLOOKUP(A12,FERCINT13,2)/365*VLOOKUP(A12,FERCINT13,3),2)</f>
        <v>91.16</v>
      </c>
      <c r="H12" s="2">
        <f t="shared" ref="H12:H36" si="1">+SUM(D12:G12)+H11</f>
        <v>38245.43</v>
      </c>
      <c r="I12" s="132"/>
      <c r="J12" s="2">
        <v>38245.43</v>
      </c>
      <c r="L12" s="115"/>
      <c r="M12" s="133"/>
    </row>
    <row r="13" spans="1:13" hidden="1" x14ac:dyDescent="0.2">
      <c r="A13" s="154">
        <f>'FERC Interest Rates'!A21</f>
        <v>41639</v>
      </c>
      <c r="D13" s="2">
        <v>3341.37</v>
      </c>
      <c r="F13" s="2">
        <f t="shared" si="0"/>
        <v>105.57</v>
      </c>
      <c r="H13" s="2">
        <f t="shared" si="1"/>
        <v>41692.370000000003</v>
      </c>
      <c r="I13" s="132"/>
      <c r="J13" s="2">
        <v>41692.370000000003</v>
      </c>
      <c r="L13" s="115"/>
      <c r="M13" s="133"/>
    </row>
    <row r="14" spans="1:13" hidden="1" x14ac:dyDescent="0.2">
      <c r="A14" s="154">
        <f>'FERC Interest Rates'!A22</f>
        <v>41670</v>
      </c>
      <c r="D14" s="2">
        <v>3500.93</v>
      </c>
      <c r="F14" s="2">
        <f t="shared" ref="F14:F23" si="2">ROUND(H13*VLOOKUP(A14,FERCINT14,2)/365*VLOOKUP(A14,FERCINT14,3),2)</f>
        <v>115.08</v>
      </c>
      <c r="H14" s="2">
        <f t="shared" si="1"/>
        <v>45308.380000000005</v>
      </c>
      <c r="I14" s="132"/>
      <c r="J14" s="2">
        <v>45308.38</v>
      </c>
      <c r="L14" s="115"/>
      <c r="M14" s="133"/>
    </row>
    <row r="15" spans="1:13" hidden="1" x14ac:dyDescent="0.2">
      <c r="A15" s="154">
        <f>'FERC Interest Rates'!A23</f>
        <v>41698</v>
      </c>
      <c r="D15" s="2">
        <f>1228.81+2800.64+2907.85</f>
        <v>6937.2999999999993</v>
      </c>
      <c r="F15" s="2">
        <f t="shared" si="2"/>
        <v>112.96</v>
      </c>
      <c r="H15" s="2">
        <f t="shared" si="1"/>
        <v>52358.640000000007</v>
      </c>
      <c r="I15" s="132"/>
      <c r="J15" s="2">
        <v>52370.74</v>
      </c>
      <c r="L15" s="115"/>
      <c r="M15" s="133"/>
    </row>
    <row r="16" spans="1:13" hidden="1" x14ac:dyDescent="0.2">
      <c r="A16" s="154">
        <f>'FERC Interest Rates'!A24</f>
        <v>41729</v>
      </c>
      <c r="D16" s="2">
        <f>5104.12+1781.99</f>
        <v>6886.11</v>
      </c>
      <c r="F16" s="2">
        <f t="shared" si="2"/>
        <v>144.52000000000001</v>
      </c>
      <c r="H16" s="2">
        <f t="shared" si="1"/>
        <v>59389.270000000004</v>
      </c>
      <c r="I16" s="132"/>
      <c r="J16" s="2">
        <v>59401.41</v>
      </c>
      <c r="L16" s="115"/>
      <c r="M16" s="133"/>
    </row>
    <row r="17" spans="1:13" hidden="1" x14ac:dyDescent="0.2">
      <c r="A17" s="154">
        <f>'FERC Interest Rates'!A25</f>
        <v>41759</v>
      </c>
      <c r="D17" s="2">
        <v>5578.35</v>
      </c>
      <c r="F17" s="2">
        <f t="shared" si="2"/>
        <v>158.63999999999999</v>
      </c>
      <c r="H17" s="2">
        <f t="shared" si="1"/>
        <v>65126.26</v>
      </c>
      <c r="I17" s="132"/>
      <c r="J17" s="2">
        <v>65126.26</v>
      </c>
      <c r="L17" s="115"/>
      <c r="M17" s="133"/>
    </row>
    <row r="18" spans="1:13" hidden="1" x14ac:dyDescent="0.2">
      <c r="A18" s="154">
        <f>'FERC Interest Rates'!A26</f>
        <v>41790</v>
      </c>
      <c r="D18" s="2">
        <v>0</v>
      </c>
      <c r="F18" s="2">
        <f t="shared" si="2"/>
        <v>179.77</v>
      </c>
      <c r="H18" s="2">
        <f t="shared" si="1"/>
        <v>65306.03</v>
      </c>
      <c r="I18" s="132"/>
      <c r="J18" s="2">
        <v>65306.03</v>
      </c>
      <c r="L18" s="115"/>
      <c r="M18" s="133"/>
    </row>
    <row r="19" spans="1:13" hidden="1" x14ac:dyDescent="0.2">
      <c r="A19" s="154">
        <f>'FERC Interest Rates'!A27</f>
        <v>41820</v>
      </c>
      <c r="D19" s="2">
        <v>8188.42</v>
      </c>
      <c r="F19" s="2">
        <f t="shared" si="2"/>
        <v>174.45</v>
      </c>
      <c r="H19" s="2">
        <f t="shared" si="1"/>
        <v>73668.899999999994</v>
      </c>
      <c r="I19" s="132"/>
      <c r="J19" s="2">
        <v>73668.899999999994</v>
      </c>
      <c r="L19" s="115"/>
      <c r="M19" s="133"/>
    </row>
    <row r="20" spans="1:13" hidden="1" x14ac:dyDescent="0.2">
      <c r="A20" s="154">
        <f>'FERC Interest Rates'!A28</f>
        <v>41851</v>
      </c>
      <c r="D20" s="2">
        <v>0</v>
      </c>
      <c r="F20" s="2">
        <f t="shared" si="2"/>
        <v>203.35</v>
      </c>
      <c r="H20" s="2">
        <f t="shared" si="1"/>
        <v>73872.25</v>
      </c>
      <c r="I20" s="132"/>
      <c r="J20" s="2">
        <v>73872.25</v>
      </c>
      <c r="L20" s="115"/>
      <c r="M20" s="133"/>
    </row>
    <row r="21" spans="1:13" hidden="1" x14ac:dyDescent="0.2">
      <c r="A21" s="154">
        <f>'FERC Interest Rates'!A29</f>
        <v>41882</v>
      </c>
      <c r="D21" s="2">
        <v>5733.28</v>
      </c>
      <c r="F21" s="2">
        <f t="shared" si="2"/>
        <v>203.91</v>
      </c>
      <c r="H21" s="2">
        <f t="shared" si="1"/>
        <v>79809.440000000002</v>
      </c>
      <c r="I21" s="132"/>
      <c r="J21" s="2">
        <v>79809.440000000002</v>
      </c>
      <c r="L21" s="115"/>
      <c r="M21" s="133"/>
    </row>
    <row r="22" spans="1:13" hidden="1" x14ac:dyDescent="0.2">
      <c r="A22" s="154">
        <f>'FERC Interest Rates'!A30</f>
        <v>41912</v>
      </c>
      <c r="D22" s="2">
        <v>0</v>
      </c>
      <c r="F22" s="2">
        <f t="shared" si="2"/>
        <v>213.19</v>
      </c>
      <c r="H22" s="2">
        <f t="shared" si="1"/>
        <v>80022.63</v>
      </c>
      <c r="I22" s="132"/>
      <c r="J22" s="2">
        <v>80022.63</v>
      </c>
      <c r="L22" s="115"/>
      <c r="M22" s="133"/>
    </row>
    <row r="23" spans="1:13" hidden="1" x14ac:dyDescent="0.2">
      <c r="A23" s="154">
        <f>'FERC Interest Rates'!A31</f>
        <v>41943</v>
      </c>
      <c r="D23" s="2">
        <v>3220.1</v>
      </c>
      <c r="F23" s="2">
        <f t="shared" si="2"/>
        <v>220.88</v>
      </c>
      <c r="H23" s="2">
        <f t="shared" si="1"/>
        <v>83463.61</v>
      </c>
      <c r="I23" s="136"/>
      <c r="J23" s="2">
        <v>83463.61</v>
      </c>
      <c r="L23" s="115"/>
      <c r="M23" s="133"/>
    </row>
    <row r="24" spans="1:13" hidden="1" x14ac:dyDescent="0.2">
      <c r="A24" s="137" t="s">
        <v>122</v>
      </c>
      <c r="B24" s="137"/>
      <c r="C24" s="137"/>
      <c r="D24" s="137"/>
      <c r="E24" s="137"/>
      <c r="F24" s="137"/>
      <c r="G24" s="2">
        <v>-74479.05</v>
      </c>
      <c r="H24" s="2">
        <f t="shared" si="1"/>
        <v>8984.5599999999977</v>
      </c>
      <c r="I24" s="136"/>
    </row>
    <row r="25" spans="1:13" hidden="1" x14ac:dyDescent="0.2">
      <c r="A25" s="154">
        <f>'FERC Interest Rates'!A32</f>
        <v>41973</v>
      </c>
      <c r="D25" s="2">
        <v>11345.71</v>
      </c>
      <c r="F25" s="2">
        <f>ROUND(H24*VLOOKUP(A25,FERCINT14,2)/365*VLOOKUP(A25,FERCINT14,3),2)</f>
        <v>24</v>
      </c>
      <c r="H25" s="2">
        <f t="shared" si="1"/>
        <v>20354.269999999997</v>
      </c>
      <c r="I25" s="136"/>
      <c r="J25" s="2">
        <v>20354.27</v>
      </c>
      <c r="L25" s="115"/>
      <c r="M25" s="133"/>
    </row>
    <row r="26" spans="1:13" hidden="1" x14ac:dyDescent="0.2">
      <c r="A26" s="154">
        <f>'FERC Interest Rates'!A33</f>
        <v>42004</v>
      </c>
      <c r="D26" s="2">
        <v>6484.81</v>
      </c>
      <c r="F26" s="2">
        <f>ROUND(H25*VLOOKUP(A26,FERCINT14,2)/365*VLOOKUP(A26,FERCINT14,3),2)</f>
        <v>56.18</v>
      </c>
      <c r="H26" s="2">
        <f t="shared" si="1"/>
        <v>26895.26</v>
      </c>
      <c r="I26" s="136"/>
      <c r="J26" s="2">
        <v>26895.26</v>
      </c>
      <c r="L26" s="115"/>
      <c r="M26" s="133"/>
    </row>
    <row r="27" spans="1:13" hidden="1" x14ac:dyDescent="0.2">
      <c r="A27" s="154">
        <f>'FERC Interest Rates'!A34</f>
        <v>42035</v>
      </c>
      <c r="D27" s="2">
        <v>0</v>
      </c>
      <c r="F27" s="2">
        <f t="shared" ref="F27:F36" si="3">ROUND(H26*VLOOKUP(A27,FERCINT15,2)/365*VLOOKUP(A27,FERCINT15,3),2)</f>
        <v>74.239999999999995</v>
      </c>
      <c r="H27" s="2">
        <f t="shared" si="1"/>
        <v>26969.5</v>
      </c>
      <c r="I27" s="136"/>
      <c r="J27" s="2">
        <v>26969.5</v>
      </c>
      <c r="L27" s="115"/>
      <c r="M27" s="133"/>
    </row>
    <row r="28" spans="1:13" hidden="1" x14ac:dyDescent="0.2">
      <c r="A28" s="154">
        <f>'FERC Interest Rates'!A35</f>
        <v>42063</v>
      </c>
      <c r="D28" s="2">
        <v>18744.09</v>
      </c>
      <c r="F28" s="2">
        <f t="shared" si="3"/>
        <v>67.239999999999995</v>
      </c>
      <c r="H28" s="2">
        <f t="shared" si="1"/>
        <v>45780.83</v>
      </c>
      <c r="I28" s="136"/>
      <c r="J28" s="2">
        <v>45780.83</v>
      </c>
      <c r="L28" s="115"/>
      <c r="M28" s="133"/>
    </row>
    <row r="29" spans="1:13" hidden="1" x14ac:dyDescent="0.2">
      <c r="A29" s="154">
        <f>'FERC Interest Rates'!A36</f>
        <v>42094</v>
      </c>
      <c r="D29" s="2">
        <v>20706.11</v>
      </c>
      <c r="F29" s="2">
        <f t="shared" si="3"/>
        <v>126.37</v>
      </c>
      <c r="H29" s="2">
        <f t="shared" si="1"/>
        <v>66613.31</v>
      </c>
      <c r="I29" s="136"/>
      <c r="J29" s="2">
        <v>66613.31</v>
      </c>
      <c r="L29" s="115"/>
      <c r="M29" s="133"/>
    </row>
    <row r="30" spans="1:13" hidden="1" x14ac:dyDescent="0.2">
      <c r="A30" s="154">
        <f>'FERC Interest Rates'!A37</f>
        <v>42124</v>
      </c>
      <c r="D30" s="2">
        <v>6730.61</v>
      </c>
      <c r="F30" s="2">
        <f t="shared" si="3"/>
        <v>177.94</v>
      </c>
      <c r="H30" s="2">
        <f t="shared" si="1"/>
        <v>73521.86</v>
      </c>
      <c r="I30" s="136"/>
      <c r="J30" s="2">
        <v>73521.86</v>
      </c>
      <c r="L30" s="115"/>
      <c r="M30" s="133"/>
    </row>
    <row r="31" spans="1:13" hidden="1" x14ac:dyDescent="0.2">
      <c r="A31" s="154">
        <f>'FERC Interest Rates'!A38</f>
        <v>42155</v>
      </c>
      <c r="D31" s="2">
        <v>6090.9</v>
      </c>
      <c r="F31" s="2">
        <f t="shared" si="3"/>
        <v>202.94</v>
      </c>
      <c r="H31" s="2">
        <f t="shared" si="1"/>
        <v>79815.7</v>
      </c>
      <c r="I31" s="136"/>
      <c r="J31" s="2">
        <v>79815.7</v>
      </c>
      <c r="L31" s="115"/>
      <c r="M31" s="133"/>
    </row>
    <row r="32" spans="1:13" hidden="1" x14ac:dyDescent="0.2">
      <c r="A32" s="154">
        <f>'FERC Interest Rates'!A39</f>
        <v>42185</v>
      </c>
      <c r="D32" s="2">
        <v>2164.98</v>
      </c>
      <c r="F32" s="2">
        <f t="shared" si="3"/>
        <v>213.21</v>
      </c>
      <c r="H32" s="2">
        <f t="shared" si="1"/>
        <v>82193.89</v>
      </c>
      <c r="I32" s="136"/>
      <c r="J32" s="2">
        <v>82193.89</v>
      </c>
      <c r="L32" s="115"/>
      <c r="M32" s="133"/>
    </row>
    <row r="33" spans="1:13" hidden="1" x14ac:dyDescent="0.2">
      <c r="A33" s="154">
        <f>'FERC Interest Rates'!A40</f>
        <v>42216</v>
      </c>
      <c r="D33" s="2">
        <v>4424.8900000000003</v>
      </c>
      <c r="F33" s="2">
        <f t="shared" si="3"/>
        <v>226.88</v>
      </c>
      <c r="H33" s="2">
        <f t="shared" si="1"/>
        <v>86845.66</v>
      </c>
      <c r="I33" s="136"/>
      <c r="J33" s="2">
        <v>86845.66</v>
      </c>
      <c r="L33" s="115"/>
      <c r="M33" s="133"/>
    </row>
    <row r="34" spans="1:13" hidden="1" x14ac:dyDescent="0.2">
      <c r="A34" s="154">
        <f>'FERC Interest Rates'!A41</f>
        <v>42247</v>
      </c>
      <c r="D34" s="2">
        <v>0</v>
      </c>
      <c r="F34" s="2">
        <f t="shared" si="3"/>
        <v>239.72</v>
      </c>
      <c r="H34" s="2">
        <f t="shared" si="1"/>
        <v>87085.38</v>
      </c>
      <c r="I34" s="136"/>
      <c r="J34" s="2">
        <v>87085.38</v>
      </c>
      <c r="L34" s="115"/>
      <c r="M34" s="133"/>
    </row>
    <row r="35" spans="1:13" hidden="1" x14ac:dyDescent="0.2">
      <c r="A35" s="154">
        <f>'FERC Interest Rates'!A42</f>
        <v>42277</v>
      </c>
      <c r="D35" s="2">
        <v>0</v>
      </c>
      <c r="F35" s="2">
        <f t="shared" si="3"/>
        <v>232.63</v>
      </c>
      <c r="H35" s="2">
        <f t="shared" si="1"/>
        <v>87318.010000000009</v>
      </c>
      <c r="I35" s="136"/>
      <c r="J35" s="2">
        <v>87318.01</v>
      </c>
      <c r="L35" s="115"/>
      <c r="M35" s="133"/>
    </row>
    <row r="36" spans="1:13" hidden="1" x14ac:dyDescent="0.2">
      <c r="A36" s="154">
        <f>'FERC Interest Rates'!A43</f>
        <v>42308</v>
      </c>
      <c r="D36" s="2">
        <v>25588.39</v>
      </c>
      <c r="F36" s="2">
        <f t="shared" si="3"/>
        <v>241.02</v>
      </c>
      <c r="H36" s="2">
        <f t="shared" si="1"/>
        <v>113147.42000000001</v>
      </c>
      <c r="I36" s="136"/>
      <c r="J36" s="2">
        <v>113147.42</v>
      </c>
      <c r="L36" s="115"/>
      <c r="M36" s="133"/>
    </row>
    <row r="37" spans="1:13" hidden="1" x14ac:dyDescent="0.2">
      <c r="A37" s="154">
        <f>'FERC Interest Rates'!A44</f>
        <v>42338</v>
      </c>
      <c r="D37" s="2">
        <v>0</v>
      </c>
      <c r="F37" s="2">
        <f t="shared" ref="F37" si="4">ROUND(H36*VLOOKUP(A37,FERCINT15,2)/365*VLOOKUP(A37,FERCINT15,3),2)</f>
        <v>302.24</v>
      </c>
      <c r="H37" s="2">
        <f t="shared" ref="H37:H75" si="5">+SUM(D37:G37)+H36</f>
        <v>113449.66000000002</v>
      </c>
      <c r="I37" s="136"/>
      <c r="J37" s="2">
        <v>113449.66</v>
      </c>
      <c r="L37" s="115"/>
      <c r="M37" s="133"/>
    </row>
    <row r="38" spans="1:13" hidden="1" x14ac:dyDescent="0.2">
      <c r="A38" s="137" t="s">
        <v>123</v>
      </c>
      <c r="B38" s="137"/>
      <c r="C38" s="137"/>
      <c r="D38" s="137"/>
      <c r="E38" s="137"/>
      <c r="F38" s="137"/>
      <c r="G38" s="2">
        <v>-87792.92</v>
      </c>
      <c r="H38" s="2">
        <f t="shared" si="5"/>
        <v>25656.74000000002</v>
      </c>
      <c r="I38" s="136"/>
      <c r="L38" s="115"/>
      <c r="M38" s="133"/>
    </row>
    <row r="39" spans="1:13" hidden="1" x14ac:dyDescent="0.2">
      <c r="A39" s="154">
        <f>'FERC Interest Rates'!A45</f>
        <v>42369</v>
      </c>
      <c r="D39" s="2">
        <v>5078.8599999999997</v>
      </c>
      <c r="F39" s="2">
        <f>ROUND(H38*VLOOKUP(A39,FERCINT15,2)/365*VLOOKUP(A39,FERCINT15,3),2)</f>
        <v>70.819999999999993</v>
      </c>
      <c r="H39" s="2">
        <f t="shared" si="5"/>
        <v>30806.42000000002</v>
      </c>
      <c r="I39" s="136"/>
      <c r="J39" s="2">
        <v>30806.42</v>
      </c>
      <c r="L39" s="115"/>
      <c r="M39" s="133"/>
    </row>
    <row r="40" spans="1:13" hidden="1" x14ac:dyDescent="0.2">
      <c r="A40" s="154">
        <f>'FERC Interest Rates'!A46</f>
        <v>42400</v>
      </c>
      <c r="D40" s="2">
        <v>8551.1299999999992</v>
      </c>
      <c r="F40" s="2">
        <f t="shared" ref="F40:F52" si="6">ROUND(H39*VLOOKUP(A40,FERCINT16,2)/365*VLOOKUP(A40,FERCINT16,3),2)</f>
        <v>85.03</v>
      </c>
      <c r="H40" s="2">
        <f t="shared" si="5"/>
        <v>39442.580000000016</v>
      </c>
      <c r="I40" s="136"/>
      <c r="J40" s="2">
        <v>39442.58</v>
      </c>
      <c r="L40" s="115"/>
      <c r="M40" s="133"/>
    </row>
    <row r="41" spans="1:13" hidden="1" x14ac:dyDescent="0.2">
      <c r="A41" s="154">
        <f>'FERC Interest Rates'!A47</f>
        <v>42429</v>
      </c>
      <c r="D41" s="2">
        <v>3435.07</v>
      </c>
      <c r="F41" s="2">
        <f t="shared" si="6"/>
        <v>101.85</v>
      </c>
      <c r="H41" s="2">
        <f t="shared" si="5"/>
        <v>42979.500000000015</v>
      </c>
      <c r="I41" s="136"/>
      <c r="J41" s="2">
        <v>42979.5</v>
      </c>
      <c r="L41" s="115"/>
      <c r="M41" s="133"/>
    </row>
    <row r="42" spans="1:13" hidden="1" x14ac:dyDescent="0.2">
      <c r="A42" s="154">
        <f>'FERC Interest Rates'!A48</f>
        <v>42460</v>
      </c>
      <c r="D42" s="2">
        <v>4412.76</v>
      </c>
      <c r="F42" s="2">
        <f t="shared" si="6"/>
        <v>118.64</v>
      </c>
      <c r="H42" s="2">
        <f t="shared" si="5"/>
        <v>47510.900000000016</v>
      </c>
      <c r="I42" s="136"/>
      <c r="J42" s="2">
        <v>47510.9</v>
      </c>
      <c r="L42" s="115"/>
      <c r="M42" s="133"/>
    </row>
    <row r="43" spans="1:13" hidden="1" x14ac:dyDescent="0.2">
      <c r="A43" s="154">
        <f>'FERC Interest Rates'!A49</f>
        <v>42490</v>
      </c>
      <c r="D43" s="2">
        <v>25403.73</v>
      </c>
      <c r="F43" s="2">
        <f t="shared" si="6"/>
        <v>135.11000000000001</v>
      </c>
      <c r="H43" s="2">
        <f t="shared" si="5"/>
        <v>73049.74000000002</v>
      </c>
      <c r="I43" s="136"/>
      <c r="J43" s="2">
        <v>73049.740000000005</v>
      </c>
      <c r="L43" s="115"/>
      <c r="M43" s="133"/>
    </row>
    <row r="44" spans="1:13" hidden="1" x14ac:dyDescent="0.2">
      <c r="A44" s="154">
        <f>'FERC Interest Rates'!A50</f>
        <v>42521</v>
      </c>
      <c r="D44" s="2">
        <v>3688.79</v>
      </c>
      <c r="F44" s="2">
        <f t="shared" si="6"/>
        <v>214.67</v>
      </c>
      <c r="H44" s="2">
        <f t="shared" si="5"/>
        <v>76953.200000000026</v>
      </c>
      <c r="I44" s="136"/>
      <c r="J44" s="2">
        <v>76953.2</v>
      </c>
      <c r="L44" s="115"/>
      <c r="M44" s="133"/>
    </row>
    <row r="45" spans="1:13" hidden="1" x14ac:dyDescent="0.2">
      <c r="A45" s="154">
        <f>'FERC Interest Rates'!A51</f>
        <v>42551</v>
      </c>
      <c r="D45" s="2">
        <v>0</v>
      </c>
      <c r="F45" s="2">
        <f t="shared" si="6"/>
        <v>218.84</v>
      </c>
      <c r="H45" s="2">
        <f t="shared" si="5"/>
        <v>77172.040000000023</v>
      </c>
      <c r="I45" s="136"/>
      <c r="J45" s="2">
        <v>77172.039999999994</v>
      </c>
      <c r="L45" s="115"/>
      <c r="M45" s="133"/>
    </row>
    <row r="46" spans="1:13" hidden="1" x14ac:dyDescent="0.2">
      <c r="A46" s="154">
        <f>'FERC Interest Rates'!A52</f>
        <v>42582</v>
      </c>
      <c r="D46" s="2">
        <f>1816.41+6474.96+4396.78</f>
        <v>12688.150000000001</v>
      </c>
      <c r="F46" s="2">
        <f t="shared" si="6"/>
        <v>229.4</v>
      </c>
      <c r="H46" s="2">
        <f t="shared" si="5"/>
        <v>90089.590000000026</v>
      </c>
      <c r="I46" s="136"/>
      <c r="J46" s="2">
        <v>90089.59</v>
      </c>
      <c r="L46" s="115"/>
      <c r="M46" s="133"/>
    </row>
    <row r="47" spans="1:13" hidden="1" x14ac:dyDescent="0.2">
      <c r="A47" s="154">
        <f>'FERC Interest Rates'!A53</f>
        <v>42613</v>
      </c>
      <c r="D47" s="2">
        <v>3099.7</v>
      </c>
      <c r="F47" s="2">
        <f t="shared" si="6"/>
        <v>267.8</v>
      </c>
      <c r="H47" s="2">
        <f t="shared" si="5"/>
        <v>93457.090000000026</v>
      </c>
      <c r="I47" s="136"/>
      <c r="J47" s="2">
        <v>93457.09</v>
      </c>
      <c r="L47" s="115"/>
      <c r="M47" s="133"/>
    </row>
    <row r="48" spans="1:13" hidden="1" x14ac:dyDescent="0.2">
      <c r="A48" s="154">
        <f>'FERC Interest Rates'!A54</f>
        <v>42643</v>
      </c>
      <c r="D48" s="2">
        <f>2502.49+4807.17</f>
        <v>7309.66</v>
      </c>
      <c r="F48" s="2">
        <f t="shared" si="6"/>
        <v>268.85000000000002</v>
      </c>
      <c r="H48" s="2">
        <f t="shared" si="5"/>
        <v>101035.60000000002</v>
      </c>
      <c r="I48" s="136"/>
      <c r="J48" s="2">
        <v>101035.6</v>
      </c>
      <c r="L48" s="115"/>
      <c r="M48" s="133"/>
    </row>
    <row r="49" spans="1:13" hidden="1" x14ac:dyDescent="0.2">
      <c r="A49" s="154">
        <f>'FERC Interest Rates'!A55</f>
        <v>42674</v>
      </c>
      <c r="D49" s="2">
        <v>0</v>
      </c>
      <c r="F49" s="2">
        <f t="shared" si="6"/>
        <v>300.33999999999997</v>
      </c>
      <c r="H49" s="2">
        <f t="shared" si="5"/>
        <v>101335.94000000002</v>
      </c>
      <c r="I49" s="136"/>
      <c r="J49" s="2">
        <v>101335.94</v>
      </c>
      <c r="L49" s="115"/>
      <c r="M49" s="133"/>
    </row>
    <row r="50" spans="1:13" hidden="1" x14ac:dyDescent="0.2">
      <c r="A50" s="137" t="s">
        <v>124</v>
      </c>
      <c r="B50" s="137"/>
      <c r="C50" s="137"/>
      <c r="D50" s="137"/>
      <c r="E50" s="137"/>
      <c r="F50" s="137"/>
      <c r="G50" s="2">
        <v>-90886.69</v>
      </c>
      <c r="H50" s="2">
        <f t="shared" si="5"/>
        <v>10449.250000000015</v>
      </c>
      <c r="I50" s="136"/>
      <c r="L50" s="115"/>
      <c r="M50" s="133"/>
    </row>
    <row r="51" spans="1:13" hidden="1" x14ac:dyDescent="0.2">
      <c r="A51" s="154">
        <f>'FERC Interest Rates'!A56</f>
        <v>42704</v>
      </c>
      <c r="D51" s="2">
        <v>9221.16</v>
      </c>
      <c r="F51" s="2">
        <f t="shared" si="6"/>
        <v>30.06</v>
      </c>
      <c r="H51" s="2">
        <f t="shared" si="5"/>
        <v>19700.470000000016</v>
      </c>
      <c r="I51" s="136"/>
      <c r="J51" s="2">
        <v>19670.41</v>
      </c>
      <c r="L51" s="115"/>
      <c r="M51" s="133"/>
    </row>
    <row r="52" spans="1:13" hidden="1" x14ac:dyDescent="0.2">
      <c r="A52" s="154">
        <f>'FERC Interest Rates'!A57</f>
        <v>42735</v>
      </c>
      <c r="D52" s="2">
        <f>4780.4+649.65+4137.84</f>
        <v>9567.89</v>
      </c>
      <c r="F52" s="2">
        <f t="shared" si="6"/>
        <v>58.56</v>
      </c>
      <c r="H52" s="2">
        <f t="shared" si="5"/>
        <v>29326.920000000013</v>
      </c>
      <c r="I52" s="136"/>
      <c r="J52" s="2">
        <v>29326.92</v>
      </c>
      <c r="L52" s="115"/>
      <c r="M52" s="133"/>
    </row>
    <row r="53" spans="1:13" hidden="1" x14ac:dyDescent="0.2">
      <c r="A53" s="154">
        <f>'FERC Interest Rates'!A58</f>
        <v>42766</v>
      </c>
      <c r="D53" s="2">
        <v>0</v>
      </c>
      <c r="F53" s="2">
        <f t="shared" ref="F53:F62" si="7">ROUND(H52*VLOOKUP(A53,FERCINT17,2)/365*VLOOKUP(A53,FERCINT17,3),2)</f>
        <v>87.18</v>
      </c>
      <c r="H53" s="2">
        <f t="shared" si="5"/>
        <v>29414.100000000013</v>
      </c>
      <c r="I53" s="136"/>
      <c r="J53" s="2">
        <v>29414.1</v>
      </c>
      <c r="L53" s="115"/>
      <c r="M53" s="133"/>
    </row>
    <row r="54" spans="1:13" hidden="1" x14ac:dyDescent="0.2">
      <c r="A54" s="154">
        <f>'FERC Interest Rates'!A59</f>
        <v>42794</v>
      </c>
      <c r="D54" s="2">
        <v>0</v>
      </c>
      <c r="F54" s="2">
        <f t="shared" si="7"/>
        <v>78.97</v>
      </c>
      <c r="H54" s="2">
        <f t="shared" si="5"/>
        <v>29493.070000000014</v>
      </c>
      <c r="I54" s="136"/>
      <c r="J54" s="2">
        <v>29493.07</v>
      </c>
      <c r="L54" s="115"/>
      <c r="M54" s="133"/>
    </row>
    <row r="55" spans="1:13" hidden="1" x14ac:dyDescent="0.2">
      <c r="A55" s="154">
        <f>'FERC Interest Rates'!A60</f>
        <v>42825</v>
      </c>
      <c r="D55" s="2">
        <f>6290.27+10000</f>
        <v>16290.27</v>
      </c>
      <c r="F55" s="2">
        <f t="shared" si="7"/>
        <v>87.67</v>
      </c>
      <c r="H55" s="2">
        <f t="shared" si="5"/>
        <v>45871.010000000017</v>
      </c>
      <c r="I55" s="136"/>
      <c r="J55" s="2">
        <v>45871.01</v>
      </c>
      <c r="L55" s="115"/>
      <c r="M55" s="133"/>
    </row>
    <row r="56" spans="1:13" hidden="1" x14ac:dyDescent="0.2">
      <c r="A56" s="154">
        <f>'FERC Interest Rates'!A61</f>
        <v>42855</v>
      </c>
      <c r="D56" s="2">
        <f>7252.13+20000</f>
        <v>27252.13</v>
      </c>
      <c r="F56" s="2">
        <f t="shared" si="7"/>
        <v>139.88</v>
      </c>
      <c r="H56" s="2">
        <f t="shared" si="5"/>
        <v>73263.020000000019</v>
      </c>
      <c r="I56" s="136"/>
      <c r="J56" s="2">
        <v>73263.02</v>
      </c>
      <c r="L56" s="115"/>
      <c r="M56" s="133"/>
    </row>
    <row r="57" spans="1:13" hidden="1" x14ac:dyDescent="0.2">
      <c r="A57" s="154">
        <f>'FERC Interest Rates'!A62</f>
        <v>42886</v>
      </c>
      <c r="D57" s="2">
        <v>0</v>
      </c>
      <c r="F57" s="2">
        <f t="shared" si="7"/>
        <v>230.85</v>
      </c>
      <c r="H57" s="2">
        <f t="shared" si="5"/>
        <v>73493.870000000024</v>
      </c>
      <c r="I57" s="136"/>
      <c r="J57" s="2">
        <v>73493.87</v>
      </c>
      <c r="L57" s="115"/>
      <c r="M57" s="133"/>
    </row>
    <row r="58" spans="1:13" hidden="1" x14ac:dyDescent="0.2">
      <c r="A58" s="154">
        <f>'FERC Interest Rates'!A63</f>
        <v>42916</v>
      </c>
      <c r="D58" s="2">
        <f>5163.92+10000</f>
        <v>15163.92</v>
      </c>
      <c r="F58" s="2">
        <f t="shared" si="7"/>
        <v>224.11</v>
      </c>
      <c r="H58" s="2">
        <f t="shared" si="5"/>
        <v>88881.900000000023</v>
      </c>
      <c r="I58" s="136"/>
      <c r="J58" s="2">
        <v>88881.9</v>
      </c>
      <c r="L58" s="115"/>
      <c r="M58" s="133"/>
    </row>
    <row r="59" spans="1:13" hidden="1" x14ac:dyDescent="0.2">
      <c r="A59" s="154">
        <f>'FERC Interest Rates'!A64</f>
        <v>42947</v>
      </c>
      <c r="D59" s="2">
        <v>4007</v>
      </c>
      <c r="F59" s="2">
        <f t="shared" si="7"/>
        <v>298.94</v>
      </c>
      <c r="H59" s="2">
        <f t="shared" si="5"/>
        <v>93187.840000000026</v>
      </c>
      <c r="I59" s="136"/>
      <c r="J59" s="2">
        <v>93187.839999999997</v>
      </c>
      <c r="L59" s="115"/>
      <c r="M59" s="133"/>
    </row>
    <row r="60" spans="1:13" hidden="1" x14ac:dyDescent="0.2">
      <c r="A60" s="154">
        <f>'FERC Interest Rates'!A65</f>
        <v>42978</v>
      </c>
      <c r="D60" s="2">
        <f>38847.79-313.42</f>
        <v>38534.370000000003</v>
      </c>
      <c r="F60" s="2">
        <f t="shared" si="7"/>
        <v>313.42</v>
      </c>
      <c r="H60" s="2">
        <f t="shared" si="5"/>
        <v>132035.63000000003</v>
      </c>
      <c r="I60" s="136"/>
      <c r="J60" s="2">
        <v>132035.63</v>
      </c>
      <c r="L60" s="115"/>
      <c r="M60" s="133"/>
    </row>
    <row r="61" spans="1:13" hidden="1" x14ac:dyDescent="0.2">
      <c r="A61" s="154">
        <f>'FERC Interest Rates'!A66</f>
        <v>43008</v>
      </c>
      <c r="D61" s="2">
        <v>4967</v>
      </c>
      <c r="F61" s="2">
        <f t="shared" si="7"/>
        <v>429.75</v>
      </c>
      <c r="H61" s="2">
        <f t="shared" si="5"/>
        <v>137432.38000000003</v>
      </c>
      <c r="I61" s="136"/>
      <c r="J61" s="2">
        <v>137432.38</v>
      </c>
      <c r="L61" s="115"/>
      <c r="M61" s="133"/>
    </row>
    <row r="62" spans="1:13" hidden="1" x14ac:dyDescent="0.2">
      <c r="A62" s="154">
        <f>'FERC Interest Rates'!A67</f>
        <v>43039</v>
      </c>
      <c r="D62" s="2">
        <f>23744.38-491.41</f>
        <v>23252.97</v>
      </c>
      <c r="F62" s="2">
        <f t="shared" si="7"/>
        <v>491.41</v>
      </c>
      <c r="H62" s="2">
        <f t="shared" si="5"/>
        <v>161176.76000000004</v>
      </c>
      <c r="I62" s="136"/>
      <c r="J62" s="2">
        <v>161176.76</v>
      </c>
      <c r="L62" s="115"/>
      <c r="M62" s="133"/>
    </row>
    <row r="63" spans="1:13" hidden="1" x14ac:dyDescent="0.2">
      <c r="A63" s="137" t="s">
        <v>124</v>
      </c>
      <c r="B63" s="137"/>
      <c r="C63" s="137"/>
      <c r="D63" s="137"/>
      <c r="E63" s="137"/>
      <c r="F63" s="137"/>
      <c r="G63" s="2">
        <v>-94141</v>
      </c>
      <c r="H63" s="2">
        <f t="shared" si="5"/>
        <v>67035.760000000038</v>
      </c>
      <c r="I63" s="136"/>
      <c r="L63" s="115"/>
      <c r="M63" s="133"/>
    </row>
    <row r="64" spans="1:13" hidden="1" x14ac:dyDescent="0.2">
      <c r="A64" s="154">
        <f>'FERC Interest Rates'!A68</f>
        <v>43069</v>
      </c>
      <c r="D64" s="2">
        <f>28158.1-231.96</f>
        <v>27926.14</v>
      </c>
      <c r="F64" s="2">
        <f>ROUND(H63*VLOOKUP(A64,FERCINT17,2)/365*VLOOKUP(A64,FERCINT17,3),2)</f>
        <v>231.96</v>
      </c>
      <c r="H64" s="2">
        <f t="shared" si="5"/>
        <v>95193.860000000044</v>
      </c>
      <c r="I64" s="136"/>
      <c r="J64" s="2">
        <v>95193.86</v>
      </c>
      <c r="L64" s="115"/>
      <c r="M64" s="133"/>
    </row>
    <row r="65" spans="1:13" hidden="1" x14ac:dyDescent="0.2">
      <c r="A65" s="154">
        <f>'FERC Interest Rates'!A69</f>
        <v>43100</v>
      </c>
      <c r="D65" s="2">
        <f>18785.63-340.38</f>
        <v>18445.25</v>
      </c>
      <c r="F65" s="2">
        <f>ROUND(H64*VLOOKUP(A65,FERCINT17,2)/365*VLOOKUP(A65,FERCINT17,3),2)</f>
        <v>340.38</v>
      </c>
      <c r="H65" s="2">
        <f t="shared" si="5"/>
        <v>113979.49000000005</v>
      </c>
      <c r="I65" s="136"/>
      <c r="J65" s="2">
        <v>113979.49</v>
      </c>
      <c r="L65" s="115"/>
      <c r="M65" s="133"/>
    </row>
    <row r="66" spans="1:13" hidden="1" x14ac:dyDescent="0.2">
      <c r="A66" s="154">
        <f>'FERC Interest Rates'!A70</f>
        <v>43131</v>
      </c>
      <c r="D66" s="2">
        <v>6893.54</v>
      </c>
      <c r="F66" s="2">
        <f t="shared" ref="F66:F78" si="8">ROUND(H65*VLOOKUP(A66,FERCINT18,2)/365*VLOOKUP(A66,FERCINT18,3),2)</f>
        <v>411.42</v>
      </c>
      <c r="H66" s="2">
        <f t="shared" si="5"/>
        <v>121284.45000000006</v>
      </c>
      <c r="I66" s="136"/>
      <c r="J66" s="2">
        <v>121284.45</v>
      </c>
      <c r="L66" s="115"/>
      <c r="M66" s="133"/>
    </row>
    <row r="67" spans="1:13" hidden="1" x14ac:dyDescent="0.2">
      <c r="A67" s="154">
        <f>'FERC Interest Rates'!A71</f>
        <v>43159</v>
      </c>
      <c r="D67" s="2">
        <v>37090.82</v>
      </c>
      <c r="F67" s="2">
        <f t="shared" si="8"/>
        <v>395.42</v>
      </c>
      <c r="H67" s="2">
        <f t="shared" si="5"/>
        <v>158770.69000000006</v>
      </c>
      <c r="I67" s="136"/>
      <c r="J67" s="2">
        <v>158770.69</v>
      </c>
      <c r="L67" s="115"/>
      <c r="M67" s="133"/>
    </row>
    <row r="68" spans="1:13" hidden="1" x14ac:dyDescent="0.2">
      <c r="A68" s="154">
        <f>'FERC Interest Rates'!A72</f>
        <v>43190</v>
      </c>
      <c r="D68" s="2">
        <v>12947.9</v>
      </c>
      <c r="F68" s="2">
        <f t="shared" si="8"/>
        <v>573.1</v>
      </c>
      <c r="H68" s="2">
        <f t="shared" si="5"/>
        <v>172291.69000000006</v>
      </c>
      <c r="I68" s="136"/>
      <c r="J68" s="2">
        <v>172291.69</v>
      </c>
      <c r="L68" s="115"/>
      <c r="M68" s="133"/>
    </row>
    <row r="69" spans="1:13" hidden="1" x14ac:dyDescent="0.2">
      <c r="A69" s="154">
        <f>'FERC Interest Rates'!A73</f>
        <v>43220</v>
      </c>
      <c r="D69" s="2">
        <v>19987.78</v>
      </c>
      <c r="F69" s="2">
        <f t="shared" si="8"/>
        <v>632.99</v>
      </c>
      <c r="H69" s="2">
        <f t="shared" si="5"/>
        <v>192912.46000000005</v>
      </c>
      <c r="I69" s="136"/>
      <c r="J69" s="2">
        <v>192912.46</v>
      </c>
      <c r="L69" s="115"/>
      <c r="M69" s="133"/>
    </row>
    <row r="70" spans="1:13" hidden="1" x14ac:dyDescent="0.2">
      <c r="A70" s="154">
        <f>'FERC Interest Rates'!A74</f>
        <v>43251</v>
      </c>
      <c r="D70" s="2">
        <v>42373.93</v>
      </c>
      <c r="F70" s="2">
        <f t="shared" si="8"/>
        <v>732.38</v>
      </c>
      <c r="H70" s="2">
        <f t="shared" si="5"/>
        <v>236018.77000000005</v>
      </c>
      <c r="I70" s="136"/>
      <c r="J70" s="2">
        <v>236018.77</v>
      </c>
      <c r="L70" s="115"/>
      <c r="M70" s="133"/>
    </row>
    <row r="71" spans="1:13" hidden="1" x14ac:dyDescent="0.2">
      <c r="A71" s="154">
        <f>'FERC Interest Rates'!A75</f>
        <v>43281</v>
      </c>
      <c r="D71" s="2">
        <v>12874.36</v>
      </c>
      <c r="F71" s="2">
        <f t="shared" si="8"/>
        <v>867.13</v>
      </c>
      <c r="H71" s="2">
        <f t="shared" si="5"/>
        <v>249760.26000000004</v>
      </c>
      <c r="I71" s="136"/>
      <c r="J71" s="2">
        <v>249760.26</v>
      </c>
      <c r="L71" s="115"/>
      <c r="M71" s="133"/>
    </row>
    <row r="72" spans="1:13" hidden="1" x14ac:dyDescent="0.2">
      <c r="A72" s="154">
        <f>'FERC Interest Rates'!A76</f>
        <v>43312</v>
      </c>
      <c r="D72" s="2">
        <v>4041.26</v>
      </c>
      <c r="F72" s="2">
        <f t="shared" si="8"/>
        <v>994.87</v>
      </c>
      <c r="H72" s="2">
        <f t="shared" si="5"/>
        <v>254796.39000000004</v>
      </c>
      <c r="I72" s="136"/>
      <c r="J72" s="2">
        <v>254796.39</v>
      </c>
      <c r="L72" s="115"/>
      <c r="M72" s="133"/>
    </row>
    <row r="73" spans="1:13" hidden="1" x14ac:dyDescent="0.2">
      <c r="A73" s="154">
        <f>'FERC Interest Rates'!A77</f>
        <v>43343</v>
      </c>
      <c r="D73" s="2">
        <v>0</v>
      </c>
      <c r="F73" s="2">
        <f t="shared" si="8"/>
        <v>1014.93</v>
      </c>
      <c r="H73" s="2">
        <f t="shared" si="5"/>
        <v>255811.32000000004</v>
      </c>
      <c r="I73" s="136"/>
      <c r="J73" s="2">
        <v>255811.32</v>
      </c>
      <c r="L73" s="115"/>
      <c r="M73" s="133"/>
    </row>
    <row r="74" spans="1:13" hidden="1" x14ac:dyDescent="0.2">
      <c r="A74" s="154">
        <f>'FERC Interest Rates'!A78</f>
        <v>43373</v>
      </c>
      <c r="D74" s="2">
        <v>22272.44</v>
      </c>
      <c r="F74" s="2">
        <f t="shared" si="8"/>
        <v>986.1</v>
      </c>
      <c r="H74" s="2">
        <f t="shared" si="5"/>
        <v>279069.86000000004</v>
      </c>
      <c r="I74" s="136"/>
      <c r="J74" s="2">
        <v>279069.86</v>
      </c>
      <c r="L74" s="115"/>
      <c r="M74" s="133"/>
    </row>
    <row r="75" spans="1:13" hidden="1" x14ac:dyDescent="0.2">
      <c r="A75" s="154">
        <f>'FERC Interest Rates'!A79</f>
        <v>43404</v>
      </c>
      <c r="D75" s="2">
        <v>17998.2</v>
      </c>
      <c r="F75" s="2">
        <f t="shared" si="8"/>
        <v>1175.6099999999999</v>
      </c>
      <c r="H75" s="2">
        <f t="shared" si="5"/>
        <v>298243.67000000004</v>
      </c>
      <c r="I75" s="136"/>
      <c r="J75" s="2">
        <v>298243.67</v>
      </c>
      <c r="L75" s="115"/>
      <c r="M75" s="133"/>
    </row>
    <row r="76" spans="1:13" hidden="1" x14ac:dyDescent="0.2">
      <c r="A76" s="137" t="s">
        <v>124</v>
      </c>
      <c r="B76" s="137"/>
      <c r="C76" s="137"/>
      <c r="D76" s="137"/>
      <c r="E76" s="137"/>
      <c r="F76" s="137"/>
      <c r="G76" s="2">
        <v>-257879.21</v>
      </c>
      <c r="H76" s="2">
        <f t="shared" ref="H76:H89" si="9">+SUM(D76:G76)+H75</f>
        <v>40364.46000000005</v>
      </c>
      <c r="I76" s="136"/>
      <c r="L76" s="115"/>
      <c r="M76" s="133"/>
    </row>
    <row r="77" spans="1:13" hidden="1" x14ac:dyDescent="0.2">
      <c r="A77" s="154">
        <f>'FERC Interest Rates'!A80</f>
        <v>43434</v>
      </c>
      <c r="D77" s="2">
        <v>36751.74</v>
      </c>
      <c r="F77" s="2">
        <f t="shared" si="8"/>
        <v>164.55</v>
      </c>
      <c r="H77" s="2">
        <f t="shared" si="9"/>
        <v>77280.750000000058</v>
      </c>
      <c r="I77" s="136"/>
      <c r="J77" s="2">
        <v>77280.75</v>
      </c>
      <c r="L77" s="115"/>
      <c r="M77" s="133"/>
    </row>
    <row r="78" spans="1:13" hidden="1" x14ac:dyDescent="0.2">
      <c r="A78" s="154">
        <f>'FERC Interest Rates'!A81</f>
        <v>43465</v>
      </c>
      <c r="D78" s="2">
        <v>21435.49</v>
      </c>
      <c r="F78" s="2">
        <f t="shared" si="8"/>
        <v>325.55</v>
      </c>
      <c r="H78" s="2">
        <f t="shared" si="9"/>
        <v>99041.790000000066</v>
      </c>
      <c r="I78" s="136"/>
      <c r="J78" s="2">
        <v>99041.79</v>
      </c>
      <c r="L78" s="115"/>
      <c r="M78" s="133"/>
    </row>
    <row r="79" spans="1:13" hidden="1" x14ac:dyDescent="0.2">
      <c r="A79" s="154">
        <f>'FERC Interest Rates'!A82</f>
        <v>43496</v>
      </c>
      <c r="D79" s="2">
        <v>12822.72</v>
      </c>
      <c r="F79" s="2">
        <f t="shared" ref="F79:F88" si="10">ROUND(H78*VLOOKUP(A79,FERCINT19,2)/365*VLOOKUP(A79,FERCINT19,3),2)</f>
        <v>435.73</v>
      </c>
      <c r="H79" s="2">
        <f t="shared" si="9"/>
        <v>112300.24000000006</v>
      </c>
      <c r="I79" s="136"/>
      <c r="J79" s="2">
        <v>112300.24</v>
      </c>
      <c r="L79" s="115"/>
      <c r="M79" s="133"/>
    </row>
    <row r="80" spans="1:13" hidden="1" x14ac:dyDescent="0.2">
      <c r="A80" s="154">
        <f>'FERC Interest Rates'!A83</f>
        <v>43524</v>
      </c>
      <c r="D80" s="2">
        <v>21709.68</v>
      </c>
      <c r="F80" s="2">
        <f t="shared" si="10"/>
        <v>446.25</v>
      </c>
      <c r="H80" s="2">
        <f t="shared" si="9"/>
        <v>134456.17000000007</v>
      </c>
      <c r="I80" s="136"/>
      <c r="J80" s="2">
        <v>134456.17000000001</v>
      </c>
      <c r="L80" s="115"/>
      <c r="M80" s="133"/>
    </row>
    <row r="81" spans="1:13" hidden="1" x14ac:dyDescent="0.2">
      <c r="A81" s="154">
        <f>'FERC Interest Rates'!A84</f>
        <v>43555</v>
      </c>
      <c r="D81" s="2">
        <v>75864.240000000005</v>
      </c>
      <c r="F81" s="2">
        <f t="shared" si="10"/>
        <v>591.53</v>
      </c>
      <c r="H81" s="2">
        <f t="shared" si="9"/>
        <v>210911.94000000006</v>
      </c>
      <c r="I81" s="136"/>
      <c r="J81" s="2">
        <v>210911.94</v>
      </c>
      <c r="L81" s="115"/>
      <c r="M81" s="133"/>
    </row>
    <row r="82" spans="1:13" hidden="1" x14ac:dyDescent="0.2">
      <c r="A82" s="154">
        <f>'FERC Interest Rates'!A85</f>
        <v>43585</v>
      </c>
      <c r="D82" s="2">
        <v>10000</v>
      </c>
      <c r="F82" s="2">
        <f t="shared" si="10"/>
        <v>944.77</v>
      </c>
      <c r="H82" s="2">
        <f t="shared" si="9"/>
        <v>221856.71000000005</v>
      </c>
      <c r="I82" s="136"/>
      <c r="J82" s="2">
        <v>221856.71</v>
      </c>
      <c r="L82" s="115"/>
      <c r="M82" s="133"/>
    </row>
    <row r="83" spans="1:13" hidden="1" x14ac:dyDescent="0.2">
      <c r="A83" s="154">
        <f>'FERC Interest Rates'!A86</f>
        <v>43616</v>
      </c>
      <c r="D83" s="2">
        <v>106891.82</v>
      </c>
      <c r="F83" s="2">
        <f t="shared" si="10"/>
        <v>1026.92</v>
      </c>
      <c r="H83" s="2">
        <f t="shared" si="9"/>
        <v>329775.45000000007</v>
      </c>
      <c r="I83" s="136"/>
      <c r="J83" s="2">
        <v>329775.45</v>
      </c>
      <c r="L83" s="115"/>
      <c r="M83" s="133"/>
    </row>
    <row r="84" spans="1:13" x14ac:dyDescent="0.2">
      <c r="A84" s="154">
        <f>'FERC Interest Rates'!A87</f>
        <v>43646</v>
      </c>
      <c r="B84" s="132"/>
      <c r="C84" s="132"/>
      <c r="D84" s="2">
        <v>127859.55</v>
      </c>
      <c r="E84" s="132"/>
      <c r="F84" s="2">
        <f t="shared" si="10"/>
        <v>1477.21</v>
      </c>
      <c r="H84" s="2">
        <f t="shared" si="9"/>
        <v>459112.21000000008</v>
      </c>
      <c r="I84" s="136"/>
      <c r="J84" s="2">
        <v>459112.21</v>
      </c>
      <c r="L84" s="115"/>
      <c r="M84" s="133"/>
    </row>
    <row r="85" spans="1:13" x14ac:dyDescent="0.2">
      <c r="A85" s="154">
        <f>'FERC Interest Rates'!A88</f>
        <v>43677</v>
      </c>
      <c r="B85" s="132"/>
      <c r="C85" s="132"/>
      <c r="D85" s="2">
        <v>46888.87</v>
      </c>
      <c r="E85" s="132"/>
      <c r="F85" s="2">
        <f t="shared" si="10"/>
        <v>2144.62</v>
      </c>
      <c r="H85" s="2">
        <f t="shared" si="9"/>
        <v>508145.70000000007</v>
      </c>
      <c r="I85" s="136"/>
      <c r="J85" s="2">
        <v>508145.7</v>
      </c>
      <c r="L85" s="115"/>
      <c r="M85" s="133"/>
    </row>
    <row r="86" spans="1:13" x14ac:dyDescent="0.2">
      <c r="A86" s="154">
        <f>'FERC Interest Rates'!A89</f>
        <v>43708</v>
      </c>
      <c r="B86" s="132"/>
      <c r="C86" s="132"/>
      <c r="D86" s="2">
        <v>132257.17000000001</v>
      </c>
      <c r="E86" s="132"/>
      <c r="F86" s="2">
        <f t="shared" si="10"/>
        <v>2373.67</v>
      </c>
      <c r="H86" s="2">
        <f t="shared" si="9"/>
        <v>642776.54</v>
      </c>
      <c r="I86" s="136"/>
      <c r="J86" s="2">
        <v>642776.54</v>
      </c>
      <c r="L86" s="115"/>
      <c r="M86" s="133"/>
    </row>
    <row r="87" spans="1:13" x14ac:dyDescent="0.2">
      <c r="A87" s="154">
        <f>'FERC Interest Rates'!A90</f>
        <v>43738</v>
      </c>
      <c r="B87" s="132"/>
      <c r="C87" s="132"/>
      <c r="D87" s="2">
        <v>47385.25</v>
      </c>
      <c r="E87" s="132"/>
      <c r="F87" s="2">
        <f t="shared" si="10"/>
        <v>2905.7</v>
      </c>
      <c r="H87" s="2">
        <f t="shared" si="9"/>
        <v>693067.49</v>
      </c>
      <c r="I87" s="136"/>
      <c r="J87" s="2">
        <v>693067.49</v>
      </c>
      <c r="L87" s="115"/>
      <c r="M87" s="133"/>
    </row>
    <row r="88" spans="1:13" x14ac:dyDescent="0.2">
      <c r="A88" s="154">
        <f>'FERC Interest Rates'!A91</f>
        <v>43769</v>
      </c>
      <c r="B88" s="132"/>
      <c r="C88" s="132"/>
      <c r="D88" s="2">
        <v>0</v>
      </c>
      <c r="E88" s="132"/>
      <c r="F88" s="2">
        <f t="shared" si="10"/>
        <v>3190.39</v>
      </c>
      <c r="H88" s="2">
        <f t="shared" si="9"/>
        <v>696257.88</v>
      </c>
      <c r="I88" s="136"/>
      <c r="J88" s="2">
        <v>696257.88</v>
      </c>
      <c r="L88" s="115"/>
      <c r="M88" s="133"/>
    </row>
    <row r="89" spans="1:13" x14ac:dyDescent="0.2">
      <c r="A89" s="137" t="s">
        <v>124</v>
      </c>
      <c r="B89" s="137"/>
      <c r="C89" s="137"/>
      <c r="D89" s="137"/>
      <c r="E89" s="137"/>
      <c r="F89" s="137"/>
      <c r="G89" s="2">
        <v>-515187.89</v>
      </c>
      <c r="H89" s="2">
        <f t="shared" si="9"/>
        <v>181069.99</v>
      </c>
      <c r="I89" s="136"/>
      <c r="L89" s="115"/>
      <c r="M89" s="133"/>
    </row>
    <row r="90" spans="1:13" x14ac:dyDescent="0.2">
      <c r="A90" s="154">
        <f>'FERC Interest Rates'!A92</f>
        <v>43799</v>
      </c>
      <c r="B90" s="132"/>
      <c r="C90" s="132"/>
      <c r="D90" s="2">
        <v>0</v>
      </c>
      <c r="E90" s="132"/>
      <c r="F90" s="2">
        <f>ROUND(H89*VLOOKUP(A90,FERCINT19,2)/365*VLOOKUP(A90,FERCINT19,3),2)</f>
        <v>806.63</v>
      </c>
      <c r="H90" s="2">
        <f>+SUM(D90:G90)+H89</f>
        <v>181876.62</v>
      </c>
      <c r="I90" s="136"/>
      <c r="J90" s="2">
        <v>181876.62</v>
      </c>
      <c r="L90" s="115"/>
      <c r="M90" s="133"/>
    </row>
    <row r="91" spans="1:13" x14ac:dyDescent="0.2">
      <c r="A91" s="154">
        <f>'FERC Interest Rates'!A93</f>
        <v>43830</v>
      </c>
      <c r="B91" s="132"/>
      <c r="C91" s="132"/>
      <c r="D91" s="2">
        <v>283947.49</v>
      </c>
      <c r="E91" s="132"/>
      <c r="F91" s="2">
        <f t="shared" ref="F91" si="11">ROUND(H90*VLOOKUP(A91,FERCINT19,2)/365*VLOOKUP(A91,FERCINT19,3),2)</f>
        <v>837.23</v>
      </c>
      <c r="H91" s="2">
        <f t="shared" ref="H91:H114" si="12">+SUM(D91:G91)+H90</f>
        <v>466661.33999999997</v>
      </c>
      <c r="I91" s="136"/>
      <c r="J91" s="2">
        <v>466661.34</v>
      </c>
      <c r="L91" s="115"/>
      <c r="M91" s="133"/>
    </row>
    <row r="92" spans="1:13" x14ac:dyDescent="0.2">
      <c r="A92" s="154">
        <f>'FERC Interest Rates'!A94</f>
        <v>43861</v>
      </c>
      <c r="B92" s="132"/>
      <c r="C92" s="132"/>
      <c r="D92" s="2">
        <v>63058.03</v>
      </c>
      <c r="E92" s="132"/>
      <c r="F92" s="2">
        <f t="shared" ref="F92:F104" si="13">ROUND(H91*VLOOKUP(A92,FERCINT20,2)/365*VLOOKUP(A92,FERCINT20,3),2)</f>
        <v>1965.86</v>
      </c>
      <c r="H92" s="2">
        <f t="shared" si="12"/>
        <v>531685.23</v>
      </c>
      <c r="I92" s="136"/>
      <c r="J92" s="2">
        <v>531685.23</v>
      </c>
      <c r="L92" s="115"/>
      <c r="M92" s="133"/>
    </row>
    <row r="93" spans="1:13" x14ac:dyDescent="0.2">
      <c r="A93" s="154">
        <f>'FERC Interest Rates'!A95</f>
        <v>43890</v>
      </c>
      <c r="B93" s="132"/>
      <c r="C93" s="132"/>
      <c r="D93" s="2">
        <v>147274.29</v>
      </c>
      <c r="E93" s="132"/>
      <c r="F93" s="2">
        <f t="shared" si="13"/>
        <v>2095.2800000000002</v>
      </c>
      <c r="H93" s="2">
        <f t="shared" si="12"/>
        <v>681054.8</v>
      </c>
      <c r="I93" s="136"/>
      <c r="J93" s="2">
        <v>681054.8</v>
      </c>
      <c r="L93" s="115"/>
      <c r="M93" s="133"/>
    </row>
    <row r="94" spans="1:13" x14ac:dyDescent="0.2">
      <c r="A94" s="154">
        <f>'FERC Interest Rates'!A96</f>
        <v>43921</v>
      </c>
      <c r="B94" s="132"/>
      <c r="C94" s="132"/>
      <c r="D94" s="2">
        <v>52745.93</v>
      </c>
      <c r="E94" s="132"/>
      <c r="F94" s="2">
        <f t="shared" si="13"/>
        <v>2869.01</v>
      </c>
      <c r="H94" s="2">
        <f t="shared" si="12"/>
        <v>736669.74</v>
      </c>
      <c r="I94" s="136"/>
      <c r="J94" s="2">
        <v>736669.74</v>
      </c>
      <c r="L94" s="115"/>
      <c r="M94" s="133"/>
    </row>
    <row r="95" spans="1:13" x14ac:dyDescent="0.2">
      <c r="A95" s="154">
        <f>'FERC Interest Rates'!A97</f>
        <v>43951</v>
      </c>
      <c r="B95" s="132"/>
      <c r="C95" s="132"/>
      <c r="D95" s="2">
        <v>70880.460000000006</v>
      </c>
      <c r="E95" s="132"/>
      <c r="F95" s="2">
        <f t="shared" si="13"/>
        <v>2876.04</v>
      </c>
      <c r="H95" s="2">
        <f t="shared" si="12"/>
        <v>810426.24</v>
      </c>
      <c r="I95" s="136"/>
      <c r="J95" s="2">
        <v>810426.24</v>
      </c>
      <c r="L95" s="115"/>
      <c r="M95" s="133"/>
    </row>
    <row r="96" spans="1:13" x14ac:dyDescent="0.2">
      <c r="A96" s="154">
        <f>'FERC Interest Rates'!A98</f>
        <v>43982</v>
      </c>
      <c r="B96" s="132"/>
      <c r="C96" s="132"/>
      <c r="D96" s="2">
        <v>62220.66</v>
      </c>
      <c r="E96" s="132"/>
      <c r="F96" s="2">
        <f t="shared" si="13"/>
        <v>3269.46</v>
      </c>
      <c r="H96" s="2">
        <f t="shared" si="12"/>
        <v>875916.36</v>
      </c>
      <c r="I96" s="136"/>
      <c r="J96" s="2">
        <v>875916.36</v>
      </c>
      <c r="L96" s="115"/>
      <c r="M96" s="133"/>
    </row>
    <row r="97" spans="1:13" x14ac:dyDescent="0.2">
      <c r="A97" s="154">
        <f>'FERC Interest Rates'!A99</f>
        <v>44012</v>
      </c>
      <c r="B97" s="132"/>
      <c r="C97" s="132"/>
      <c r="D97" s="2">
        <v>21158.52</v>
      </c>
      <c r="E97" s="132"/>
      <c r="F97" s="2">
        <f t="shared" si="13"/>
        <v>3419.67</v>
      </c>
      <c r="H97" s="2">
        <f t="shared" si="12"/>
        <v>900494.55</v>
      </c>
      <c r="I97" s="136"/>
      <c r="J97" s="2">
        <v>900494.55</v>
      </c>
      <c r="L97" s="115"/>
      <c r="M97" s="133"/>
    </row>
    <row r="98" spans="1:13" x14ac:dyDescent="0.2">
      <c r="A98" s="154">
        <f>'FERC Interest Rates'!A100</f>
        <v>44043</v>
      </c>
      <c r="B98" s="132"/>
      <c r="C98" s="132"/>
      <c r="D98" s="2">
        <v>68338.03</v>
      </c>
      <c r="E98" s="132"/>
      <c r="F98" s="2">
        <f t="shared" si="13"/>
        <v>2623.28</v>
      </c>
      <c r="H98" s="2">
        <f t="shared" si="12"/>
        <v>971455.8600000001</v>
      </c>
      <c r="I98" s="136"/>
      <c r="J98" s="2">
        <v>971455.86</v>
      </c>
      <c r="L98" s="115"/>
      <c r="M98" s="133"/>
    </row>
    <row r="99" spans="1:13" x14ac:dyDescent="0.2">
      <c r="A99" s="154">
        <f>'FERC Interest Rates'!A101</f>
        <v>44074</v>
      </c>
      <c r="B99" s="132"/>
      <c r="C99" s="132"/>
      <c r="D99" s="2">
        <v>64763.43</v>
      </c>
      <c r="E99" s="132"/>
      <c r="F99" s="2">
        <f t="shared" si="13"/>
        <v>2830</v>
      </c>
      <c r="H99" s="2">
        <f t="shared" si="12"/>
        <v>1039049.29</v>
      </c>
      <c r="I99" s="136"/>
      <c r="J99" s="2">
        <v>1039049.29</v>
      </c>
      <c r="L99" s="115"/>
      <c r="M99" s="133"/>
    </row>
    <row r="100" spans="1:13" x14ac:dyDescent="0.2">
      <c r="A100" s="154">
        <f>'FERC Interest Rates'!A102</f>
        <v>44104</v>
      </c>
      <c r="B100" s="132"/>
      <c r="C100" s="132"/>
      <c r="D100" s="2">
        <v>47056.86</v>
      </c>
      <c r="E100" s="132"/>
      <c r="F100" s="2">
        <f t="shared" si="13"/>
        <v>2929.26</v>
      </c>
      <c r="H100" s="2">
        <f t="shared" si="12"/>
        <v>1089035.4100000001</v>
      </c>
      <c r="I100" s="136"/>
      <c r="J100" s="2">
        <v>1089035.4099999999</v>
      </c>
      <c r="L100" s="115"/>
      <c r="M100" s="133"/>
    </row>
    <row r="101" spans="1:13" x14ac:dyDescent="0.2">
      <c r="A101" s="154">
        <f>'FERC Interest Rates'!A103</f>
        <v>44135</v>
      </c>
      <c r="B101" s="132"/>
      <c r="C101" s="132"/>
      <c r="D101" s="2">
        <v>0</v>
      </c>
      <c r="E101" s="132"/>
      <c r="F101" s="2">
        <f t="shared" si="13"/>
        <v>3006.04</v>
      </c>
      <c r="H101" s="2">
        <f t="shared" si="12"/>
        <v>1092041.4500000002</v>
      </c>
      <c r="I101" s="136"/>
      <c r="J101" s="2">
        <v>1092041.45</v>
      </c>
      <c r="L101" s="115"/>
      <c r="M101" s="133"/>
    </row>
    <row r="102" spans="1:13" x14ac:dyDescent="0.2">
      <c r="A102" s="137" t="s">
        <v>124</v>
      </c>
      <c r="B102" s="137"/>
      <c r="C102" s="137"/>
      <c r="D102" s="137"/>
      <c r="E102" s="137"/>
      <c r="F102" s="137"/>
      <c r="G102" s="2">
        <v>-979729.43</v>
      </c>
      <c r="H102" s="2">
        <f t="shared" si="12"/>
        <v>112312.02000000014</v>
      </c>
      <c r="I102" s="136"/>
      <c r="L102" s="115"/>
      <c r="M102" s="133"/>
    </row>
    <row r="103" spans="1:13" x14ac:dyDescent="0.2">
      <c r="A103" s="154">
        <f>'FERC Interest Rates'!A104</f>
        <v>44165</v>
      </c>
      <c r="B103" s="132"/>
      <c r="C103" s="132"/>
      <c r="D103" s="2">
        <v>53040.07</v>
      </c>
      <c r="E103" s="132"/>
      <c r="F103" s="2">
        <f t="shared" si="13"/>
        <v>300.01</v>
      </c>
      <c r="H103" s="2">
        <f t="shared" si="12"/>
        <v>165652.10000000015</v>
      </c>
      <c r="I103" s="136"/>
      <c r="J103" s="2">
        <v>165652.1</v>
      </c>
      <c r="L103" s="115"/>
      <c r="M103" s="133"/>
    </row>
    <row r="104" spans="1:13" x14ac:dyDescent="0.2">
      <c r="A104" s="154">
        <f>'FERC Interest Rates'!A105</f>
        <v>44196</v>
      </c>
      <c r="B104" s="132"/>
      <c r="C104" s="132"/>
      <c r="D104" s="2">
        <v>33744.980000000003</v>
      </c>
      <c r="E104" s="132"/>
      <c r="F104" s="2">
        <f t="shared" si="13"/>
        <v>457.25</v>
      </c>
      <c r="H104" s="2">
        <f t="shared" si="12"/>
        <v>199854.33000000016</v>
      </c>
      <c r="I104" s="136"/>
      <c r="J104" s="2">
        <v>199854.33</v>
      </c>
      <c r="L104" s="115"/>
      <c r="M104" s="133"/>
    </row>
    <row r="105" spans="1:13" x14ac:dyDescent="0.2">
      <c r="A105" s="154">
        <f>'FERC Interest Rates'!A106</f>
        <v>44227</v>
      </c>
      <c r="B105" s="132"/>
      <c r="C105" s="132"/>
      <c r="D105" s="2">
        <v>65455.96</v>
      </c>
      <c r="E105" s="132"/>
      <c r="F105" s="2">
        <f t="shared" ref="F105:F114" si="14">ROUND(H104*VLOOKUP(A105,FERCINT21,2)/365*VLOOKUP(A105,FERCINT21,3),2)</f>
        <v>551.65</v>
      </c>
      <c r="H105" s="2">
        <f t="shared" si="12"/>
        <v>265861.94000000018</v>
      </c>
      <c r="I105" s="136"/>
      <c r="J105" s="2">
        <v>265861.94</v>
      </c>
      <c r="L105" s="115"/>
      <c r="M105" s="133"/>
    </row>
    <row r="106" spans="1:13" x14ac:dyDescent="0.2">
      <c r="A106" s="154">
        <f>'FERC Interest Rates'!A107</f>
        <v>44255</v>
      </c>
      <c r="B106" s="132"/>
      <c r="C106" s="132"/>
      <c r="D106" s="2">
        <v>0</v>
      </c>
      <c r="E106" s="132"/>
      <c r="F106" s="2">
        <f t="shared" si="14"/>
        <v>662.83</v>
      </c>
      <c r="H106" s="2">
        <f t="shared" si="12"/>
        <v>266524.77000000019</v>
      </c>
      <c r="I106" s="136"/>
      <c r="J106" s="2">
        <v>266524.77</v>
      </c>
      <c r="L106" s="115"/>
      <c r="M106" s="133"/>
    </row>
    <row r="107" spans="1:13" x14ac:dyDescent="0.2">
      <c r="A107" s="154">
        <f>'FERC Interest Rates'!A108</f>
        <v>44286</v>
      </c>
      <c r="B107" s="132"/>
      <c r="C107" s="132"/>
      <c r="D107" s="2">
        <v>87228.25</v>
      </c>
      <c r="E107" s="132"/>
      <c r="F107" s="2">
        <f t="shared" si="14"/>
        <v>735.68</v>
      </c>
      <c r="H107" s="2">
        <f t="shared" si="12"/>
        <v>354488.70000000019</v>
      </c>
      <c r="I107" s="136"/>
      <c r="J107" s="2">
        <v>354488.7</v>
      </c>
      <c r="L107" s="115"/>
      <c r="M107" s="133"/>
    </row>
    <row r="108" spans="1:13" x14ac:dyDescent="0.2">
      <c r="A108" s="154">
        <f>'FERC Interest Rates'!A109</f>
        <v>44316</v>
      </c>
      <c r="B108" s="132"/>
      <c r="C108" s="132"/>
      <c r="D108" s="2">
        <v>66757.88</v>
      </c>
      <c r="E108" s="132"/>
      <c r="F108" s="2">
        <f t="shared" si="14"/>
        <v>946.92</v>
      </c>
      <c r="H108" s="2">
        <f t="shared" si="12"/>
        <v>422193.50000000017</v>
      </c>
      <c r="I108" s="136"/>
      <c r="J108" s="2">
        <v>422193.5</v>
      </c>
      <c r="L108" s="115"/>
      <c r="M108" s="133"/>
    </row>
    <row r="109" spans="1:13" x14ac:dyDescent="0.2">
      <c r="A109" s="154">
        <f>'FERC Interest Rates'!A110</f>
        <v>44347</v>
      </c>
      <c r="B109" s="132"/>
      <c r="C109" s="132"/>
      <c r="D109" s="2">
        <v>81158.67</v>
      </c>
      <c r="E109" s="132"/>
      <c r="F109" s="2">
        <f t="shared" si="14"/>
        <v>1165.3699999999999</v>
      </c>
      <c r="H109" s="2">
        <f t="shared" si="12"/>
        <v>504517.54000000015</v>
      </c>
      <c r="I109" s="136"/>
      <c r="J109" s="2">
        <v>504517.54</v>
      </c>
      <c r="L109" s="115"/>
      <c r="M109" s="133"/>
    </row>
    <row r="110" spans="1:13" x14ac:dyDescent="0.2">
      <c r="A110" s="154">
        <f>'FERC Interest Rates'!A111</f>
        <v>44377</v>
      </c>
      <c r="B110" s="132"/>
      <c r="C110" s="132"/>
      <c r="D110" s="2">
        <v>113867.13</v>
      </c>
      <c r="E110" s="132"/>
      <c r="F110" s="2">
        <f t="shared" si="14"/>
        <v>1347.68</v>
      </c>
      <c r="H110" s="2">
        <f t="shared" si="12"/>
        <v>619732.35000000009</v>
      </c>
      <c r="I110" s="136"/>
      <c r="J110" s="2">
        <v>619732.35</v>
      </c>
      <c r="L110" s="115"/>
      <c r="M110" s="133"/>
    </row>
    <row r="111" spans="1:13" x14ac:dyDescent="0.2">
      <c r="A111" s="154">
        <f>'FERC Interest Rates'!A112</f>
        <v>44408</v>
      </c>
      <c r="B111" s="132"/>
      <c r="C111" s="132"/>
      <c r="D111" s="2">
        <v>71129.960000000006</v>
      </c>
      <c r="E111" s="132"/>
      <c r="F111" s="2">
        <f t="shared" si="14"/>
        <v>1710.63</v>
      </c>
      <c r="H111" s="2">
        <f t="shared" si="12"/>
        <v>692572.94000000006</v>
      </c>
      <c r="I111" s="136"/>
      <c r="J111" s="2">
        <v>692572.94</v>
      </c>
      <c r="L111" s="115"/>
      <c r="M111" s="133"/>
    </row>
    <row r="112" spans="1:13" x14ac:dyDescent="0.2">
      <c r="A112" s="154">
        <f>'FERC Interest Rates'!A113</f>
        <v>44439</v>
      </c>
      <c r="B112" s="132"/>
      <c r="C112" s="132"/>
      <c r="D112" s="2">
        <v>26181.23</v>
      </c>
      <c r="E112" s="132"/>
      <c r="F112" s="2">
        <f t="shared" si="14"/>
        <v>1911.69</v>
      </c>
      <c r="H112" s="2">
        <f t="shared" si="12"/>
        <v>720665.8600000001</v>
      </c>
      <c r="I112" s="136"/>
      <c r="J112" s="2">
        <v>720665.86</v>
      </c>
      <c r="L112" s="115"/>
      <c r="M112" s="133"/>
    </row>
    <row r="113" spans="1:13" x14ac:dyDescent="0.2">
      <c r="A113" s="154">
        <f>'FERC Interest Rates'!A114</f>
        <v>44469</v>
      </c>
      <c r="B113" s="132"/>
      <c r="C113" s="132"/>
      <c r="D113" s="2">
        <v>19574.71</v>
      </c>
      <c r="E113" s="132"/>
      <c r="F113" s="2">
        <f t="shared" si="14"/>
        <v>1925.07</v>
      </c>
      <c r="H113" s="2">
        <f t="shared" si="12"/>
        <v>742165.64000000013</v>
      </c>
      <c r="I113" s="136"/>
      <c r="J113" s="2">
        <v>742165.64</v>
      </c>
      <c r="L113" s="115"/>
      <c r="M113" s="133"/>
    </row>
    <row r="114" spans="1:13" x14ac:dyDescent="0.2">
      <c r="A114" s="154">
        <f>'FERC Interest Rates'!A115</f>
        <v>44500</v>
      </c>
      <c r="B114" s="132"/>
      <c r="C114" s="132"/>
      <c r="E114" s="132"/>
      <c r="F114" s="2">
        <f t="shared" si="14"/>
        <v>2048.58</v>
      </c>
      <c r="H114" s="2">
        <f t="shared" si="12"/>
        <v>744214.22000000009</v>
      </c>
      <c r="I114" s="136"/>
      <c r="L114" s="115"/>
      <c r="M114" s="133"/>
    </row>
    <row r="115" spans="1:13" x14ac:dyDescent="0.2">
      <c r="A115" s="154"/>
      <c r="I115" s="136"/>
    </row>
  </sheetData>
  <mergeCells count="23">
    <mergeCell ref="A50:F50"/>
    <mergeCell ref="A63:F63"/>
    <mergeCell ref="A76:F76"/>
    <mergeCell ref="A89:F89"/>
    <mergeCell ref="A102:F102"/>
    <mergeCell ref="A7:B7"/>
    <mergeCell ref="C7:H7"/>
    <mergeCell ref="D9:F9"/>
    <mergeCell ref="A11:G11"/>
    <mergeCell ref="A24:F24"/>
    <mergeCell ref="A38:F38"/>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95"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A3AE4-5ACB-4B65-95C4-5010874A960D}">
  <sheetPr>
    <pageSetUpPr fitToPage="1"/>
  </sheetPr>
  <dimension ref="A1:M115"/>
  <sheetViews>
    <sheetView tabSelected="1" view="pageBreakPreview" zoomScaleNormal="60" zoomScaleSheetLayoutView="100" workbookViewId="0">
      <pane xSplit="1" ySplit="10" topLeftCell="B11" activePane="bottomRight" state="frozen"/>
      <selection activeCell="N106" sqref="N106"/>
      <selection pane="topRight" activeCell="N106" sqref="N106"/>
      <selection pane="bottomLeft" activeCell="N106" sqref="N106"/>
      <selection pane="bottomRight" activeCell="N106" sqref="N106"/>
    </sheetView>
  </sheetViews>
  <sheetFormatPr defaultColWidth="8.88671875" defaultRowHeight="12.75" x14ac:dyDescent="0.2"/>
  <cols>
    <col min="1" max="1" width="9.6640625" style="2" bestFit="1" customWidth="1"/>
    <col min="2" max="2" width="9.21875" style="2" customWidth="1"/>
    <col min="3" max="3" width="9.33203125" style="2" customWidth="1"/>
    <col min="4" max="4" width="9.6640625" style="2" customWidth="1"/>
    <col min="5" max="5" width="10.33203125" style="2" customWidth="1"/>
    <col min="6" max="6" width="9.33203125" style="2" customWidth="1"/>
    <col min="7" max="7" width="10.88671875" style="2" customWidth="1"/>
    <col min="8" max="8" width="11.33203125" style="2" bestFit="1" customWidth="1"/>
    <col min="9" max="9" width="1.21875" style="132" customWidth="1"/>
    <col min="10" max="10" width="11.88671875" style="2" customWidth="1"/>
    <col min="11" max="11" width="9.77734375" style="2" customWidth="1"/>
    <col min="12" max="12" width="9" style="2" bestFit="1" customWidth="1"/>
    <col min="13" max="13" width="10.33203125" style="2" bestFit="1" customWidth="1"/>
    <col min="14" max="16384" width="8.88671875" style="2"/>
  </cols>
  <sheetData>
    <row r="1" spans="1:13" x14ac:dyDescent="0.2">
      <c r="A1" s="138" t="s">
        <v>58</v>
      </c>
      <c r="B1" s="139"/>
      <c r="C1" s="140" t="s">
        <v>59</v>
      </c>
      <c r="D1" s="140"/>
      <c r="E1" s="140"/>
      <c r="F1" s="140"/>
      <c r="G1" s="140"/>
      <c r="H1" s="141"/>
      <c r="I1" s="114"/>
    </row>
    <row r="2" spans="1:13" x14ac:dyDescent="0.2">
      <c r="A2" s="142" t="s">
        <v>60</v>
      </c>
      <c r="B2" s="117"/>
      <c r="C2" s="143" t="s">
        <v>126</v>
      </c>
      <c r="D2" s="143"/>
      <c r="E2" s="143"/>
      <c r="F2" s="143"/>
      <c r="G2" s="143"/>
      <c r="H2" s="144"/>
      <c r="I2" s="114"/>
    </row>
    <row r="3" spans="1:13" x14ac:dyDescent="0.2">
      <c r="A3" s="142" t="s">
        <v>62</v>
      </c>
      <c r="B3" s="117"/>
      <c r="C3" s="118" t="s">
        <v>12</v>
      </c>
      <c r="D3" s="118"/>
      <c r="E3" s="118"/>
      <c r="F3" s="118"/>
      <c r="G3" s="118"/>
      <c r="H3" s="120"/>
      <c r="I3" s="114"/>
    </row>
    <row r="4" spans="1:13" x14ac:dyDescent="0.2">
      <c r="A4" s="142" t="s">
        <v>63</v>
      </c>
      <c r="B4" s="117"/>
      <c r="C4" s="118" t="s">
        <v>64</v>
      </c>
      <c r="D4" s="118"/>
      <c r="E4" s="118"/>
      <c r="F4" s="118"/>
      <c r="G4" s="118"/>
      <c r="H4" s="120"/>
      <c r="I4" s="114"/>
    </row>
    <row r="5" spans="1:13" x14ac:dyDescent="0.2">
      <c r="A5" s="142" t="s">
        <v>65</v>
      </c>
      <c r="B5" s="117"/>
      <c r="C5" s="118" t="s">
        <v>66</v>
      </c>
      <c r="D5" s="118"/>
      <c r="E5" s="118"/>
      <c r="F5" s="118"/>
      <c r="G5" s="118"/>
      <c r="H5" s="120"/>
      <c r="I5" s="114"/>
    </row>
    <row r="6" spans="1:13" x14ac:dyDescent="0.2">
      <c r="A6" s="142" t="s">
        <v>67</v>
      </c>
      <c r="B6" s="117"/>
      <c r="C6" s="118" t="s">
        <v>95</v>
      </c>
      <c r="D6" s="118"/>
      <c r="E6" s="118"/>
      <c r="F6" s="118"/>
      <c r="G6" s="118"/>
      <c r="H6" s="120"/>
      <c r="I6" s="114"/>
    </row>
    <row r="7" spans="1:13" ht="13.5" thickBot="1" x14ac:dyDescent="0.25">
      <c r="A7" s="145" t="s">
        <v>69</v>
      </c>
      <c r="B7" s="146"/>
      <c r="C7" s="147" t="s">
        <v>127</v>
      </c>
      <c r="D7" s="147"/>
      <c r="E7" s="147"/>
      <c r="F7" s="147"/>
      <c r="G7" s="147"/>
      <c r="H7" s="148"/>
      <c r="I7" s="125"/>
    </row>
    <row r="8" spans="1:13" x14ac:dyDescent="0.2">
      <c r="A8" s="152"/>
      <c r="B8" s="152"/>
      <c r="C8" s="153"/>
      <c r="D8" s="153"/>
      <c r="E8" s="153"/>
      <c r="F8" s="153"/>
      <c r="G8" s="153"/>
      <c r="H8" s="153"/>
      <c r="I8" s="2"/>
      <c r="K8" s="114"/>
    </row>
    <row r="9" spans="1:13" x14ac:dyDescent="0.2">
      <c r="A9" s="7"/>
      <c r="D9" s="128" t="s">
        <v>72</v>
      </c>
      <c r="E9" s="128"/>
      <c r="F9" s="128"/>
      <c r="I9" s="2"/>
    </row>
    <row r="10" spans="1:13" s="10" customFormat="1" ht="24" customHeight="1" x14ac:dyDescent="0.2">
      <c r="A10" s="10" t="s">
        <v>22</v>
      </c>
      <c r="B10" s="10" t="s">
        <v>74</v>
      </c>
      <c r="C10" s="10" t="s">
        <v>51</v>
      </c>
      <c r="D10" s="10" t="s">
        <v>75</v>
      </c>
      <c r="E10" s="10" t="s">
        <v>76</v>
      </c>
      <c r="F10" s="10" t="s">
        <v>77</v>
      </c>
      <c r="G10" s="10" t="s">
        <v>78</v>
      </c>
      <c r="H10" s="10" t="s">
        <v>79</v>
      </c>
      <c r="I10" s="130"/>
      <c r="J10" s="10" t="s">
        <v>80</v>
      </c>
      <c r="L10" s="3"/>
      <c r="M10" s="3"/>
    </row>
    <row r="11" spans="1:13" hidden="1" x14ac:dyDescent="0.2">
      <c r="A11" s="131" t="s">
        <v>84</v>
      </c>
      <c r="B11" s="131"/>
      <c r="C11" s="131"/>
      <c r="D11" s="131"/>
      <c r="E11" s="131"/>
      <c r="F11" s="131"/>
      <c r="G11" s="131"/>
      <c r="H11" s="2">
        <v>386395.83</v>
      </c>
      <c r="L11" s="115"/>
      <c r="M11" s="133"/>
    </row>
    <row r="12" spans="1:13" hidden="1" x14ac:dyDescent="0.2">
      <c r="A12" s="154">
        <f>'FERC Interest Rates'!A20</f>
        <v>41608</v>
      </c>
      <c r="D12" s="2">
        <v>47894.04</v>
      </c>
      <c r="F12" s="2">
        <f t="shared" ref="F12:F13" si="0">ROUND(H11*VLOOKUP(A12,FERCINT13,2)/365*VLOOKUP(A12,FERCINT13,3),2)</f>
        <v>1032.1500000000001</v>
      </c>
      <c r="H12" s="2">
        <f t="shared" ref="H12:H75" si="1">H11+SUM(D12:G12)</f>
        <v>435322.02</v>
      </c>
      <c r="J12" s="2">
        <v>435322.02</v>
      </c>
      <c r="L12" s="115"/>
      <c r="M12" s="133"/>
    </row>
    <row r="13" spans="1:13" hidden="1" x14ac:dyDescent="0.2">
      <c r="A13" s="154">
        <f>'FERC Interest Rates'!A21</f>
        <v>41639</v>
      </c>
      <c r="D13" s="2">
        <v>166162.6</v>
      </c>
      <c r="F13" s="2">
        <f t="shared" si="0"/>
        <v>1201.6099999999999</v>
      </c>
      <c r="H13" s="2">
        <f t="shared" si="1"/>
        <v>602686.23</v>
      </c>
      <c r="J13" s="2">
        <v>602686.23</v>
      </c>
      <c r="L13" s="115"/>
      <c r="M13" s="133"/>
    </row>
    <row r="14" spans="1:13" hidden="1" x14ac:dyDescent="0.2">
      <c r="A14" s="154">
        <f>'FERC Interest Rates'!A22</f>
        <v>41670</v>
      </c>
      <c r="D14" s="2">
        <v>69918.740000000005</v>
      </c>
      <c r="F14" s="2">
        <f t="shared" ref="F14:F26" si="2">ROUND(H13*VLOOKUP(A14,FERCINT14,2)/365*VLOOKUP(A14,FERCINT14,3),2)</f>
        <v>1663.58</v>
      </c>
      <c r="H14" s="2">
        <f t="shared" si="1"/>
        <v>674268.55</v>
      </c>
      <c r="J14" s="2">
        <v>674268.55</v>
      </c>
      <c r="L14" s="115"/>
      <c r="M14" s="133"/>
    </row>
    <row r="15" spans="1:13" hidden="1" x14ac:dyDescent="0.2">
      <c r="A15" s="154">
        <f>'FERC Interest Rates'!A23</f>
        <v>41698</v>
      </c>
      <c r="D15" s="2">
        <v>89751.29</v>
      </c>
      <c r="F15" s="2">
        <f t="shared" si="2"/>
        <v>1681.05</v>
      </c>
      <c r="H15" s="2">
        <f t="shared" si="1"/>
        <v>765700.89</v>
      </c>
      <c r="J15" s="2">
        <v>765881.01</v>
      </c>
      <c r="L15" s="115"/>
      <c r="M15" s="133"/>
    </row>
    <row r="16" spans="1:13" hidden="1" x14ac:dyDescent="0.2">
      <c r="A16" s="154">
        <f>'FERC Interest Rates'!A24</f>
        <v>41729</v>
      </c>
      <c r="D16" s="2">
        <v>77979.5</v>
      </c>
      <c r="F16" s="2">
        <f t="shared" si="2"/>
        <v>2113.54</v>
      </c>
      <c r="H16" s="2">
        <f t="shared" si="1"/>
        <v>845793.93</v>
      </c>
      <c r="J16" s="2">
        <v>845974.55</v>
      </c>
      <c r="L16" s="115"/>
      <c r="M16" s="133"/>
    </row>
    <row r="17" spans="1:13" hidden="1" x14ac:dyDescent="0.2">
      <c r="A17" s="154">
        <f>'FERC Interest Rates'!A25</f>
        <v>41759</v>
      </c>
      <c r="D17" s="2">
        <v>97835.520000000004</v>
      </c>
      <c r="F17" s="2">
        <f t="shared" si="2"/>
        <v>2259.31</v>
      </c>
      <c r="H17" s="2">
        <f t="shared" si="1"/>
        <v>945888.76</v>
      </c>
      <c r="J17" s="2">
        <v>945888.76</v>
      </c>
      <c r="L17" s="115"/>
      <c r="M17" s="133"/>
    </row>
    <row r="18" spans="1:13" hidden="1" x14ac:dyDescent="0.2">
      <c r="A18" s="154">
        <f>'FERC Interest Rates'!A26</f>
        <v>41790</v>
      </c>
      <c r="D18" s="2">
        <v>158076.60999999999</v>
      </c>
      <c r="F18" s="2">
        <f t="shared" si="2"/>
        <v>2610.91</v>
      </c>
      <c r="H18" s="2">
        <f t="shared" si="1"/>
        <v>1106576.28</v>
      </c>
      <c r="J18" s="2">
        <v>1106576.28</v>
      </c>
      <c r="L18" s="115"/>
      <c r="M18" s="133"/>
    </row>
    <row r="19" spans="1:13" hidden="1" x14ac:dyDescent="0.2">
      <c r="A19" s="154">
        <f>'FERC Interest Rates'!A27</f>
        <v>41820</v>
      </c>
      <c r="D19" s="2">
        <f>130663.59-8978.9</f>
        <v>121684.69</v>
      </c>
      <c r="F19" s="2">
        <f t="shared" si="2"/>
        <v>2955.92</v>
      </c>
      <c r="H19" s="2">
        <f t="shared" si="1"/>
        <v>1231216.8900000001</v>
      </c>
      <c r="J19" s="2">
        <v>1240195.79</v>
      </c>
      <c r="L19" s="115"/>
      <c r="M19" s="133"/>
    </row>
    <row r="20" spans="1:13" hidden="1" x14ac:dyDescent="0.2">
      <c r="A20" s="154">
        <f>'FERC Interest Rates'!A28</f>
        <v>41851</v>
      </c>
      <c r="D20" s="2">
        <v>-47127.839999999997</v>
      </c>
      <c r="F20" s="2">
        <f t="shared" si="2"/>
        <v>3398.5</v>
      </c>
      <c r="H20" s="2">
        <f t="shared" si="1"/>
        <v>1187487.55</v>
      </c>
      <c r="J20" s="2">
        <v>1196491.23</v>
      </c>
      <c r="L20" s="115"/>
      <c r="M20" s="133"/>
    </row>
    <row r="21" spans="1:13" hidden="1" x14ac:dyDescent="0.2">
      <c r="A21" s="154">
        <f>'FERC Interest Rates'!A29</f>
        <v>41882</v>
      </c>
      <c r="D21" s="2">
        <v>121270.24</v>
      </c>
      <c r="F21" s="2">
        <f t="shared" si="2"/>
        <v>3277.79</v>
      </c>
      <c r="H21" s="2">
        <f t="shared" si="1"/>
        <v>1312035.58</v>
      </c>
      <c r="J21" s="2">
        <v>1321064.1100000001</v>
      </c>
      <c r="L21" s="115"/>
      <c r="M21" s="133"/>
    </row>
    <row r="22" spans="1:13" hidden="1" x14ac:dyDescent="0.2">
      <c r="A22" s="154">
        <f>'FERC Interest Rates'!A30</f>
        <v>41912</v>
      </c>
      <c r="D22" s="2">
        <v>31597.98</v>
      </c>
      <c r="F22" s="2">
        <f t="shared" si="2"/>
        <v>3504.75</v>
      </c>
      <c r="H22" s="2">
        <f t="shared" si="1"/>
        <v>1347138.31</v>
      </c>
      <c r="J22" s="2">
        <v>1356190.96</v>
      </c>
      <c r="L22" s="115"/>
      <c r="M22" s="133"/>
    </row>
    <row r="23" spans="1:13" hidden="1" x14ac:dyDescent="0.2">
      <c r="A23" s="154">
        <f>'FERC Interest Rates'!A31</f>
        <v>41943</v>
      </c>
      <c r="D23" s="2">
        <f>79038.71+8978.9</f>
        <v>88017.61</v>
      </c>
      <c r="F23" s="2">
        <f t="shared" si="2"/>
        <v>3718.47</v>
      </c>
      <c r="H23" s="2">
        <f t="shared" si="1"/>
        <v>1438874.3900000001</v>
      </c>
      <c r="I23" s="136"/>
      <c r="J23" s="2">
        <v>1438874.39</v>
      </c>
      <c r="L23" s="115"/>
      <c r="M23" s="133"/>
    </row>
    <row r="24" spans="1:13" hidden="1" x14ac:dyDescent="0.2">
      <c r="A24" s="137" t="s">
        <v>122</v>
      </c>
      <c r="B24" s="137"/>
      <c r="C24" s="137"/>
      <c r="D24" s="137"/>
      <c r="E24" s="137"/>
      <c r="F24" s="137"/>
      <c r="G24" s="2">
        <v>-1206319.4099999999</v>
      </c>
      <c r="H24" s="2">
        <f t="shared" si="1"/>
        <v>232554.98000000021</v>
      </c>
      <c r="I24" s="136"/>
    </row>
    <row r="25" spans="1:13" hidden="1" x14ac:dyDescent="0.2">
      <c r="A25" s="154">
        <f>'FERC Interest Rates'!A32</f>
        <v>41973</v>
      </c>
      <c r="D25" s="2">
        <v>65573.350000000006</v>
      </c>
      <c r="F25" s="2">
        <f t="shared" si="2"/>
        <v>621.21</v>
      </c>
      <c r="H25" s="2">
        <f t="shared" si="1"/>
        <v>298749.54000000021</v>
      </c>
      <c r="I25" s="136"/>
      <c r="J25" s="2">
        <v>298749.53999999998</v>
      </c>
      <c r="L25" s="115"/>
      <c r="M25" s="133"/>
    </row>
    <row r="26" spans="1:13" hidden="1" x14ac:dyDescent="0.2">
      <c r="A26" s="154">
        <f>'FERC Interest Rates'!A33</f>
        <v>42004</v>
      </c>
      <c r="D26" s="2">
        <v>99335.85</v>
      </c>
      <c r="F26" s="2">
        <f t="shared" si="2"/>
        <v>824.63</v>
      </c>
      <c r="H26" s="2">
        <f t="shared" si="1"/>
        <v>398910.02000000025</v>
      </c>
      <c r="I26" s="136"/>
      <c r="J26" s="2">
        <v>398910.02</v>
      </c>
      <c r="L26" s="115"/>
      <c r="M26" s="133"/>
    </row>
    <row r="27" spans="1:13" hidden="1" x14ac:dyDescent="0.2">
      <c r="A27" s="154">
        <f>'FERC Interest Rates'!A34</f>
        <v>42035</v>
      </c>
      <c r="D27" s="2">
        <v>143728.71</v>
      </c>
      <c r="F27" s="2">
        <f t="shared" ref="F27:F36" si="3">ROUND(H26*VLOOKUP(A27,FERCINT15,2)/365*VLOOKUP(A27,FERCINT15,3),2)</f>
        <v>1101.0999999999999</v>
      </c>
      <c r="H27" s="2">
        <f t="shared" si="1"/>
        <v>543739.83000000031</v>
      </c>
      <c r="I27" s="136"/>
      <c r="J27" s="2">
        <v>543739.82999999996</v>
      </c>
      <c r="L27" s="115"/>
      <c r="M27" s="133"/>
    </row>
    <row r="28" spans="1:13" hidden="1" x14ac:dyDescent="0.2">
      <c r="A28" s="154">
        <f>'FERC Interest Rates'!A35</f>
        <v>42063</v>
      </c>
      <c r="D28" s="2">
        <v>76093.56</v>
      </c>
      <c r="F28" s="2">
        <f t="shared" si="3"/>
        <v>1355.63</v>
      </c>
      <c r="H28" s="2">
        <f t="shared" si="1"/>
        <v>621189.02000000025</v>
      </c>
      <c r="I28" s="136"/>
      <c r="J28" s="2">
        <v>621189.02</v>
      </c>
      <c r="L28" s="115"/>
      <c r="M28" s="133"/>
    </row>
    <row r="29" spans="1:13" hidden="1" x14ac:dyDescent="0.2">
      <c r="A29" s="154">
        <f>'FERC Interest Rates'!A36</f>
        <v>42094</v>
      </c>
      <c r="D29" s="2">
        <v>135794.16</v>
      </c>
      <c r="F29" s="2">
        <f t="shared" si="3"/>
        <v>1714.65</v>
      </c>
      <c r="H29" s="2">
        <f t="shared" si="1"/>
        <v>758697.83000000031</v>
      </c>
      <c r="I29" s="136"/>
      <c r="J29" s="2">
        <v>758697.83</v>
      </c>
      <c r="L29" s="115"/>
      <c r="M29" s="133"/>
    </row>
    <row r="30" spans="1:13" hidden="1" x14ac:dyDescent="0.2">
      <c r="A30" s="154">
        <f>'FERC Interest Rates'!A37</f>
        <v>42124</v>
      </c>
      <c r="D30" s="2">
        <v>39911.660000000003</v>
      </c>
      <c r="F30" s="2">
        <f t="shared" si="3"/>
        <v>2026.66</v>
      </c>
      <c r="H30" s="2">
        <f t="shared" si="1"/>
        <v>800636.15000000037</v>
      </c>
      <c r="I30" s="136"/>
      <c r="J30" s="2">
        <v>800636.15</v>
      </c>
      <c r="L30" s="115"/>
      <c r="M30" s="133"/>
    </row>
    <row r="31" spans="1:13" hidden="1" x14ac:dyDescent="0.2">
      <c r="A31" s="154">
        <f>'FERC Interest Rates'!A38</f>
        <v>42155</v>
      </c>
      <c r="D31" s="2">
        <v>72461.679999999993</v>
      </c>
      <c r="F31" s="2">
        <f t="shared" si="3"/>
        <v>2209.98</v>
      </c>
      <c r="H31" s="2">
        <f t="shared" si="1"/>
        <v>875307.81000000041</v>
      </c>
      <c r="I31" s="136"/>
      <c r="J31" s="2">
        <v>875307.81</v>
      </c>
      <c r="L31" s="115"/>
      <c r="M31" s="133"/>
    </row>
    <row r="32" spans="1:13" hidden="1" x14ac:dyDescent="0.2">
      <c r="A32" s="154">
        <f>'FERC Interest Rates'!A39</f>
        <v>42185</v>
      </c>
      <c r="D32" s="2">
        <v>88146.33</v>
      </c>
      <c r="F32" s="2">
        <f t="shared" si="3"/>
        <v>2338.15</v>
      </c>
      <c r="H32" s="2">
        <f t="shared" si="1"/>
        <v>965792.29000000039</v>
      </c>
      <c r="I32" s="136"/>
      <c r="J32" s="2">
        <v>965792.29</v>
      </c>
      <c r="L32" s="115"/>
      <c r="M32" s="133"/>
    </row>
    <row r="33" spans="1:13" hidden="1" x14ac:dyDescent="0.2">
      <c r="A33" s="154">
        <f>'FERC Interest Rates'!A40</f>
        <v>42216</v>
      </c>
      <c r="D33" s="2">
        <v>126477.72</v>
      </c>
      <c r="F33" s="2">
        <f t="shared" si="3"/>
        <v>2665.85</v>
      </c>
      <c r="H33" s="2">
        <f t="shared" si="1"/>
        <v>1094935.8600000003</v>
      </c>
      <c r="I33" s="136"/>
      <c r="J33" s="2">
        <v>1094935.8600000001</v>
      </c>
      <c r="L33" s="115"/>
      <c r="M33" s="133"/>
    </row>
    <row r="34" spans="1:13" hidden="1" x14ac:dyDescent="0.2">
      <c r="A34" s="154">
        <f>'FERC Interest Rates'!A41</f>
        <v>42247</v>
      </c>
      <c r="D34" s="2">
        <v>108373.09</v>
      </c>
      <c r="F34" s="2">
        <f t="shared" si="3"/>
        <v>3022.32</v>
      </c>
      <c r="H34" s="2">
        <f t="shared" si="1"/>
        <v>1206331.2700000003</v>
      </c>
      <c r="I34" s="136"/>
      <c r="J34" s="2">
        <v>1206331.27</v>
      </c>
      <c r="L34" s="115"/>
      <c r="M34" s="133"/>
    </row>
    <row r="35" spans="1:13" hidden="1" x14ac:dyDescent="0.2">
      <c r="A35" s="154">
        <f>'FERC Interest Rates'!A42</f>
        <v>42277</v>
      </c>
      <c r="D35" s="2">
        <v>69945.34</v>
      </c>
      <c r="F35" s="2">
        <f t="shared" si="3"/>
        <v>3222.39</v>
      </c>
      <c r="H35" s="2">
        <f t="shared" si="1"/>
        <v>1279499.0000000002</v>
      </c>
      <c r="I35" s="136"/>
      <c r="J35" s="2">
        <v>1279499</v>
      </c>
      <c r="L35" s="115"/>
      <c r="M35" s="133"/>
    </row>
    <row r="36" spans="1:13" hidden="1" x14ac:dyDescent="0.2">
      <c r="A36" s="154">
        <f>'FERC Interest Rates'!A43</f>
        <v>42308</v>
      </c>
      <c r="D36" s="2">
        <v>254190.89</v>
      </c>
      <c r="F36" s="2">
        <f t="shared" si="3"/>
        <v>3531.77</v>
      </c>
      <c r="H36" s="2">
        <f t="shared" si="1"/>
        <v>1537221.6600000001</v>
      </c>
      <c r="I36" s="136"/>
      <c r="J36" s="2">
        <v>1537221.66</v>
      </c>
      <c r="L36" s="115"/>
      <c r="M36" s="133"/>
    </row>
    <row r="37" spans="1:13" hidden="1" x14ac:dyDescent="0.2">
      <c r="A37" s="154">
        <f>'FERC Interest Rates'!A44</f>
        <v>42338</v>
      </c>
      <c r="D37" s="2">
        <v>82841.539999999994</v>
      </c>
      <c r="F37" s="2">
        <f t="shared" ref="F37:F39" si="4">ROUND(H36*VLOOKUP(A37,FERCINT15,2)/365*VLOOKUP(A37,FERCINT15,3),2)</f>
        <v>4106.28</v>
      </c>
      <c r="H37" s="2">
        <f t="shared" si="1"/>
        <v>1624169.4800000002</v>
      </c>
      <c r="I37" s="136"/>
      <c r="J37" s="2">
        <v>1624169.48</v>
      </c>
      <c r="L37" s="115"/>
      <c r="M37" s="133"/>
    </row>
    <row r="38" spans="1:13" hidden="1" x14ac:dyDescent="0.2">
      <c r="A38" s="137" t="s">
        <v>123</v>
      </c>
      <c r="B38" s="137"/>
      <c r="C38" s="137"/>
      <c r="D38" s="137"/>
      <c r="E38" s="137"/>
      <c r="F38" s="137"/>
      <c r="G38" s="2">
        <v>-1106878.69</v>
      </c>
      <c r="H38" s="2">
        <f t="shared" si="1"/>
        <v>517290.79000000027</v>
      </c>
      <c r="I38" s="136"/>
      <c r="L38" s="115"/>
      <c r="M38" s="133"/>
    </row>
    <row r="39" spans="1:13" hidden="1" x14ac:dyDescent="0.2">
      <c r="A39" s="154">
        <f>'FERC Interest Rates'!A45</f>
        <v>42369</v>
      </c>
      <c r="D39" s="2">
        <v>218943.3</v>
      </c>
      <c r="F39" s="2">
        <f t="shared" si="4"/>
        <v>1427.86</v>
      </c>
      <c r="H39" s="2">
        <f t="shared" si="1"/>
        <v>737661.95000000019</v>
      </c>
      <c r="I39" s="136"/>
      <c r="J39" s="2">
        <v>737661.95</v>
      </c>
      <c r="L39" s="115"/>
      <c r="M39" s="133"/>
    </row>
    <row r="40" spans="1:13" hidden="1" x14ac:dyDescent="0.2">
      <c r="A40" s="154">
        <f>'FERC Interest Rates'!A46</f>
        <v>42400</v>
      </c>
      <c r="D40" s="2">
        <v>60717.4</v>
      </c>
      <c r="F40" s="2">
        <f t="shared" ref="F40:F52" si="5">ROUND(H39*VLOOKUP(A40,FERCINT16,2)/365*VLOOKUP(A40,FERCINT16,3),2)</f>
        <v>2036.15</v>
      </c>
      <c r="H40" s="2">
        <f t="shared" si="1"/>
        <v>800415.50000000023</v>
      </c>
      <c r="I40" s="136"/>
      <c r="J40" s="2">
        <v>800415.5</v>
      </c>
      <c r="L40" s="115"/>
      <c r="M40" s="133"/>
    </row>
    <row r="41" spans="1:13" hidden="1" x14ac:dyDescent="0.2">
      <c r="A41" s="154">
        <f>'FERC Interest Rates'!A47</f>
        <v>42429</v>
      </c>
      <c r="D41" s="2">
        <v>160907.60999999999</v>
      </c>
      <c r="F41" s="2">
        <f t="shared" si="5"/>
        <v>2066.83</v>
      </c>
      <c r="H41" s="2">
        <f t="shared" si="1"/>
        <v>963389.94000000018</v>
      </c>
      <c r="I41" s="136"/>
      <c r="J41" s="2">
        <v>963389.94</v>
      </c>
      <c r="L41" s="115"/>
      <c r="M41" s="133"/>
    </row>
    <row r="42" spans="1:13" hidden="1" x14ac:dyDescent="0.2">
      <c r="A42" s="154">
        <f>'FERC Interest Rates'!A48</f>
        <v>42460</v>
      </c>
      <c r="D42" s="2">
        <v>173541.02</v>
      </c>
      <c r="F42" s="2">
        <f t="shared" si="5"/>
        <v>2659.22</v>
      </c>
      <c r="H42" s="2">
        <f t="shared" si="1"/>
        <v>1139590.1800000002</v>
      </c>
      <c r="I42" s="136"/>
      <c r="J42" s="2">
        <v>1139590.18</v>
      </c>
      <c r="L42" s="115"/>
      <c r="M42" s="133"/>
    </row>
    <row r="43" spans="1:13" hidden="1" x14ac:dyDescent="0.2">
      <c r="A43" s="154">
        <f>'FERC Interest Rates'!A49</f>
        <v>42490</v>
      </c>
      <c r="D43" s="2">
        <v>198857.32</v>
      </c>
      <c r="F43" s="2">
        <f t="shared" si="5"/>
        <v>3240.81</v>
      </c>
      <c r="H43" s="2">
        <f t="shared" si="1"/>
        <v>1341688.31</v>
      </c>
      <c r="I43" s="136"/>
      <c r="J43" s="2">
        <v>1341688.31</v>
      </c>
      <c r="L43" s="115"/>
      <c r="M43" s="133"/>
    </row>
    <row r="44" spans="1:13" hidden="1" x14ac:dyDescent="0.2">
      <c r="A44" s="154">
        <f>'FERC Interest Rates'!A50</f>
        <v>42521</v>
      </c>
      <c r="D44" s="2">
        <v>122350.54</v>
      </c>
      <c r="F44" s="2">
        <f t="shared" si="5"/>
        <v>3942.73</v>
      </c>
      <c r="H44" s="2">
        <f t="shared" si="1"/>
        <v>1467981.58</v>
      </c>
      <c r="I44" s="136"/>
      <c r="J44" s="2">
        <v>1467981.58</v>
      </c>
      <c r="L44" s="115"/>
      <c r="M44" s="133"/>
    </row>
    <row r="45" spans="1:13" hidden="1" x14ac:dyDescent="0.2">
      <c r="A45" s="154">
        <f>'FERC Interest Rates'!A51</f>
        <v>42551</v>
      </c>
      <c r="D45" s="2">
        <v>26118.2</v>
      </c>
      <c r="F45" s="2">
        <f t="shared" si="5"/>
        <v>4174.7</v>
      </c>
      <c r="H45" s="2">
        <f t="shared" si="1"/>
        <v>1498274.48</v>
      </c>
      <c r="I45" s="136"/>
      <c r="J45" s="2">
        <v>1498274.48</v>
      </c>
      <c r="L45" s="115"/>
      <c r="M45" s="133"/>
    </row>
    <row r="46" spans="1:13" hidden="1" x14ac:dyDescent="0.2">
      <c r="A46" s="154">
        <f>'FERC Interest Rates'!A52</f>
        <v>42582</v>
      </c>
      <c r="D46" s="2">
        <f>400057.38-4453.77</f>
        <v>395603.61</v>
      </c>
      <c r="F46" s="2">
        <f t="shared" si="5"/>
        <v>4453.7700000000004</v>
      </c>
      <c r="H46" s="2">
        <f t="shared" si="1"/>
        <v>1898331.8599999999</v>
      </c>
      <c r="I46" s="136"/>
      <c r="J46" s="2">
        <v>1898331.86</v>
      </c>
      <c r="L46" s="115"/>
      <c r="M46" s="133"/>
    </row>
    <row r="47" spans="1:13" hidden="1" x14ac:dyDescent="0.2">
      <c r="A47" s="154">
        <f>'FERC Interest Rates'!A53</f>
        <v>42613</v>
      </c>
      <c r="D47" s="2">
        <f>49154.9-5642.99</f>
        <v>43511.91</v>
      </c>
      <c r="F47" s="2">
        <f t="shared" si="5"/>
        <v>5642.99</v>
      </c>
      <c r="H47" s="2">
        <f t="shared" si="1"/>
        <v>1947486.7599999998</v>
      </c>
      <c r="I47" s="136"/>
      <c r="J47" s="2">
        <v>1947486.76</v>
      </c>
      <c r="L47" s="115"/>
      <c r="M47" s="133"/>
    </row>
    <row r="48" spans="1:13" hidden="1" x14ac:dyDescent="0.2">
      <c r="A48" s="154">
        <f>'FERC Interest Rates'!A54</f>
        <v>42643</v>
      </c>
      <c r="D48" s="2">
        <f>108108.23-5602.36</f>
        <v>102505.87</v>
      </c>
      <c r="F48" s="2">
        <f t="shared" si="5"/>
        <v>5602.36</v>
      </c>
      <c r="H48" s="2">
        <f t="shared" si="1"/>
        <v>2055594.9899999998</v>
      </c>
      <c r="I48" s="136"/>
      <c r="J48" s="2">
        <v>2055594.99</v>
      </c>
      <c r="L48" s="115"/>
      <c r="M48" s="133"/>
    </row>
    <row r="49" spans="1:13" hidden="1" x14ac:dyDescent="0.2">
      <c r="A49" s="154">
        <f>'FERC Interest Rates'!A55</f>
        <v>42674</v>
      </c>
      <c r="D49" s="2">
        <f>98315.56-6110.47</f>
        <v>92205.09</v>
      </c>
      <c r="F49" s="2">
        <f t="shared" si="5"/>
        <v>6110.47</v>
      </c>
      <c r="H49" s="2">
        <f t="shared" si="1"/>
        <v>2153910.5499999998</v>
      </c>
      <c r="I49" s="136"/>
      <c r="J49" s="2">
        <v>2153910.5499999998</v>
      </c>
      <c r="L49" s="115"/>
      <c r="M49" s="133"/>
    </row>
    <row r="50" spans="1:13" hidden="1" x14ac:dyDescent="0.2">
      <c r="A50" s="137" t="s">
        <v>124</v>
      </c>
      <c r="B50" s="137"/>
      <c r="C50" s="137"/>
      <c r="D50" s="137"/>
      <c r="E50" s="137"/>
      <c r="F50" s="137"/>
      <c r="G50" s="2">
        <v>-1915128.08</v>
      </c>
      <c r="H50" s="2">
        <f t="shared" si="1"/>
        <v>238782.46999999974</v>
      </c>
      <c r="I50" s="136"/>
      <c r="L50" s="115"/>
      <c r="M50" s="133"/>
    </row>
    <row r="51" spans="1:13" hidden="1" x14ac:dyDescent="0.2">
      <c r="A51" s="154">
        <f>'FERC Interest Rates'!A56</f>
        <v>42704</v>
      </c>
      <c r="D51" s="2">
        <v>147702.82999999999</v>
      </c>
      <c r="F51" s="2">
        <f t="shared" si="5"/>
        <v>686.91</v>
      </c>
      <c r="H51" s="2">
        <f t="shared" si="1"/>
        <v>387172.20999999973</v>
      </c>
      <c r="I51" s="136"/>
      <c r="J51" s="2">
        <v>386485.3</v>
      </c>
      <c r="L51" s="115"/>
      <c r="M51" s="133"/>
    </row>
    <row r="52" spans="1:13" hidden="1" x14ac:dyDescent="0.2">
      <c r="A52" s="154">
        <f>'FERC Interest Rates'!A57</f>
        <v>42735</v>
      </c>
      <c r="D52" s="2">
        <f>214948.96-686.91-1150.91-65556.41</f>
        <v>147554.72999999998</v>
      </c>
      <c r="F52" s="2">
        <f t="shared" si="5"/>
        <v>1150.9100000000001</v>
      </c>
      <c r="H52" s="2">
        <f t="shared" si="1"/>
        <v>535877.84999999974</v>
      </c>
      <c r="I52" s="136"/>
      <c r="J52" s="2">
        <v>535877.85</v>
      </c>
      <c r="L52" s="115"/>
      <c r="M52" s="133"/>
    </row>
    <row r="53" spans="1:13" hidden="1" x14ac:dyDescent="0.2">
      <c r="A53" s="154">
        <f>'FERC Interest Rates'!A58</f>
        <v>42766</v>
      </c>
      <c r="D53" s="2">
        <f>286307.59-1592.95</f>
        <v>284714.64</v>
      </c>
      <c r="F53" s="2">
        <f t="shared" ref="F53:F62" si="6">ROUND(H52*VLOOKUP(A53,FERCINT17,2)/365*VLOOKUP(A53,FERCINT17,3),2)</f>
        <v>1592.95</v>
      </c>
      <c r="H53" s="2">
        <f t="shared" si="1"/>
        <v>822185.43999999971</v>
      </c>
      <c r="I53" s="136"/>
      <c r="J53" s="2">
        <v>822185.44</v>
      </c>
      <c r="L53" s="115"/>
      <c r="M53" s="133"/>
    </row>
    <row r="54" spans="1:13" hidden="1" x14ac:dyDescent="0.2">
      <c r="A54" s="154">
        <f>'FERC Interest Rates'!A59</f>
        <v>42794</v>
      </c>
      <c r="D54" s="2">
        <f>112177.3-2207.51</f>
        <v>109969.79000000001</v>
      </c>
      <c r="F54" s="2">
        <f t="shared" si="6"/>
        <v>2207.5100000000002</v>
      </c>
      <c r="H54" s="2">
        <f t="shared" si="1"/>
        <v>934362.73999999976</v>
      </c>
      <c r="I54" s="136"/>
      <c r="J54" s="2">
        <v>934362.74</v>
      </c>
      <c r="L54" s="115"/>
      <c r="M54" s="133"/>
    </row>
    <row r="55" spans="1:13" hidden="1" x14ac:dyDescent="0.2">
      <c r="A55" s="154">
        <f>'FERC Interest Rates'!A60</f>
        <v>42825</v>
      </c>
      <c r="D55" s="2">
        <f>244311.86-2777.49</f>
        <v>241534.37</v>
      </c>
      <c r="F55" s="2">
        <f t="shared" si="6"/>
        <v>2777.49</v>
      </c>
      <c r="H55" s="2">
        <f t="shared" si="1"/>
        <v>1178674.5999999996</v>
      </c>
      <c r="I55" s="136"/>
      <c r="J55" s="2">
        <v>1178674.6000000001</v>
      </c>
      <c r="L55" s="115"/>
      <c r="M55" s="133"/>
    </row>
    <row r="56" spans="1:13" hidden="1" x14ac:dyDescent="0.2">
      <c r="A56" s="154">
        <f>'FERC Interest Rates'!A61</f>
        <v>42855</v>
      </c>
      <c r="D56" s="2">
        <f>52288.9-3594.15</f>
        <v>48694.75</v>
      </c>
      <c r="F56" s="2">
        <f t="shared" si="6"/>
        <v>3594.15</v>
      </c>
      <c r="H56" s="2">
        <f t="shared" si="1"/>
        <v>1230963.4999999995</v>
      </c>
      <c r="I56" s="136"/>
      <c r="J56" s="2">
        <v>1230963.5</v>
      </c>
      <c r="L56" s="115"/>
      <c r="M56" s="133"/>
    </row>
    <row r="57" spans="1:13" hidden="1" x14ac:dyDescent="0.2">
      <c r="A57" s="154">
        <f>'FERC Interest Rates'!A62</f>
        <v>42886</v>
      </c>
      <c r="D57" s="2">
        <f>133086.53-3878.72-47.21</f>
        <v>129160.59999999999</v>
      </c>
      <c r="F57" s="2">
        <f t="shared" si="6"/>
        <v>3878.72</v>
      </c>
      <c r="H57" s="2">
        <f t="shared" si="1"/>
        <v>1364002.8199999996</v>
      </c>
      <c r="I57" s="136"/>
      <c r="J57" s="2">
        <v>1364002.82</v>
      </c>
      <c r="L57" s="115"/>
      <c r="M57" s="133"/>
    </row>
    <row r="58" spans="1:13" hidden="1" x14ac:dyDescent="0.2">
      <c r="A58" s="154">
        <f>'FERC Interest Rates'!A63</f>
        <v>42916</v>
      </c>
      <c r="D58" s="2">
        <f>151925.48-4159.27</f>
        <v>147766.21000000002</v>
      </c>
      <c r="F58" s="2">
        <f t="shared" si="6"/>
        <v>4159.2700000000004</v>
      </c>
      <c r="H58" s="2">
        <f t="shared" si="1"/>
        <v>1515928.2999999996</v>
      </c>
      <c r="I58" s="136"/>
      <c r="J58" s="2">
        <v>1515928.3</v>
      </c>
      <c r="L58" s="115"/>
      <c r="M58" s="133"/>
    </row>
    <row r="59" spans="1:13" hidden="1" x14ac:dyDescent="0.2">
      <c r="A59" s="154">
        <f>'FERC Interest Rates'!A64</f>
        <v>42947</v>
      </c>
      <c r="D59" s="2">
        <f>77575.2-18144.75-5098.5</f>
        <v>54331.95</v>
      </c>
      <c r="F59" s="2">
        <f t="shared" si="6"/>
        <v>5098.5</v>
      </c>
      <c r="H59" s="2">
        <f t="shared" si="1"/>
        <v>1575358.7499999995</v>
      </c>
      <c r="I59" s="136"/>
      <c r="J59" s="2">
        <v>1575358.75</v>
      </c>
      <c r="L59" s="115"/>
      <c r="M59" s="133"/>
    </row>
    <row r="60" spans="1:13" hidden="1" x14ac:dyDescent="0.2">
      <c r="A60" s="154">
        <f>'FERC Interest Rates'!A65</f>
        <v>42978</v>
      </c>
      <c r="D60" s="2">
        <f>233570.4-5298.38</f>
        <v>228272.02</v>
      </c>
      <c r="F60" s="2">
        <f t="shared" si="6"/>
        <v>5298.38</v>
      </c>
      <c r="H60" s="2">
        <f t="shared" si="1"/>
        <v>1808929.1499999994</v>
      </c>
      <c r="I60" s="136"/>
      <c r="J60" s="2">
        <v>1808929.15</v>
      </c>
      <c r="L60" s="115"/>
      <c r="M60" s="133"/>
    </row>
    <row r="61" spans="1:13" hidden="1" x14ac:dyDescent="0.2">
      <c r="A61" s="154">
        <f>'FERC Interest Rates'!A66</f>
        <v>43008</v>
      </c>
      <c r="D61" s="2">
        <f>137485.6-5887.69</f>
        <v>131597.91</v>
      </c>
      <c r="F61" s="2">
        <f t="shared" si="6"/>
        <v>5887.69</v>
      </c>
      <c r="H61" s="2">
        <f t="shared" si="1"/>
        <v>1946414.7499999995</v>
      </c>
      <c r="I61" s="136"/>
      <c r="J61" s="2">
        <v>1946414.75</v>
      </c>
      <c r="L61" s="115"/>
      <c r="M61" s="133"/>
    </row>
    <row r="62" spans="1:13" hidden="1" x14ac:dyDescent="0.2">
      <c r="A62" s="154">
        <f>'FERC Interest Rates'!A67</f>
        <v>43039</v>
      </c>
      <c r="D62" s="2">
        <f>297118.94-500-6959.63</f>
        <v>289659.31</v>
      </c>
      <c r="F62" s="2">
        <f t="shared" si="6"/>
        <v>6959.63</v>
      </c>
      <c r="H62" s="2">
        <f t="shared" si="1"/>
        <v>2243033.6899999995</v>
      </c>
      <c r="I62" s="136"/>
      <c r="J62" s="2">
        <v>2243033.69</v>
      </c>
      <c r="L62" s="115"/>
      <c r="M62" s="133"/>
    </row>
    <row r="63" spans="1:13" hidden="1" x14ac:dyDescent="0.2">
      <c r="A63" s="137" t="s">
        <v>124</v>
      </c>
      <c r="B63" s="137"/>
      <c r="C63" s="137"/>
      <c r="D63" s="137"/>
      <c r="E63" s="137"/>
      <c r="F63" s="137"/>
      <c r="G63" s="2">
        <v>-1591472.06</v>
      </c>
      <c r="H63" s="2">
        <f t="shared" si="1"/>
        <v>651561.62999999942</v>
      </c>
      <c r="I63" s="136"/>
      <c r="L63" s="115"/>
      <c r="M63" s="133"/>
    </row>
    <row r="64" spans="1:13" hidden="1" x14ac:dyDescent="0.2">
      <c r="A64" s="154">
        <f>'FERC Interest Rates'!A68</f>
        <v>43069</v>
      </c>
      <c r="D64" s="2">
        <f>95905.36-50-100-100-50-100-2254.58</f>
        <v>93250.78</v>
      </c>
      <c r="F64" s="2">
        <f>ROUND(H63*VLOOKUP(A64,FERCINT17,2)/365*VLOOKUP(A64,FERCINT17,3),2)</f>
        <v>2254.58</v>
      </c>
      <c r="H64" s="2">
        <f t="shared" si="1"/>
        <v>747066.98999999941</v>
      </c>
      <c r="I64" s="136"/>
      <c r="J64" s="2">
        <v>747066.99</v>
      </c>
      <c r="L64" s="115"/>
      <c r="M64" s="133"/>
    </row>
    <row r="65" spans="1:13" hidden="1" x14ac:dyDescent="0.2">
      <c r="A65" s="154">
        <f>'FERC Interest Rates'!A69</f>
        <v>43100</v>
      </c>
      <c r="D65" s="2">
        <f>229118.83-2671.23-35</f>
        <v>226412.59999999998</v>
      </c>
      <c r="F65" s="2">
        <f>ROUND(H64*VLOOKUP(A65,FERCINT17,2)/365*VLOOKUP(A65,FERCINT17,3),2)</f>
        <v>2671.23</v>
      </c>
      <c r="H65" s="2">
        <f t="shared" si="1"/>
        <v>976150.81999999937</v>
      </c>
      <c r="I65" s="136"/>
      <c r="J65" s="2">
        <v>976150.82</v>
      </c>
      <c r="L65" s="115"/>
      <c r="M65" s="133"/>
    </row>
    <row r="66" spans="1:13" hidden="1" x14ac:dyDescent="0.2">
      <c r="A66" s="154">
        <f>'FERC Interest Rates'!A70</f>
        <v>43131</v>
      </c>
      <c r="D66" s="2">
        <v>45890.720000000001</v>
      </c>
      <c r="F66" s="2">
        <f t="shared" ref="F66:F78" si="7">ROUND(H65*VLOOKUP(A66,FERCINT18,2)/365*VLOOKUP(A66,FERCINT18,3),2)</f>
        <v>3523.5</v>
      </c>
      <c r="H66" s="2">
        <f t="shared" si="1"/>
        <v>1025565.0399999993</v>
      </c>
      <c r="I66" s="136"/>
      <c r="J66" s="2">
        <v>1025565.04</v>
      </c>
      <c r="L66" s="115"/>
      <c r="M66" s="133"/>
    </row>
    <row r="67" spans="1:13" hidden="1" x14ac:dyDescent="0.2">
      <c r="A67" s="154">
        <f>'FERC Interest Rates'!A71</f>
        <v>43159</v>
      </c>
      <c r="D67" s="2">
        <v>246242.68</v>
      </c>
      <c r="F67" s="2">
        <f t="shared" si="7"/>
        <v>3343.62</v>
      </c>
      <c r="H67" s="2">
        <f t="shared" si="1"/>
        <v>1275151.3399999994</v>
      </c>
      <c r="I67" s="136"/>
      <c r="J67" s="2">
        <v>1275151.3400000001</v>
      </c>
      <c r="L67" s="115"/>
      <c r="M67" s="133"/>
    </row>
    <row r="68" spans="1:13" hidden="1" x14ac:dyDescent="0.2">
      <c r="A68" s="154">
        <f>'FERC Interest Rates'!A72</f>
        <v>43190</v>
      </c>
      <c r="D68" s="2">
        <v>225852.11</v>
      </c>
      <c r="F68" s="2">
        <f t="shared" si="7"/>
        <v>4602.7700000000004</v>
      </c>
      <c r="H68" s="2">
        <f t="shared" si="1"/>
        <v>1505606.2199999993</v>
      </c>
      <c r="I68" s="136"/>
      <c r="J68" s="2">
        <v>1505606.22</v>
      </c>
      <c r="L68" s="115"/>
      <c r="M68" s="133"/>
    </row>
    <row r="69" spans="1:13" hidden="1" x14ac:dyDescent="0.2">
      <c r="A69" s="154">
        <f>'FERC Interest Rates'!A73</f>
        <v>43220</v>
      </c>
      <c r="D69" s="2">
        <f>137753.77-39.54-669.94</f>
        <v>137044.28999999998</v>
      </c>
      <c r="F69" s="2">
        <f t="shared" si="7"/>
        <v>5531.56</v>
      </c>
      <c r="H69" s="2">
        <f t="shared" si="1"/>
        <v>1648182.0699999994</v>
      </c>
      <c r="I69" s="136"/>
      <c r="J69" s="2">
        <v>1648182.07</v>
      </c>
      <c r="L69" s="115"/>
      <c r="M69" s="133"/>
    </row>
    <row r="70" spans="1:13" hidden="1" x14ac:dyDescent="0.2">
      <c r="A70" s="154">
        <f>'FERC Interest Rates'!A74</f>
        <v>43251</v>
      </c>
      <c r="D70" s="2">
        <v>334506.46999999997</v>
      </c>
      <c r="F70" s="2">
        <f t="shared" si="7"/>
        <v>6257.22</v>
      </c>
      <c r="H70" s="2">
        <f t="shared" si="1"/>
        <v>1988945.7599999993</v>
      </c>
      <c r="I70" s="136"/>
      <c r="J70" s="2">
        <v>1988945.76</v>
      </c>
      <c r="L70" s="115"/>
      <c r="M70" s="133"/>
    </row>
    <row r="71" spans="1:13" hidden="1" x14ac:dyDescent="0.2">
      <c r="A71" s="154">
        <f>'FERC Interest Rates'!A75</f>
        <v>43281</v>
      </c>
      <c r="D71" s="2">
        <f>299916.4-259.67</f>
        <v>299656.73000000004</v>
      </c>
      <c r="F71" s="2">
        <f t="shared" si="7"/>
        <v>7307.33</v>
      </c>
      <c r="H71" s="2">
        <f t="shared" si="1"/>
        <v>2295909.8199999994</v>
      </c>
      <c r="I71" s="136"/>
      <c r="J71" s="2">
        <v>2296169.4900000002</v>
      </c>
      <c r="L71" s="115"/>
      <c r="M71" s="133"/>
    </row>
    <row r="72" spans="1:13" hidden="1" x14ac:dyDescent="0.2">
      <c r="A72" s="154">
        <f>'FERC Interest Rates'!A76</f>
        <v>43312</v>
      </c>
      <c r="D72" s="2">
        <v>201823.56</v>
      </c>
      <c r="F72" s="2">
        <f t="shared" si="7"/>
        <v>9145.27</v>
      </c>
      <c r="H72" s="2">
        <f t="shared" si="1"/>
        <v>2506878.6499999994</v>
      </c>
      <c r="I72" s="136"/>
      <c r="J72" s="2">
        <v>2507139.35</v>
      </c>
      <c r="L72" s="115"/>
      <c r="M72" s="133"/>
    </row>
    <row r="73" spans="1:13" hidden="1" x14ac:dyDescent="0.2">
      <c r="A73" s="154">
        <f>'FERC Interest Rates'!A77</f>
        <v>43343</v>
      </c>
      <c r="D73" s="2">
        <v>156718.91</v>
      </c>
      <c r="F73" s="2">
        <f t="shared" si="7"/>
        <v>9985.6200000000008</v>
      </c>
      <c r="H73" s="2">
        <f t="shared" si="1"/>
        <v>2673583.1799999992</v>
      </c>
      <c r="I73" s="136"/>
      <c r="J73" s="2">
        <v>2673844.92</v>
      </c>
      <c r="L73" s="115"/>
      <c r="M73" s="133"/>
    </row>
    <row r="74" spans="1:13" hidden="1" x14ac:dyDescent="0.2">
      <c r="A74" s="154">
        <f>'FERC Interest Rates'!A78</f>
        <v>43373</v>
      </c>
      <c r="D74" s="2">
        <f>272137.95</f>
        <v>272137.95</v>
      </c>
      <c r="F74" s="2">
        <f t="shared" si="7"/>
        <v>10306.11</v>
      </c>
      <c r="H74" s="2">
        <f t="shared" si="1"/>
        <v>2956027.2399999993</v>
      </c>
      <c r="I74" s="136"/>
      <c r="J74" s="2">
        <v>2956027.24</v>
      </c>
      <c r="L74" s="115"/>
      <c r="M74" s="133"/>
    </row>
    <row r="75" spans="1:13" hidden="1" x14ac:dyDescent="0.2">
      <c r="A75" s="154">
        <f>'FERC Interest Rates'!A79</f>
        <v>43404</v>
      </c>
      <c r="D75" s="2">
        <v>92798.27</v>
      </c>
      <c r="F75" s="2">
        <f t="shared" si="7"/>
        <v>12452.57</v>
      </c>
      <c r="H75" s="2">
        <f t="shared" si="1"/>
        <v>3061278.0799999991</v>
      </c>
      <c r="I75" s="136"/>
      <c r="J75" s="2">
        <v>3061278.08</v>
      </c>
      <c r="L75" s="115"/>
      <c r="M75" s="133"/>
    </row>
    <row r="76" spans="1:13" hidden="1" x14ac:dyDescent="0.2">
      <c r="A76" s="137" t="s">
        <v>124</v>
      </c>
      <c r="B76" s="137"/>
      <c r="C76" s="137"/>
      <c r="D76" s="137"/>
      <c r="E76" s="137"/>
      <c r="F76" s="137"/>
      <c r="G76" s="2">
        <v>-2537209.6800000002</v>
      </c>
      <c r="H76" s="2">
        <f t="shared" ref="H76:H88" si="8">H75+SUM(D76:G76)</f>
        <v>524068.39999999898</v>
      </c>
      <c r="I76" s="136"/>
      <c r="L76" s="115"/>
      <c r="M76" s="133"/>
    </row>
    <row r="77" spans="1:13" hidden="1" x14ac:dyDescent="0.2">
      <c r="A77" s="154">
        <f>'FERC Interest Rates'!A80</f>
        <v>43434</v>
      </c>
      <c r="D77" s="2">
        <v>110725.27</v>
      </c>
      <c r="F77" s="2">
        <f t="shared" si="7"/>
        <v>2136.48</v>
      </c>
      <c r="H77" s="2">
        <f t="shared" si="8"/>
        <v>636930.14999999898</v>
      </c>
      <c r="I77" s="136"/>
      <c r="J77" s="2">
        <v>636930.15</v>
      </c>
      <c r="L77" s="115"/>
      <c r="M77" s="133"/>
    </row>
    <row r="78" spans="1:13" hidden="1" x14ac:dyDescent="0.2">
      <c r="A78" s="154">
        <f>'FERC Interest Rates'!A81</f>
        <v>43465</v>
      </c>
      <c r="D78" s="2">
        <f>322408.71-10204.7</f>
        <v>312204.01</v>
      </c>
      <c r="F78" s="2">
        <f t="shared" si="7"/>
        <v>2683.13</v>
      </c>
      <c r="H78" s="2">
        <f t="shared" si="8"/>
        <v>951817.28999999899</v>
      </c>
      <c r="I78" s="136"/>
      <c r="J78" s="2">
        <v>951817.29</v>
      </c>
      <c r="L78" s="115"/>
      <c r="M78" s="133"/>
    </row>
    <row r="79" spans="1:13" hidden="1" x14ac:dyDescent="0.2">
      <c r="A79" s="154">
        <f>'FERC Interest Rates'!A82</f>
        <v>43496</v>
      </c>
      <c r="D79" s="2">
        <v>121153.03</v>
      </c>
      <c r="F79" s="2">
        <f t="shared" ref="F79:F88" si="9">ROUND(H78*VLOOKUP(A79,FERCINT19,2)/365*VLOOKUP(A79,FERCINT19,3),2)</f>
        <v>4187.47</v>
      </c>
      <c r="H79" s="2">
        <f t="shared" si="8"/>
        <v>1077157.7899999991</v>
      </c>
      <c r="I79" s="136"/>
      <c r="J79" s="2">
        <v>1077157.79</v>
      </c>
      <c r="L79" s="115"/>
      <c r="M79" s="133"/>
    </row>
    <row r="80" spans="1:13" hidden="1" x14ac:dyDescent="0.2">
      <c r="A80" s="154">
        <f>'FERC Interest Rates'!A83</f>
        <v>43524</v>
      </c>
      <c r="D80" s="2">
        <v>64189.56</v>
      </c>
      <c r="F80" s="2">
        <f t="shared" si="9"/>
        <v>4280.3</v>
      </c>
      <c r="H80" s="2">
        <f t="shared" si="8"/>
        <v>1145627.6499999992</v>
      </c>
      <c r="I80" s="136"/>
      <c r="J80" s="2">
        <v>1145627.6499999999</v>
      </c>
      <c r="L80" s="115"/>
      <c r="M80" s="133"/>
    </row>
    <row r="81" spans="1:13" hidden="1" x14ac:dyDescent="0.2">
      <c r="A81" s="154">
        <f>'FERC Interest Rates'!A84</f>
        <v>43555</v>
      </c>
      <c r="D81" s="2">
        <v>344013.41</v>
      </c>
      <c r="F81" s="2">
        <f t="shared" si="9"/>
        <v>5040.13</v>
      </c>
      <c r="H81" s="2">
        <f t="shared" si="8"/>
        <v>1494681.1899999992</v>
      </c>
      <c r="I81" s="136"/>
      <c r="J81" s="2">
        <v>1494681.19</v>
      </c>
      <c r="L81" s="115"/>
      <c r="M81" s="133"/>
    </row>
    <row r="82" spans="1:13" hidden="1" x14ac:dyDescent="0.2">
      <c r="A82" s="154">
        <f>'FERC Interest Rates'!A85</f>
        <v>43585</v>
      </c>
      <c r="D82" s="2">
        <v>141696.70000000001</v>
      </c>
      <c r="F82" s="2">
        <f t="shared" si="9"/>
        <v>6695.35</v>
      </c>
      <c r="H82" s="2">
        <f t="shared" si="8"/>
        <v>1643073.2399999993</v>
      </c>
      <c r="I82" s="136"/>
      <c r="J82" s="2">
        <v>1643073.24</v>
      </c>
      <c r="L82" s="115"/>
      <c r="M82" s="133"/>
    </row>
    <row r="83" spans="1:13" hidden="1" x14ac:dyDescent="0.2">
      <c r="A83" s="154">
        <f>'FERC Interest Rates'!A86</f>
        <v>43616</v>
      </c>
      <c r="D83" s="2">
        <v>163612.56</v>
      </c>
      <c r="F83" s="2">
        <f t="shared" si="9"/>
        <v>7605.4</v>
      </c>
      <c r="H83" s="2">
        <f t="shared" si="8"/>
        <v>1814291.1999999993</v>
      </c>
      <c r="I83" s="136"/>
      <c r="J83" s="2">
        <v>1814291.2</v>
      </c>
      <c r="L83" s="115"/>
      <c r="M83" s="133"/>
    </row>
    <row r="84" spans="1:13" x14ac:dyDescent="0.2">
      <c r="A84" s="154">
        <f>'FERC Interest Rates'!A87</f>
        <v>43646</v>
      </c>
      <c r="B84" s="132"/>
      <c r="C84" s="132"/>
      <c r="D84" s="2">
        <v>270185.32</v>
      </c>
      <c r="E84" s="132"/>
      <c r="F84" s="2">
        <f t="shared" si="9"/>
        <v>8127.03</v>
      </c>
      <c r="H84" s="2">
        <f t="shared" si="8"/>
        <v>2092603.5499999993</v>
      </c>
      <c r="I84" s="136"/>
      <c r="J84" s="2">
        <v>2092603.55</v>
      </c>
      <c r="L84" s="115"/>
      <c r="M84" s="133"/>
    </row>
    <row r="85" spans="1:13" x14ac:dyDescent="0.2">
      <c r="A85" s="154">
        <f>'FERC Interest Rates'!A88</f>
        <v>43677</v>
      </c>
      <c r="B85" s="132"/>
      <c r="C85" s="132"/>
      <c r="D85" s="2">
        <v>220071.34</v>
      </c>
      <c r="E85" s="132"/>
      <c r="F85" s="2">
        <f t="shared" si="9"/>
        <v>9775.0400000000009</v>
      </c>
      <c r="H85" s="2">
        <f t="shared" si="8"/>
        <v>2322449.9299999992</v>
      </c>
      <c r="I85" s="136"/>
      <c r="J85" s="2">
        <v>2322449.9300000002</v>
      </c>
      <c r="L85" s="115"/>
      <c r="M85" s="133"/>
    </row>
    <row r="86" spans="1:13" x14ac:dyDescent="0.2">
      <c r="A86" s="154">
        <f>'FERC Interest Rates'!A89</f>
        <v>43708</v>
      </c>
      <c r="B86" s="132"/>
      <c r="C86" s="132"/>
      <c r="D86" s="2">
        <v>231714.55</v>
      </c>
      <c r="E86" s="132"/>
      <c r="F86" s="2">
        <f t="shared" si="9"/>
        <v>10848.7</v>
      </c>
      <c r="H86" s="2">
        <f t="shared" si="8"/>
        <v>2565013.1799999992</v>
      </c>
      <c r="I86" s="136"/>
      <c r="J86" s="2">
        <v>2565013.1800000002</v>
      </c>
      <c r="L86" s="115"/>
      <c r="M86" s="133"/>
    </row>
    <row r="87" spans="1:13" x14ac:dyDescent="0.2">
      <c r="A87" s="154">
        <f>'FERC Interest Rates'!A90</f>
        <v>43738</v>
      </c>
      <c r="B87" s="132"/>
      <c r="C87" s="132"/>
      <c r="D87" s="2">
        <v>201281.67</v>
      </c>
      <c r="E87" s="132"/>
      <c r="F87" s="2">
        <f t="shared" si="9"/>
        <v>11595.27</v>
      </c>
      <c r="H87" s="2">
        <f t="shared" si="8"/>
        <v>2777890.1199999992</v>
      </c>
      <c r="I87" s="136"/>
      <c r="J87" s="2">
        <v>2777890.12</v>
      </c>
      <c r="L87" s="115"/>
      <c r="M87" s="133"/>
    </row>
    <row r="88" spans="1:13" x14ac:dyDescent="0.2">
      <c r="A88" s="154">
        <f>'FERC Interest Rates'!A91</f>
        <v>43769</v>
      </c>
      <c r="B88" s="132"/>
      <c r="C88" s="132"/>
      <c r="D88" s="2">
        <v>231993.67</v>
      </c>
      <c r="E88" s="132"/>
      <c r="F88" s="2">
        <f t="shared" si="9"/>
        <v>12787.43</v>
      </c>
      <c r="H88" s="2">
        <f t="shared" si="8"/>
        <v>3022671.2199999993</v>
      </c>
      <c r="I88" s="136"/>
      <c r="J88" s="2">
        <v>3022671.22</v>
      </c>
      <c r="L88" s="115"/>
      <c r="M88" s="133"/>
    </row>
    <row r="89" spans="1:13" x14ac:dyDescent="0.2">
      <c r="A89" s="137" t="s">
        <v>124</v>
      </c>
      <c r="B89" s="137"/>
      <c r="C89" s="137"/>
      <c r="D89" s="137"/>
      <c r="E89" s="137"/>
      <c r="F89" s="137"/>
      <c r="G89" s="2">
        <v>-2354635.8199999998</v>
      </c>
      <c r="H89" s="2">
        <f t="shared" ref="H89" si="10">H88+SUM(D89:G89)</f>
        <v>668035.39999999944</v>
      </c>
      <c r="I89" s="136"/>
      <c r="L89" s="115"/>
      <c r="M89" s="133"/>
    </row>
    <row r="90" spans="1:13" x14ac:dyDescent="0.2">
      <c r="A90" s="154">
        <f>'FERC Interest Rates'!A92</f>
        <v>43799</v>
      </c>
      <c r="B90" s="132"/>
      <c r="C90" s="132"/>
      <c r="D90" s="2">
        <v>100820.56</v>
      </c>
      <c r="E90" s="132"/>
      <c r="F90" s="2">
        <f>ROUND(H89*VLOOKUP(A90,FERCINT19,2)/365*VLOOKUP(A90,FERCINT19,3),2)</f>
        <v>2975.96</v>
      </c>
      <c r="H90" s="2">
        <f>H89+SUM(D90:G90)</f>
        <v>771831.91999999946</v>
      </c>
      <c r="I90" s="136"/>
      <c r="J90" s="2">
        <v>771831.92</v>
      </c>
      <c r="L90" s="115"/>
      <c r="M90" s="133"/>
    </row>
    <row r="91" spans="1:13" x14ac:dyDescent="0.2">
      <c r="A91" s="154">
        <f>'FERC Interest Rates'!A93</f>
        <v>43830</v>
      </c>
      <c r="B91" s="132"/>
      <c r="C91" s="132"/>
      <c r="D91" s="2">
        <f>163530.06-87227.1-5972.32</f>
        <v>70330.639999999985</v>
      </c>
      <c r="E91" s="132"/>
      <c r="F91" s="2">
        <f t="shared" ref="F91" si="11">ROUND(H90*VLOOKUP(A91,FERCINT19,2)/365*VLOOKUP(A91,FERCINT19,3),2)</f>
        <v>3552.96</v>
      </c>
      <c r="H91" s="2">
        <f t="shared" ref="H91:H114" si="12">H90+SUM(D91:G91)</f>
        <v>845715.51999999944</v>
      </c>
      <c r="I91" s="136"/>
      <c r="J91" s="2">
        <v>845715.52</v>
      </c>
      <c r="L91" s="115"/>
      <c r="M91" s="133"/>
    </row>
    <row r="92" spans="1:13" x14ac:dyDescent="0.2">
      <c r="A92" s="154">
        <f>'FERC Interest Rates'!A94</f>
        <v>43861</v>
      </c>
      <c r="B92" s="132"/>
      <c r="C92" s="132"/>
      <c r="D92" s="2">
        <v>195003.6</v>
      </c>
      <c r="E92" s="132"/>
      <c r="F92" s="2">
        <f t="shared" ref="F92:F104" si="13">ROUND(H91*VLOOKUP(A92,FERCINT20,2)/365*VLOOKUP(A92,FERCINT20,3),2)</f>
        <v>3562.66</v>
      </c>
      <c r="H92" s="2">
        <f t="shared" si="12"/>
        <v>1044281.7799999994</v>
      </c>
      <c r="I92" s="136"/>
      <c r="J92" s="2">
        <v>1044281.78</v>
      </c>
      <c r="L92" s="115"/>
      <c r="M92" s="133"/>
    </row>
    <row r="93" spans="1:13" x14ac:dyDescent="0.2">
      <c r="A93" s="154">
        <f>'FERC Interest Rates'!A95</f>
        <v>43890</v>
      </c>
      <c r="B93" s="132"/>
      <c r="C93" s="132"/>
      <c r="D93" s="2">
        <v>228027.9</v>
      </c>
      <c r="E93" s="132"/>
      <c r="F93" s="2">
        <f t="shared" si="13"/>
        <v>4115.33</v>
      </c>
      <c r="H93" s="2">
        <f t="shared" si="12"/>
        <v>1276425.0099999993</v>
      </c>
      <c r="I93" s="136"/>
      <c r="J93" s="2">
        <v>1276425.01</v>
      </c>
      <c r="L93" s="115"/>
      <c r="M93" s="133"/>
    </row>
    <row r="94" spans="1:13" x14ac:dyDescent="0.2">
      <c r="A94" s="154">
        <f>'FERC Interest Rates'!A96</f>
        <v>43921</v>
      </c>
      <c r="B94" s="132"/>
      <c r="C94" s="132"/>
      <c r="D94" s="2">
        <v>332394.89</v>
      </c>
      <c r="E94" s="132"/>
      <c r="F94" s="2">
        <f t="shared" si="13"/>
        <v>5377.07</v>
      </c>
      <c r="H94" s="2">
        <f t="shared" si="12"/>
        <v>1614196.9699999993</v>
      </c>
      <c r="I94" s="136"/>
      <c r="J94" s="2">
        <v>1614196.97</v>
      </c>
      <c r="L94" s="115"/>
      <c r="M94" s="133"/>
    </row>
    <row r="95" spans="1:13" x14ac:dyDescent="0.2">
      <c r="A95" s="154">
        <f>'FERC Interest Rates'!A97</f>
        <v>43951</v>
      </c>
      <c r="B95" s="132"/>
      <c r="C95" s="132"/>
      <c r="D95" s="2">
        <v>408392.14</v>
      </c>
      <c r="E95" s="132"/>
      <c r="F95" s="2">
        <f t="shared" si="13"/>
        <v>6302</v>
      </c>
      <c r="H95" s="2">
        <f t="shared" si="12"/>
        <v>2028891.1099999994</v>
      </c>
      <c r="I95" s="136"/>
      <c r="J95" s="2">
        <v>2028891.11</v>
      </c>
      <c r="L95" s="115"/>
      <c r="M95" s="133"/>
    </row>
    <row r="96" spans="1:13" x14ac:dyDescent="0.2">
      <c r="A96" s="154">
        <f>'FERC Interest Rates'!A98</f>
        <v>43982</v>
      </c>
      <c r="B96" s="132"/>
      <c r="C96" s="132"/>
      <c r="D96" s="2">
        <v>159379.53</v>
      </c>
      <c r="E96" s="132"/>
      <c r="F96" s="2">
        <f t="shared" si="13"/>
        <v>8185.05</v>
      </c>
      <c r="H96" s="2">
        <f t="shared" si="12"/>
        <v>2196455.6899999995</v>
      </c>
      <c r="I96" s="136"/>
      <c r="J96" s="2">
        <v>2196455.69</v>
      </c>
      <c r="L96" s="115"/>
      <c r="M96" s="133"/>
    </row>
    <row r="97" spans="1:13" x14ac:dyDescent="0.2">
      <c r="A97" s="154">
        <f>'FERC Interest Rates'!A99</f>
        <v>44012</v>
      </c>
      <c r="B97" s="132"/>
      <c r="C97" s="132"/>
      <c r="D97" s="2">
        <v>191943.41</v>
      </c>
      <c r="E97" s="132"/>
      <c r="F97" s="2">
        <f t="shared" si="13"/>
        <v>8575.2000000000007</v>
      </c>
      <c r="H97" s="2">
        <f t="shared" si="12"/>
        <v>2396974.2999999993</v>
      </c>
      <c r="I97" s="136"/>
      <c r="J97" s="2">
        <v>2396974.2999999998</v>
      </c>
      <c r="L97" s="115"/>
      <c r="M97" s="133"/>
    </row>
    <row r="98" spans="1:13" x14ac:dyDescent="0.2">
      <c r="A98" s="154">
        <f>'FERC Interest Rates'!A100</f>
        <v>44043</v>
      </c>
      <c r="B98" s="132"/>
      <c r="C98" s="132"/>
      <c r="D98" s="2">
        <v>70949.89</v>
      </c>
      <c r="E98" s="132"/>
      <c r="F98" s="2">
        <f t="shared" si="13"/>
        <v>6982.75</v>
      </c>
      <c r="H98" s="2">
        <f t="shared" si="12"/>
        <v>2474906.9399999995</v>
      </c>
      <c r="I98" s="136"/>
      <c r="J98" s="2">
        <v>2474906.94</v>
      </c>
      <c r="L98" s="115"/>
      <c r="M98" s="133"/>
    </row>
    <row r="99" spans="1:13" x14ac:dyDescent="0.2">
      <c r="A99" s="154">
        <f>'FERC Interest Rates'!A101</f>
        <v>44074</v>
      </c>
      <c r="B99" s="132"/>
      <c r="C99" s="132"/>
      <c r="D99" s="2">
        <v>73931.59</v>
      </c>
      <c r="E99" s="132"/>
      <c r="F99" s="2">
        <f t="shared" si="13"/>
        <v>7209.78</v>
      </c>
      <c r="H99" s="2">
        <f t="shared" si="12"/>
        <v>2556048.3099999996</v>
      </c>
      <c r="I99" s="136"/>
      <c r="J99" s="2">
        <v>2556048.31</v>
      </c>
      <c r="L99" s="115"/>
      <c r="M99" s="133"/>
    </row>
    <row r="100" spans="1:13" x14ac:dyDescent="0.2">
      <c r="A100" s="154">
        <f>'FERC Interest Rates'!A102</f>
        <v>44104</v>
      </c>
      <c r="B100" s="132"/>
      <c r="C100" s="132"/>
      <c r="D100" s="2">
        <v>151919.51</v>
      </c>
      <c r="E100" s="132"/>
      <c r="F100" s="2">
        <f t="shared" si="13"/>
        <v>7205.96</v>
      </c>
      <c r="H100" s="2">
        <f t="shared" si="12"/>
        <v>2715173.78</v>
      </c>
      <c r="I100" s="136"/>
      <c r="J100" s="2">
        <v>2715173.78</v>
      </c>
      <c r="L100" s="115"/>
      <c r="M100" s="133"/>
    </row>
    <row r="101" spans="1:13" x14ac:dyDescent="0.2">
      <c r="A101" s="154">
        <f>'FERC Interest Rates'!A103</f>
        <v>44135</v>
      </c>
      <c r="B101" s="132"/>
      <c r="C101" s="132"/>
      <c r="D101" s="2">
        <v>217238.49</v>
      </c>
      <c r="E101" s="132"/>
      <c r="F101" s="2">
        <f t="shared" si="13"/>
        <v>7494.62</v>
      </c>
      <c r="H101" s="2">
        <f t="shared" si="12"/>
        <v>2939906.8899999997</v>
      </c>
      <c r="I101" s="136"/>
      <c r="J101" s="2">
        <v>2939906.89</v>
      </c>
      <c r="L101" s="115"/>
      <c r="M101" s="133"/>
    </row>
    <row r="102" spans="1:13" x14ac:dyDescent="0.2">
      <c r="A102" s="137" t="s">
        <v>124</v>
      </c>
      <c r="B102" s="137"/>
      <c r="C102" s="137"/>
      <c r="D102" s="137"/>
      <c r="E102" s="137"/>
      <c r="F102" s="137"/>
      <c r="G102" s="2">
        <v>-2495984.89</v>
      </c>
      <c r="H102" s="2">
        <f t="shared" si="12"/>
        <v>443921.99999999953</v>
      </c>
      <c r="I102" s="136"/>
      <c r="L102" s="115"/>
      <c r="M102" s="133"/>
    </row>
    <row r="103" spans="1:13" x14ac:dyDescent="0.2">
      <c r="A103" s="154">
        <f>'FERC Interest Rates'!A104</f>
        <v>44165</v>
      </c>
      <c r="B103" s="132"/>
      <c r="C103" s="132"/>
      <c r="D103" s="2">
        <v>112557.11</v>
      </c>
      <c r="E103" s="132"/>
      <c r="F103" s="2">
        <f t="shared" si="13"/>
        <v>1185.82</v>
      </c>
      <c r="H103" s="2">
        <f t="shared" si="12"/>
        <v>557664.92999999959</v>
      </c>
      <c r="I103" s="136"/>
      <c r="J103" s="2">
        <v>557664.93000000005</v>
      </c>
      <c r="L103" s="115"/>
      <c r="M103" s="133"/>
    </row>
    <row r="104" spans="1:13" x14ac:dyDescent="0.2">
      <c r="A104" s="154">
        <f>'FERC Interest Rates'!A105</f>
        <v>44196</v>
      </c>
      <c r="B104" s="132"/>
      <c r="C104" s="132"/>
      <c r="D104" s="2">
        <f>131078.43-17792.05</f>
        <v>113286.37999999999</v>
      </c>
      <c r="E104" s="132"/>
      <c r="F104" s="2">
        <f t="shared" si="13"/>
        <v>1539.31</v>
      </c>
      <c r="H104" s="2">
        <f t="shared" si="12"/>
        <v>672490.61999999953</v>
      </c>
      <c r="I104" s="136"/>
      <c r="J104" s="2">
        <v>672490.62</v>
      </c>
      <c r="L104" s="115"/>
      <c r="M104" s="133"/>
    </row>
    <row r="105" spans="1:13" x14ac:dyDescent="0.2">
      <c r="A105" s="154">
        <f>'FERC Interest Rates'!A106</f>
        <v>44227</v>
      </c>
      <c r="B105" s="132"/>
      <c r="C105" s="132"/>
      <c r="D105" s="2">
        <v>129552.11</v>
      </c>
      <c r="E105" s="132"/>
      <c r="F105" s="2">
        <f t="shared" ref="F105:F114" si="14">ROUND(H104*VLOOKUP(A105,FERCINT21,2)/365*VLOOKUP(A105,FERCINT21,3),2)</f>
        <v>1856.26</v>
      </c>
      <c r="H105" s="2">
        <f t="shared" si="12"/>
        <v>803898.98999999953</v>
      </c>
      <c r="I105" s="136"/>
      <c r="J105" s="2">
        <v>803898.99</v>
      </c>
      <c r="L105" s="115"/>
      <c r="M105" s="133"/>
    </row>
    <row r="106" spans="1:13" x14ac:dyDescent="0.2">
      <c r="A106" s="154">
        <f>'FERC Interest Rates'!A107</f>
        <v>44255</v>
      </c>
      <c r="B106" s="132"/>
      <c r="C106" s="132"/>
      <c r="D106" s="2">
        <v>293330.32</v>
      </c>
      <c r="E106" s="132"/>
      <c r="F106" s="2">
        <f t="shared" si="14"/>
        <v>2004.24</v>
      </c>
      <c r="H106" s="2">
        <f t="shared" si="12"/>
        <v>1099233.5499999996</v>
      </c>
      <c r="I106" s="136"/>
      <c r="J106" s="2">
        <v>1099233.55</v>
      </c>
      <c r="L106" s="115"/>
      <c r="M106" s="133"/>
    </row>
    <row r="107" spans="1:13" x14ac:dyDescent="0.2">
      <c r="A107" s="154">
        <f>'FERC Interest Rates'!A108</f>
        <v>44286</v>
      </c>
      <c r="B107" s="132"/>
      <c r="C107" s="132"/>
      <c r="D107" s="2">
        <v>267330.36</v>
      </c>
      <c r="E107" s="132"/>
      <c r="F107" s="2">
        <f t="shared" si="14"/>
        <v>3034.19</v>
      </c>
      <c r="H107" s="2">
        <f t="shared" si="12"/>
        <v>1369598.0999999996</v>
      </c>
      <c r="I107" s="136"/>
      <c r="J107" s="2">
        <v>1369598.1</v>
      </c>
      <c r="L107" s="115"/>
      <c r="M107" s="133"/>
    </row>
    <row r="108" spans="1:13" x14ac:dyDescent="0.2">
      <c r="A108" s="154">
        <f>'FERC Interest Rates'!A109</f>
        <v>44316</v>
      </c>
      <c r="B108" s="132"/>
      <c r="C108" s="132"/>
      <c r="D108" s="2">
        <v>190481.23</v>
      </c>
      <c r="E108" s="132"/>
      <c r="F108" s="2">
        <f t="shared" si="14"/>
        <v>3658.52</v>
      </c>
      <c r="H108" s="2">
        <f t="shared" si="12"/>
        <v>1563737.8499999996</v>
      </c>
      <c r="I108" s="136"/>
      <c r="J108" s="2">
        <v>1563737.85</v>
      </c>
      <c r="L108" s="115"/>
      <c r="M108" s="133"/>
    </row>
    <row r="109" spans="1:13" x14ac:dyDescent="0.2">
      <c r="A109" s="154">
        <f>'FERC Interest Rates'!A110</f>
        <v>44347</v>
      </c>
      <c r="B109" s="132"/>
      <c r="C109" s="132"/>
      <c r="D109" s="2">
        <v>159987.15</v>
      </c>
      <c r="E109" s="132"/>
      <c r="F109" s="2">
        <f t="shared" si="14"/>
        <v>4316.34</v>
      </c>
      <c r="H109" s="2">
        <f t="shared" si="12"/>
        <v>1728041.3399999996</v>
      </c>
      <c r="I109" s="136"/>
      <c r="J109" s="2">
        <v>1728041.34</v>
      </c>
      <c r="L109" s="115"/>
      <c r="M109" s="133"/>
    </row>
    <row r="110" spans="1:13" x14ac:dyDescent="0.2">
      <c r="A110" s="154">
        <f>'FERC Interest Rates'!A111</f>
        <v>44377</v>
      </c>
      <c r="B110" s="132"/>
      <c r="C110" s="132"/>
      <c r="D110" s="2">
        <v>166161.1</v>
      </c>
      <c r="E110" s="132"/>
      <c r="F110" s="2">
        <f t="shared" si="14"/>
        <v>4616</v>
      </c>
      <c r="H110" s="2">
        <f t="shared" si="12"/>
        <v>1898818.4399999997</v>
      </c>
      <c r="I110" s="136"/>
      <c r="J110" s="2">
        <v>1898818.44</v>
      </c>
      <c r="L110" s="115"/>
      <c r="M110" s="133"/>
    </row>
    <row r="111" spans="1:13" x14ac:dyDescent="0.2">
      <c r="A111" s="154">
        <f>'FERC Interest Rates'!A112</f>
        <v>44408</v>
      </c>
      <c r="B111" s="132"/>
      <c r="C111" s="132"/>
      <c r="D111" s="2">
        <v>216856.92</v>
      </c>
      <c r="E111" s="132"/>
      <c r="F111" s="2">
        <f t="shared" si="14"/>
        <v>5241.26</v>
      </c>
      <c r="H111" s="2">
        <f t="shared" si="12"/>
        <v>2120916.6199999996</v>
      </c>
      <c r="I111" s="136"/>
      <c r="J111" s="2">
        <v>2120916.62</v>
      </c>
      <c r="L111" s="115"/>
      <c r="M111" s="133"/>
    </row>
    <row r="112" spans="1:13" x14ac:dyDescent="0.2">
      <c r="A112" s="154">
        <f>'FERC Interest Rates'!A113</f>
        <v>44439</v>
      </c>
      <c r="B112" s="132"/>
      <c r="C112" s="132"/>
      <c r="D112" s="2">
        <v>162775.96</v>
      </c>
      <c r="E112" s="132"/>
      <c r="F112" s="2">
        <f t="shared" si="14"/>
        <v>5854.31</v>
      </c>
      <c r="H112" s="2">
        <f t="shared" si="12"/>
        <v>2289546.8899999997</v>
      </c>
      <c r="I112" s="136"/>
      <c r="J112" s="2">
        <v>2289546.89</v>
      </c>
      <c r="L112" s="115"/>
      <c r="M112" s="133"/>
    </row>
    <row r="113" spans="1:13" x14ac:dyDescent="0.2">
      <c r="A113" s="154">
        <f>'FERC Interest Rates'!A114</f>
        <v>44469</v>
      </c>
      <c r="B113" s="132"/>
      <c r="C113" s="132"/>
      <c r="D113" s="2">
        <v>119722.95</v>
      </c>
      <c r="E113" s="132"/>
      <c r="F113" s="2">
        <f t="shared" si="14"/>
        <v>6115.91</v>
      </c>
      <c r="H113" s="2">
        <f t="shared" si="12"/>
        <v>2415385.7499999995</v>
      </c>
      <c r="I113" s="136"/>
      <c r="J113" s="2">
        <v>2415385.75</v>
      </c>
      <c r="L113" s="115"/>
      <c r="M113" s="133"/>
    </row>
    <row r="114" spans="1:13" x14ac:dyDescent="0.2">
      <c r="A114" s="154">
        <f>'FERC Interest Rates'!A115</f>
        <v>44500</v>
      </c>
      <c r="B114" s="132"/>
      <c r="C114" s="132"/>
      <c r="E114" s="132"/>
      <c r="F114" s="2">
        <f t="shared" si="14"/>
        <v>6667.13</v>
      </c>
      <c r="H114" s="2">
        <f t="shared" si="12"/>
        <v>2422052.8799999994</v>
      </c>
      <c r="I114" s="136"/>
      <c r="L114" s="115"/>
      <c r="M114" s="133"/>
    </row>
    <row r="115" spans="1:13" x14ac:dyDescent="0.2">
      <c r="I115" s="136"/>
    </row>
  </sheetData>
  <mergeCells count="23">
    <mergeCell ref="A50:F50"/>
    <mergeCell ref="A63:F63"/>
    <mergeCell ref="A76:F76"/>
    <mergeCell ref="A89:F89"/>
    <mergeCell ref="A102:F102"/>
    <mergeCell ref="A7:B7"/>
    <mergeCell ref="C7:H7"/>
    <mergeCell ref="D9:F9"/>
    <mergeCell ref="A11:G11"/>
    <mergeCell ref="A24:F24"/>
    <mergeCell ref="A38:F38"/>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89"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2EF184961AA3BC43AB96C04ADED6DB84" ma:contentTypeVersion="52" ma:contentTypeDescription="" ma:contentTypeScope="" ma:versionID="f57b2c75e7267309821ec26ed21db8d4">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UG</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150</IndustryCode>
    <CaseStatus xmlns="dc463f71-b30c-4ab2-9473-d307f9d35888">Closed</CaseStatus>
    <OpenedDate xmlns="dc463f71-b30c-4ab2-9473-d307f9d35888">2020-09-15T07:00:00+00:00</OpenedDate>
    <SignificantOrder xmlns="dc463f71-b30c-4ab2-9473-d307f9d35888">false</SignificantOrder>
    <Date1 xmlns="dc463f71-b30c-4ab2-9473-d307f9d35888">2021-10-22T07:00:00+00:00</Date1>
    <IsDocumentOrder xmlns="dc463f71-b30c-4ab2-9473-d307f9d35888">false</IsDocumentOrder>
    <IsHighlyConfidential xmlns="dc463f71-b30c-4ab2-9473-d307f9d35888">false</IsHighlyConfidential>
    <CaseCompanyNames xmlns="dc463f71-b30c-4ab2-9473-d307f9d35888">Cascade Natural Gas Corporation</CaseCompanyNames>
    <Nickname xmlns="http://schemas.microsoft.com/sharepoint/v3" xsi:nil="true"/>
    <DocketNumber xmlns="dc463f71-b30c-4ab2-9473-d307f9d35888">200807</DocketNumber>
    <DelegatedOrder xmlns="dc463f71-b30c-4ab2-9473-d307f9d35888">false</DelegatedOrder>
  </documentManagement>
</p:properties>
</file>

<file path=customXml/itemProps1.xml><?xml version="1.0" encoding="utf-8"?>
<ds:datastoreItem xmlns:ds="http://schemas.openxmlformats.org/officeDocument/2006/customXml" ds:itemID="{FE5BD5E8-6798-4177-93E1-BBA37CBB0468}"/>
</file>

<file path=customXml/itemProps2.xml><?xml version="1.0" encoding="utf-8"?>
<ds:datastoreItem xmlns:ds="http://schemas.openxmlformats.org/officeDocument/2006/customXml" ds:itemID="{A3BF557E-1250-47A5-A610-6FD829B7DEBE}"/>
</file>

<file path=customXml/itemProps3.xml><?xml version="1.0" encoding="utf-8"?>
<ds:datastoreItem xmlns:ds="http://schemas.openxmlformats.org/officeDocument/2006/customXml" ds:itemID="{EBAF9C8C-BC68-4D63-8028-4DF87C71B51C}"/>
</file>

<file path=customXml/itemProps4.xml><?xml version="1.0" encoding="utf-8"?>
<ds:datastoreItem xmlns:ds="http://schemas.openxmlformats.org/officeDocument/2006/customXml" ds:itemID="{3FE4BBDE-7867-4D1F-9A81-E20C302614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DG 2530.01253</vt:lpstr>
      <vt:lpstr>DG 2530.01254</vt:lpstr>
      <vt:lpstr>DG 2530.01288</vt:lpstr>
      <vt:lpstr>DG 2530.01289</vt:lpstr>
      <vt:lpstr>DEFERRALS</vt:lpstr>
      <vt:lpstr>RA 1860.20479</vt:lpstr>
      <vt:lpstr>RA 1823.47020430</vt:lpstr>
      <vt:lpstr>RA 1823.47020431</vt:lpstr>
      <vt:lpstr>RA 1823.47020444</vt:lpstr>
      <vt:lpstr>RA 1823.47020449</vt:lpstr>
      <vt:lpstr>RA 1862.20477</vt:lpstr>
      <vt:lpstr>RA 1860.20460-exp only</vt:lpstr>
      <vt:lpstr>RA 1823.47020478</vt:lpstr>
      <vt:lpstr>RA 1862.20480</vt:lpstr>
      <vt:lpstr>RA 1860.20481</vt:lpstr>
      <vt:lpstr>FERC Interest Rates</vt:lpstr>
      <vt:lpstr>Therm Sales</vt:lpstr>
      <vt:lpstr>FERCINT13</vt:lpstr>
      <vt:lpstr>FERCINT14</vt:lpstr>
      <vt:lpstr>FERCINT15</vt:lpstr>
      <vt:lpstr>FERCINT16</vt:lpstr>
      <vt:lpstr>FERCINT17</vt:lpstr>
      <vt:lpstr>FERCINT18</vt:lpstr>
      <vt:lpstr>FERCINT19</vt:lpstr>
      <vt:lpstr>FERCINT20</vt:lpstr>
      <vt:lpstr>FERCINT21</vt:lpstr>
      <vt:lpstr>DEFERRALS!Print_Area</vt:lpstr>
      <vt:lpstr>'DG 2530.01253'!Print_Area</vt:lpstr>
      <vt:lpstr>'DG 2530.01254'!Print_Area</vt:lpstr>
      <vt:lpstr>'DG 2530.01288'!Print_Area</vt:lpstr>
      <vt:lpstr>'DG 2530.01289'!Print_Area</vt:lpstr>
      <vt:lpstr>'FERC Interest Rates'!Print_Area</vt:lpstr>
      <vt:lpstr>'RA 1823.47020430'!Print_Area</vt:lpstr>
      <vt:lpstr>'RA 1823.47020431'!Print_Area</vt:lpstr>
      <vt:lpstr>'RA 1823.47020444'!Print_Area</vt:lpstr>
      <vt:lpstr>'RA 1823.47020449'!Print_Area</vt:lpstr>
      <vt:lpstr>'RA 1823.47020478'!Print_Area</vt:lpstr>
      <vt:lpstr>'RA 1860.20460-exp only'!Print_Area</vt:lpstr>
      <vt:lpstr>'RA 1860.20479'!Print_Area</vt:lpstr>
      <vt:lpstr>'RA 1860.20481'!Print_Area</vt:lpstr>
      <vt:lpstr>'RA 1862.20477'!Print_Area</vt:lpstr>
      <vt:lpstr>'RA 1862.20480'!Print_Area</vt:lpstr>
      <vt:lpstr>'Therm Sales'!Print_Area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Myhrum, Isaac</dc:creator>
  <cp:lastModifiedBy>Myhrum, Isaac</cp:lastModifiedBy>
  <cp:lastPrinted>2021-10-18T21:46:44Z</cp:lastPrinted>
  <dcterms:created xsi:type="dcterms:W3CDTF">2021-10-18T18:34:14Z</dcterms:created>
  <dcterms:modified xsi:type="dcterms:W3CDTF">2021-10-18T21:47:19Z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0x0101006E56B4D1795A2E4DB2F0B01679ED314A002EF184961AA3BC43AB96C04ADED6DB84</vt:lpwstr>
  </property>
  <property fmtid="{D5CDD505-2E9C-101B-9397-08002B2CF9AE}" pid="3" name="_docset_NoMedatataSyncRequired">
    <vt:lpwstr>False</vt:lpwstr>
  </property>
  <property fmtid="{D5CDD505-2E9C-101B-9397-08002B2CF9AE}" pid="4" name="IsEFSEC">
    <vt:bool>false</vt:bool>
  </property>
</Properties>
</file>