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chartsheets/sheet1.xml" ContentType="application/vnd.openxmlformats-officedocument.spreadsheetml.chartshee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hidePivotFieldList="1" defaultThemeVersion="124226"/>
  <bookViews>
    <workbookView xWindow="0" yWindow="0" windowWidth="19200" windowHeight="7155" firstSheet="1" activeTab="1"/>
  </bookViews>
  <sheets>
    <sheet name="Chart2" sheetId="1" state="hidden" r:id="rId1"/>
    <sheet name="Table A - Combined" sheetId="44" r:id="rId2"/>
    <sheet name="Table B - Energy" sheetId="6" r:id="rId3"/>
    <sheet name="Table C - Capacity" sheetId="37" r:id="rId4"/>
    <sheet name="Table D - Integration" sheetId="17" r:id="rId5"/>
    <sheet name="Exhibit 1 - Market Capacity" sheetId="36" r:id="rId6"/>
    <sheet name="CONF Exhibit 2 - Planned Cap" sheetId="43" r:id="rId7"/>
    <sheet name="Exhibit 3 - Levelized Capacity" sheetId="47" r:id="rId8"/>
    <sheet name="Exhibit 4 - Comparison" sheetId="14" r:id="rId9"/>
    <sheet name="XX Support Pages - Do Not Print" sheetId="18" r:id="rId10"/>
    <sheet name="Escalation" sheetId="48" r:id="rId11"/>
    <sheet name="Profiles" sheetId="45" r:id="rId12"/>
    <sheet name="Portfolio" sheetId="46" r:id="rId13"/>
  </sheets>
  <externalReferences>
    <externalReference r:id="rId14"/>
    <externalReference r:id="rId15"/>
  </externalReferences>
  <definedNames>
    <definedName name="__j1" localSheetId="5" hidden="1">{"PRINT",#N/A,TRUE,"APPA";"PRINT",#N/A,TRUE,"APS";"PRINT",#N/A,TRUE,"BHPL";"PRINT",#N/A,TRUE,"BHPL2";"PRINT",#N/A,TRUE,"CDWR";"PRINT",#N/A,TRUE,"EWEB";"PRINT",#N/A,TRUE,"LADWP";"PRINT",#N/A,TRUE,"NEVBASE"}</definedName>
    <definedName name="__j1" localSheetId="12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5" hidden="1">{"PRINT",#N/A,TRUE,"APPA";"PRINT",#N/A,TRUE,"APS";"PRINT",#N/A,TRUE,"BHPL";"PRINT",#N/A,TRUE,"BHPL2";"PRINT",#N/A,TRUE,"CDWR";"PRINT",#N/A,TRUE,"EWEB";"PRINT",#N/A,TRUE,"LADWP";"PRINT",#N/A,TRUE,"NEVBASE"}</definedName>
    <definedName name="__j2" localSheetId="12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5" hidden="1">{"PRINT",#N/A,TRUE,"APPA";"PRINT",#N/A,TRUE,"APS";"PRINT",#N/A,TRUE,"BHPL";"PRINT",#N/A,TRUE,"BHPL2";"PRINT",#N/A,TRUE,"CDWR";"PRINT",#N/A,TRUE,"EWEB";"PRINT",#N/A,TRUE,"LADWP";"PRINT",#N/A,TRUE,"NEVBASE"}</definedName>
    <definedName name="__j3" localSheetId="1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5" hidden="1">{"PRINT",#N/A,TRUE,"APPA";"PRINT",#N/A,TRUE,"APS";"PRINT",#N/A,TRUE,"BHPL";"PRINT",#N/A,TRUE,"BHPL2";"PRINT",#N/A,TRUE,"CDWR";"PRINT",#N/A,TRUE,"EWEB";"PRINT",#N/A,TRUE,"LADWP";"PRINT",#N/A,TRUE,"NEVBASE"}</definedName>
    <definedName name="__j4" localSheetId="12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5" hidden="1">{"PRINT",#N/A,TRUE,"APPA";"PRINT",#N/A,TRUE,"APS";"PRINT",#N/A,TRUE,"BHPL";"PRINT",#N/A,TRUE,"BHPL2";"PRINT",#N/A,TRUE,"CDWR";"PRINT",#N/A,TRUE,"EWEB";"PRINT",#N/A,TRUE,"LADWP";"PRINT",#N/A,TRUE,"NEVBASE"}</definedName>
    <definedName name="__j5" localSheetId="12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Fill" localSheetId="5" hidden="1">#REF!</definedName>
    <definedName name="_Fill" localSheetId="7" hidden="1">#REF!</definedName>
    <definedName name="_Fill" localSheetId="11" hidden="1">#REF!</definedName>
    <definedName name="_Fill" localSheetId="1" hidden="1">#REF!</definedName>
    <definedName name="_Fill" localSheetId="3" hidden="1">#REF!</definedName>
    <definedName name="_Fill" hidden="1">#REF!</definedName>
    <definedName name="_j1" localSheetId="5" hidden="1">{"PRINT",#N/A,TRUE,"APPA";"PRINT",#N/A,TRUE,"APS";"PRINT",#N/A,TRUE,"BHPL";"PRINT",#N/A,TRUE,"BHPL2";"PRINT",#N/A,TRUE,"CDWR";"PRINT",#N/A,TRUE,"EWEB";"PRINT",#N/A,TRUE,"LADWP";"PRINT",#N/A,TRUE,"NEVBASE"}</definedName>
    <definedName name="_j1" localSheetId="12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5" hidden="1">{"PRINT",#N/A,TRUE,"APPA";"PRINT",#N/A,TRUE,"APS";"PRINT",#N/A,TRUE,"BHPL";"PRINT",#N/A,TRUE,"BHPL2";"PRINT",#N/A,TRUE,"CDWR";"PRINT",#N/A,TRUE,"EWEB";"PRINT",#N/A,TRUE,"LADWP";"PRINT",#N/A,TRUE,"NEVBASE"}</definedName>
    <definedName name="_j2" localSheetId="12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5" hidden="1">{"PRINT",#N/A,TRUE,"APPA";"PRINT",#N/A,TRUE,"APS";"PRINT",#N/A,TRUE,"BHPL";"PRINT",#N/A,TRUE,"BHPL2";"PRINT",#N/A,TRUE,"CDWR";"PRINT",#N/A,TRUE,"EWEB";"PRINT",#N/A,TRUE,"LADWP";"PRINT",#N/A,TRUE,"NEVBASE"}</definedName>
    <definedName name="_j3" localSheetId="1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5" hidden="1">{"PRINT",#N/A,TRUE,"APPA";"PRINT",#N/A,TRUE,"APS";"PRINT",#N/A,TRUE,"BHPL";"PRINT",#N/A,TRUE,"BHPL2";"PRINT",#N/A,TRUE,"CDWR";"PRINT",#N/A,TRUE,"EWEB";"PRINT",#N/A,TRUE,"LADWP";"PRINT",#N/A,TRUE,"NEVBASE"}</definedName>
    <definedName name="_j4" localSheetId="12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5" hidden="1">{"PRINT",#N/A,TRUE,"APPA";"PRINT",#N/A,TRUE,"APS";"PRINT",#N/A,TRUE,"BHPL";"PRINT",#N/A,TRUE,"BHPL2";"PRINT",#N/A,TRUE,"CDWR";"PRINT",#N/A,TRUE,"EWEB";"PRINT",#N/A,TRUE,"LADWP";"PRINT",#N/A,TRUE,"NEVBASE"}</definedName>
    <definedName name="_j5" localSheetId="12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5" hidden="1">#REF!</definedName>
    <definedName name="_Key1" localSheetId="7" hidden="1">#REF!</definedName>
    <definedName name="_Key1" localSheetId="11" hidden="1">#REF!</definedName>
    <definedName name="_Key1" localSheetId="1" hidden="1">#REF!</definedName>
    <definedName name="_Key1" localSheetId="3" hidden="1">#REF!</definedName>
    <definedName name="_Key1" hidden="1">#REF!</definedName>
    <definedName name="_Key2" localSheetId="5" hidden="1">#REF!</definedName>
    <definedName name="_Key2" localSheetId="7" hidden="1">#REF!</definedName>
    <definedName name="_Key2" localSheetId="11" hidden="1">#REF!</definedName>
    <definedName name="_Key2" localSheetId="1" hidden="1">#REF!</definedName>
    <definedName name="_Key2" localSheetId="3" hidden="1">#REF!</definedName>
    <definedName name="_Key2" hidden="1">#REF!</definedName>
    <definedName name="_Order1" hidden="1">255</definedName>
    <definedName name="_Order2" hidden="1">0</definedName>
    <definedName name="_Sort" localSheetId="5" hidden="1">#REF!</definedName>
    <definedName name="_Sort" localSheetId="7" hidden="1">#REF!</definedName>
    <definedName name="_Sort" localSheetId="11" hidden="1">#REF!</definedName>
    <definedName name="_Sort" localSheetId="1" hidden="1">#REF!</definedName>
    <definedName name="_Sort" localSheetId="3" hidden="1">#REF!</definedName>
    <definedName name="_Sort" hidden="1">#REF!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DiscountRate">'Exhibit 4 - Comparison'!$R$36</definedName>
    <definedName name="limcount" hidden="1">1</definedName>
    <definedName name="_xlnm.Print_Area" localSheetId="6">'CONF Exhibit 2 - Planned Cap'!$B$1:$L$55</definedName>
    <definedName name="_xlnm.Print_Area" localSheetId="5">'Exhibit 1 - Market Capacity'!$B$1:$K$60</definedName>
    <definedName name="_xlnm.Print_Area" localSheetId="7">'Exhibit 3 - Levelized Capacity'!$B$1:$L$46</definedName>
    <definedName name="_xlnm.Print_Area" localSheetId="8">'Exhibit 4 - Comparison'!$A$1:$O$39</definedName>
    <definedName name="_xlnm.Print_Area" localSheetId="12">Portfolio!$A$1:$Y$87</definedName>
    <definedName name="_xlnm.Print_Area" localSheetId="1">'Table A - Combined'!$A$1:$Y$41</definedName>
    <definedName name="_xlnm.Print_Area" localSheetId="2">'Table B - Energy'!$A$1:$Y$38</definedName>
    <definedName name="_xlnm.Print_Area" localSheetId="3">'Table C - Capacity'!$A$1:$W$39</definedName>
    <definedName name="_xlnm.Print_Area" localSheetId="4">'Table D - Integration'!$A$1:$D$32</definedName>
    <definedName name="SAPBEXrevision" hidden="1">1</definedName>
    <definedName name="SAPBEXsysID" hidden="1">"BWP"</definedName>
    <definedName name="SAPBEXwbID" hidden="1">"45EQYSCWE9WJMGB34OOD1BOQZ"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All._.Pages." localSheetId="5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12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Factors._.Tab._.10." localSheetId="5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2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YearEnd." localSheetId="5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2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</definedNames>
  <calcPr calcId="152511"/>
</workbook>
</file>

<file path=xl/calcChain.xml><?xml version="1.0" encoding="utf-8"?>
<calcChain xmlns="http://schemas.openxmlformats.org/spreadsheetml/2006/main">
  <c r="D10" i="43" l="1"/>
  <c r="J4" i="48" l="1"/>
  <c r="D5" i="48"/>
  <c r="E5" i="48"/>
  <c r="C6" i="48"/>
  <c r="C7" i="48" s="1"/>
  <c r="C8" i="48" s="1"/>
  <c r="C9" i="48" s="1"/>
  <c r="C10" i="48" s="1"/>
  <c r="C11" i="48" s="1"/>
  <c r="C12" i="48" s="1"/>
  <c r="C13" i="48" s="1"/>
  <c r="C14" i="48" s="1"/>
  <c r="C15" i="48" s="1"/>
  <c r="C16" i="48" s="1"/>
  <c r="C17" i="48" s="1"/>
  <c r="C18" i="48" s="1"/>
  <c r="C19" i="48" s="1"/>
  <c r="C20" i="48" s="1"/>
  <c r="C21" i="48" s="1"/>
  <c r="C22" i="48" s="1"/>
  <c r="C23" i="48" s="1"/>
  <c r="C24" i="48" s="1"/>
  <c r="C25" i="48" s="1"/>
  <c r="C26" i="48" s="1"/>
  <c r="C27" i="48" s="1"/>
  <c r="C28" i="48" s="1"/>
  <c r="D7" i="48"/>
  <c r="E7" i="48"/>
  <c r="F7" i="48"/>
  <c r="F8" i="48" s="1"/>
  <c r="F9" i="48" s="1"/>
  <c r="F10" i="48" s="1"/>
  <c r="F11" i="48" s="1"/>
  <c r="F12" i="48" s="1"/>
  <c r="F13" i="48" s="1"/>
  <c r="F14" i="48" s="1"/>
  <c r="F15" i="48" s="1"/>
  <c r="F16" i="48" s="1"/>
  <c r="F17" i="48" s="1"/>
  <c r="F18" i="48" s="1"/>
  <c r="F19" i="48" s="1"/>
  <c r="F20" i="48" s="1"/>
  <c r="F21" i="48" s="1"/>
  <c r="F22" i="48" s="1"/>
  <c r="F23" i="48" s="1"/>
  <c r="F24" i="48" s="1"/>
  <c r="F25" i="48" s="1"/>
  <c r="F26" i="48" s="1"/>
  <c r="D8" i="48"/>
  <c r="E8" i="48"/>
  <c r="E9" i="48" s="1"/>
  <c r="E10" i="48" s="1"/>
  <c r="E11" i="48" s="1"/>
  <c r="E12" i="48" s="1"/>
  <c r="E13" i="48" s="1"/>
  <c r="E14" i="48" s="1"/>
  <c r="E15" i="48" s="1"/>
  <c r="E16" i="48" s="1"/>
  <c r="E17" i="48" s="1"/>
  <c r="E18" i="48" s="1"/>
  <c r="E19" i="48" s="1"/>
  <c r="E20" i="48" s="1"/>
  <c r="E21" i="48" s="1"/>
  <c r="E22" i="48" s="1"/>
  <c r="E23" i="48" s="1"/>
  <c r="E24" i="48" s="1"/>
  <c r="E25" i="48" s="1"/>
  <c r="E26" i="48" s="1"/>
  <c r="E27" i="48" s="1"/>
  <c r="E28" i="48" s="1"/>
  <c r="D9" i="48"/>
  <c r="D10" i="48" s="1"/>
  <c r="D11" i="48" s="1"/>
  <c r="D12" i="48" s="1"/>
  <c r="D13" i="48" s="1"/>
  <c r="D14" i="48" s="1"/>
  <c r="D15" i="48" s="1"/>
  <c r="D16" i="48" s="1"/>
  <c r="D17" i="48" s="1"/>
  <c r="D18" i="48" s="1"/>
  <c r="D19" i="48" s="1"/>
  <c r="D20" i="48" s="1"/>
  <c r="D21" i="48" s="1"/>
  <c r="D22" i="48" s="1"/>
  <c r="D23" i="48" s="1"/>
  <c r="D24" i="48" s="1"/>
  <c r="D25" i="48" s="1"/>
  <c r="D26" i="48" s="1"/>
  <c r="D27" i="48" s="1"/>
  <c r="D28" i="48" s="1"/>
  <c r="M25" i="48"/>
  <c r="M26" i="48" s="1"/>
  <c r="M27" i="48" s="1"/>
  <c r="M28" i="48" s="1"/>
  <c r="M29" i="48" s="1"/>
  <c r="L27" i="48"/>
  <c r="L28" i="48" s="1"/>
  <c r="L29" i="48" s="1"/>
  <c r="F27" i="48" l="1"/>
  <c r="F28" i="48" s="1"/>
  <c r="D11" i="43" l="1"/>
  <c r="Q8" i="43"/>
  <c r="Q9" i="43"/>
  <c r="Q10" i="43"/>
  <c r="Q11" i="43"/>
  <c r="Q12" i="43"/>
  <c r="Q13" i="43"/>
  <c r="Q14" i="43"/>
  <c r="Q15" i="43"/>
  <c r="Q16" i="43"/>
  <c r="Q17" i="43"/>
  <c r="Q18" i="43"/>
  <c r="Q19" i="43"/>
  <c r="Q20" i="43"/>
  <c r="Q21" i="43"/>
  <c r="Q22" i="43"/>
  <c r="Q23" i="43"/>
  <c r="Q24" i="43"/>
  <c r="Q25" i="43"/>
  <c r="Q26" i="43" s="1"/>
  <c r="Q27" i="43" s="1"/>
  <c r="Q28" i="43" s="1"/>
  <c r="Q7" i="43"/>
  <c r="O7" i="43"/>
  <c r="O8" i="43" s="1"/>
  <c r="O9" i="43" s="1"/>
  <c r="O10" i="43" s="1"/>
  <c r="O11" i="43" s="1"/>
  <c r="O12" i="43" s="1"/>
  <c r="O13" i="43" s="1"/>
  <c r="O14" i="43" s="1"/>
  <c r="O15" i="43" s="1"/>
  <c r="O16" i="43" s="1"/>
  <c r="O17" i="43" s="1"/>
  <c r="O18" i="43" s="1"/>
  <c r="O19" i="43" s="1"/>
  <c r="O20" i="43" s="1"/>
  <c r="O21" i="43" s="1"/>
  <c r="O22" i="43" s="1"/>
  <c r="O23" i="43" s="1"/>
  <c r="O24" i="43" s="1"/>
  <c r="O25" i="43" s="1"/>
  <c r="O26" i="43" s="1"/>
  <c r="O27" i="43" s="1"/>
  <c r="O28" i="43" s="1"/>
  <c r="D12" i="43" l="1"/>
  <c r="D13" i="43" l="1"/>
  <c r="D14" i="43" s="1"/>
  <c r="D15" i="43" s="1"/>
  <c r="D16" i="43" s="1"/>
  <c r="D17" i="43" s="1"/>
  <c r="D18" i="43" l="1"/>
  <c r="D19" i="43" s="1"/>
  <c r="D20" i="43" s="1"/>
  <c r="D21" i="43" s="1"/>
  <c r="D22" i="43" s="1"/>
  <c r="D23" i="43" s="1"/>
  <c r="D24" i="43" s="1"/>
  <c r="D25" i="43" s="1"/>
  <c r="D26" i="43" s="1"/>
  <c r="D27" i="43" s="1"/>
  <c r="D28" i="43" s="1"/>
  <c r="E17" i="43"/>
  <c r="E18" i="43" s="1"/>
  <c r="E19" i="43" s="1"/>
  <c r="E20" i="43" s="1"/>
  <c r="E21" i="43" s="1"/>
  <c r="E22" i="43" s="1"/>
  <c r="E23" i="43" s="1"/>
  <c r="E24" i="43" s="1"/>
  <c r="E25" i="43" s="1"/>
  <c r="E26" i="43" s="1"/>
  <c r="E27" i="43" s="1"/>
  <c r="E28" i="43" s="1"/>
  <c r="J36" i="37"/>
  <c r="J37" i="37"/>
  <c r="J38" i="37"/>
  <c r="J39" i="37"/>
  <c r="AB31" i="45" l="1"/>
  <c r="AA31" i="45"/>
  <c r="Z31" i="45"/>
  <c r="AB30" i="45"/>
  <c r="AA30" i="45"/>
  <c r="Z30" i="45"/>
  <c r="AB27" i="45"/>
  <c r="AB26" i="45"/>
  <c r="AB25" i="45"/>
  <c r="AB24" i="45"/>
  <c r="AB23" i="45"/>
  <c r="AB22" i="45"/>
  <c r="AB21" i="45"/>
  <c r="AB20" i="45"/>
  <c r="AB19" i="45"/>
  <c r="AB18" i="45"/>
  <c r="AB17" i="45"/>
  <c r="AB16" i="45"/>
  <c r="AA27" i="45"/>
  <c r="AA26" i="45"/>
  <c r="AA25" i="45"/>
  <c r="AA24" i="45"/>
  <c r="AA23" i="45"/>
  <c r="AA22" i="45"/>
  <c r="AA21" i="45"/>
  <c r="AA20" i="45"/>
  <c r="AA19" i="45"/>
  <c r="AA18" i="45"/>
  <c r="AA17" i="45"/>
  <c r="AA16" i="45"/>
  <c r="D9" i="47"/>
  <c r="C9" i="47" s="1"/>
  <c r="E9" i="47" s="1"/>
  <c r="C40" i="47"/>
  <c r="C41" i="47" s="1"/>
  <c r="G39" i="47"/>
  <c r="G40" i="47" s="1"/>
  <c r="G41" i="47" s="1"/>
  <c r="G42" i="47" s="1"/>
  <c r="G43" i="47" s="1"/>
  <c r="G44" i="47" s="1"/>
  <c r="G45" i="47" s="1"/>
  <c r="G46" i="47" s="1"/>
  <c r="E39" i="47"/>
  <c r="E40" i="47" s="1"/>
  <c r="E41" i="47" s="1"/>
  <c r="E42" i="47" s="1"/>
  <c r="E43" i="47" s="1"/>
  <c r="E44" i="47" s="1"/>
  <c r="E45" i="47" s="1"/>
  <c r="C39" i="47"/>
  <c r="B11" i="47"/>
  <c r="B12" i="47" s="1"/>
  <c r="B13" i="47" s="1"/>
  <c r="C42" i="47" l="1"/>
  <c r="C43" i="47" s="1"/>
  <c r="C44" i="47" s="1"/>
  <c r="C45" i="47" s="1"/>
  <c r="I10" i="47"/>
  <c r="I11" i="47" s="1"/>
  <c r="B14" i="47"/>
  <c r="B15" i="47" l="1"/>
  <c r="I12" i="47"/>
  <c r="I13" i="47" s="1"/>
  <c r="I14" i="47" s="1"/>
  <c r="I15" i="47" s="1"/>
  <c r="V31" i="45"/>
  <c r="U31" i="45"/>
  <c r="T31" i="45"/>
  <c r="S31" i="45"/>
  <c r="R31" i="45"/>
  <c r="Q31" i="45"/>
  <c r="P31" i="45"/>
  <c r="O31" i="45"/>
  <c r="N31" i="45"/>
  <c r="M31" i="45"/>
  <c r="L31" i="45"/>
  <c r="K31" i="45"/>
  <c r="J31" i="45"/>
  <c r="I31" i="45"/>
  <c r="H31" i="45"/>
  <c r="G31" i="45"/>
  <c r="F31" i="45"/>
  <c r="E31" i="45"/>
  <c r="D31" i="45"/>
  <c r="C31" i="45"/>
  <c r="V30" i="45"/>
  <c r="U30" i="45"/>
  <c r="T30" i="45"/>
  <c r="S30" i="45"/>
  <c r="R30" i="45"/>
  <c r="Q30" i="45"/>
  <c r="P30" i="45"/>
  <c r="O30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V29" i="45"/>
  <c r="U29" i="45"/>
  <c r="T29" i="45"/>
  <c r="S29" i="45"/>
  <c r="R29" i="45"/>
  <c r="Q29" i="45"/>
  <c r="P29" i="45"/>
  <c r="O29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V28" i="45"/>
  <c r="U28" i="45"/>
  <c r="T28" i="45"/>
  <c r="S28" i="45"/>
  <c r="R28" i="45"/>
  <c r="Q28" i="45"/>
  <c r="P28" i="45"/>
  <c r="O28" i="45"/>
  <c r="N28" i="45"/>
  <c r="M28" i="45"/>
  <c r="L28" i="45"/>
  <c r="K28" i="45"/>
  <c r="J28" i="45"/>
  <c r="I28" i="45"/>
  <c r="H28" i="45"/>
  <c r="G28" i="45"/>
  <c r="F28" i="45"/>
  <c r="E28" i="45"/>
  <c r="D28" i="45"/>
  <c r="C28" i="45"/>
  <c r="V27" i="45"/>
  <c r="U27" i="45"/>
  <c r="T27" i="45"/>
  <c r="S27" i="45"/>
  <c r="R27" i="45"/>
  <c r="Q27" i="45"/>
  <c r="P27" i="45"/>
  <c r="O27" i="45"/>
  <c r="N27" i="45"/>
  <c r="M27" i="45"/>
  <c r="L27" i="45"/>
  <c r="K27" i="45"/>
  <c r="J27" i="45"/>
  <c r="I27" i="45"/>
  <c r="H27" i="45"/>
  <c r="G27" i="45"/>
  <c r="F27" i="45"/>
  <c r="E27" i="45"/>
  <c r="D27" i="45"/>
  <c r="C27" i="45"/>
  <c r="V26" i="45"/>
  <c r="U26" i="45"/>
  <c r="T26" i="45"/>
  <c r="S26" i="45"/>
  <c r="R26" i="45"/>
  <c r="Q26" i="45"/>
  <c r="P26" i="45"/>
  <c r="O26" i="45"/>
  <c r="N26" i="45"/>
  <c r="M26" i="45"/>
  <c r="L26" i="45"/>
  <c r="K26" i="45"/>
  <c r="J26" i="45"/>
  <c r="I26" i="45"/>
  <c r="H26" i="45"/>
  <c r="G26" i="45"/>
  <c r="F26" i="45"/>
  <c r="E26" i="45"/>
  <c r="D26" i="45"/>
  <c r="C26" i="45"/>
  <c r="V25" i="45"/>
  <c r="U25" i="45"/>
  <c r="T25" i="45"/>
  <c r="S25" i="45"/>
  <c r="R25" i="45"/>
  <c r="Q25" i="45"/>
  <c r="P25" i="45"/>
  <c r="O25" i="45"/>
  <c r="N25" i="45"/>
  <c r="M25" i="45"/>
  <c r="L25" i="45"/>
  <c r="K25" i="45"/>
  <c r="J25" i="45"/>
  <c r="I25" i="45"/>
  <c r="H25" i="45"/>
  <c r="G25" i="45"/>
  <c r="F25" i="45"/>
  <c r="E25" i="45"/>
  <c r="D25" i="45"/>
  <c r="C25" i="45"/>
  <c r="V24" i="45"/>
  <c r="U24" i="45"/>
  <c r="T24" i="45"/>
  <c r="S24" i="45"/>
  <c r="R24" i="45"/>
  <c r="Q24" i="45"/>
  <c r="P24" i="45"/>
  <c r="O24" i="45"/>
  <c r="N24" i="45"/>
  <c r="M24" i="45"/>
  <c r="L24" i="45"/>
  <c r="K24" i="45"/>
  <c r="J24" i="45"/>
  <c r="I24" i="45"/>
  <c r="H24" i="45"/>
  <c r="G24" i="45"/>
  <c r="F24" i="45"/>
  <c r="E24" i="45"/>
  <c r="D24" i="45"/>
  <c r="C24" i="45"/>
  <c r="V23" i="45"/>
  <c r="U23" i="45"/>
  <c r="T23" i="45"/>
  <c r="S23" i="45"/>
  <c r="R23" i="45"/>
  <c r="Q23" i="45"/>
  <c r="P23" i="45"/>
  <c r="O23" i="45"/>
  <c r="N23" i="45"/>
  <c r="M23" i="45"/>
  <c r="L23" i="45"/>
  <c r="K23" i="45"/>
  <c r="J23" i="45"/>
  <c r="I23" i="45"/>
  <c r="H23" i="45"/>
  <c r="G23" i="45"/>
  <c r="F23" i="45"/>
  <c r="E23" i="45"/>
  <c r="D23" i="45"/>
  <c r="C23" i="45"/>
  <c r="V22" i="45"/>
  <c r="U22" i="45"/>
  <c r="T22" i="45"/>
  <c r="S22" i="45"/>
  <c r="R22" i="45"/>
  <c r="Q22" i="45"/>
  <c r="P22" i="45"/>
  <c r="O22" i="45"/>
  <c r="N22" i="45"/>
  <c r="M22" i="45"/>
  <c r="L22" i="45"/>
  <c r="K22" i="45"/>
  <c r="J22" i="45"/>
  <c r="I22" i="45"/>
  <c r="H22" i="45"/>
  <c r="G22" i="45"/>
  <c r="F22" i="45"/>
  <c r="E22" i="45"/>
  <c r="D22" i="45"/>
  <c r="C22" i="45"/>
  <c r="V21" i="45"/>
  <c r="U21" i="45"/>
  <c r="T21" i="45"/>
  <c r="S21" i="45"/>
  <c r="R21" i="45"/>
  <c r="Q21" i="45"/>
  <c r="P21" i="45"/>
  <c r="O21" i="45"/>
  <c r="N21" i="45"/>
  <c r="M21" i="45"/>
  <c r="L21" i="45"/>
  <c r="K21" i="45"/>
  <c r="J21" i="45"/>
  <c r="I21" i="45"/>
  <c r="H21" i="45"/>
  <c r="G21" i="45"/>
  <c r="F21" i="45"/>
  <c r="E21" i="45"/>
  <c r="D21" i="45"/>
  <c r="C21" i="45"/>
  <c r="V20" i="45"/>
  <c r="U20" i="45"/>
  <c r="T20" i="45"/>
  <c r="S20" i="45"/>
  <c r="R20" i="45"/>
  <c r="Q20" i="45"/>
  <c r="P20" i="45"/>
  <c r="O20" i="45"/>
  <c r="N20" i="45"/>
  <c r="M20" i="45"/>
  <c r="L20" i="45"/>
  <c r="K20" i="45"/>
  <c r="J20" i="45"/>
  <c r="I20" i="45"/>
  <c r="H20" i="45"/>
  <c r="G20" i="45"/>
  <c r="F20" i="45"/>
  <c r="E20" i="45"/>
  <c r="D20" i="45"/>
  <c r="C20" i="45"/>
  <c r="V19" i="45"/>
  <c r="U19" i="45"/>
  <c r="T19" i="45"/>
  <c r="S19" i="45"/>
  <c r="R19" i="45"/>
  <c r="Q19" i="45"/>
  <c r="P19" i="45"/>
  <c r="O19" i="45"/>
  <c r="N19" i="45"/>
  <c r="M19" i="45"/>
  <c r="L19" i="45"/>
  <c r="K19" i="45"/>
  <c r="J19" i="45"/>
  <c r="I19" i="45"/>
  <c r="H19" i="45"/>
  <c r="G19" i="45"/>
  <c r="F19" i="45"/>
  <c r="E19" i="45"/>
  <c r="D19" i="45"/>
  <c r="C19" i="45"/>
  <c r="V18" i="45"/>
  <c r="U18" i="45"/>
  <c r="T18" i="45"/>
  <c r="S18" i="45"/>
  <c r="R18" i="45"/>
  <c r="Q18" i="45"/>
  <c r="P18" i="45"/>
  <c r="O18" i="45"/>
  <c r="N18" i="45"/>
  <c r="M18" i="45"/>
  <c r="L18" i="45"/>
  <c r="K18" i="45"/>
  <c r="J18" i="45"/>
  <c r="I18" i="45"/>
  <c r="H18" i="45"/>
  <c r="G18" i="45"/>
  <c r="F18" i="45"/>
  <c r="E18" i="45"/>
  <c r="D18" i="45"/>
  <c r="C18" i="45"/>
  <c r="V17" i="45"/>
  <c r="U17" i="45"/>
  <c r="T17" i="45"/>
  <c r="S17" i="45"/>
  <c r="R17" i="45"/>
  <c r="Q17" i="45"/>
  <c r="P17" i="45"/>
  <c r="O17" i="45"/>
  <c r="N17" i="45"/>
  <c r="M17" i="45"/>
  <c r="L17" i="45"/>
  <c r="K17" i="45"/>
  <c r="J17" i="45"/>
  <c r="I17" i="45"/>
  <c r="H17" i="45"/>
  <c r="G17" i="45"/>
  <c r="F17" i="45"/>
  <c r="E17" i="45"/>
  <c r="D17" i="45"/>
  <c r="C17" i="45"/>
  <c r="V16" i="45"/>
  <c r="U16" i="45"/>
  <c r="T16" i="45"/>
  <c r="S16" i="45"/>
  <c r="R16" i="45"/>
  <c r="Q16" i="45"/>
  <c r="P16" i="45"/>
  <c r="O16" i="45"/>
  <c r="N16" i="45"/>
  <c r="M16" i="45"/>
  <c r="L16" i="45"/>
  <c r="K16" i="45"/>
  <c r="J16" i="45"/>
  <c r="I16" i="45"/>
  <c r="H16" i="45"/>
  <c r="G16" i="45"/>
  <c r="F16" i="45"/>
  <c r="E16" i="45"/>
  <c r="D16" i="45"/>
  <c r="C16" i="45"/>
  <c r="V15" i="45"/>
  <c r="U15" i="45"/>
  <c r="T15" i="45"/>
  <c r="S15" i="45"/>
  <c r="R15" i="45"/>
  <c r="Q15" i="45"/>
  <c r="P15" i="45"/>
  <c r="O15" i="45"/>
  <c r="N15" i="45"/>
  <c r="M15" i="45"/>
  <c r="L15" i="45"/>
  <c r="K15" i="45"/>
  <c r="J15" i="45"/>
  <c r="I15" i="45"/>
  <c r="H15" i="45"/>
  <c r="G15" i="45"/>
  <c r="F15" i="45"/>
  <c r="E15" i="45"/>
  <c r="D15" i="45"/>
  <c r="C15" i="45"/>
  <c r="V14" i="45"/>
  <c r="U14" i="45"/>
  <c r="T14" i="45"/>
  <c r="S14" i="45"/>
  <c r="R14" i="45"/>
  <c r="Q14" i="45"/>
  <c r="P14" i="45"/>
  <c r="O14" i="45"/>
  <c r="N14" i="45"/>
  <c r="M14" i="45"/>
  <c r="L14" i="45"/>
  <c r="K14" i="45"/>
  <c r="J14" i="45"/>
  <c r="I14" i="45"/>
  <c r="H14" i="45"/>
  <c r="G14" i="45"/>
  <c r="F14" i="45"/>
  <c r="E14" i="45"/>
  <c r="D14" i="45"/>
  <c r="C14" i="45"/>
  <c r="V13" i="45"/>
  <c r="U13" i="45"/>
  <c r="T13" i="45"/>
  <c r="S13" i="45"/>
  <c r="R13" i="45"/>
  <c r="Q13" i="45"/>
  <c r="P13" i="45"/>
  <c r="O13" i="45"/>
  <c r="N13" i="45"/>
  <c r="M13" i="45"/>
  <c r="L13" i="45"/>
  <c r="K13" i="45"/>
  <c r="J13" i="45"/>
  <c r="I13" i="45"/>
  <c r="H13" i="45"/>
  <c r="G13" i="45"/>
  <c r="F13" i="45"/>
  <c r="E13" i="45"/>
  <c r="D13" i="45"/>
  <c r="C13" i="45"/>
  <c r="V12" i="45"/>
  <c r="U12" i="45"/>
  <c r="T12" i="45"/>
  <c r="S12" i="45"/>
  <c r="R12" i="45"/>
  <c r="Q12" i="45"/>
  <c r="P12" i="45"/>
  <c r="O12" i="45"/>
  <c r="N12" i="45"/>
  <c r="M12" i="45"/>
  <c r="L12" i="45"/>
  <c r="K12" i="45"/>
  <c r="J12" i="45"/>
  <c r="I12" i="45"/>
  <c r="H12" i="45"/>
  <c r="G12" i="45"/>
  <c r="F12" i="45"/>
  <c r="E12" i="45"/>
  <c r="D12" i="45"/>
  <c r="C12" i="45"/>
  <c r="T11" i="45"/>
  <c r="S11" i="45"/>
  <c r="R11" i="45"/>
  <c r="O11" i="45"/>
  <c r="N11" i="45"/>
  <c r="M11" i="45"/>
  <c r="J11" i="45"/>
  <c r="I11" i="45"/>
  <c r="H11" i="45"/>
  <c r="E11" i="45"/>
  <c r="D11" i="45"/>
  <c r="C11" i="45"/>
  <c r="X30" i="6"/>
  <c r="W30" i="6"/>
  <c r="V30" i="6"/>
  <c r="U30" i="6"/>
  <c r="T30" i="6"/>
  <c r="S30" i="6"/>
  <c r="R30" i="6"/>
  <c r="Q30" i="6"/>
  <c r="P30" i="6"/>
  <c r="O30" i="6"/>
  <c r="X29" i="6"/>
  <c r="W29" i="6"/>
  <c r="V29" i="6"/>
  <c r="U29" i="6"/>
  <c r="T29" i="6"/>
  <c r="S29" i="6"/>
  <c r="R29" i="6"/>
  <c r="Q29" i="6"/>
  <c r="P29" i="6"/>
  <c r="O29" i="6"/>
  <c r="X28" i="6"/>
  <c r="W28" i="6"/>
  <c r="V28" i="6"/>
  <c r="U28" i="6"/>
  <c r="T28" i="6"/>
  <c r="S28" i="6"/>
  <c r="R28" i="6"/>
  <c r="Q28" i="6"/>
  <c r="P28" i="6"/>
  <c r="O28" i="6"/>
  <c r="X27" i="6"/>
  <c r="W27" i="6"/>
  <c r="V27" i="6"/>
  <c r="U27" i="6"/>
  <c r="T27" i="6"/>
  <c r="S27" i="6"/>
  <c r="R27" i="6"/>
  <c r="Q27" i="6"/>
  <c r="P27" i="6"/>
  <c r="O27" i="6"/>
  <c r="X26" i="6"/>
  <c r="W26" i="6"/>
  <c r="V26" i="6"/>
  <c r="U26" i="6"/>
  <c r="T26" i="6"/>
  <c r="S26" i="6"/>
  <c r="R26" i="6"/>
  <c r="Q26" i="6"/>
  <c r="P26" i="6"/>
  <c r="O26" i="6"/>
  <c r="X25" i="6"/>
  <c r="W25" i="6"/>
  <c r="V25" i="6"/>
  <c r="U25" i="6"/>
  <c r="T25" i="6"/>
  <c r="S25" i="6"/>
  <c r="R25" i="6"/>
  <c r="Q25" i="6"/>
  <c r="P25" i="6"/>
  <c r="O25" i="6"/>
  <c r="X24" i="6"/>
  <c r="W24" i="6"/>
  <c r="V24" i="6"/>
  <c r="U24" i="6"/>
  <c r="T24" i="6"/>
  <c r="S24" i="6"/>
  <c r="R24" i="6"/>
  <c r="Q24" i="6"/>
  <c r="P24" i="6"/>
  <c r="O24" i="6"/>
  <c r="X23" i="6"/>
  <c r="W23" i="6"/>
  <c r="V23" i="6"/>
  <c r="U23" i="6"/>
  <c r="T23" i="6"/>
  <c r="S23" i="6"/>
  <c r="R23" i="6"/>
  <c r="Q23" i="6"/>
  <c r="P23" i="6"/>
  <c r="O23" i="6"/>
  <c r="X22" i="6"/>
  <c r="W22" i="6"/>
  <c r="V22" i="6"/>
  <c r="U22" i="6"/>
  <c r="T22" i="6"/>
  <c r="S22" i="6"/>
  <c r="R22" i="6"/>
  <c r="Q22" i="6"/>
  <c r="P22" i="6"/>
  <c r="O22" i="6"/>
  <c r="X21" i="6"/>
  <c r="W21" i="6"/>
  <c r="V21" i="6"/>
  <c r="U21" i="6"/>
  <c r="T21" i="6"/>
  <c r="S21" i="6"/>
  <c r="R21" i="6"/>
  <c r="Q21" i="6"/>
  <c r="P21" i="6"/>
  <c r="O21" i="6"/>
  <c r="X20" i="6"/>
  <c r="W20" i="6"/>
  <c r="V20" i="6"/>
  <c r="U20" i="6"/>
  <c r="T20" i="6"/>
  <c r="S20" i="6"/>
  <c r="R20" i="6"/>
  <c r="Q20" i="6"/>
  <c r="P20" i="6"/>
  <c r="O20" i="6"/>
  <c r="X19" i="6"/>
  <c r="W19" i="6"/>
  <c r="V19" i="6"/>
  <c r="U19" i="6"/>
  <c r="T19" i="6"/>
  <c r="S19" i="6"/>
  <c r="R19" i="6"/>
  <c r="Q19" i="6"/>
  <c r="P19" i="6"/>
  <c r="O19" i="6"/>
  <c r="X18" i="6"/>
  <c r="W18" i="6"/>
  <c r="V18" i="6"/>
  <c r="U18" i="6"/>
  <c r="T18" i="6"/>
  <c r="S18" i="6"/>
  <c r="R18" i="6"/>
  <c r="Q18" i="6"/>
  <c r="P18" i="6"/>
  <c r="O18" i="6"/>
  <c r="X17" i="6"/>
  <c r="W17" i="6"/>
  <c r="V17" i="6"/>
  <c r="U17" i="6"/>
  <c r="T17" i="6"/>
  <c r="S17" i="6"/>
  <c r="R17" i="6"/>
  <c r="Q17" i="6"/>
  <c r="P17" i="6"/>
  <c r="O17" i="6"/>
  <c r="X16" i="6"/>
  <c r="W16" i="6"/>
  <c r="V16" i="6"/>
  <c r="U16" i="6"/>
  <c r="T16" i="6"/>
  <c r="S16" i="6"/>
  <c r="R16" i="6"/>
  <c r="Q16" i="6"/>
  <c r="P16" i="6"/>
  <c r="O16" i="6"/>
  <c r="X15" i="6"/>
  <c r="W15" i="6"/>
  <c r="V15" i="6"/>
  <c r="U15" i="6"/>
  <c r="T15" i="6"/>
  <c r="S15" i="6"/>
  <c r="R15" i="6"/>
  <c r="Q15" i="6"/>
  <c r="P15" i="6"/>
  <c r="O15" i="6"/>
  <c r="X14" i="6"/>
  <c r="W14" i="6"/>
  <c r="V14" i="6"/>
  <c r="U14" i="6"/>
  <c r="T14" i="6"/>
  <c r="S14" i="6"/>
  <c r="R14" i="6"/>
  <c r="Q14" i="6"/>
  <c r="P14" i="6"/>
  <c r="O14" i="6"/>
  <c r="X13" i="6"/>
  <c r="W13" i="6"/>
  <c r="V13" i="6"/>
  <c r="U13" i="6"/>
  <c r="T13" i="6"/>
  <c r="S13" i="6"/>
  <c r="R13" i="6"/>
  <c r="Q13" i="6"/>
  <c r="P13" i="6"/>
  <c r="O13" i="6"/>
  <c r="X12" i="6"/>
  <c r="W12" i="6"/>
  <c r="V12" i="6"/>
  <c r="U12" i="6"/>
  <c r="T12" i="6"/>
  <c r="S12" i="6"/>
  <c r="R12" i="6"/>
  <c r="Q12" i="6"/>
  <c r="P12" i="6"/>
  <c r="O12" i="6"/>
  <c r="X11" i="6"/>
  <c r="W11" i="6"/>
  <c r="V11" i="6"/>
  <c r="U11" i="6"/>
  <c r="T11" i="6"/>
  <c r="S11" i="6"/>
  <c r="R11" i="6"/>
  <c r="Q11" i="6"/>
  <c r="P11" i="6"/>
  <c r="O11" i="6"/>
  <c r="L30" i="6"/>
  <c r="K30" i="6"/>
  <c r="J30" i="6"/>
  <c r="I30" i="6"/>
  <c r="H30" i="6"/>
  <c r="G30" i="6"/>
  <c r="F30" i="6"/>
  <c r="E30" i="6"/>
  <c r="D30" i="6"/>
  <c r="C30" i="6"/>
  <c r="L29" i="6"/>
  <c r="K29" i="6"/>
  <c r="J29" i="6"/>
  <c r="I29" i="6"/>
  <c r="H29" i="6"/>
  <c r="G29" i="6"/>
  <c r="F29" i="6"/>
  <c r="E29" i="6"/>
  <c r="D29" i="6"/>
  <c r="C29" i="6"/>
  <c r="L28" i="6"/>
  <c r="K28" i="6"/>
  <c r="J28" i="6"/>
  <c r="I28" i="6"/>
  <c r="H28" i="6"/>
  <c r="G28" i="6"/>
  <c r="F28" i="6"/>
  <c r="E28" i="6"/>
  <c r="D28" i="6"/>
  <c r="C28" i="6"/>
  <c r="L27" i="6"/>
  <c r="K27" i="6"/>
  <c r="J27" i="6"/>
  <c r="I27" i="6"/>
  <c r="H27" i="6"/>
  <c r="G27" i="6"/>
  <c r="F27" i="6"/>
  <c r="E27" i="6"/>
  <c r="D27" i="6"/>
  <c r="C27" i="6"/>
  <c r="L26" i="6"/>
  <c r="K26" i="6"/>
  <c r="J26" i="6"/>
  <c r="I26" i="6"/>
  <c r="H26" i="6"/>
  <c r="G26" i="6"/>
  <c r="F26" i="6"/>
  <c r="E26" i="6"/>
  <c r="D26" i="6"/>
  <c r="C26" i="6"/>
  <c r="L25" i="6"/>
  <c r="K25" i="6"/>
  <c r="J25" i="6"/>
  <c r="I25" i="6"/>
  <c r="H25" i="6"/>
  <c r="G25" i="6"/>
  <c r="F25" i="6"/>
  <c r="E25" i="6"/>
  <c r="D25" i="6"/>
  <c r="C25" i="6"/>
  <c r="L24" i="6"/>
  <c r="K24" i="6"/>
  <c r="J24" i="6"/>
  <c r="I24" i="6"/>
  <c r="H24" i="6"/>
  <c r="G24" i="6"/>
  <c r="F24" i="6"/>
  <c r="E24" i="6"/>
  <c r="D24" i="6"/>
  <c r="C24" i="6"/>
  <c r="L23" i="6"/>
  <c r="K23" i="6"/>
  <c r="J23" i="6"/>
  <c r="I23" i="6"/>
  <c r="H23" i="6"/>
  <c r="G23" i="6"/>
  <c r="F23" i="6"/>
  <c r="E23" i="6"/>
  <c r="D23" i="6"/>
  <c r="C23" i="6"/>
  <c r="L22" i="6"/>
  <c r="K22" i="6"/>
  <c r="J22" i="6"/>
  <c r="I22" i="6"/>
  <c r="H22" i="6"/>
  <c r="G22" i="6"/>
  <c r="F22" i="6"/>
  <c r="E22" i="6"/>
  <c r="D22" i="6"/>
  <c r="C22" i="6"/>
  <c r="L21" i="6"/>
  <c r="K21" i="6"/>
  <c r="J21" i="6"/>
  <c r="I21" i="6"/>
  <c r="H21" i="6"/>
  <c r="G21" i="6"/>
  <c r="F21" i="6"/>
  <c r="E21" i="6"/>
  <c r="D21" i="6"/>
  <c r="C21" i="6"/>
  <c r="L20" i="6"/>
  <c r="K20" i="6"/>
  <c r="J20" i="6"/>
  <c r="I20" i="6"/>
  <c r="H20" i="6"/>
  <c r="G20" i="6"/>
  <c r="F20" i="6"/>
  <c r="E20" i="6"/>
  <c r="D20" i="6"/>
  <c r="C20" i="6"/>
  <c r="L19" i="6"/>
  <c r="K19" i="6"/>
  <c r="J19" i="6"/>
  <c r="I19" i="6"/>
  <c r="H19" i="6"/>
  <c r="G19" i="6"/>
  <c r="F19" i="6"/>
  <c r="E19" i="6"/>
  <c r="D19" i="6"/>
  <c r="C19" i="6"/>
  <c r="L18" i="6"/>
  <c r="K18" i="6"/>
  <c r="J18" i="6"/>
  <c r="I18" i="6"/>
  <c r="H18" i="6"/>
  <c r="G18" i="6"/>
  <c r="F18" i="6"/>
  <c r="E18" i="6"/>
  <c r="D18" i="6"/>
  <c r="C18" i="6"/>
  <c r="L17" i="6"/>
  <c r="K17" i="6"/>
  <c r="J17" i="6"/>
  <c r="I17" i="6"/>
  <c r="H17" i="6"/>
  <c r="G17" i="6"/>
  <c r="F17" i="6"/>
  <c r="E17" i="6"/>
  <c r="D17" i="6"/>
  <c r="C17" i="6"/>
  <c r="L16" i="6"/>
  <c r="K16" i="6"/>
  <c r="J16" i="6"/>
  <c r="I16" i="6"/>
  <c r="H16" i="6"/>
  <c r="G16" i="6"/>
  <c r="F16" i="6"/>
  <c r="E16" i="6"/>
  <c r="D16" i="6"/>
  <c r="C16" i="6"/>
  <c r="L15" i="6"/>
  <c r="K15" i="6"/>
  <c r="J15" i="6"/>
  <c r="I15" i="6"/>
  <c r="H15" i="6"/>
  <c r="G15" i="6"/>
  <c r="F15" i="6"/>
  <c r="E15" i="6"/>
  <c r="D15" i="6"/>
  <c r="C15" i="6"/>
  <c r="L14" i="6"/>
  <c r="K14" i="6"/>
  <c r="J14" i="6"/>
  <c r="I14" i="6"/>
  <c r="H14" i="6"/>
  <c r="G14" i="6"/>
  <c r="F14" i="6"/>
  <c r="E14" i="6"/>
  <c r="D14" i="6"/>
  <c r="C14" i="6"/>
  <c r="L13" i="6"/>
  <c r="K13" i="6"/>
  <c r="J13" i="6"/>
  <c r="I13" i="6"/>
  <c r="H13" i="6"/>
  <c r="G13" i="6"/>
  <c r="F13" i="6"/>
  <c r="E13" i="6"/>
  <c r="D13" i="6"/>
  <c r="C13" i="6"/>
  <c r="L12" i="6"/>
  <c r="K12" i="6"/>
  <c r="J12" i="6"/>
  <c r="I12" i="6"/>
  <c r="H12" i="6"/>
  <c r="G12" i="6"/>
  <c r="F12" i="6"/>
  <c r="E12" i="6"/>
  <c r="D12" i="6"/>
  <c r="C12" i="6"/>
  <c r="L11" i="6"/>
  <c r="K11" i="6"/>
  <c r="J11" i="6"/>
  <c r="I11" i="6"/>
  <c r="H11" i="6"/>
  <c r="G11" i="6"/>
  <c r="F11" i="6"/>
  <c r="E11" i="6"/>
  <c r="D11" i="6"/>
  <c r="C11" i="6"/>
  <c r="B16" i="47" l="1"/>
  <c r="I16" i="47" s="1"/>
  <c r="B35" i="14"/>
  <c r="B17" i="47" l="1"/>
  <c r="B18" i="47" l="1"/>
  <c r="I17" i="47"/>
  <c r="I18" i="47" l="1"/>
  <c r="I19" i="47" s="1"/>
  <c r="B19" i="47"/>
  <c r="I34" i="37"/>
  <c r="S34" i="37" s="1"/>
  <c r="I35" i="37"/>
  <c r="S35" i="37" s="1"/>
  <c r="I36" i="37"/>
  <c r="S36" i="37" s="1"/>
  <c r="T36" i="37"/>
  <c r="I37" i="37"/>
  <c r="S37" i="37" s="1"/>
  <c r="T37" i="37"/>
  <c r="I38" i="37"/>
  <c r="S38" i="37" s="1"/>
  <c r="T38" i="37"/>
  <c r="I39" i="37"/>
  <c r="S39" i="37" s="1"/>
  <c r="T39" i="37"/>
  <c r="B20" i="47" l="1"/>
  <c r="B21" i="47" l="1"/>
  <c r="I20" i="47"/>
  <c r="B22" i="47" l="1"/>
  <c r="I21" i="47"/>
  <c r="I22" i="47" s="1"/>
  <c r="B23" i="47" l="1"/>
  <c r="B24" i="47" l="1"/>
  <c r="I23" i="47"/>
  <c r="I24" i="47" l="1"/>
  <c r="I8" i="47"/>
  <c r="B25" i="47"/>
  <c r="B26" i="47" l="1"/>
  <c r="I25" i="47"/>
  <c r="I26" i="47" s="1"/>
  <c r="B27" i="47" l="1"/>
  <c r="B28" i="47" l="1"/>
  <c r="I27" i="47"/>
  <c r="I28" i="47" s="1"/>
  <c r="B29" i="47" l="1"/>
  <c r="I29" i="47" s="1"/>
  <c r="N34" i="44" l="1"/>
  <c r="C39" i="44" l="1"/>
  <c r="C38" i="44"/>
  <c r="C37" i="44"/>
  <c r="C36" i="44"/>
  <c r="C35" i="44"/>
  <c r="B39" i="44"/>
  <c r="N39" i="44" s="1"/>
  <c r="B38" i="44"/>
  <c r="N38" i="44" s="1"/>
  <c r="B37" i="44"/>
  <c r="N37" i="44" s="1"/>
  <c r="B36" i="44"/>
  <c r="N36" i="44" s="1"/>
  <c r="B32" i="44"/>
  <c r="N32" i="44" s="1"/>
  <c r="O39" i="44"/>
  <c r="O38" i="6"/>
  <c r="O37" i="6"/>
  <c r="N37" i="6"/>
  <c r="O36" i="6"/>
  <c r="N36" i="6"/>
  <c r="O35" i="6"/>
  <c r="N35" i="6"/>
  <c r="O34" i="6"/>
  <c r="N32" i="6"/>
  <c r="N38" i="6"/>
  <c r="S14" i="37"/>
  <c r="S15" i="37" s="1"/>
  <c r="S16" i="37" s="1"/>
  <c r="S17" i="37" s="1"/>
  <c r="S18" i="37" s="1"/>
  <c r="S19" i="37" s="1"/>
  <c r="S20" i="37" s="1"/>
  <c r="S21" i="37" s="1"/>
  <c r="S22" i="37" s="1"/>
  <c r="S23" i="37" s="1"/>
  <c r="S24" i="37" s="1"/>
  <c r="S25" i="37" s="1"/>
  <c r="S26" i="37" s="1"/>
  <c r="S27" i="37" s="1"/>
  <c r="S28" i="37" s="1"/>
  <c r="S29" i="37" s="1"/>
  <c r="S30" i="37" s="1"/>
  <c r="S31" i="37" s="1"/>
  <c r="S32" i="37" s="1"/>
  <c r="I14" i="37"/>
  <c r="I15" i="37" s="1"/>
  <c r="I16" i="37" s="1"/>
  <c r="I17" i="37" s="1"/>
  <c r="I18" i="37" s="1"/>
  <c r="I19" i="37" s="1"/>
  <c r="I20" i="37" s="1"/>
  <c r="I21" i="37" s="1"/>
  <c r="I22" i="37" s="1"/>
  <c r="I23" i="37" s="1"/>
  <c r="I24" i="37" s="1"/>
  <c r="I25" i="37" s="1"/>
  <c r="I26" i="37" s="1"/>
  <c r="I27" i="37" s="1"/>
  <c r="I28" i="37" s="1"/>
  <c r="I29" i="37" s="1"/>
  <c r="I30" i="37" s="1"/>
  <c r="I31" i="37" s="1"/>
  <c r="I32" i="37" s="1"/>
  <c r="B33" i="6"/>
  <c r="N33" i="6" s="1"/>
  <c r="O35" i="44" l="1"/>
  <c r="O36" i="44"/>
  <c r="B33" i="44"/>
  <c r="N33" i="44" s="1"/>
  <c r="O37" i="44"/>
  <c r="O38" i="44"/>
  <c r="D36" i="43" l="1"/>
  <c r="B34" i="6" l="1"/>
  <c r="B35" i="44" l="1"/>
  <c r="N35" i="44" s="1"/>
  <c r="N34" i="6"/>
  <c r="D40" i="36"/>
  <c r="D38" i="36"/>
  <c r="E41" i="17" l="1"/>
  <c r="E42" i="17" s="1"/>
  <c r="H40" i="17"/>
  <c r="H41" i="17" s="1"/>
  <c r="E40" i="17"/>
  <c r="B40" i="17"/>
  <c r="B10" i="17"/>
  <c r="B11" i="17" s="1"/>
  <c r="D37" i="43"/>
  <c r="H42" i="17" l="1"/>
  <c r="E43" i="17"/>
  <c r="B41" i="17"/>
  <c r="B12" i="45"/>
  <c r="H43" i="17" l="1"/>
  <c r="B42" i="17"/>
  <c r="E44" i="17"/>
  <c r="B13" i="45"/>
  <c r="B12" i="44"/>
  <c r="E45" i="17" l="1"/>
  <c r="H44" i="17"/>
  <c r="B43" i="17"/>
  <c r="B14" i="45"/>
  <c r="B13" i="44"/>
  <c r="B44" i="17" l="1"/>
  <c r="E46" i="17"/>
  <c r="H45" i="17"/>
  <c r="B15" i="45"/>
  <c r="B14" i="44"/>
  <c r="B45" i="17" l="1"/>
  <c r="H46" i="17"/>
  <c r="B16" i="45"/>
  <c r="B15" i="44"/>
  <c r="B46" i="17" l="1"/>
  <c r="H47" i="17"/>
  <c r="B17" i="45"/>
  <c r="B16" i="44"/>
  <c r="C10" i="17" l="1"/>
  <c r="C11" i="17" s="1"/>
  <c r="D10" i="17"/>
  <c r="D11" i="17" s="1"/>
  <c r="B18" i="45"/>
  <c r="B17" i="44"/>
  <c r="B19" i="45" l="1"/>
  <c r="B18" i="44"/>
  <c r="B20" i="45" l="1"/>
  <c r="B19" i="44"/>
  <c r="B21" i="45" l="1"/>
  <c r="B20" i="44"/>
  <c r="B22" i="45" l="1"/>
  <c r="B21" i="44"/>
  <c r="B23" i="45" l="1"/>
  <c r="B22" i="44"/>
  <c r="B24" i="45" l="1"/>
  <c r="B23" i="44"/>
  <c r="B25" i="45" l="1"/>
  <c r="B24" i="44"/>
  <c r="B26" i="45" l="1"/>
  <c r="B25" i="44"/>
  <c r="B27" i="45" l="1"/>
  <c r="B26" i="44"/>
  <c r="B28" i="45" l="1"/>
  <c r="B27" i="44"/>
  <c r="B29" i="45" l="1"/>
  <c r="B28" i="44"/>
  <c r="B30" i="45" l="1"/>
  <c r="B29" i="44"/>
  <c r="B31" i="45" l="1"/>
  <c r="B30" i="44"/>
  <c r="G11" i="37" l="1"/>
  <c r="F11" i="37" l="1"/>
  <c r="P11" i="37"/>
  <c r="M11" i="37"/>
  <c r="L11" i="37"/>
  <c r="W11" i="37"/>
  <c r="V11" i="37"/>
  <c r="Q11" i="37"/>
  <c r="E5" i="43" l="1"/>
  <c r="B11" i="43"/>
  <c r="C34" i="43"/>
  <c r="C35" i="43"/>
  <c r="C36" i="43"/>
  <c r="C37" i="43"/>
  <c r="C40" i="43"/>
  <c r="C48" i="43"/>
  <c r="E48" i="43"/>
  <c r="G48" i="43"/>
  <c r="E49" i="43" l="1"/>
  <c r="C49" i="43"/>
  <c r="G49" i="43"/>
  <c r="B12" i="43"/>
  <c r="E50" i="43" l="1"/>
  <c r="B13" i="43"/>
  <c r="C50" i="43"/>
  <c r="E51" i="43"/>
  <c r="G50" i="43"/>
  <c r="B14" i="43" l="1"/>
  <c r="E52" i="43"/>
  <c r="G51" i="43"/>
  <c r="C51" i="43"/>
  <c r="G52" i="43" l="1"/>
  <c r="B15" i="43"/>
  <c r="C52" i="43"/>
  <c r="E53" i="43"/>
  <c r="C53" i="43" l="1"/>
  <c r="G53" i="43"/>
  <c r="E54" i="43"/>
  <c r="B16" i="43"/>
  <c r="G54" i="43" l="1"/>
  <c r="B17" i="43"/>
  <c r="C54" i="43"/>
  <c r="I11" i="43" l="1"/>
  <c r="B18" i="43"/>
  <c r="G55" i="43"/>
  <c r="I12" i="43" l="1"/>
  <c r="I13" i="43" s="1"/>
  <c r="I14" i="43" s="1"/>
  <c r="I15" i="43" s="1"/>
  <c r="I16" i="43" s="1"/>
  <c r="I17" i="43" s="1"/>
  <c r="I18" i="43" s="1"/>
  <c r="B19" i="43"/>
  <c r="B20" i="43" l="1"/>
  <c r="I19" i="43"/>
  <c r="I20" i="43" l="1"/>
  <c r="B21" i="43"/>
  <c r="B22" i="43" l="1"/>
  <c r="I21" i="43"/>
  <c r="I22" i="43" l="1"/>
  <c r="B23" i="43"/>
  <c r="B24" i="43" l="1"/>
  <c r="I23" i="43"/>
  <c r="I24" i="43" l="1"/>
  <c r="I8" i="43" s="1"/>
  <c r="B25" i="43"/>
  <c r="I25" i="43" l="1"/>
  <c r="B26" i="43"/>
  <c r="B27" i="43" l="1"/>
  <c r="I26" i="43"/>
  <c r="I27" i="43" l="1"/>
  <c r="B28" i="43"/>
  <c r="B29" i="43" l="1"/>
  <c r="I28" i="43"/>
  <c r="I29" i="43" l="1"/>
  <c r="F10" i="43" l="1"/>
  <c r="D10" i="47" s="1"/>
  <c r="C10" i="47" s="1"/>
  <c r="E10" i="47" s="1"/>
  <c r="F11" i="43"/>
  <c r="D11" i="47" s="1"/>
  <c r="C11" i="47" s="1"/>
  <c r="E11" i="47" s="1"/>
  <c r="F12" i="43" l="1"/>
  <c r="D12" i="47" s="1"/>
  <c r="C12" i="47" s="1"/>
  <c r="E12" i="47" s="1"/>
  <c r="F13" i="43" l="1"/>
  <c r="D13" i="47" s="1"/>
  <c r="C13" i="47" s="1"/>
  <c r="E13" i="47" s="1"/>
  <c r="F14" i="43" l="1"/>
  <c r="D14" i="47" s="1"/>
  <c r="C14" i="47" s="1"/>
  <c r="E14" i="47" s="1"/>
  <c r="F15" i="43" l="1"/>
  <c r="D15" i="47" s="1"/>
  <c r="C15" i="47" s="1"/>
  <c r="E15" i="47" s="1"/>
  <c r="F16" i="43" l="1"/>
  <c r="D16" i="47" s="1"/>
  <c r="C16" i="47" s="1"/>
  <c r="E16" i="47" s="1"/>
  <c r="F17" i="43" l="1"/>
  <c r="D17" i="47" s="1"/>
  <c r="C17" i="47" s="1"/>
  <c r="E17" i="47" s="1"/>
  <c r="F18" i="43" l="1"/>
  <c r="D18" i="47" s="1"/>
  <c r="C18" i="47" s="1"/>
  <c r="E18" i="47" s="1"/>
  <c r="F19" i="43" l="1"/>
  <c r="D19" i="47" s="1"/>
  <c r="C19" i="47" s="1"/>
  <c r="E19" i="47" s="1"/>
  <c r="F20" i="43" l="1"/>
  <c r="D20" i="47" s="1"/>
  <c r="C20" i="47" s="1"/>
  <c r="E20" i="47" s="1"/>
  <c r="F21" i="43" l="1"/>
  <c r="D21" i="47" s="1"/>
  <c r="C21" i="47" s="1"/>
  <c r="E21" i="47" s="1"/>
  <c r="F22" i="43" l="1"/>
  <c r="D22" i="47" s="1"/>
  <c r="C22" i="47" s="1"/>
  <c r="E22" i="47" s="1"/>
  <c r="F23" i="43" l="1"/>
  <c r="D23" i="47" s="1"/>
  <c r="C23" i="47" s="1"/>
  <c r="E23" i="47" s="1"/>
  <c r="F9" i="47" s="1"/>
  <c r="F10" i="47" l="1"/>
  <c r="F11" i="47" s="1"/>
  <c r="F12" i="47" s="1"/>
  <c r="F13" i="47" s="1"/>
  <c r="F14" i="47" s="1"/>
  <c r="F15" i="47" s="1"/>
  <c r="F16" i="47" s="1"/>
  <c r="F17" i="47" s="1"/>
  <c r="F18" i="47" s="1"/>
  <c r="F19" i="47" s="1"/>
  <c r="F20" i="47" s="1"/>
  <c r="F21" i="47" s="1"/>
  <c r="F22" i="47" s="1"/>
  <c r="F23" i="47" s="1"/>
  <c r="F24" i="47" s="1"/>
  <c r="F25" i="47" s="1"/>
  <c r="F26" i="47" s="1"/>
  <c r="F27" i="47" s="1"/>
  <c r="F28" i="47" s="1"/>
  <c r="C13" i="37"/>
  <c r="F24" i="43"/>
  <c r="D24" i="47" s="1"/>
  <c r="C24" i="47" s="1"/>
  <c r="E24" i="47" s="1"/>
  <c r="T13" i="37" l="1"/>
  <c r="J13" i="37"/>
  <c r="K13" i="37"/>
  <c r="N13" i="37"/>
  <c r="E13" i="37"/>
  <c r="U13" i="37"/>
  <c r="O13" i="37"/>
  <c r="D13" i="37"/>
  <c r="F25" i="43"/>
  <c r="D25" i="47" s="1"/>
  <c r="C25" i="47" s="1"/>
  <c r="E25" i="47" s="1"/>
  <c r="B9" i="36"/>
  <c r="B3" i="36" s="1"/>
  <c r="B11" i="36"/>
  <c r="B12" i="36" s="1"/>
  <c r="B13" i="36" s="1"/>
  <c r="C37" i="36"/>
  <c r="C39" i="36"/>
  <c r="C40" i="36"/>
  <c r="C10" i="36"/>
  <c r="D10" i="36" s="1"/>
  <c r="D37" i="36"/>
  <c r="C53" i="36"/>
  <c r="F53" i="36"/>
  <c r="F54" i="36" s="1"/>
  <c r="F55" i="36" s="1"/>
  <c r="I53" i="36"/>
  <c r="F56" i="36"/>
  <c r="C54" i="36" l="1"/>
  <c r="F26" i="43"/>
  <c r="D26" i="47" s="1"/>
  <c r="C26" i="47" s="1"/>
  <c r="E26" i="47" s="1"/>
  <c r="I54" i="36"/>
  <c r="C47" i="36"/>
  <c r="E10" i="36" s="1"/>
  <c r="B14" i="36"/>
  <c r="C55" i="36"/>
  <c r="C56" i="36" s="1"/>
  <c r="F57" i="36"/>
  <c r="F58" i="36" s="1"/>
  <c r="F59" i="36" s="1"/>
  <c r="B14" i="37"/>
  <c r="C14" i="37" s="1"/>
  <c r="I55" i="36"/>
  <c r="T14" i="37" l="1"/>
  <c r="N14" i="37"/>
  <c r="J14" i="37"/>
  <c r="D14" i="37"/>
  <c r="U14" i="37"/>
  <c r="O14" i="37"/>
  <c r="K14" i="37"/>
  <c r="E14" i="37"/>
  <c r="B15" i="37"/>
  <c r="C15" i="37" s="1"/>
  <c r="B15" i="36"/>
  <c r="F27" i="43"/>
  <c r="D27" i="47" s="1"/>
  <c r="C27" i="47" s="1"/>
  <c r="E27" i="47" s="1"/>
  <c r="C57" i="36"/>
  <c r="I56" i="36"/>
  <c r="U15" i="37" l="1"/>
  <c r="O15" i="37"/>
  <c r="K15" i="37"/>
  <c r="E15" i="37"/>
  <c r="T15" i="37"/>
  <c r="N15" i="37"/>
  <c r="J15" i="37"/>
  <c r="D15" i="37"/>
  <c r="F28" i="43"/>
  <c r="D28" i="47" s="1"/>
  <c r="C28" i="47" s="1"/>
  <c r="E28" i="47" s="1"/>
  <c r="B16" i="37"/>
  <c r="B16" i="36"/>
  <c r="C58" i="36"/>
  <c r="I57" i="36"/>
  <c r="B17" i="37" l="1"/>
  <c r="C17" i="37" s="1"/>
  <c r="C16" i="37"/>
  <c r="M14" i="37"/>
  <c r="L14" i="37"/>
  <c r="Q14" i="37" s="1"/>
  <c r="P14" i="37"/>
  <c r="F14" i="37"/>
  <c r="G14" i="37"/>
  <c r="V14" i="37"/>
  <c r="W14" i="37"/>
  <c r="B17" i="36"/>
  <c r="C59" i="36"/>
  <c r="B18" i="37"/>
  <c r="C18" i="37" s="1"/>
  <c r="I58" i="36"/>
  <c r="T18" i="37" l="1"/>
  <c r="N18" i="37"/>
  <c r="J18" i="37"/>
  <c r="D18" i="37"/>
  <c r="U18" i="37"/>
  <c r="O18" i="37"/>
  <c r="K18" i="37"/>
  <c r="E18" i="37"/>
  <c r="T16" i="37"/>
  <c r="N16" i="37"/>
  <c r="J16" i="37"/>
  <c r="D16" i="37"/>
  <c r="F16" i="37" s="1"/>
  <c r="U16" i="37"/>
  <c r="W16" i="37" s="1"/>
  <c r="O16" i="37"/>
  <c r="K16" i="37"/>
  <c r="E16" i="37"/>
  <c r="G16" i="37" s="1"/>
  <c r="U17" i="37"/>
  <c r="O17" i="37"/>
  <c r="K17" i="37"/>
  <c r="E17" i="37"/>
  <c r="G17" i="37" s="1"/>
  <c r="T17" i="37"/>
  <c r="J17" i="37"/>
  <c r="D17" i="37"/>
  <c r="N17" i="37"/>
  <c r="G15" i="37"/>
  <c r="M15" i="37"/>
  <c r="W15" i="37"/>
  <c r="F15" i="37"/>
  <c r="V15" i="37"/>
  <c r="P15" i="37"/>
  <c r="L15" i="37"/>
  <c r="Q15" i="37" s="1"/>
  <c r="B18" i="36"/>
  <c r="B19" i="37"/>
  <c r="C19" i="37" s="1"/>
  <c r="I59" i="36"/>
  <c r="U19" i="37" l="1"/>
  <c r="O19" i="37"/>
  <c r="K19" i="37"/>
  <c r="E19" i="37"/>
  <c r="T19" i="37"/>
  <c r="N19" i="37"/>
  <c r="J19" i="37"/>
  <c r="D19" i="37"/>
  <c r="F17" i="37"/>
  <c r="W17" i="37"/>
  <c r="M17" i="37"/>
  <c r="M16" i="37"/>
  <c r="M18" i="37"/>
  <c r="P17" i="37"/>
  <c r="L17" i="37"/>
  <c r="Q17" i="37" s="1"/>
  <c r="P16" i="37"/>
  <c r="V17" i="37"/>
  <c r="L16" i="37"/>
  <c r="Q16" i="37" s="1"/>
  <c r="V16" i="37"/>
  <c r="B19" i="36"/>
  <c r="B20" i="37"/>
  <c r="C20" i="37" s="1"/>
  <c r="I60" i="36"/>
  <c r="T20" i="37" l="1"/>
  <c r="N20" i="37"/>
  <c r="J20" i="37"/>
  <c r="D20" i="37"/>
  <c r="U20" i="37"/>
  <c r="O20" i="37"/>
  <c r="K20" i="37"/>
  <c r="E20" i="37"/>
  <c r="W18" i="37"/>
  <c r="G18" i="37"/>
  <c r="W19" i="37"/>
  <c r="F18" i="37"/>
  <c r="Q18" i="37"/>
  <c r="P18" i="37"/>
  <c r="L18" i="37"/>
  <c r="V18" i="37"/>
  <c r="B20" i="36"/>
  <c r="B21" i="37"/>
  <c r="C21" i="37" s="1"/>
  <c r="E11" i="36"/>
  <c r="E12" i="36" s="1"/>
  <c r="E13" i="36" s="1"/>
  <c r="E14" i="36" s="1"/>
  <c r="E15" i="36" s="1"/>
  <c r="E16" i="36" s="1"/>
  <c r="E17" i="36" s="1"/>
  <c r="E18" i="36" s="1"/>
  <c r="E19" i="36" s="1"/>
  <c r="E20" i="36" s="1"/>
  <c r="D11" i="36"/>
  <c r="D12" i="36" s="1"/>
  <c r="D13" i="36" s="1"/>
  <c r="U21" i="37" l="1"/>
  <c r="O21" i="37"/>
  <c r="K21" i="37"/>
  <c r="E21" i="37"/>
  <c r="T21" i="37"/>
  <c r="J21" i="37"/>
  <c r="D21" i="37"/>
  <c r="N21" i="37"/>
  <c r="M19" i="37"/>
  <c r="G19" i="37"/>
  <c r="F19" i="37"/>
  <c r="G20" i="37"/>
  <c r="V19" i="37"/>
  <c r="L19" i="37"/>
  <c r="Q19" i="37" s="1"/>
  <c r="P19" i="37"/>
  <c r="G13" i="36"/>
  <c r="F20" i="37"/>
  <c r="B21" i="36"/>
  <c r="E21" i="36" s="1"/>
  <c r="B22" i="37"/>
  <c r="C22" i="37" s="1"/>
  <c r="D14" i="36"/>
  <c r="G14" i="36" s="1"/>
  <c r="T22" i="37" l="1"/>
  <c r="N22" i="37"/>
  <c r="J22" i="37"/>
  <c r="D22" i="37"/>
  <c r="U22" i="37"/>
  <c r="O22" i="37"/>
  <c r="K22" i="37"/>
  <c r="E22" i="37"/>
  <c r="M20" i="37"/>
  <c r="W20" i="37"/>
  <c r="W21" i="37"/>
  <c r="P20" i="37"/>
  <c r="V20" i="37"/>
  <c r="L20" i="37"/>
  <c r="Q20" i="37" s="1"/>
  <c r="B22" i="36"/>
  <c r="E22" i="36"/>
  <c r="I13" i="36"/>
  <c r="B23" i="37"/>
  <c r="C23" i="37" s="1"/>
  <c r="D15" i="36"/>
  <c r="G15" i="36" s="1"/>
  <c r="U23" i="37" l="1"/>
  <c r="O23" i="37"/>
  <c r="K23" i="37"/>
  <c r="E23" i="37"/>
  <c r="T23" i="37"/>
  <c r="N23" i="37"/>
  <c r="J23" i="37"/>
  <c r="D23" i="37"/>
  <c r="G21" i="37"/>
  <c r="M21" i="37"/>
  <c r="F21" i="37"/>
  <c r="G22" i="37"/>
  <c r="P21" i="37"/>
  <c r="L21" i="37"/>
  <c r="Q21" i="37" s="1"/>
  <c r="V21" i="37"/>
  <c r="F22" i="37"/>
  <c r="B23" i="36"/>
  <c r="I14" i="36"/>
  <c r="B24" i="37"/>
  <c r="C24" i="37" s="1"/>
  <c r="D16" i="36"/>
  <c r="G16" i="36" s="1"/>
  <c r="T24" i="37" l="1"/>
  <c r="N24" i="37"/>
  <c r="J24" i="37"/>
  <c r="D24" i="37"/>
  <c r="U24" i="37"/>
  <c r="O24" i="37"/>
  <c r="K24" i="37"/>
  <c r="E24" i="37"/>
  <c r="M22" i="37"/>
  <c r="W22" i="37"/>
  <c r="V22" i="37"/>
  <c r="P22" i="37"/>
  <c r="L22" i="37"/>
  <c r="Q22" i="37" s="1"/>
  <c r="W23" i="37"/>
  <c r="B24" i="36"/>
  <c r="E23" i="36"/>
  <c r="E24" i="36" s="1"/>
  <c r="I15" i="36"/>
  <c r="B25" i="37"/>
  <c r="C25" i="37" s="1"/>
  <c r="D17" i="36"/>
  <c r="G17" i="36" s="1"/>
  <c r="U25" i="37" l="1"/>
  <c r="O25" i="37"/>
  <c r="K25" i="37"/>
  <c r="E25" i="37"/>
  <c r="T25" i="37"/>
  <c r="J25" i="37"/>
  <c r="D25" i="37"/>
  <c r="N25" i="37"/>
  <c r="G23" i="37"/>
  <c r="M23" i="37"/>
  <c r="W24" i="37"/>
  <c r="F23" i="37"/>
  <c r="G13" i="37"/>
  <c r="P23" i="37"/>
  <c r="V23" i="37"/>
  <c r="M24" i="37"/>
  <c r="L23" i="37"/>
  <c r="Q23" i="37" s="1"/>
  <c r="B25" i="36"/>
  <c r="E25" i="36" s="1"/>
  <c r="I16" i="36"/>
  <c r="B26" i="37"/>
  <c r="C26" i="37" s="1"/>
  <c r="D18" i="36"/>
  <c r="G18" i="36" s="1"/>
  <c r="T26" i="37" l="1"/>
  <c r="N26" i="37"/>
  <c r="J26" i="37"/>
  <c r="D26" i="37"/>
  <c r="U26" i="37"/>
  <c r="O26" i="37"/>
  <c r="K26" i="37"/>
  <c r="E26" i="37"/>
  <c r="M13" i="37"/>
  <c r="G24" i="37"/>
  <c r="L13" i="37"/>
  <c r="F24" i="37"/>
  <c r="Q24" i="37"/>
  <c r="P24" i="37"/>
  <c r="V24" i="37"/>
  <c r="L24" i="37"/>
  <c r="W13" i="37"/>
  <c r="Q13" i="37"/>
  <c r="P13" i="37"/>
  <c r="V13" i="37"/>
  <c r="F13" i="37"/>
  <c r="B26" i="36"/>
  <c r="I17" i="36"/>
  <c r="B27" i="37"/>
  <c r="C27" i="37" s="1"/>
  <c r="D19" i="36"/>
  <c r="G19" i="36" s="1"/>
  <c r="U27" i="37" l="1"/>
  <c r="O27" i="37"/>
  <c r="K27" i="37"/>
  <c r="E27" i="37"/>
  <c r="T27" i="37"/>
  <c r="N27" i="37"/>
  <c r="J27" i="37"/>
  <c r="D27" i="37"/>
  <c r="G25" i="37"/>
  <c r="W25" i="37"/>
  <c r="M25" i="37"/>
  <c r="L25" i="37"/>
  <c r="F25" i="37"/>
  <c r="Q25" i="37"/>
  <c r="V25" i="37"/>
  <c r="P25" i="37"/>
  <c r="B27" i="36"/>
  <c r="E26" i="36"/>
  <c r="I18" i="36"/>
  <c r="B28" i="37"/>
  <c r="C28" i="37" s="1"/>
  <c r="D20" i="36"/>
  <c r="G20" i="36" s="1"/>
  <c r="T28" i="37" l="1"/>
  <c r="N28" i="37"/>
  <c r="J28" i="37"/>
  <c r="D28" i="37"/>
  <c r="U28" i="37"/>
  <c r="O28" i="37"/>
  <c r="K28" i="37"/>
  <c r="E28" i="37"/>
  <c r="G26" i="37"/>
  <c r="M26" i="37"/>
  <c r="W26" i="37"/>
  <c r="F26" i="37"/>
  <c r="V26" i="37"/>
  <c r="P26" i="37"/>
  <c r="L26" i="37"/>
  <c r="Q26" i="37" s="1"/>
  <c r="W27" i="37"/>
  <c r="E27" i="36"/>
  <c r="G27" i="37"/>
  <c r="B28" i="36"/>
  <c r="I19" i="36"/>
  <c r="B29" i="37"/>
  <c r="C29" i="37" s="1"/>
  <c r="D21" i="36"/>
  <c r="G21" i="36" s="1"/>
  <c r="U29" i="37" l="1"/>
  <c r="O29" i="37"/>
  <c r="K29" i="37"/>
  <c r="E29" i="37"/>
  <c r="T29" i="37"/>
  <c r="J29" i="37"/>
  <c r="D29" i="37"/>
  <c r="N29" i="37"/>
  <c r="F27" i="37"/>
  <c r="M27" i="37"/>
  <c r="G28" i="37"/>
  <c r="P27" i="37"/>
  <c r="W28" i="37"/>
  <c r="V27" i="37"/>
  <c r="L27" i="37"/>
  <c r="Q27" i="37" s="1"/>
  <c r="B29" i="36"/>
  <c r="E28" i="36"/>
  <c r="I20" i="36"/>
  <c r="B30" i="37"/>
  <c r="C30" i="37" s="1"/>
  <c r="D22" i="36"/>
  <c r="G22" i="36" s="1"/>
  <c r="T30" i="37" l="1"/>
  <c r="N30" i="37"/>
  <c r="J30" i="37"/>
  <c r="D30" i="37"/>
  <c r="U30" i="37"/>
  <c r="O30" i="37"/>
  <c r="K30" i="37"/>
  <c r="E30" i="37"/>
  <c r="M28" i="37"/>
  <c r="F28" i="37"/>
  <c r="Q28" i="37"/>
  <c r="V28" i="37"/>
  <c r="P28" i="37"/>
  <c r="L28" i="37"/>
  <c r="E29" i="36"/>
  <c r="B30" i="36"/>
  <c r="I21" i="36"/>
  <c r="B31" i="37"/>
  <c r="C31" i="37" s="1"/>
  <c r="D23" i="36"/>
  <c r="G23" i="36" s="1"/>
  <c r="U31" i="37" l="1"/>
  <c r="O31" i="37"/>
  <c r="K31" i="37"/>
  <c r="E31" i="37"/>
  <c r="T31" i="37"/>
  <c r="N31" i="37"/>
  <c r="J31" i="37"/>
  <c r="D31" i="37"/>
  <c r="G29" i="37"/>
  <c r="W29" i="37"/>
  <c r="M29" i="37"/>
  <c r="M30" i="37"/>
  <c r="F29" i="37"/>
  <c r="Q29" i="37"/>
  <c r="P29" i="37"/>
  <c r="V29" i="37"/>
  <c r="L29" i="37"/>
  <c r="B31" i="36"/>
  <c r="B32" i="36" s="1"/>
  <c r="B33" i="36" s="1"/>
  <c r="B34" i="36" s="1"/>
  <c r="E30" i="36"/>
  <c r="E31" i="36" s="1"/>
  <c r="E32" i="36" s="1"/>
  <c r="E33" i="36" s="1"/>
  <c r="E34" i="36" s="1"/>
  <c r="I22" i="36"/>
  <c r="B32" i="37"/>
  <c r="C32" i="37" s="1"/>
  <c r="D24" i="36"/>
  <c r="G24" i="36" s="1"/>
  <c r="T32" i="37" l="1"/>
  <c r="N32" i="37"/>
  <c r="J32" i="37"/>
  <c r="D32" i="37"/>
  <c r="U32" i="37"/>
  <c r="O32" i="37"/>
  <c r="K32" i="37"/>
  <c r="E32" i="37"/>
  <c r="G30" i="37"/>
  <c r="F30" i="37"/>
  <c r="W30" i="37"/>
  <c r="P30" i="37"/>
  <c r="L30" i="37"/>
  <c r="Q30" i="37" s="1"/>
  <c r="V30" i="37"/>
  <c r="I23" i="36"/>
  <c r="D25" i="36"/>
  <c r="G25" i="36" s="1"/>
  <c r="M31" i="37" l="1"/>
  <c r="W31" i="37"/>
  <c r="G31" i="37"/>
  <c r="F31" i="37"/>
  <c r="P31" i="37"/>
  <c r="L31" i="37"/>
  <c r="Q31" i="37" s="1"/>
  <c r="V31" i="37"/>
  <c r="I24" i="36"/>
  <c r="D26" i="36"/>
  <c r="G26" i="36" s="1"/>
  <c r="W32" i="37" l="1"/>
  <c r="G32" i="37"/>
  <c r="M32" i="37"/>
  <c r="F32" i="37"/>
  <c r="P32" i="37"/>
  <c r="L32" i="37"/>
  <c r="Q32" i="37" s="1"/>
  <c r="V32" i="37"/>
  <c r="I25" i="36"/>
  <c r="D27" i="36"/>
  <c r="G27" i="36" s="1"/>
  <c r="I26" i="36" l="1"/>
  <c r="D28" i="36"/>
  <c r="G28" i="36" s="1"/>
  <c r="I27" i="36" l="1"/>
  <c r="D29" i="36"/>
  <c r="G29" i="36" s="1"/>
  <c r="I28" i="36" l="1"/>
  <c r="D30" i="36"/>
  <c r="G30" i="36" s="1"/>
  <c r="I29" i="36" l="1"/>
  <c r="D31" i="36"/>
  <c r="G31" i="36" s="1"/>
  <c r="I30" i="36" l="1"/>
  <c r="D32" i="36"/>
  <c r="G32" i="36" s="1"/>
  <c r="I31" i="36" l="1"/>
  <c r="D33" i="36"/>
  <c r="G33" i="36" s="1"/>
  <c r="I32" i="36" l="1"/>
  <c r="D34" i="36"/>
  <c r="G34" i="36" l="1"/>
  <c r="I34" i="36" s="1"/>
  <c r="I33" i="36"/>
  <c r="V12" i="44" l="1"/>
  <c r="P12" i="44"/>
  <c r="X12" i="44"/>
  <c r="R12" i="44"/>
  <c r="S12" i="44"/>
  <c r="W12" i="44"/>
  <c r="Q12" i="44"/>
  <c r="U12" i="44"/>
  <c r="I12" i="44"/>
  <c r="G12" i="44"/>
  <c r="K12" i="44"/>
  <c r="L12" i="44"/>
  <c r="J12" i="44"/>
  <c r="F12" i="44"/>
  <c r="E12" i="44"/>
  <c r="D12" i="44"/>
  <c r="W11" i="44"/>
  <c r="Q11" i="44"/>
  <c r="U11" i="44"/>
  <c r="S11" i="44"/>
  <c r="V11" i="44"/>
  <c r="P11" i="44"/>
  <c r="J11" i="44"/>
  <c r="D11" i="44"/>
  <c r="X11" i="44"/>
  <c r="K11" i="44"/>
  <c r="G11" i="44"/>
  <c r="E11" i="44"/>
  <c r="R11" i="44"/>
  <c r="I11" i="44"/>
  <c r="F11" i="44"/>
  <c r="L11" i="44"/>
  <c r="C12" i="44" l="1"/>
  <c r="T12" i="44"/>
  <c r="O11" i="44"/>
  <c r="X14" i="44"/>
  <c r="R14" i="44"/>
  <c r="V14" i="44"/>
  <c r="P14" i="44"/>
  <c r="W14" i="44"/>
  <c r="Q14" i="44"/>
  <c r="U14" i="44"/>
  <c r="K14" i="44"/>
  <c r="E14" i="44"/>
  <c r="L14" i="44"/>
  <c r="F14" i="44"/>
  <c r="D14" i="44"/>
  <c r="J14" i="44"/>
  <c r="G14" i="44"/>
  <c r="S14" i="44"/>
  <c r="I14" i="44"/>
  <c r="T11" i="44"/>
  <c r="H12" i="44"/>
  <c r="C11" i="44"/>
  <c r="O12" i="44"/>
  <c r="U13" i="44"/>
  <c r="S13" i="44"/>
  <c r="W13" i="44"/>
  <c r="Q13" i="44"/>
  <c r="X13" i="44"/>
  <c r="R13" i="44"/>
  <c r="L13" i="44"/>
  <c r="F13" i="44"/>
  <c r="P13" i="44"/>
  <c r="K13" i="44"/>
  <c r="E13" i="44"/>
  <c r="D13" i="44"/>
  <c r="J13" i="44"/>
  <c r="G13" i="44"/>
  <c r="V13" i="44"/>
  <c r="I13" i="44"/>
  <c r="H11" i="44"/>
  <c r="C13" i="44" l="1"/>
  <c r="O13" i="44"/>
  <c r="H14" i="44"/>
  <c r="T14" i="44"/>
  <c r="H13" i="44"/>
  <c r="V16" i="44"/>
  <c r="P16" i="44"/>
  <c r="X16" i="44"/>
  <c r="R16" i="44"/>
  <c r="U16" i="44"/>
  <c r="S16" i="44"/>
  <c r="I16" i="44"/>
  <c r="G16" i="44"/>
  <c r="L16" i="44"/>
  <c r="D16" i="44"/>
  <c r="F16" i="44"/>
  <c r="E16" i="44"/>
  <c r="W16" i="44"/>
  <c r="K16" i="44"/>
  <c r="Q16" i="44"/>
  <c r="J16" i="44"/>
  <c r="W15" i="44"/>
  <c r="Q15" i="44"/>
  <c r="U15" i="44"/>
  <c r="S15" i="44"/>
  <c r="X15" i="44"/>
  <c r="R15" i="44"/>
  <c r="V15" i="44"/>
  <c r="P15" i="44"/>
  <c r="J15" i="44"/>
  <c r="D15" i="44"/>
  <c r="L15" i="44"/>
  <c r="K15" i="44"/>
  <c r="G15" i="44"/>
  <c r="F15" i="44"/>
  <c r="E15" i="44"/>
  <c r="I15" i="44"/>
  <c r="C14" i="44"/>
  <c r="T13" i="44"/>
  <c r="O14" i="44"/>
  <c r="O15" i="44" l="1"/>
  <c r="C16" i="44"/>
  <c r="H15" i="44"/>
  <c r="C15" i="44"/>
  <c r="U17" i="44"/>
  <c r="S17" i="44"/>
  <c r="W17" i="44"/>
  <c r="Q17" i="44"/>
  <c r="X17" i="44"/>
  <c r="R17" i="44"/>
  <c r="V17" i="44"/>
  <c r="P17" i="44"/>
  <c r="L17" i="44"/>
  <c r="F17" i="44"/>
  <c r="D17" i="44"/>
  <c r="K17" i="44"/>
  <c r="G17" i="44"/>
  <c r="I17" i="44"/>
  <c r="E17" i="44"/>
  <c r="J17" i="44"/>
  <c r="T15" i="44"/>
  <c r="T16" i="44"/>
  <c r="O16" i="44"/>
  <c r="H16" i="44"/>
  <c r="O17" i="44" l="1"/>
  <c r="C17" i="44"/>
  <c r="H17" i="44"/>
  <c r="X18" i="44"/>
  <c r="R18" i="44"/>
  <c r="V18" i="44"/>
  <c r="P18" i="44"/>
  <c r="S18" i="44"/>
  <c r="W18" i="44"/>
  <c r="Q18" i="44"/>
  <c r="K18" i="44"/>
  <c r="E18" i="44"/>
  <c r="U18" i="44"/>
  <c r="D18" i="44"/>
  <c r="I18" i="44"/>
  <c r="F18" i="44"/>
  <c r="L18" i="44"/>
  <c r="J18" i="44"/>
  <c r="G18" i="44"/>
  <c r="T17" i="44"/>
  <c r="T18" i="44" l="1"/>
  <c r="C18" i="44"/>
  <c r="W19" i="44"/>
  <c r="Q19" i="44"/>
  <c r="U19" i="44"/>
  <c r="S19" i="44"/>
  <c r="V19" i="44"/>
  <c r="P19" i="44"/>
  <c r="L19" i="44"/>
  <c r="J19" i="44"/>
  <c r="D19" i="44"/>
  <c r="R19" i="44"/>
  <c r="E19" i="44"/>
  <c r="X19" i="44"/>
  <c r="I19" i="44"/>
  <c r="F19" i="44"/>
  <c r="K19" i="44"/>
  <c r="G19" i="44"/>
  <c r="H18" i="44"/>
  <c r="O18" i="44"/>
  <c r="H19" i="44" l="1"/>
  <c r="O19" i="44"/>
  <c r="T19" i="44"/>
  <c r="C19" i="44"/>
  <c r="V20" i="44"/>
  <c r="P20" i="44"/>
  <c r="X20" i="44"/>
  <c r="R20" i="44"/>
  <c r="S20" i="44"/>
  <c r="K20" i="44"/>
  <c r="W20" i="44"/>
  <c r="Q20" i="44"/>
  <c r="U20" i="44"/>
  <c r="I20" i="44"/>
  <c r="G20" i="44"/>
  <c r="J20" i="44"/>
  <c r="E20" i="44"/>
  <c r="D20" i="44"/>
  <c r="L20" i="44"/>
  <c r="F20" i="44"/>
  <c r="T20" i="44" l="1"/>
  <c r="C20" i="44"/>
  <c r="H20" i="44"/>
  <c r="U21" i="44"/>
  <c r="S21" i="44"/>
  <c r="W21" i="44"/>
  <c r="Q21" i="44"/>
  <c r="J21" i="44"/>
  <c r="X21" i="44"/>
  <c r="R21" i="44"/>
  <c r="L21" i="44"/>
  <c r="F21" i="44"/>
  <c r="E21" i="44"/>
  <c r="P21" i="44"/>
  <c r="G21" i="44"/>
  <c r="K21" i="44"/>
  <c r="D21" i="44"/>
  <c r="V21" i="44"/>
  <c r="I21" i="44"/>
  <c r="O20" i="44"/>
  <c r="C21" i="44" l="1"/>
  <c r="H21" i="44"/>
  <c r="X22" i="44"/>
  <c r="R22" i="44"/>
  <c r="V22" i="44"/>
  <c r="P22" i="44"/>
  <c r="W22" i="44"/>
  <c r="Q22" i="44"/>
  <c r="I22" i="44"/>
  <c r="U22" i="44"/>
  <c r="K22" i="44"/>
  <c r="E22" i="44"/>
  <c r="F22" i="44"/>
  <c r="J22" i="44"/>
  <c r="D22" i="44"/>
  <c r="G22" i="44"/>
  <c r="S22" i="44"/>
  <c r="L22" i="44"/>
  <c r="O21" i="44"/>
  <c r="T21" i="44"/>
  <c r="T22" i="44" l="1"/>
  <c r="H22" i="44"/>
  <c r="W23" i="44"/>
  <c r="Q23" i="44"/>
  <c r="U23" i="44"/>
  <c r="S23" i="44"/>
  <c r="L23" i="44"/>
  <c r="X23" i="44"/>
  <c r="R23" i="44"/>
  <c r="V23" i="44"/>
  <c r="P23" i="44"/>
  <c r="J23" i="44"/>
  <c r="D23" i="44"/>
  <c r="K23" i="44"/>
  <c r="F23" i="44"/>
  <c r="G23" i="44"/>
  <c r="I23" i="44"/>
  <c r="E23" i="44"/>
  <c r="C22" i="44"/>
  <c r="O22" i="44"/>
  <c r="H23" i="44" l="1"/>
  <c r="O23" i="44"/>
  <c r="T23" i="44"/>
  <c r="C23" i="44"/>
  <c r="V24" i="44"/>
  <c r="P24" i="44"/>
  <c r="X24" i="44"/>
  <c r="R24" i="44"/>
  <c r="U24" i="44"/>
  <c r="K24" i="44"/>
  <c r="J24" i="44"/>
  <c r="S24" i="44"/>
  <c r="I24" i="44"/>
  <c r="G24" i="44"/>
  <c r="W24" i="44"/>
  <c r="F24" i="44"/>
  <c r="Q24" i="44"/>
  <c r="E24" i="44"/>
  <c r="L24" i="44"/>
  <c r="D24" i="44"/>
  <c r="C24" i="44" l="1"/>
  <c r="T24" i="44"/>
  <c r="O24" i="44"/>
  <c r="U25" i="44"/>
  <c r="S25" i="44"/>
  <c r="K25" i="44"/>
  <c r="W25" i="44"/>
  <c r="Q25" i="44"/>
  <c r="X25" i="44"/>
  <c r="R25" i="44"/>
  <c r="J25" i="44"/>
  <c r="V25" i="44"/>
  <c r="P25" i="44"/>
  <c r="I25" i="44"/>
  <c r="F25" i="44"/>
  <c r="G25" i="44"/>
  <c r="L25" i="44"/>
  <c r="E25" i="44"/>
  <c r="D25" i="44"/>
  <c r="H24" i="44"/>
  <c r="C25" i="44" l="1"/>
  <c r="O25" i="44"/>
  <c r="X26" i="44"/>
  <c r="R26" i="44"/>
  <c r="J26" i="44"/>
  <c r="V26" i="44"/>
  <c r="P26" i="44"/>
  <c r="L26" i="44"/>
  <c r="S26" i="44"/>
  <c r="K26" i="44"/>
  <c r="W26" i="44"/>
  <c r="Q26" i="44"/>
  <c r="I26" i="44"/>
  <c r="E26" i="44"/>
  <c r="G26" i="44"/>
  <c r="F26" i="44"/>
  <c r="U26" i="44"/>
  <c r="D26" i="44"/>
  <c r="T25" i="44"/>
  <c r="H25" i="44"/>
  <c r="T26" i="44" l="1"/>
  <c r="H26" i="44"/>
  <c r="C26" i="44"/>
  <c r="O26" i="44"/>
  <c r="W27" i="44"/>
  <c r="Q27" i="44"/>
  <c r="I27" i="44"/>
  <c r="U27" i="44"/>
  <c r="S27" i="44"/>
  <c r="K27" i="44"/>
  <c r="V27" i="44"/>
  <c r="P27" i="44"/>
  <c r="L27" i="44"/>
  <c r="D27" i="44"/>
  <c r="J27" i="44"/>
  <c r="G27" i="44"/>
  <c r="R27" i="44"/>
  <c r="F27" i="44"/>
  <c r="X27" i="44"/>
  <c r="E27" i="44"/>
  <c r="V28" i="44" l="1"/>
  <c r="P28" i="44"/>
  <c r="L28" i="44"/>
  <c r="X28" i="44"/>
  <c r="R28" i="44"/>
  <c r="J28" i="44"/>
  <c r="S28" i="44"/>
  <c r="K28" i="44"/>
  <c r="W28" i="44"/>
  <c r="Q28" i="44"/>
  <c r="I28" i="44"/>
  <c r="U28" i="44"/>
  <c r="G28" i="44"/>
  <c r="F28" i="44"/>
  <c r="D28" i="44"/>
  <c r="E28" i="44"/>
  <c r="C27" i="44"/>
  <c r="O27" i="44"/>
  <c r="T27" i="44"/>
  <c r="H27" i="44"/>
  <c r="H28" i="44" l="1"/>
  <c r="T28" i="44"/>
  <c r="C28" i="44"/>
  <c r="O28" i="44"/>
  <c r="U29" i="44"/>
  <c r="S29" i="44"/>
  <c r="K29" i="44"/>
  <c r="X29" i="44"/>
  <c r="W29" i="44"/>
  <c r="Q29" i="44"/>
  <c r="I29" i="44"/>
  <c r="V29" i="44"/>
  <c r="L29" i="44"/>
  <c r="R29" i="44"/>
  <c r="J29" i="44"/>
  <c r="F29" i="44"/>
  <c r="D29" i="44"/>
  <c r="G29" i="44"/>
  <c r="P29" i="44"/>
  <c r="E29" i="44"/>
  <c r="O29" i="44" l="1"/>
  <c r="C29" i="44"/>
  <c r="X30" i="44"/>
  <c r="R30" i="44"/>
  <c r="J30" i="44"/>
  <c r="W30" i="44"/>
  <c r="V30" i="44"/>
  <c r="P30" i="44"/>
  <c r="L30" i="44"/>
  <c r="Q30" i="44"/>
  <c r="I30" i="44"/>
  <c r="E30" i="44"/>
  <c r="U30" i="44"/>
  <c r="S30" i="44"/>
  <c r="G30" i="44"/>
  <c r="D30" i="44"/>
  <c r="K30" i="44"/>
  <c r="F30" i="44"/>
  <c r="H29" i="44"/>
  <c r="T29" i="44"/>
  <c r="T30" i="44" l="1"/>
  <c r="C30" i="44"/>
  <c r="H30" i="44"/>
  <c r="O30" i="44"/>
  <c r="I10" i="14" l="1"/>
  <c r="L10" i="14"/>
  <c r="F10" i="14"/>
  <c r="C10" i="14"/>
  <c r="B11" i="14"/>
  <c r="I11" i="14" l="1"/>
  <c r="L11" i="14"/>
  <c r="F11" i="14"/>
  <c r="C11" i="14"/>
  <c r="K10" i="14"/>
  <c r="B12" i="14"/>
  <c r="L12" i="14" l="1"/>
  <c r="F12" i="14"/>
  <c r="C12" i="14"/>
  <c r="I12" i="14"/>
  <c r="K11" i="14"/>
  <c r="B13" i="14"/>
  <c r="K12" i="14" l="1"/>
  <c r="C13" i="14"/>
  <c r="I13" i="14"/>
  <c r="L13" i="14"/>
  <c r="F13" i="14"/>
  <c r="B14" i="14"/>
  <c r="K13" i="14" l="1"/>
  <c r="I14" i="14"/>
  <c r="L14" i="14"/>
  <c r="F14" i="14"/>
  <c r="C14" i="14"/>
  <c r="B15" i="14"/>
  <c r="K14" i="14" l="1"/>
  <c r="I15" i="14"/>
  <c r="L15" i="14"/>
  <c r="F15" i="14"/>
  <c r="C15" i="14"/>
  <c r="B16" i="14"/>
  <c r="L16" i="14" l="1"/>
  <c r="F16" i="14"/>
  <c r="C16" i="14"/>
  <c r="I16" i="14"/>
  <c r="K15" i="14"/>
  <c r="B17" i="14"/>
  <c r="K16" i="14" l="1"/>
  <c r="C17" i="14"/>
  <c r="I17" i="14"/>
  <c r="F17" i="14"/>
  <c r="L17" i="14"/>
  <c r="B18" i="14"/>
  <c r="K17" i="14" l="1"/>
  <c r="I18" i="14"/>
  <c r="L18" i="14"/>
  <c r="F18" i="14"/>
  <c r="C18" i="14"/>
  <c r="B19" i="14"/>
  <c r="M19" i="14" s="1"/>
  <c r="J19" i="14" l="1"/>
  <c r="D19" i="14"/>
  <c r="N18" i="14"/>
  <c r="G19" i="14"/>
  <c r="K18" i="14"/>
  <c r="I19" i="14"/>
  <c r="K19" i="14" s="1"/>
  <c r="L19" i="14"/>
  <c r="N19" i="14" s="1"/>
  <c r="F19" i="14"/>
  <c r="C19" i="14"/>
  <c r="B20" i="14"/>
  <c r="J20" i="14" s="1"/>
  <c r="G20" i="14" l="1"/>
  <c r="E19" i="14"/>
  <c r="H19" i="14"/>
  <c r="M20" i="14"/>
  <c r="D20" i="14"/>
  <c r="L20" i="14"/>
  <c r="F20" i="14"/>
  <c r="C20" i="14"/>
  <c r="I20" i="14"/>
  <c r="K20" i="14" s="1"/>
  <c r="B21" i="14"/>
  <c r="H20" i="14" l="1"/>
  <c r="G21" i="14"/>
  <c r="D21" i="14"/>
  <c r="M21" i="14"/>
  <c r="E20" i="14"/>
  <c r="N20" i="14"/>
  <c r="J21" i="14"/>
  <c r="C21" i="14"/>
  <c r="I21" i="14"/>
  <c r="L21" i="14"/>
  <c r="F21" i="14"/>
  <c r="B22" i="14"/>
  <c r="J22" i="14" l="1"/>
  <c r="N21" i="14"/>
  <c r="H21" i="14"/>
  <c r="G22" i="14"/>
  <c r="M22" i="14"/>
  <c r="E21" i="14"/>
  <c r="K21" i="14"/>
  <c r="D22" i="14"/>
  <c r="I22" i="14"/>
  <c r="K22" i="14" s="1"/>
  <c r="L22" i="14"/>
  <c r="F22" i="14"/>
  <c r="C22" i="14"/>
  <c r="B23" i="14"/>
  <c r="M23" i="14" l="1"/>
  <c r="N22" i="14"/>
  <c r="H22" i="14"/>
  <c r="D23" i="14"/>
  <c r="G23" i="14"/>
  <c r="E22" i="14"/>
  <c r="J23" i="14"/>
  <c r="I23" i="14"/>
  <c r="L23" i="14"/>
  <c r="F23" i="14"/>
  <c r="C23" i="14"/>
  <c r="B24" i="14"/>
  <c r="N23" i="14" l="1"/>
  <c r="E23" i="14"/>
  <c r="D24" i="14"/>
  <c r="D36" i="14" s="1"/>
  <c r="M24" i="14"/>
  <c r="M36" i="14" s="1"/>
  <c r="B36" i="14"/>
  <c r="J24" i="14"/>
  <c r="G24" i="14"/>
  <c r="H23" i="14"/>
  <c r="K23" i="14"/>
  <c r="L24" i="14"/>
  <c r="F24" i="14"/>
  <c r="F36" i="14" s="1"/>
  <c r="C24" i="14"/>
  <c r="I24" i="14"/>
  <c r="I36" i="14" s="1"/>
  <c r="B25" i="14"/>
  <c r="B37" i="14" s="1"/>
  <c r="E24" i="14" l="1"/>
  <c r="C36" i="14"/>
  <c r="E36" i="14" s="1"/>
  <c r="G25" i="14"/>
  <c r="G37" i="14" s="1"/>
  <c r="G36" i="14"/>
  <c r="H36" i="14" s="1"/>
  <c r="N24" i="14"/>
  <c r="L36" i="14"/>
  <c r="N36" i="14" s="1"/>
  <c r="J25" i="14"/>
  <c r="J37" i="14" s="1"/>
  <c r="J36" i="14"/>
  <c r="K36" i="14" s="1"/>
  <c r="D25" i="14"/>
  <c r="H24" i="14"/>
  <c r="K24" i="14"/>
  <c r="M25" i="14"/>
  <c r="C25" i="14"/>
  <c r="I25" i="14"/>
  <c r="L25" i="14"/>
  <c r="F25" i="14"/>
  <c r="B26" i="14"/>
  <c r="J26" i="14" l="1"/>
  <c r="J38" i="14" s="1"/>
  <c r="B38" i="14"/>
  <c r="M26" i="14"/>
  <c r="M37" i="14"/>
  <c r="G26" i="14"/>
  <c r="G38" i="14" s="1"/>
  <c r="D26" i="14"/>
  <c r="D37" i="14"/>
  <c r="H25" i="14"/>
  <c r="F37" i="14"/>
  <c r="H37" i="14" s="1"/>
  <c r="N25" i="14"/>
  <c r="L37" i="14"/>
  <c r="K25" i="14"/>
  <c r="I37" i="14"/>
  <c r="K37" i="14" s="1"/>
  <c r="E25" i="14"/>
  <c r="C37" i="14"/>
  <c r="I26" i="14"/>
  <c r="L26" i="14"/>
  <c r="L38" i="14" s="1"/>
  <c r="F26" i="14"/>
  <c r="C26" i="14"/>
  <c r="C38" i="14" s="1"/>
  <c r="B27" i="14"/>
  <c r="E37" i="14" l="1"/>
  <c r="N37" i="14"/>
  <c r="H26" i="14"/>
  <c r="F38" i="14"/>
  <c r="H38" i="14" s="1"/>
  <c r="J27" i="14"/>
  <c r="K26" i="14"/>
  <c r="I38" i="14"/>
  <c r="K38" i="14" s="1"/>
  <c r="D27" i="14"/>
  <c r="D38" i="14"/>
  <c r="E38" i="14" s="1"/>
  <c r="M27" i="14"/>
  <c r="M38" i="14"/>
  <c r="N38" i="14" s="1"/>
  <c r="E26" i="14"/>
  <c r="N26" i="14"/>
  <c r="G27" i="14"/>
  <c r="I27" i="14"/>
  <c r="L27" i="14"/>
  <c r="F27" i="14"/>
  <c r="C27" i="14"/>
  <c r="B28" i="14"/>
  <c r="H27" i="14" l="1"/>
  <c r="M28" i="14"/>
  <c r="E27" i="14"/>
  <c r="N27" i="14"/>
  <c r="J28" i="14"/>
  <c r="K27" i="14"/>
  <c r="G28" i="14"/>
  <c r="D28" i="14"/>
  <c r="L28" i="14"/>
  <c r="F28" i="14"/>
  <c r="C28" i="14"/>
  <c r="I28" i="14"/>
  <c r="B29" i="14"/>
  <c r="N28" i="14" l="1"/>
  <c r="K28" i="14"/>
  <c r="G29" i="14"/>
  <c r="H28" i="14"/>
  <c r="D29" i="14"/>
  <c r="J29" i="14"/>
  <c r="M29" i="14"/>
  <c r="E28" i="14"/>
  <c r="C29" i="14"/>
  <c r="I29" i="14"/>
  <c r="L29" i="14"/>
  <c r="F29" i="14"/>
  <c r="N29" i="14" l="1"/>
  <c r="H29" i="14"/>
  <c r="E29" i="14"/>
  <c r="K29" i="14"/>
  <c r="B12" i="17"/>
  <c r="B13" i="17" l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D12" i="17"/>
  <c r="D13" i="17" s="1"/>
  <c r="D14" i="17" s="1"/>
  <c r="D15" i="17" s="1"/>
  <c r="D16" i="17" s="1"/>
  <c r="D17" i="17" s="1"/>
  <c r="D18" i="17" s="1"/>
  <c r="D19" i="17" s="1"/>
  <c r="D20" i="17" s="1"/>
  <c r="D21" i="17" s="1"/>
  <c r="D22" i="17" s="1"/>
  <c r="D23" i="17" s="1"/>
  <c r="D24" i="17" s="1"/>
  <c r="C12" i="17"/>
  <c r="C13" i="17" s="1"/>
  <c r="C14" i="17" s="1"/>
  <c r="C15" i="17" s="1"/>
  <c r="C16" i="17" s="1"/>
  <c r="C17" i="17" s="1"/>
  <c r="C18" i="17" s="1"/>
  <c r="C19" i="17" s="1"/>
  <c r="C20" i="17" s="1"/>
  <c r="C21" i="17" s="1"/>
  <c r="C22" i="17" s="1"/>
  <c r="C23" i="17" s="1"/>
  <c r="C24" i="17" s="1"/>
  <c r="B24" i="17"/>
  <c r="B25" i="17" l="1"/>
  <c r="B26" i="17" s="1"/>
  <c r="B27" i="17" s="1"/>
  <c r="B28" i="17" s="1"/>
  <c r="B29" i="17" s="1"/>
  <c r="B30" i="17" s="1"/>
  <c r="C25" i="17" l="1"/>
  <c r="C26" i="17" s="1"/>
  <c r="C27" i="17" s="1"/>
  <c r="C28" i="17" s="1"/>
  <c r="C29" i="17" s="1"/>
  <c r="C30" i="17" s="1"/>
  <c r="C31" i="17" s="1"/>
  <c r="D25" i="17"/>
  <c r="D26" i="17" s="1"/>
  <c r="D27" i="17" s="1"/>
  <c r="D28" i="17" s="1"/>
  <c r="D29" i="17" s="1"/>
  <c r="D30" i="17" s="1"/>
  <c r="D31" i="17" s="1"/>
  <c r="B31" i="17"/>
  <c r="B32" i="17" l="1"/>
  <c r="D32" i="17" s="1"/>
  <c r="C32" i="17" l="1"/>
  <c r="E10" i="14" l="1"/>
  <c r="H10" i="14"/>
  <c r="E13" i="14"/>
  <c r="E16" i="14"/>
  <c r="H13" i="14"/>
  <c r="N13" i="14"/>
  <c r="N15" i="14"/>
  <c r="H17" i="14"/>
  <c r="H12" i="14"/>
  <c r="E14" i="14"/>
  <c r="E12" i="14"/>
  <c r="H15" i="14"/>
  <c r="E11" i="14"/>
  <c r="N12" i="14"/>
  <c r="N17" i="14"/>
  <c r="N16" i="14"/>
  <c r="N14" i="14"/>
  <c r="E15" i="14"/>
  <c r="H11" i="14"/>
  <c r="N11" i="14"/>
  <c r="N10" i="14"/>
  <c r="E17" i="14"/>
  <c r="H14" i="14"/>
  <c r="H16" i="14"/>
  <c r="E18" i="14" l="1"/>
  <c r="H18" i="14"/>
</calcChain>
</file>

<file path=xl/sharedStrings.xml><?xml version="1.0" encoding="utf-8"?>
<sst xmlns="http://schemas.openxmlformats.org/spreadsheetml/2006/main" count="600" uniqueCount="234">
  <si>
    <t>On-Peak</t>
  </si>
  <si>
    <t>Off-Peak</t>
  </si>
  <si>
    <t>Year</t>
  </si>
  <si>
    <t>Costs</t>
  </si>
  <si>
    <t>(a)</t>
  </si>
  <si>
    <t>(b)</t>
  </si>
  <si>
    <t>(c)</t>
  </si>
  <si>
    <t>(d)</t>
  </si>
  <si>
    <t>(e)</t>
  </si>
  <si>
    <t>(f)</t>
  </si>
  <si>
    <t>Estimated Capital Cost</t>
  </si>
  <si>
    <t>Fixed Capital Cost at Real Levelized Rate</t>
  </si>
  <si>
    <t>Fixed O&amp;M</t>
  </si>
  <si>
    <t>Sources, Inputs and Assumptions</t>
  </si>
  <si>
    <t>($/MWh)</t>
  </si>
  <si>
    <t>$/MWh</t>
  </si>
  <si>
    <t xml:space="preserve">  MW Plant capacity</t>
  </si>
  <si>
    <t>Capacity (MW)</t>
  </si>
  <si>
    <t>Resource</t>
  </si>
  <si>
    <t>East</t>
  </si>
  <si>
    <t>DSM, Class 1 Total</t>
  </si>
  <si>
    <t>DSM, Class 2 Total</t>
  </si>
  <si>
    <t>West</t>
  </si>
  <si>
    <t>DSM, Class 2  Total</t>
  </si>
  <si>
    <t>Annual Additions, Long Term Resources</t>
  </si>
  <si>
    <t>Annual Additions, Short Term Resources</t>
  </si>
  <si>
    <t>Total Annual Additions</t>
  </si>
  <si>
    <t xml:space="preserve">  Fixed Pipeline</t>
  </si>
  <si>
    <t xml:space="preserve">  Fixed O&amp;M &amp; Capitalized O&amp;M</t>
  </si>
  <si>
    <t>Existing Plant Retirements/Conversions</t>
  </si>
  <si>
    <t>Expansion Resources</t>
  </si>
  <si>
    <t>DSM, Class 1  Total</t>
  </si>
  <si>
    <t>Wind Integration Cost</t>
  </si>
  <si>
    <t>Resource Totals 1/</t>
  </si>
  <si>
    <t>10-year</t>
  </si>
  <si>
    <t>20-year</t>
  </si>
  <si>
    <t>Hayden 1</t>
  </si>
  <si>
    <t>Hayden 2</t>
  </si>
  <si>
    <t>Cholla 4  (Coal Early Retirement/Conversions)</t>
  </si>
  <si>
    <t>DaveJohnston 1</t>
  </si>
  <si>
    <t>DaveJohnston 2</t>
  </si>
  <si>
    <t>DaveJohnston 3</t>
  </si>
  <si>
    <t>DaveJohnston 4</t>
  </si>
  <si>
    <t>Naughton 1</t>
  </si>
  <si>
    <t>Naughton 2</t>
  </si>
  <si>
    <t>Naughton 3  (Coal Early Retirement/Conversions)</t>
  </si>
  <si>
    <t>Gadsby 1-6</t>
  </si>
  <si>
    <t>Total CCCT</t>
  </si>
  <si>
    <t>DSM, Class 2, ID</t>
  </si>
  <si>
    <t>DSM, Class 2, UT</t>
  </si>
  <si>
    <t>DSM, Class 2, WY</t>
  </si>
  <si>
    <t>DSM, Class 1, OR-Curtail</t>
  </si>
  <si>
    <t>DSM, Class 1, OR-Irrigate</t>
  </si>
  <si>
    <t>DSM, Class 2, CA</t>
  </si>
  <si>
    <t>DSM, Class 2, OR</t>
  </si>
  <si>
    <t>DSM, Class 2, WA</t>
  </si>
  <si>
    <t>Fixed Solar QF</t>
  </si>
  <si>
    <t>Tracking Solar QF</t>
  </si>
  <si>
    <t>Comparison between Proposed and Current Standard Fixed Avoided Costs</t>
  </si>
  <si>
    <t>Source:</t>
  </si>
  <si>
    <t>Cost and Input Assumptions</t>
  </si>
  <si>
    <t>Standard</t>
  </si>
  <si>
    <t>CCCT - DJohns - J 1x1</t>
  </si>
  <si>
    <t>Integration Cost</t>
  </si>
  <si>
    <t>2017 IRP Volume II-Appendix F</t>
  </si>
  <si>
    <t>Solar Integration Cost</t>
  </si>
  <si>
    <t>2017 IRP Preferred Portfolio</t>
  </si>
  <si>
    <t>Excerpt from 2017 IRP Table 8.17</t>
  </si>
  <si>
    <t>Craig 1  (Coal Early Retirement/Conversions)</t>
  </si>
  <si>
    <t>Craig 2</t>
  </si>
  <si>
    <t>Wind - Repower Existing resource</t>
  </si>
  <si>
    <t>East Wind-Repower</t>
  </si>
  <si>
    <t>SCCT Frame DJ</t>
  </si>
  <si>
    <t>SCCT Frame UTN</t>
  </si>
  <si>
    <t>Wind, Djohnston</t>
  </si>
  <si>
    <t>Wind, GO</t>
  </si>
  <si>
    <t>Wind, WYAE</t>
  </si>
  <si>
    <t>Total Wind</t>
  </si>
  <si>
    <t>Utility Solar - PV - Utah-S</t>
  </si>
  <si>
    <t>DSM, Class 1, ID-Cool/WH</t>
  </si>
  <si>
    <t>DSM, Class 1, ID-Curtail</t>
  </si>
  <si>
    <t>DSM, Class 1, ID-Irrigate</t>
  </si>
  <si>
    <t>DSM, Class 1, UT-Cool/WH</t>
  </si>
  <si>
    <t>DSM, Class 1, UT-Curtail</t>
  </si>
  <si>
    <t>DSM, Class 1, UT-Irrigate</t>
  </si>
  <si>
    <t>DSM, Class 1, WY-Cool/WH</t>
  </si>
  <si>
    <t>DSM, Class 1, WY-Curtail</t>
  </si>
  <si>
    <t>DSM, Class 1, WY-Irrigate</t>
  </si>
  <si>
    <t>FOT Mona - SMR</t>
  </si>
  <si>
    <t>JimBridger 1  (Coal Early Retirement/Conversions)</t>
  </si>
  <si>
    <t>JimBridger 2  (Coal Early Retirement/Conversions)</t>
  </si>
  <si>
    <t>West Wind-Repower</t>
  </si>
  <si>
    <t>CCCT - WillamValcc - G 1x1</t>
  </si>
  <si>
    <t>Utility Solar - PV - Yakima</t>
  </si>
  <si>
    <t>DSM, Class 1, CA-Cool/WH</t>
  </si>
  <si>
    <t>DSM, Class 1, CA-Curtail</t>
  </si>
  <si>
    <t>DSM, Class 1, CA-Irrigate</t>
  </si>
  <si>
    <t>DSM, Class 1, OR-Cool/WH</t>
  </si>
  <si>
    <t>DSM, Class 1, WA-Cool/WH</t>
  </si>
  <si>
    <t>DSM, Class 1, WA-Curtail</t>
  </si>
  <si>
    <t>DSM, Class 1, WA-Irrigate</t>
  </si>
  <si>
    <t>Geothermal, Greenfield - West</t>
  </si>
  <si>
    <t>FOT COB - SMR</t>
  </si>
  <si>
    <t>FOT MidColumbia - SMR</t>
  </si>
  <si>
    <t>FOT MidColumbia - SMR - 2</t>
  </si>
  <si>
    <t>FOT NOB - SMR</t>
  </si>
  <si>
    <t>FOT MidColumbia - WTR</t>
  </si>
  <si>
    <t>FOT MidColumbia - WTR2</t>
  </si>
  <si>
    <t>FOT NOB - WTR</t>
  </si>
  <si>
    <t xml:space="preserve"> The 2017 IRP was prepared using a 13% planning reserve margin.  See 2017 IRP, page 10.</t>
  </si>
  <si>
    <t>Avoided Energy Prices</t>
  </si>
  <si>
    <t>Winter</t>
  </si>
  <si>
    <t>Summer</t>
  </si>
  <si>
    <t>2016 $</t>
  </si>
  <si>
    <t>Solar</t>
  </si>
  <si>
    <t>Total Capacity Cost @ 100% Contribution</t>
  </si>
  <si>
    <t xml:space="preserve">  Fixed O&amp;M including Fixed Pipeline &amp; Capitalized O&amp;M ($/kW-Yr)</t>
  </si>
  <si>
    <t xml:space="preserve">  Plant capacity cost - in $/kW</t>
  </si>
  <si>
    <t>SCCT Frame "F"x1 - West Side Options (1500')</t>
  </si>
  <si>
    <t>#</t>
  </si>
  <si>
    <t>$/MW-yr</t>
  </si>
  <si>
    <t>FOT Months</t>
  </si>
  <si>
    <t>Month</t>
  </si>
  <si>
    <t>LOLP %</t>
  </si>
  <si>
    <t>Winter Capacity</t>
  </si>
  <si>
    <t xml:space="preserve"> $/MWH</t>
  </si>
  <si>
    <t>Baseload</t>
  </si>
  <si>
    <t>Summer Capacity</t>
  </si>
  <si>
    <t>Capacity Contribution:</t>
  </si>
  <si>
    <t>$/MW</t>
  </si>
  <si>
    <t>Current Discount Rate: 2017 IRP Update</t>
  </si>
  <si>
    <t xml:space="preserve">  Capacity Contribution - 2017 IRP West Tracking Solar</t>
  </si>
  <si>
    <t>Capacity Factor</t>
  </si>
  <si>
    <t>%</t>
  </si>
  <si>
    <t>Inflation</t>
  </si>
  <si>
    <t>Real-Levelized PPA Cost</t>
  </si>
  <si>
    <t>2017S RFP: 2021 Solar (Oregon)</t>
  </si>
  <si>
    <t>Market Proxy Capacity Cost</t>
  </si>
  <si>
    <t>Market Proxy Capacity Costs</t>
  </si>
  <si>
    <t>Planned Resource Addition Capacity Costs</t>
  </si>
  <si>
    <t>All Hours</t>
  </si>
  <si>
    <t>Wind</t>
  </si>
  <si>
    <t>Fixed Tilt Solar</t>
  </si>
  <si>
    <t>Tracking Solar</t>
  </si>
  <si>
    <t>Weighted</t>
  </si>
  <si>
    <t>Average</t>
  </si>
  <si>
    <t>Total</t>
  </si>
  <si>
    <t>MWh</t>
  </si>
  <si>
    <t>Energy value of expected resource output</t>
  </si>
  <si>
    <t>2017S RFP Oregon Tracking Solar Bid</t>
  </si>
  <si>
    <t>Avoided Energy Prices (1)</t>
  </si>
  <si>
    <t>Combined Energy and Capacity Prices</t>
  </si>
  <si>
    <t>(1) Avoided cost prices have been reduced by wind and solar integration charges.</t>
  </si>
  <si>
    <t>MWh per MW Capacity</t>
  </si>
  <si>
    <t>Generation Profiles</t>
  </si>
  <si>
    <t>Discount Rate - 2017 IRP Update</t>
  </si>
  <si>
    <t>Standard Avoided Capacity Costs</t>
  </si>
  <si>
    <t>Standard Avoided Energy Costs</t>
  </si>
  <si>
    <t>Current Payment Factor: 2017 IRP Update</t>
  </si>
  <si>
    <t># of months of market purchases in IRP preferred portfolio</t>
  </si>
  <si>
    <t>(p) Partial Year</t>
  </si>
  <si>
    <t>2017 IRP Appendix N</t>
  </si>
  <si>
    <t>Nominal Levelized 2021-2035</t>
  </si>
  <si>
    <t>Off-peak Summer hours:  All other hours, June through September</t>
  </si>
  <si>
    <t>On-peak Summer hours:  2:00p - 10:00p PPT, June through September</t>
  </si>
  <si>
    <t>(d) reflected as Real-Levelized Payment Stream (2020-2034)</t>
  </si>
  <si>
    <t>Capacity Contribution: 2017 IRP, Appendix N</t>
  </si>
  <si>
    <t>Proposed</t>
  </si>
  <si>
    <t>Current</t>
  </si>
  <si>
    <t>Delta</t>
  </si>
  <si>
    <t>Combined Energy and Capacity Prices (1)</t>
  </si>
  <si>
    <t>On-peak Winter hours:  6:00a - 8:00a and 5:00p - 11:00p Pacific Prevailing Time (PPT), Oct. through May</t>
  </si>
  <si>
    <t>Off-peak Winter hours:  All other hours, Oct. through May</t>
  </si>
  <si>
    <t>Capacity Factor Weighting: The resource's annual capacity factor divided by season.</t>
  </si>
  <si>
    <t>Standard Combined Avoided Capacity and Energy Costs</t>
  </si>
  <si>
    <t>Degradation</t>
  </si>
  <si>
    <t>C.F. Weighting:</t>
  </si>
  <si>
    <t>Table D</t>
  </si>
  <si>
    <t>Table C-1</t>
  </si>
  <si>
    <t>Table C-2</t>
  </si>
  <si>
    <t>Table C-3</t>
  </si>
  <si>
    <t>Table A-1</t>
  </si>
  <si>
    <t>Table A-2</t>
  </si>
  <si>
    <t>Table B-1</t>
  </si>
  <si>
    <t>Table B-2</t>
  </si>
  <si>
    <t>Exhibit 1</t>
  </si>
  <si>
    <t>Exhibit 2</t>
  </si>
  <si>
    <t>Exhibit 3</t>
  </si>
  <si>
    <t>Avg.</t>
  </si>
  <si>
    <t>Levelized capacity cost at 100% capacity contribution</t>
  </si>
  <si>
    <t>Wtd. Avg.</t>
  </si>
  <si>
    <t>BASELOAD</t>
  </si>
  <si>
    <t>WIND</t>
  </si>
  <si>
    <t>FIXED TILT SOLAR</t>
  </si>
  <si>
    <t>TRACKING SOLAR</t>
  </si>
  <si>
    <t>Illustrative price for all hours</t>
  </si>
  <si>
    <t>Confidential</t>
  </si>
  <si>
    <t>PPA cost at expected resource output</t>
  </si>
  <si>
    <t>Company Official Inflation Forecast Dated 2019 2nd Quarter</t>
  </si>
  <si>
    <t>PPA Price</t>
  </si>
  <si>
    <t>(x) Extrapolated</t>
  </si>
  <si>
    <t>Levelized Capacity Costs</t>
  </si>
  <si>
    <t>Market Capacity Cost</t>
  </si>
  <si>
    <t>Planned Capacity Cost</t>
  </si>
  <si>
    <t>Total Capacity Cost</t>
  </si>
  <si>
    <t>15-year Levelized Capacity Cost @ 100% Contribution</t>
  </si>
  <si>
    <t>Nominal Levelized 2020-2034</t>
  </si>
  <si>
    <t>Levelized Avoided Capacity Cost</t>
  </si>
  <si>
    <t>SCCT</t>
  </si>
  <si>
    <t>Winter
Capacity</t>
  </si>
  <si>
    <t>Winter Capacity Cost (b) divided by seasonal capacity factor weighting</t>
  </si>
  <si>
    <t>Summer Capacity Cost (c) divided by seasonal capacity factor weighting</t>
  </si>
  <si>
    <t>Summer-winter split based on months and 2017 IRP loss of load probability</t>
  </si>
  <si>
    <t>(b),(c)</t>
  </si>
  <si>
    <t>I_YK_PV50FT</t>
  </si>
  <si>
    <t>$/kW</t>
  </si>
  <si>
    <t>2017 IRP</t>
  </si>
  <si>
    <t>Escalation Rate</t>
  </si>
  <si>
    <t>(2) Capacity costs are based on a renewable resource starting in 2028.</t>
  </si>
  <si>
    <t>Exhibit 4</t>
  </si>
  <si>
    <t>Average Combined Energy and Capacity Price at Expected Output</t>
  </si>
  <si>
    <t>Payment Factor with 30% ITC</t>
  </si>
  <si>
    <t>Payment Factor with 10% ITC</t>
  </si>
  <si>
    <t>Cost with 2017 IRP Solar Escalation and Tax Changes</t>
  </si>
  <si>
    <t>2017 IRP Solar</t>
  </si>
  <si>
    <t>2017 IRP Inflation</t>
  </si>
  <si>
    <t>2017 IRP Inflation Rate (Vol. I, pg. 150)</t>
  </si>
  <si>
    <t>2019 IRP Solar</t>
  </si>
  <si>
    <t>ITC Impact:</t>
  </si>
  <si>
    <t>2019 IRP</t>
  </si>
  <si>
    <t>Capital Cost Over Time (2018 = 100%)</t>
  </si>
  <si>
    <t>Figure 1: Forecasted Capital Cost Change Over Time</t>
  </si>
  <si>
    <t>Capital Cost $/kW</t>
  </si>
  <si>
    <t>H_.YK1_PV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</si>
</sst>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  <numFmt numFmtId="167" formatCode="_(&quot;$&quot;* #,##0.00_);_(&quot;$&quot;* \(#,##0.00\);_(&quot;$&quot;* &quot;-&quot;?_);_(@_)"/>
    <numFmt numFmtId="168" formatCode="0.0%"/>
    <numFmt numFmtId="169" formatCode="_(* #,##0.0_);_(* \(#,##0.0\);_(* &quot;-&quot;??_);_(@_)"/>
    <numFmt numFmtId="170" formatCode="_(* #,##0_);[Red]_(* \(#,##0\);_(* &quot;-&quot;_);_(@_)"/>
    <numFmt numFmtId="171" formatCode="_(* #,##0.00_);[Red]_(* \(#,##0.00\);_(* &quot;-&quot;_);_(@_)"/>
    <numFmt numFmtId="172" formatCode="&quot;$&quot;###0;[Red]\(&quot;$&quot;###0\)"/>
    <numFmt numFmtId="173" formatCode="0.0"/>
    <numFmt numFmtId="174" formatCode="0.000%"/>
    <numFmt numFmtId="175" formatCode="_-* #,##0\ &quot;F&quot;_-;\-* #,##0\ &quot;F&quot;_-;_-* &quot;-&quot;\ &quot;F&quot;_-;_-@_-"/>
    <numFmt numFmtId="176" formatCode="&quot;$&quot;#,##0\ ;\(&quot;$&quot;#,##0\)"/>
    <numFmt numFmtId="177" formatCode="mmmm\ d\,\ yyyy"/>
    <numFmt numFmtId="178" formatCode="#,##0.000;[Red]\-#,##0.000"/>
    <numFmt numFmtId="179" formatCode="[$-409]mmm\-yy;@"/>
    <numFmt numFmtId="180" formatCode="#,##0.0_);\(#,##0.0\);\-\ ;"/>
    <numFmt numFmtId="181" formatCode="#,##0.0000"/>
    <numFmt numFmtId="182" formatCode="#\ &quot;(p)&quot;"/>
    <numFmt numFmtId="183" formatCode="#\ &quot;(2)&quot;"/>
    <numFmt numFmtId="184" formatCode="&quot;$&quot;#.00\ &quot;(x)&quot;"/>
  </numFmts>
  <fonts count="52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b/>
      <i/>
      <sz val="8"/>
      <color indexed="18"/>
      <name val="Helv"/>
    </font>
    <font>
      <b/>
      <sz val="10"/>
      <name val="Arial"/>
      <family val="2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Helv"/>
    </font>
    <font>
      <sz val="8"/>
      <color indexed="12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color rgb="FFFF0000"/>
      <name val="Times New Roman"/>
      <family val="1"/>
    </font>
    <font>
      <b/>
      <sz val="10"/>
      <color indexed="9"/>
      <name val="Arial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Geneva"/>
      <family val="2"/>
    </font>
    <font>
      <sz val="10"/>
      <color indexed="24"/>
      <name val="Courier New"/>
      <family val="3"/>
    </font>
    <font>
      <sz val="10"/>
      <name val="Helv"/>
    </font>
    <font>
      <sz val="11"/>
      <color indexed="8"/>
      <name val="TimesNewRomanPS"/>
    </font>
    <font>
      <sz val="12"/>
      <color theme="1"/>
      <name val="Times New Roman"/>
      <family val="2"/>
    </font>
    <font>
      <sz val="10"/>
      <color indexed="8"/>
      <name val="Arial"/>
      <family val="2"/>
    </font>
    <font>
      <sz val="10"/>
      <color indexed="11"/>
      <name val="Geneva"/>
      <family val="2"/>
    </font>
    <font>
      <b/>
      <sz val="10"/>
      <color indexed="8"/>
      <name val="Arial"/>
      <family val="2"/>
    </font>
    <font>
      <sz val="12"/>
      <name val="Arial MT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i/>
      <sz val="9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1F497D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26"/>
        <bgColor indexed="64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solid">
        <fgColor rgb="FFD5EA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109">
    <xf numFmtId="170" fontId="0" fillId="0" borderId="0"/>
    <xf numFmtId="44" fontId="9" fillId="0" borderId="0" applyFont="0" applyFill="0" applyBorder="0" applyAlignment="0" applyProtection="0"/>
    <xf numFmtId="0" fontId="20" fillId="0" borderId="0" applyNumberFormat="0" applyFill="0" applyBorder="0" applyAlignment="0">
      <protection locked="0"/>
    </xf>
    <xf numFmtId="41" fontId="11" fillId="0" borderId="0"/>
    <xf numFmtId="0" fontId="11" fillId="0" borderId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70" fontId="11" fillId="0" borderId="0"/>
    <xf numFmtId="170" fontId="9" fillId="0" borderId="0"/>
    <xf numFmtId="170" fontId="11" fillId="0" borderId="0"/>
    <xf numFmtId="0" fontId="9" fillId="0" borderId="0"/>
    <xf numFmtId="170" fontId="9" fillId="0" borderId="0"/>
    <xf numFmtId="0" fontId="9" fillId="0" borderId="0"/>
    <xf numFmtId="172" fontId="28" fillId="0" borderId="0" applyFont="0" applyFill="0" applyBorder="0" applyProtection="0">
      <alignment horizontal="right"/>
    </xf>
    <xf numFmtId="173" fontId="27" fillId="0" borderId="0" applyNumberFormat="0" applyFill="0" applyBorder="0" applyAlignment="0" applyProtection="0"/>
    <xf numFmtId="0" fontId="26" fillId="0" borderId="20" applyNumberFormat="0" applyBorder="0" applyAlignment="0"/>
    <xf numFmtId="12" fontId="25" fillId="3" borderId="13">
      <alignment horizontal="left"/>
    </xf>
    <xf numFmtId="37" fontId="26" fillId="4" borderId="0" applyNumberFormat="0" applyBorder="0" applyAlignment="0" applyProtection="0"/>
    <xf numFmtId="37" fontId="26" fillId="0" borderId="0"/>
    <xf numFmtId="3" fontId="29" fillId="5" borderId="21" applyProtection="0"/>
    <xf numFmtId="170" fontId="9" fillId="0" borderId="0"/>
    <xf numFmtId="43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8" fillId="0" borderId="0"/>
    <xf numFmtId="0" fontId="8" fillId="0" borderId="0"/>
    <xf numFmtId="170" fontId="7" fillId="0" borderId="0"/>
    <xf numFmtId="0" fontId="33" fillId="7" borderId="6" applyNumberFormat="0" applyBorder="0" applyAlignment="0" applyProtection="0"/>
    <xf numFmtId="0" fontId="21" fillId="8" borderId="0" applyNumberFormat="0" applyBorder="0" applyAlignment="0" applyProtection="0"/>
    <xf numFmtId="0" fontId="34" fillId="0" borderId="0"/>
    <xf numFmtId="175" fontId="9" fillId="0" borderId="0"/>
    <xf numFmtId="175" fontId="9" fillId="0" borderId="0"/>
    <xf numFmtId="175" fontId="9" fillId="0" borderId="0"/>
    <xf numFmtId="175" fontId="9" fillId="0" borderId="0"/>
    <xf numFmtId="175" fontId="9" fillId="0" borderId="0"/>
    <xf numFmtId="175" fontId="9" fillId="0" borderId="0"/>
    <xf numFmtId="175" fontId="9" fillId="0" borderId="0"/>
    <xf numFmtId="175" fontId="9" fillId="0" borderId="0"/>
    <xf numFmtId="1" fontId="35" fillId="0" borderId="0"/>
    <xf numFmtId="43" fontId="7" fillId="0" borderId="0" applyFont="0" applyFill="0" applyBorder="0" applyAlignment="0" applyProtection="0"/>
    <xf numFmtId="4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38" fillId="0" borderId="0"/>
    <xf numFmtId="0" fontId="38" fillId="0" borderId="0"/>
    <xf numFmtId="37" fontId="9" fillId="0" borderId="0" applyFill="0" applyBorder="0" applyAlignment="0" applyProtection="0"/>
    <xf numFmtId="0" fontId="38" fillId="0" borderId="0"/>
    <xf numFmtId="5" fontId="38" fillId="0" borderId="0"/>
    <xf numFmtId="176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/>
    <xf numFmtId="177" fontId="9" fillId="0" borderId="0" applyFill="0" applyBorder="0" applyAlignment="0" applyProtection="0"/>
    <xf numFmtId="2" fontId="37" fillId="0" borderId="0" applyFont="0" applyFill="0" applyBorder="0" applyAlignment="0" applyProtection="0"/>
    <xf numFmtId="38" fontId="26" fillId="2" borderId="0" applyNumberFormat="0" applyBorder="0" applyAlignment="0" applyProtection="0"/>
    <xf numFmtId="0" fontId="22" fillId="0" borderId="0"/>
    <xf numFmtId="0" fontId="25" fillId="0" borderId="11" applyNumberFormat="0" applyAlignment="0" applyProtection="0">
      <alignment horizontal="left" vertical="center"/>
    </xf>
    <xf numFmtId="0" fontId="25" fillId="0" borderId="30">
      <alignment horizontal="left" vertical="center"/>
    </xf>
    <xf numFmtId="10" fontId="26" fillId="9" borderId="6" applyNumberFormat="0" applyBorder="0" applyAlignment="0" applyProtection="0"/>
    <xf numFmtId="0" fontId="14" fillId="10" borderId="0"/>
    <xf numFmtId="0" fontId="14" fillId="11" borderId="0"/>
    <xf numFmtId="0" fontId="21" fillId="12" borderId="4" applyBorder="0"/>
    <xf numFmtId="0" fontId="9" fillId="13" borderId="7" applyNumberFormat="0" applyFont="0" applyBorder="0" applyAlignment="0" applyProtection="0"/>
    <xf numFmtId="37" fontId="39" fillId="0" borderId="0" applyNumberFormat="0" applyFill="0" applyBorder="0"/>
    <xf numFmtId="178" fontId="9" fillId="0" borderId="0"/>
    <xf numFmtId="179" fontId="7" fillId="0" borderId="0"/>
    <xf numFmtId="179" fontId="40" fillId="0" borderId="0"/>
    <xf numFmtId="0" fontId="9" fillId="0" borderId="0"/>
    <xf numFmtId="0" fontId="7" fillId="0" borderId="0"/>
    <xf numFmtId="170" fontId="9" fillId="0" borderId="0"/>
    <xf numFmtId="0" fontId="9" fillId="0" borderId="0"/>
    <xf numFmtId="0" fontId="36" fillId="0" borderId="0"/>
    <xf numFmtId="0" fontId="7" fillId="0" borderId="0"/>
    <xf numFmtId="37" fontId="38" fillId="0" borderId="0"/>
    <xf numFmtId="180" fontId="16" fillId="0" borderId="0" applyFont="0" applyFill="0" applyBorder="0" applyProtection="0"/>
    <xf numFmtId="0" fontId="38" fillId="0" borderId="0"/>
    <xf numFmtId="0" fontId="38" fillId="0" borderId="0"/>
    <xf numFmtId="10" fontId="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2" fillId="0" borderId="0"/>
    <xf numFmtId="4" fontId="43" fillId="14" borderId="32" applyNumberFormat="0" applyProtection="0">
      <alignment vertical="center"/>
    </xf>
    <xf numFmtId="4" fontId="43" fillId="4" borderId="32" applyNumberFormat="0" applyProtection="0">
      <alignment horizontal="left" vertical="center" indent="1"/>
    </xf>
    <xf numFmtId="4" fontId="43" fillId="15" borderId="0" applyNumberFormat="0" applyProtection="0">
      <alignment horizontal="left" vertical="center" indent="1"/>
    </xf>
    <xf numFmtId="4" fontId="41" fillId="16" borderId="32" applyNumberFormat="0" applyProtection="0">
      <alignment horizontal="right" vertical="center"/>
    </xf>
    <xf numFmtId="4" fontId="41" fillId="17" borderId="32" applyNumberFormat="0" applyProtection="0">
      <alignment horizontal="left" vertical="center" indent="1"/>
    </xf>
    <xf numFmtId="0" fontId="41" fillId="15" borderId="32" applyNumberFormat="0" applyProtection="0">
      <alignment horizontal="left" vertical="top" indent="1"/>
    </xf>
    <xf numFmtId="37" fontId="44" fillId="18" borderId="0" applyNumberFormat="0" applyFont="0" applyBorder="0" applyAlignment="0" applyProtection="0"/>
    <xf numFmtId="181" fontId="9" fillId="0" borderId="5">
      <alignment horizontal="justify" vertical="top" wrapText="1"/>
    </xf>
    <xf numFmtId="0" fontId="9" fillId="0" borderId="0">
      <alignment horizontal="left" wrapText="1"/>
    </xf>
    <xf numFmtId="0" fontId="21" fillId="0" borderId="6">
      <alignment horizontal="center" vertical="center" wrapText="1"/>
    </xf>
    <xf numFmtId="0" fontId="38" fillId="0" borderId="33"/>
    <xf numFmtId="0" fontId="38" fillId="0" borderId="34"/>
    <xf numFmtId="38" fontId="41" fillId="0" borderId="3" applyFill="0" applyBorder="0" applyAlignment="0" applyProtection="0">
      <protection locked="0"/>
    </xf>
    <xf numFmtId="0" fontId="6" fillId="0" borderId="0"/>
    <xf numFmtId="170" fontId="5" fillId="0" borderId="0"/>
    <xf numFmtId="170" fontId="5" fillId="0" borderId="0"/>
    <xf numFmtId="9" fontId="9" fillId="0" borderId="0" applyFont="0" applyFill="0" applyBorder="0" applyAlignment="0" applyProtection="0"/>
    <xf numFmtId="170" fontId="11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2">
    <xf numFmtId="170" fontId="0" fillId="0" borderId="0" xfId="0"/>
    <xf numFmtId="170" fontId="19" fillId="0" borderId="0" xfId="0" applyFont="1" applyFill="1"/>
    <xf numFmtId="170" fontId="19" fillId="0" borderId="0" xfId="0" applyFont="1" applyFill="1" applyBorder="1"/>
    <xf numFmtId="170" fontId="11" fillId="0" borderId="0" xfId="0" applyFont="1" applyFill="1"/>
    <xf numFmtId="170" fontId="13" fillId="0" borderId="0" xfId="0" applyFont="1" applyFill="1" applyAlignment="1">
      <alignment horizontal="centerContinuous"/>
    </xf>
    <xf numFmtId="170" fontId="11" fillId="0" borderId="0" xfId="0" applyFont="1" applyFill="1" applyBorder="1"/>
    <xf numFmtId="170" fontId="11" fillId="0" borderId="0" xfId="0" applyFont="1" applyFill="1" applyBorder="1" applyAlignment="1">
      <alignment horizontal="center"/>
    </xf>
    <xf numFmtId="170" fontId="11" fillId="0" borderId="0" xfId="0" applyFont="1" applyFill="1" applyAlignment="1">
      <alignment horizontal="right"/>
    </xf>
    <xf numFmtId="166" fontId="11" fillId="0" borderId="0" xfId="0" applyNumberFormat="1" applyFont="1" applyFill="1" applyBorder="1" applyAlignment="1">
      <alignment horizontal="center"/>
    </xf>
    <xf numFmtId="170" fontId="11" fillId="0" borderId="0" xfId="0" quotePrefix="1" applyFont="1" applyFill="1" applyBorder="1" applyAlignment="1">
      <alignment horizontal="center"/>
    </xf>
    <xf numFmtId="170" fontId="11" fillId="0" borderId="0" xfId="0" quotePrefix="1" applyFont="1" applyFill="1"/>
    <xf numFmtId="170" fontId="19" fillId="0" borderId="0" xfId="0" applyFont="1" applyFill="1" applyBorder="1" applyAlignment="1">
      <alignment horizontal="center"/>
    </xf>
    <xf numFmtId="170" fontId="19" fillId="0" borderId="0" xfId="0" quotePrefix="1" applyFont="1" applyFill="1" applyBorder="1" applyAlignment="1">
      <alignment horizontal="center"/>
    </xf>
    <xf numFmtId="2" fontId="11" fillId="0" borderId="0" xfId="0" applyNumberFormat="1" applyFont="1" applyFill="1" applyAlignment="1">
      <alignment horizontal="center"/>
    </xf>
    <xf numFmtId="0" fontId="11" fillId="0" borderId="7" xfId="0" applyNumberFormat="1" applyFont="1" applyFill="1" applyBorder="1" applyAlignment="1">
      <alignment horizontal="center"/>
    </xf>
    <xf numFmtId="0" fontId="11" fillId="0" borderId="3" xfId="4" applyFont="1" applyBorder="1" applyAlignment="1">
      <alignment horizontal="center"/>
    </xf>
    <xf numFmtId="0" fontId="11" fillId="0" borderId="0" xfId="4" quotePrefix="1" applyFont="1" applyBorder="1" applyAlignment="1">
      <alignment horizontal="center"/>
    </xf>
    <xf numFmtId="0" fontId="11" fillId="0" borderId="4" xfId="4" applyFont="1" applyBorder="1" applyAlignment="1">
      <alignment horizontal="center"/>
    </xf>
    <xf numFmtId="0" fontId="11" fillId="0" borderId="5" xfId="4" quotePrefix="1" applyFont="1" applyBorder="1" applyAlignment="1">
      <alignment horizontal="center"/>
    </xf>
    <xf numFmtId="2" fontId="11" fillId="0" borderId="0" xfId="0" applyNumberFormat="1" applyFont="1" applyFill="1" applyAlignment="1">
      <alignment horizontal="centerContinuous"/>
    </xf>
    <xf numFmtId="170" fontId="10" fillId="0" borderId="10" xfId="0" applyFont="1" applyFill="1" applyBorder="1" applyAlignment="1">
      <alignment horizontal="centerContinuous"/>
    </xf>
    <xf numFmtId="170" fontId="10" fillId="0" borderId="11" xfId="0" applyFont="1" applyFill="1" applyBorder="1" applyAlignment="1">
      <alignment horizontal="centerContinuous"/>
    </xf>
    <xf numFmtId="41" fontId="11" fillId="0" borderId="0" xfId="3" applyFont="1" applyFill="1"/>
    <xf numFmtId="41" fontId="10" fillId="0" borderId="12" xfId="3" applyFont="1" applyFill="1" applyBorder="1" applyAlignment="1">
      <alignment horizontal="centerContinuous"/>
    </xf>
    <xf numFmtId="41" fontId="18" fillId="0" borderId="0" xfId="3" applyFont="1" applyFill="1"/>
    <xf numFmtId="164" fontId="18" fillId="0" borderId="0" xfId="3" applyNumberFormat="1" applyFont="1" applyFill="1"/>
    <xf numFmtId="170" fontId="10" fillId="0" borderId="15" xfId="0" applyFont="1" applyFill="1" applyBorder="1" applyAlignment="1">
      <alignment horizontal="centerContinuous"/>
    </xf>
    <xf numFmtId="168" fontId="11" fillId="0" borderId="0" xfId="5" applyNumberFormat="1" applyFont="1" applyFill="1"/>
    <xf numFmtId="0" fontId="19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center"/>
    </xf>
    <xf numFmtId="7" fontId="11" fillId="0" borderId="0" xfId="0" applyNumberFormat="1" applyFont="1" applyFill="1" applyBorder="1" applyAlignment="1">
      <alignment horizontal="center"/>
    </xf>
    <xf numFmtId="7" fontId="11" fillId="0" borderId="7" xfId="0" applyNumberFormat="1" applyFont="1" applyFill="1" applyBorder="1" applyAlignment="1">
      <alignment horizontal="center"/>
    </xf>
    <xf numFmtId="170" fontId="12" fillId="0" borderId="0" xfId="10" applyFont="1" applyFill="1" applyAlignment="1">
      <alignment horizontal="centerContinuous"/>
    </xf>
    <xf numFmtId="170" fontId="11" fillId="0" borderId="0" xfId="10" applyFont="1" applyFill="1" applyAlignment="1">
      <alignment horizontal="centerContinuous"/>
    </xf>
    <xf numFmtId="170" fontId="11" fillId="0" borderId="0" xfId="10" applyFont="1" applyFill="1"/>
    <xf numFmtId="170" fontId="11" fillId="0" borderId="0" xfId="10" applyFont="1" applyFill="1" applyBorder="1"/>
    <xf numFmtId="170" fontId="11" fillId="0" borderId="0" xfId="10" applyFont="1" applyFill="1" applyBorder="1" applyAlignment="1">
      <alignment horizontal="centerContinuous"/>
    </xf>
    <xf numFmtId="170" fontId="10" fillId="0" borderId="1" xfId="10" applyFont="1" applyFill="1" applyBorder="1" applyAlignment="1">
      <alignment horizontal="center"/>
    </xf>
    <xf numFmtId="170" fontId="10" fillId="0" borderId="1" xfId="10" applyFont="1" applyFill="1" applyBorder="1" applyAlignment="1">
      <alignment horizontal="center" wrapText="1"/>
    </xf>
    <xf numFmtId="170" fontId="23" fillId="0" borderId="5" xfId="10" applyFont="1" applyFill="1" applyBorder="1" applyAlignment="1">
      <alignment horizontal="centerContinuous"/>
    </xf>
    <xf numFmtId="170" fontId="24" fillId="0" borderId="5" xfId="10" quotePrefix="1" applyFont="1" applyFill="1" applyBorder="1" applyAlignment="1">
      <alignment horizontal="center" wrapText="1"/>
    </xf>
    <xf numFmtId="170" fontId="14" fillId="0" borderId="0" xfId="10" quotePrefix="1" applyFont="1" applyFill="1" applyBorder="1" applyAlignment="1">
      <alignment horizontal="center"/>
    </xf>
    <xf numFmtId="170" fontId="15" fillId="0" borderId="0" xfId="8" applyFont="1" applyFill="1" applyBorder="1"/>
    <xf numFmtId="0" fontId="11" fillId="0" borderId="0" xfId="10" applyNumberFormat="1" applyFont="1" applyFill="1"/>
    <xf numFmtId="170" fontId="10" fillId="0" borderId="11" xfId="10" applyFont="1" applyFill="1" applyBorder="1" applyAlignment="1">
      <alignment horizontal="centerContinuous"/>
    </xf>
    <xf numFmtId="1" fontId="11" fillId="0" borderId="0" xfId="13" applyNumberFormat="1" applyFont="1" applyFill="1" applyAlignment="1" applyProtection="1">
      <alignment horizontal="center"/>
      <protection locked="0"/>
    </xf>
    <xf numFmtId="0" fontId="11" fillId="0" borderId="0" xfId="11" applyFont="1"/>
    <xf numFmtId="14" fontId="11" fillId="0" borderId="0" xfId="12" applyNumberFormat="1" applyFont="1"/>
    <xf numFmtId="170" fontId="0" fillId="0" borderId="0" xfId="0" applyFont="1" applyFill="1"/>
    <xf numFmtId="2" fontId="11" fillId="0" borderId="7" xfId="0" applyNumberFormat="1" applyFont="1" applyFill="1" applyBorder="1" applyAlignment="1">
      <alignment horizontal="center"/>
    </xf>
    <xf numFmtId="170" fontId="16" fillId="0" borderId="0" xfId="0" applyFont="1" applyFill="1" applyAlignment="1">
      <alignment horizontal="center"/>
    </xf>
    <xf numFmtId="7" fontId="11" fillId="0" borderId="0" xfId="1" applyNumberFormat="1" applyFont="1" applyFill="1"/>
    <xf numFmtId="8" fontId="11" fillId="0" borderId="0" xfId="10" applyNumberFormat="1" applyFont="1" applyFill="1" applyAlignment="1">
      <alignment horizontal="center"/>
    </xf>
    <xf numFmtId="170" fontId="13" fillId="0" borderId="0" xfId="0" applyFont="1" applyFill="1" applyAlignment="1">
      <alignment horizontal="center"/>
    </xf>
    <xf numFmtId="170" fontId="0" fillId="0" borderId="0" xfId="0" applyAlignment="1">
      <alignment horizontal="center"/>
    </xf>
    <xf numFmtId="170" fontId="0" fillId="0" borderId="0" xfId="0" applyFont="1" applyFill="1" applyBorder="1"/>
    <xf numFmtId="170" fontId="16" fillId="0" borderId="0" xfId="0" applyFont="1" applyFill="1" applyAlignment="1"/>
    <xf numFmtId="170" fontId="17" fillId="0" borderId="0" xfId="0" applyFont="1" applyFill="1" applyAlignment="1"/>
    <xf numFmtId="170" fontId="19" fillId="0" borderId="0" xfId="0" applyFont="1" applyFill="1" applyAlignment="1">
      <alignment wrapText="1"/>
    </xf>
    <xf numFmtId="170" fontId="11" fillId="0" borderId="0" xfId="0" applyFont="1" applyFill="1" applyBorder="1" applyAlignment="1">
      <alignment wrapText="1"/>
    </xf>
    <xf numFmtId="0" fontId="11" fillId="0" borderId="0" xfId="10" applyNumberFormat="1" applyFont="1" applyFill="1" applyBorder="1"/>
    <xf numFmtId="170" fontId="11" fillId="0" borderId="0" xfId="21" applyFont="1"/>
    <xf numFmtId="164" fontId="16" fillId="0" borderId="6" xfId="22" applyNumberFormat="1" applyFont="1" applyBorder="1" applyAlignment="1">
      <alignment horizontal="center"/>
    </xf>
    <xf numFmtId="164" fontId="16" fillId="0" borderId="5" xfId="22" applyNumberFormat="1" applyFont="1" applyBorder="1" applyAlignment="1">
      <alignment horizontal="center"/>
    </xf>
    <xf numFmtId="164" fontId="16" fillId="0" borderId="14" xfId="22" applyNumberFormat="1" applyFont="1" applyBorder="1" applyAlignment="1">
      <alignment horizontal="center"/>
    </xf>
    <xf numFmtId="169" fontId="16" fillId="0" borderId="5" xfId="22" applyNumberFormat="1" applyFont="1" applyBorder="1" applyAlignment="1">
      <alignment horizontal="center"/>
    </xf>
    <xf numFmtId="169" fontId="16" fillId="0" borderId="6" xfId="22" applyNumberFormat="1" applyFont="1" applyBorder="1" applyAlignment="1">
      <alignment horizontal="center"/>
    </xf>
    <xf numFmtId="169" fontId="16" fillId="0" borderId="14" xfId="22" applyNumberFormat="1" applyFont="1" applyBorder="1" applyAlignment="1">
      <alignment horizontal="center"/>
    </xf>
    <xf numFmtId="164" fontId="16" fillId="0" borderId="3" xfId="22" applyNumberFormat="1" applyFont="1" applyBorder="1" applyAlignment="1">
      <alignment horizontal="center"/>
    </xf>
    <xf numFmtId="164" fontId="16" fillId="6" borderId="23" xfId="22" applyNumberFormat="1" applyFont="1" applyFill="1" applyBorder="1" applyAlignment="1">
      <alignment horizontal="center"/>
    </xf>
    <xf numFmtId="164" fontId="16" fillId="6" borderId="19" xfId="22" applyNumberFormat="1" applyFont="1" applyFill="1" applyBorder="1" applyAlignment="1">
      <alignment horizontal="center"/>
    </xf>
    <xf numFmtId="164" fontId="16" fillId="0" borderId="0" xfId="22" applyNumberFormat="1" applyFont="1" applyFill="1" applyBorder="1" applyAlignment="1">
      <alignment horizontal="center"/>
    </xf>
    <xf numFmtId="164" fontId="16" fillId="6" borderId="6" xfId="22" applyNumberFormat="1" applyFont="1" applyFill="1" applyBorder="1" applyAlignment="1">
      <alignment horizontal="center"/>
    </xf>
    <xf numFmtId="17" fontId="11" fillId="0" borderId="0" xfId="0" applyNumberFormat="1" applyFont="1" applyFill="1" applyBorder="1" applyAlignment="1">
      <alignment horizontal="center" wrapText="1"/>
    </xf>
    <xf numFmtId="170" fontId="0" fillId="0" borderId="0" xfId="0" applyAlignment="1"/>
    <xf numFmtId="170" fontId="0" fillId="0" borderId="0" xfId="0" applyFill="1" applyAlignment="1">
      <alignment horizontal="center"/>
    </xf>
    <xf numFmtId="170" fontId="11" fillId="0" borderId="5" xfId="0" quotePrefix="1" applyFont="1" applyFill="1" applyBorder="1" applyAlignment="1">
      <alignment horizontal="center"/>
    </xf>
    <xf numFmtId="170" fontId="11" fillId="0" borderId="9" xfId="0" quotePrefix="1" applyFont="1" applyFill="1" applyBorder="1" applyAlignment="1">
      <alignment horizontal="center"/>
    </xf>
    <xf numFmtId="170" fontId="11" fillId="0" borderId="27" xfId="0" quotePrefix="1" applyFont="1" applyFill="1" applyBorder="1" applyAlignment="1">
      <alignment horizontal="center"/>
    </xf>
    <xf numFmtId="170" fontId="11" fillId="0" borderId="24" xfId="0" quotePrefix="1" applyFont="1" applyFill="1" applyBorder="1" applyAlignment="1">
      <alignment horizontal="center"/>
    </xf>
    <xf numFmtId="0" fontId="11" fillId="0" borderId="4" xfId="0" applyNumberFormat="1" applyFont="1" applyFill="1" applyBorder="1" applyAlignment="1">
      <alignment horizontal="center"/>
    </xf>
    <xf numFmtId="170" fontId="10" fillId="0" borderId="12" xfId="10" applyFont="1" applyFill="1" applyBorder="1" applyAlignment="1">
      <alignment horizontal="centerContinuous"/>
    </xf>
    <xf numFmtId="170" fontId="12" fillId="0" borderId="0" xfId="10" applyFont="1" applyFill="1" applyAlignment="1">
      <alignment horizontal="centerContinuous" vertical="center"/>
    </xf>
    <xf numFmtId="170" fontId="12" fillId="0" borderId="0" xfId="10" applyFont="1" applyFill="1" applyAlignment="1">
      <alignment horizontal="centerContinuous" vertical="top"/>
    </xf>
    <xf numFmtId="170" fontId="11" fillId="0" borderId="0" xfId="10" applyFont="1" applyFill="1" applyAlignment="1">
      <alignment horizontal="centerContinuous" vertical="top"/>
    </xf>
    <xf numFmtId="170" fontId="10" fillId="0" borderId="28" xfId="10" applyFont="1" applyFill="1" applyBorder="1" applyAlignment="1">
      <alignment horizontal="center"/>
    </xf>
    <xf numFmtId="170" fontId="10" fillId="0" borderId="28" xfId="10" applyFont="1" applyFill="1" applyBorder="1" applyAlignment="1">
      <alignment horizontal="center" wrapText="1"/>
    </xf>
    <xf numFmtId="6" fontId="11" fillId="0" borderId="0" xfId="10" applyNumberFormat="1" applyFont="1" applyFill="1" applyAlignment="1">
      <alignment horizontal="right"/>
    </xf>
    <xf numFmtId="8" fontId="11" fillId="0" borderId="0" xfId="10" applyNumberFormat="1" applyFont="1" applyFill="1" applyBorder="1"/>
    <xf numFmtId="170" fontId="13" fillId="0" borderId="0" xfId="10" applyFont="1" applyFill="1" applyAlignment="1">
      <alignment horizontal="centerContinuous"/>
    </xf>
    <xf numFmtId="170" fontId="10" fillId="0" borderId="0" xfId="10" applyFont="1" applyFill="1" applyAlignment="1">
      <alignment horizontal="centerContinuous"/>
    </xf>
    <xf numFmtId="170" fontId="11" fillId="0" borderId="0" xfId="10" applyFont="1" applyFill="1" applyAlignment="1">
      <alignment horizontal="center"/>
    </xf>
    <xf numFmtId="170" fontId="10" fillId="0" borderId="10" xfId="8" applyFont="1" applyFill="1" applyBorder="1" applyAlignment="1">
      <alignment horizontal="centerContinuous"/>
    </xf>
    <xf numFmtId="170" fontId="10" fillId="0" borderId="10" xfId="10" applyFont="1" applyFill="1" applyBorder="1" applyAlignment="1">
      <alignment horizontal="center"/>
    </xf>
    <xf numFmtId="170" fontId="10" fillId="0" borderId="11" xfId="8" applyFont="1" applyFill="1" applyBorder="1" applyAlignment="1">
      <alignment horizontal="centerContinuous"/>
    </xf>
    <xf numFmtId="165" fontId="11" fillId="0" borderId="0" xfId="10" applyNumberFormat="1" applyFont="1" applyFill="1" applyBorder="1" applyAlignment="1">
      <alignment horizontal="center"/>
    </xf>
    <xf numFmtId="164" fontId="16" fillId="0" borderId="31" xfId="22" applyNumberFormat="1" applyFont="1" applyFill="1" applyBorder="1" applyAlignment="1">
      <alignment horizontal="center"/>
    </xf>
    <xf numFmtId="170" fontId="12" fillId="0" borderId="0" xfId="21" applyFont="1" applyAlignment="1">
      <alignment horizontal="centerContinuous"/>
    </xf>
    <xf numFmtId="170" fontId="11" fillId="0" borderId="0" xfId="21" applyFont="1" applyAlignment="1">
      <alignment horizontal="centerContinuous"/>
    </xf>
    <xf numFmtId="170" fontId="12" fillId="0" borderId="0" xfId="21" applyFont="1" applyFill="1" applyAlignment="1">
      <alignment horizontal="centerContinuous"/>
    </xf>
    <xf numFmtId="170" fontId="30" fillId="0" borderId="0" xfId="0" applyFont="1" applyAlignment="1">
      <alignment horizontal="right" vertical="center"/>
    </xf>
    <xf numFmtId="165" fontId="31" fillId="0" borderId="0" xfId="0" applyNumberFormat="1" applyFont="1" applyAlignment="1">
      <alignment horizontal="left" vertical="center"/>
    </xf>
    <xf numFmtId="170" fontId="16" fillId="6" borderId="6" xfId="0" applyFont="1" applyFill="1" applyBorder="1" applyAlignment="1">
      <alignment horizontal="centerContinuous" vertical="center"/>
    </xf>
    <xf numFmtId="170" fontId="16" fillId="6" borderId="6" xfId="0" applyFont="1" applyFill="1" applyBorder="1" applyAlignment="1">
      <alignment horizontal="centerContinuous"/>
    </xf>
    <xf numFmtId="170" fontId="16" fillId="0" borderId="9" xfId="0" applyFont="1" applyBorder="1" applyAlignment="1"/>
    <xf numFmtId="170" fontId="16" fillId="6" borderId="6" xfId="0" applyFont="1" applyFill="1" applyBorder="1" applyAlignment="1"/>
    <xf numFmtId="1" fontId="16" fillId="6" borderId="6" xfId="0" applyNumberFormat="1" applyFont="1" applyFill="1" applyBorder="1" applyAlignment="1">
      <alignment horizontal="center"/>
    </xf>
    <xf numFmtId="0" fontId="16" fillId="6" borderId="6" xfId="0" applyNumberFormat="1" applyFont="1" applyFill="1" applyBorder="1" applyAlignment="1">
      <alignment horizontal="center"/>
    </xf>
    <xf numFmtId="170" fontId="12" fillId="6" borderId="6" xfId="0" applyFont="1" applyFill="1" applyBorder="1" applyAlignment="1">
      <alignment horizontal="centerContinuous"/>
    </xf>
    <xf numFmtId="170" fontId="10" fillId="6" borderId="26" xfId="0" applyFont="1" applyFill="1" applyBorder="1" applyAlignment="1">
      <alignment horizontal="center" vertical="top"/>
    </xf>
    <xf numFmtId="170" fontId="10" fillId="6" borderId="3" xfId="0" applyFont="1" applyFill="1" applyBorder="1" applyAlignment="1">
      <alignment horizontal="center" vertical="top"/>
    </xf>
    <xf numFmtId="170" fontId="11" fillId="6" borderId="3" xfId="0" applyFont="1" applyFill="1" applyBorder="1" applyAlignment="1">
      <alignment horizontal="center" vertical="top"/>
    </xf>
    <xf numFmtId="170" fontId="11" fillId="2" borderId="7" xfId="0" applyFont="1" applyFill="1" applyBorder="1" applyAlignment="1"/>
    <xf numFmtId="170" fontId="11" fillId="2" borderId="4" xfId="0" applyFont="1" applyFill="1" applyBorder="1" applyAlignment="1"/>
    <xf numFmtId="170" fontId="11" fillId="0" borderId="25" xfId="0" applyFont="1" applyBorder="1" applyAlignment="1"/>
    <xf numFmtId="164" fontId="16" fillId="0" borderId="5" xfId="22" applyNumberFormat="1" applyFont="1" applyFill="1" applyBorder="1" applyAlignment="1">
      <alignment horizontal="center"/>
    </xf>
    <xf numFmtId="170" fontId="10" fillId="0" borderId="16" xfId="0" applyFont="1" applyBorder="1" applyAlignment="1"/>
    <xf numFmtId="170" fontId="11" fillId="0" borderId="8" xfId="0" applyFont="1" applyBorder="1" applyAlignment="1"/>
    <xf numFmtId="170" fontId="11" fillId="0" borderId="26" xfId="0" applyFont="1" applyBorder="1" applyAlignment="1"/>
    <xf numFmtId="170" fontId="10" fillId="6" borderId="7" xfId="0" applyFont="1" applyFill="1" applyBorder="1" applyAlignment="1">
      <alignment horizontal="center" vertical="top"/>
    </xf>
    <xf numFmtId="170" fontId="11" fillId="6" borderId="17" xfId="0" applyFont="1" applyFill="1" applyBorder="1" applyAlignment="1">
      <alignment horizontal="center" vertical="top"/>
    </xf>
    <xf numFmtId="170" fontId="11" fillId="0" borderId="29" xfId="0" applyFont="1" applyBorder="1" applyAlignment="1"/>
    <xf numFmtId="170" fontId="11" fillId="6" borderId="22" xfId="0" applyFont="1" applyFill="1" applyBorder="1" applyAlignment="1">
      <alignment horizontal="right"/>
    </xf>
    <xf numFmtId="170" fontId="11" fillId="0" borderId="4" xfId="0" applyFont="1" applyBorder="1" applyAlignment="1"/>
    <xf numFmtId="170" fontId="11" fillId="6" borderId="18" xfId="0" applyFont="1" applyFill="1" applyBorder="1" applyAlignment="1">
      <alignment horizontal="right"/>
    </xf>
    <xf numFmtId="170" fontId="11" fillId="0" borderId="0" xfId="0" applyFont="1" applyAlignment="1"/>
    <xf numFmtId="170" fontId="10" fillId="0" borderId="0" xfId="0" applyFont="1" applyFill="1"/>
    <xf numFmtId="2" fontId="32" fillId="0" borderId="0" xfId="0" applyNumberFormat="1" applyFont="1" applyFill="1" applyAlignment="1">
      <alignment horizontal="left" vertical="top"/>
    </xf>
    <xf numFmtId="164" fontId="16" fillId="0" borderId="6" xfId="22" applyNumberFormat="1" applyFont="1" applyFill="1" applyBorder="1" applyAlignment="1">
      <alignment horizontal="center"/>
    </xf>
    <xf numFmtId="164" fontId="16" fillId="0" borderId="14" xfId="22" applyNumberFormat="1" applyFont="1" applyFill="1" applyBorder="1" applyAlignment="1">
      <alignment horizontal="center"/>
    </xf>
    <xf numFmtId="164" fontId="16" fillId="0" borderId="35" xfId="22" applyNumberFormat="1" applyFont="1" applyBorder="1" applyAlignment="1">
      <alignment horizontal="center"/>
    </xf>
    <xf numFmtId="164" fontId="16" fillId="0" borderId="35" xfId="22" applyNumberFormat="1" applyFont="1" applyFill="1" applyBorder="1" applyAlignment="1">
      <alignment horizontal="center"/>
    </xf>
    <xf numFmtId="169" fontId="16" fillId="0" borderId="5" xfId="22" applyNumberFormat="1" applyFont="1" applyFill="1" applyBorder="1" applyAlignment="1">
      <alignment horizontal="center"/>
    </xf>
    <xf numFmtId="169" fontId="16" fillId="0" borderId="6" xfId="22" applyNumberFormat="1" applyFont="1" applyFill="1" applyBorder="1" applyAlignment="1">
      <alignment horizontal="center"/>
    </xf>
    <xf numFmtId="169" fontId="16" fillId="0" borderId="14" xfId="22" applyNumberFormat="1" applyFont="1" applyFill="1" applyBorder="1" applyAlignment="1">
      <alignment horizontal="center"/>
    </xf>
    <xf numFmtId="170" fontId="11" fillId="6" borderId="7" xfId="0" applyFont="1" applyFill="1" applyBorder="1" applyAlignment="1">
      <alignment horizontal="center" vertical="top"/>
    </xf>
    <xf numFmtId="170" fontId="11" fillId="0" borderId="6" xfId="0" applyFont="1" applyBorder="1" applyAlignment="1"/>
    <xf numFmtId="170" fontId="11" fillId="6" borderId="3" xfId="0" applyFont="1" applyFill="1" applyBorder="1" applyAlignment="1">
      <alignment horizontal="right" vertical="top"/>
    </xf>
    <xf numFmtId="164" fontId="16" fillId="20" borderId="5" xfId="22" applyNumberFormat="1" applyFont="1" applyFill="1" applyBorder="1" applyAlignment="1">
      <alignment horizontal="center"/>
    </xf>
    <xf numFmtId="164" fontId="16" fillId="20" borderId="6" xfId="22" applyNumberFormat="1" applyFont="1" applyFill="1" applyBorder="1" applyAlignment="1">
      <alignment horizontal="center"/>
    </xf>
    <xf numFmtId="170" fontId="11" fillId="6" borderId="5" xfId="0" applyFont="1" applyFill="1" applyBorder="1" applyAlignment="1">
      <alignment horizontal="right" vertical="top"/>
    </xf>
    <xf numFmtId="164" fontId="16" fillId="20" borderId="3" xfId="22" applyNumberFormat="1" applyFont="1" applyFill="1" applyBorder="1" applyAlignment="1">
      <alignment horizontal="center"/>
    </xf>
    <xf numFmtId="164" fontId="16" fillId="19" borderId="5" xfId="22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/>
    </xf>
    <xf numFmtId="170" fontId="0" fillId="0" borderId="0" xfId="0" applyFont="1" applyFill="1" applyAlignment="1">
      <alignment horizontal="right"/>
    </xf>
    <xf numFmtId="168" fontId="0" fillId="0" borderId="0" xfId="5" applyNumberFormat="1" applyFont="1" applyFill="1"/>
    <xf numFmtId="170" fontId="0" fillId="0" borderId="0" xfId="8" applyFont="1" applyFill="1"/>
    <xf numFmtId="170" fontId="0" fillId="0" borderId="0" xfId="8" applyFont="1" applyFill="1" applyBorder="1"/>
    <xf numFmtId="1" fontId="0" fillId="0" borderId="0" xfId="13" applyNumberFormat="1" applyFont="1" applyFill="1" applyAlignment="1" applyProtection="1">
      <alignment horizontal="center"/>
      <protection locked="0"/>
    </xf>
    <xf numFmtId="170" fontId="0" fillId="0" borderId="12" xfId="0" applyFont="1" applyFill="1" applyBorder="1" applyAlignment="1">
      <alignment horizontal="centerContinuous"/>
    </xf>
    <xf numFmtId="168" fontId="11" fillId="0" borderId="0" xfId="98" applyNumberFormat="1" applyFont="1" applyFill="1"/>
    <xf numFmtId="168" fontId="11" fillId="0" borderId="0" xfId="10" applyNumberFormat="1" applyFont="1" applyFill="1"/>
    <xf numFmtId="6" fontId="11" fillId="0" borderId="0" xfId="10" applyNumberFormat="1" applyFont="1" applyFill="1" applyBorder="1"/>
    <xf numFmtId="170" fontId="10" fillId="0" borderId="28" xfId="9" applyFont="1" applyFill="1" applyBorder="1" applyAlignment="1">
      <alignment horizontal="center" wrapText="1"/>
    </xf>
    <xf numFmtId="8" fontId="0" fillId="0" borderId="0" xfId="1" applyNumberFormat="1" applyFont="1" applyFill="1"/>
    <xf numFmtId="8" fontId="18" fillId="0" borderId="0" xfId="1" applyNumberFormat="1" applyFont="1" applyFill="1"/>
    <xf numFmtId="6" fontId="0" fillId="0" borderId="0" xfId="1" applyNumberFormat="1" applyFont="1" applyFill="1"/>
    <xf numFmtId="0" fontId="0" fillId="0" borderId="0" xfId="8" applyNumberFormat="1" applyFont="1" applyFill="1"/>
    <xf numFmtId="170" fontId="0" fillId="0" borderId="0" xfId="8" applyFont="1" applyFill="1" applyBorder="1" applyAlignment="1">
      <alignment horizontal="centerContinuous"/>
    </xf>
    <xf numFmtId="170" fontId="0" fillId="0" borderId="0" xfId="8" applyFont="1" applyFill="1" applyAlignment="1">
      <alignment horizontal="centerContinuous"/>
    </xf>
    <xf numFmtId="170" fontId="12" fillId="0" borderId="0" xfId="8" applyFont="1" applyFill="1" applyAlignment="1">
      <alignment horizontal="centerContinuous"/>
    </xf>
    <xf numFmtId="8" fontId="0" fillId="0" borderId="0" xfId="8" applyNumberFormat="1" applyFont="1" applyFill="1" applyBorder="1"/>
    <xf numFmtId="41" fontId="0" fillId="0" borderId="0" xfId="3" applyFont="1" applyFill="1"/>
    <xf numFmtId="165" fontId="0" fillId="0" borderId="0" xfId="8" applyNumberFormat="1" applyFont="1" applyFill="1" applyAlignment="1">
      <alignment horizontal="center"/>
    </xf>
    <xf numFmtId="165" fontId="0" fillId="0" borderId="0" xfId="8" applyNumberFormat="1" applyFont="1" applyFill="1" applyBorder="1" applyAlignment="1">
      <alignment horizontal="center"/>
    </xf>
    <xf numFmtId="0" fontId="0" fillId="0" borderId="0" xfId="8" applyNumberFormat="1" applyFont="1" applyFill="1" applyBorder="1"/>
    <xf numFmtId="8" fontId="0" fillId="0" borderId="0" xfId="8" applyNumberFormat="1" applyFont="1" applyFill="1" applyBorder="1" applyAlignment="1">
      <alignment horizontal="right"/>
    </xf>
    <xf numFmtId="6" fontId="0" fillId="0" borderId="0" xfId="8" applyNumberFormat="1" applyFont="1" applyFill="1" applyAlignment="1">
      <alignment horizontal="right"/>
    </xf>
    <xf numFmtId="170" fontId="14" fillId="0" borderId="0" xfId="8" quotePrefix="1" applyFont="1" applyFill="1" applyBorder="1" applyAlignment="1">
      <alignment horizontal="center"/>
    </xf>
    <xf numFmtId="170" fontId="24" fillId="0" borderId="5" xfId="8" applyFont="1" applyFill="1" applyBorder="1" applyAlignment="1">
      <alignment horizontal="center" wrapText="1"/>
    </xf>
    <xf numFmtId="170" fontId="24" fillId="0" borderId="5" xfId="8" quotePrefix="1" applyFont="1" applyFill="1" applyBorder="1" applyAlignment="1">
      <alignment horizontal="center" wrapText="1"/>
    </xf>
    <xf numFmtId="170" fontId="23" fillId="0" borderId="5" xfId="8" applyFont="1" applyFill="1" applyBorder="1" applyAlignment="1">
      <alignment horizontal="centerContinuous"/>
    </xf>
    <xf numFmtId="170" fontId="10" fillId="0" borderId="28" xfId="8" applyFont="1" applyFill="1" applyBorder="1" applyAlignment="1">
      <alignment horizontal="center" wrapText="1"/>
    </xf>
    <xf numFmtId="170" fontId="10" fillId="0" borderId="28" xfId="8" applyFont="1" applyFill="1" applyBorder="1" applyAlignment="1">
      <alignment horizontal="center"/>
    </xf>
    <xf numFmtId="41" fontId="0" fillId="0" borderId="0" xfId="3" applyFont="1" applyFill="1" applyAlignment="1">
      <alignment horizontal="left"/>
    </xf>
    <xf numFmtId="170" fontId="10" fillId="0" borderId="14" xfId="8" applyFont="1" applyFill="1" applyBorder="1" applyAlignment="1">
      <alignment horizontal="centerContinuous"/>
    </xf>
    <xf numFmtId="170" fontId="10" fillId="0" borderId="10" xfId="99" applyFont="1" applyFill="1" applyBorder="1" applyAlignment="1">
      <alignment horizontal="centerContinuous"/>
    </xf>
    <xf numFmtId="8" fontId="0" fillId="0" borderId="0" xfId="3" applyNumberFormat="1" applyFont="1" applyFill="1" applyBorder="1"/>
    <xf numFmtId="41" fontId="0" fillId="0" borderId="0" xfId="3" applyFont="1" applyFill="1" applyAlignment="1">
      <alignment horizontal="center"/>
    </xf>
    <xf numFmtId="43" fontId="0" fillId="0" borderId="0" xfId="8" applyNumberFormat="1" applyFont="1" applyFill="1" applyBorder="1"/>
    <xf numFmtId="167" fontId="0" fillId="0" borderId="0" xfId="8" applyNumberFormat="1" applyFont="1" applyFill="1" applyBorder="1"/>
    <xf numFmtId="8" fontId="0" fillId="0" borderId="0" xfId="8" applyNumberFormat="1" applyFont="1" applyFill="1" applyBorder="1" applyAlignment="1">
      <alignment horizontal="center"/>
    </xf>
    <xf numFmtId="170" fontId="0" fillId="0" borderId="4" xfId="8" applyFont="1" applyFill="1" applyBorder="1"/>
    <xf numFmtId="170" fontId="13" fillId="0" borderId="0" xfId="0" applyFont="1" applyFill="1" applyAlignment="1">
      <alignment horizontal="center"/>
    </xf>
    <xf numFmtId="170" fontId="24" fillId="0" borderId="0" xfId="10" quotePrefix="1" applyFont="1" applyFill="1" applyBorder="1" applyAlignment="1">
      <alignment horizontal="center" wrapText="1"/>
    </xf>
    <xf numFmtId="170" fontId="10" fillId="0" borderId="0" xfId="0" applyFont="1"/>
    <xf numFmtId="170" fontId="10" fillId="0" borderId="2" xfId="0" applyFont="1" applyBorder="1"/>
    <xf numFmtId="9" fontId="11" fillId="0" borderId="0" xfId="5" applyFont="1" applyFill="1"/>
    <xf numFmtId="170" fontId="11" fillId="0" borderId="4" xfId="0" applyFont="1" applyFill="1" applyBorder="1"/>
    <xf numFmtId="170" fontId="13" fillId="0" borderId="0" xfId="0" applyFont="1" applyFill="1" applyAlignment="1"/>
    <xf numFmtId="0" fontId="3" fillId="0" borderId="0" xfId="103"/>
    <xf numFmtId="168" fontId="0" fillId="0" borderId="0" xfId="104" applyNumberFormat="1" applyFont="1" applyFill="1"/>
    <xf numFmtId="0" fontId="3" fillId="0" borderId="0" xfId="103" applyFont="1" applyFill="1" applyBorder="1"/>
    <xf numFmtId="0" fontId="3" fillId="0" borderId="0" xfId="103" applyFont="1" applyFill="1"/>
    <xf numFmtId="0" fontId="10" fillId="0" borderId="12" xfId="103" applyFont="1" applyFill="1" applyBorder="1" applyAlignment="1">
      <alignment horizontal="centerContinuous"/>
    </xf>
    <xf numFmtId="0" fontId="10" fillId="0" borderId="11" xfId="103" applyFont="1" applyFill="1" applyBorder="1" applyAlignment="1">
      <alignment horizontal="centerContinuous"/>
    </xf>
    <xf numFmtId="0" fontId="10" fillId="0" borderId="10" xfId="103" applyFont="1" applyFill="1" applyBorder="1" applyAlignment="1">
      <alignment horizontal="centerContinuous"/>
    </xf>
    <xf numFmtId="10" fontId="11" fillId="0" borderId="0" xfId="104" applyNumberFormat="1" applyFont="1" applyFill="1"/>
    <xf numFmtId="170" fontId="11" fillId="0" borderId="12" xfId="10" applyFont="1" applyFill="1" applyBorder="1" applyAlignment="1">
      <alignment horizontal="centerContinuous"/>
    </xf>
    <xf numFmtId="171" fontId="0" fillId="0" borderId="0" xfId="8" applyNumberFormat="1" applyFont="1" applyFill="1"/>
    <xf numFmtId="9" fontId="0" fillId="0" borderId="0" xfId="104" applyFont="1" applyFill="1"/>
    <xf numFmtId="170" fontId="0" fillId="0" borderId="0" xfId="0" applyAlignment="1"/>
    <xf numFmtId="37" fontId="11" fillId="0" borderId="26" xfId="0" applyNumberFormat="1" applyFont="1" applyFill="1" applyBorder="1" applyAlignment="1">
      <alignment horizontal="center"/>
    </xf>
    <xf numFmtId="37" fontId="11" fillId="0" borderId="31" xfId="0" applyNumberFormat="1" applyFont="1" applyFill="1" applyBorder="1" applyAlignment="1">
      <alignment horizontal="center"/>
    </xf>
    <xf numFmtId="37" fontId="11" fillId="0" borderId="29" xfId="0" applyNumberFormat="1" applyFont="1" applyFill="1" applyBorder="1" applyAlignment="1">
      <alignment horizontal="center"/>
    </xf>
    <xf numFmtId="37" fontId="11" fillId="0" borderId="7" xfId="0" applyNumberFormat="1" applyFont="1" applyFill="1" applyBorder="1" applyAlignment="1">
      <alignment horizontal="center"/>
    </xf>
    <xf numFmtId="37" fontId="11" fillId="0" borderId="0" xfId="0" applyNumberFormat="1" applyFont="1" applyFill="1" applyBorder="1" applyAlignment="1">
      <alignment horizontal="center"/>
    </xf>
    <xf numFmtId="37" fontId="11" fillId="0" borderId="4" xfId="0" applyNumberFormat="1" applyFont="1" applyFill="1" applyBorder="1" applyAlignment="1">
      <alignment horizontal="center"/>
    </xf>
    <xf numFmtId="0" fontId="11" fillId="0" borderId="28" xfId="4" applyFont="1" applyBorder="1" applyAlignment="1">
      <alignment horizontal="center"/>
    </xf>
    <xf numFmtId="182" fontId="11" fillId="0" borderId="28" xfId="0" applyNumberFormat="1" applyFont="1" applyFill="1" applyBorder="1" applyAlignment="1">
      <alignment horizontal="center"/>
    </xf>
    <xf numFmtId="0" fontId="19" fillId="0" borderId="0" xfId="0" quotePrefix="1" applyNumberFormat="1" applyFont="1" applyFill="1" applyBorder="1" applyAlignment="1">
      <alignment horizontal="left"/>
    </xf>
    <xf numFmtId="174" fontId="0" fillId="0" borderId="0" xfId="3" applyNumberFormat="1" applyFont="1" applyFill="1" applyBorder="1"/>
    <xf numFmtId="170" fontId="0" fillId="0" borderId="0" xfId="0" applyFont="1"/>
    <xf numFmtId="170" fontId="45" fillId="0" borderId="0" xfId="0" applyFont="1"/>
    <xf numFmtId="168" fontId="45" fillId="0" borderId="0" xfId="102" applyNumberFormat="1" applyFont="1"/>
    <xf numFmtId="168" fontId="45" fillId="0" borderId="2" xfId="102" applyNumberFormat="1" applyFont="1" applyBorder="1"/>
    <xf numFmtId="5" fontId="11" fillId="0" borderId="0" xfId="0" applyNumberFormat="1" applyFont="1" applyFill="1" applyBorder="1" applyAlignment="1">
      <alignment horizontal="center"/>
    </xf>
    <xf numFmtId="170" fontId="0" fillId="0" borderId="0" xfId="0" applyFont="1" applyFill="1" applyAlignment="1">
      <alignment horizontal="left"/>
    </xf>
    <xf numFmtId="170" fontId="0" fillId="0" borderId="0" xfId="0" applyAlignment="1"/>
    <xf numFmtId="170" fontId="0" fillId="0" borderId="0" xfId="0" applyAlignment="1">
      <alignment horizontal="center"/>
    </xf>
    <xf numFmtId="170" fontId="0" fillId="0" borderId="0" xfId="0" applyAlignment="1">
      <alignment horizontal="right"/>
    </xf>
    <xf numFmtId="170" fontId="11" fillId="0" borderId="0" xfId="0" quotePrefix="1" applyFont="1" applyFill="1" applyAlignment="1">
      <alignment horizontal="right"/>
    </xf>
    <xf numFmtId="170" fontId="46" fillId="0" borderId="39" xfId="0" applyFont="1" applyBorder="1" applyAlignment="1">
      <alignment vertical="center"/>
    </xf>
    <xf numFmtId="170" fontId="47" fillId="0" borderId="43" xfId="0" applyFont="1" applyBorder="1" applyAlignment="1">
      <alignment vertical="center"/>
    </xf>
    <xf numFmtId="170" fontId="47" fillId="0" borderId="47" xfId="0" applyFont="1" applyBorder="1" applyAlignment="1">
      <alignment horizontal="center" vertical="center"/>
    </xf>
    <xf numFmtId="170" fontId="47" fillId="0" borderId="0" xfId="0" applyFont="1" applyAlignment="1">
      <alignment horizontal="center" vertical="center"/>
    </xf>
    <xf numFmtId="170" fontId="47" fillId="0" borderId="51" xfId="0" applyFont="1" applyBorder="1" applyAlignment="1">
      <alignment horizontal="center" vertical="center"/>
    </xf>
    <xf numFmtId="170" fontId="47" fillId="0" borderId="13" xfId="0" applyFont="1" applyBorder="1" applyAlignment="1">
      <alignment horizontal="center" vertical="center"/>
    </xf>
    <xf numFmtId="170" fontId="47" fillId="0" borderId="53" xfId="0" applyFont="1" applyBorder="1" applyAlignment="1">
      <alignment horizontal="center" vertical="center"/>
    </xf>
    <xf numFmtId="170" fontId="47" fillId="0" borderId="43" xfId="0" applyFont="1" applyBorder="1" applyAlignment="1">
      <alignment horizontal="center" vertical="center"/>
    </xf>
    <xf numFmtId="170" fontId="47" fillId="0" borderId="54" xfId="0" applyFont="1" applyBorder="1" applyAlignment="1">
      <alignment horizontal="center" vertical="center"/>
    </xf>
    <xf numFmtId="8" fontId="49" fillId="0" borderId="48" xfId="0" applyNumberFormat="1" applyFont="1" applyBorder="1" applyAlignment="1">
      <alignment horizontal="center" vertical="center"/>
    </xf>
    <xf numFmtId="8" fontId="47" fillId="0" borderId="56" xfId="0" applyNumberFormat="1" applyFont="1" applyBorder="1" applyAlignment="1">
      <alignment horizontal="center" vertical="center"/>
    </xf>
    <xf numFmtId="8" fontId="47" fillId="0" borderId="48" xfId="0" applyNumberFormat="1" applyFont="1" applyBorder="1" applyAlignment="1">
      <alignment horizontal="center" vertical="center"/>
    </xf>
    <xf numFmtId="170" fontId="47" fillId="0" borderId="48" xfId="0" applyFont="1" applyBorder="1" applyAlignment="1">
      <alignment horizontal="center" vertical="center"/>
    </xf>
    <xf numFmtId="170" fontId="47" fillId="0" borderId="49" xfId="0" applyFont="1" applyBorder="1" applyAlignment="1">
      <alignment horizontal="center" vertical="center"/>
    </xf>
    <xf numFmtId="8" fontId="49" fillId="0" borderId="0" xfId="0" applyNumberFormat="1" applyFont="1" applyAlignment="1">
      <alignment horizontal="center" vertical="center"/>
    </xf>
    <xf numFmtId="8" fontId="47" fillId="0" borderId="47" xfId="0" applyNumberFormat="1" applyFont="1" applyBorder="1" applyAlignment="1">
      <alignment horizontal="center" vertical="center"/>
    </xf>
    <xf numFmtId="8" fontId="47" fillId="0" borderId="0" xfId="0" applyNumberFormat="1" applyFont="1" applyAlignment="1">
      <alignment horizontal="center" vertical="center"/>
    </xf>
    <xf numFmtId="8" fontId="47" fillId="0" borderId="54" xfId="0" applyNumberFormat="1" applyFont="1" applyBorder="1" applyAlignment="1">
      <alignment horizontal="center" vertical="center"/>
    </xf>
    <xf numFmtId="8" fontId="49" fillId="0" borderId="58" xfId="0" applyNumberFormat="1" applyFont="1" applyBorder="1" applyAlignment="1">
      <alignment horizontal="center" vertical="center"/>
    </xf>
    <xf numFmtId="8" fontId="47" fillId="0" borderId="59" xfId="0" applyNumberFormat="1" applyFont="1" applyBorder="1" applyAlignment="1">
      <alignment horizontal="center" vertical="center"/>
    </xf>
    <xf numFmtId="8" fontId="47" fillId="0" borderId="58" xfId="0" applyNumberFormat="1" applyFont="1" applyBorder="1" applyAlignment="1">
      <alignment horizontal="center" vertical="center"/>
    </xf>
    <xf numFmtId="8" fontId="47" fillId="0" borderId="60" xfId="0" applyNumberFormat="1" applyFont="1" applyBorder="1" applyAlignment="1">
      <alignment horizontal="center" vertical="center"/>
    </xf>
    <xf numFmtId="182" fontId="47" fillId="0" borderId="55" xfId="0" applyNumberFormat="1" applyFont="1" applyBorder="1" applyAlignment="1">
      <alignment horizontal="center" vertical="center"/>
    </xf>
    <xf numFmtId="0" fontId="47" fillId="0" borderId="43" xfId="0" applyNumberFormat="1" applyFont="1" applyBorder="1" applyAlignment="1">
      <alignment horizontal="center" vertical="center"/>
    </xf>
    <xf numFmtId="183" fontId="47" fillId="0" borderId="43" xfId="0" applyNumberFormat="1" applyFont="1" applyBorder="1" applyAlignment="1">
      <alignment horizontal="center" vertical="center"/>
    </xf>
    <xf numFmtId="0" fontId="47" fillId="0" borderId="57" xfId="0" applyNumberFormat="1" applyFont="1" applyBorder="1" applyAlignment="1">
      <alignment horizontal="center" vertical="center"/>
    </xf>
    <xf numFmtId="170" fontId="47" fillId="0" borderId="52" xfId="0" applyFont="1" applyBorder="1" applyAlignment="1">
      <alignment horizontal="center" vertical="center"/>
    </xf>
    <xf numFmtId="170" fontId="0" fillId="0" borderId="58" xfId="0" applyBorder="1"/>
    <xf numFmtId="170" fontId="0" fillId="0" borderId="60" xfId="0" applyBorder="1"/>
    <xf numFmtId="170" fontId="50" fillId="0" borderId="65" xfId="0" applyFont="1" applyBorder="1" applyAlignment="1">
      <alignment horizontal="center" vertical="center"/>
    </xf>
    <xf numFmtId="170" fontId="50" fillId="0" borderId="54" xfId="0" applyFont="1" applyBorder="1" applyAlignment="1">
      <alignment horizontal="center" vertical="center" wrapText="1"/>
    </xf>
    <xf numFmtId="170" fontId="50" fillId="0" borderId="61" xfId="0" applyFont="1" applyBorder="1" applyAlignment="1">
      <alignment horizontal="center" vertical="center" wrapText="1"/>
    </xf>
    <xf numFmtId="170" fontId="50" fillId="0" borderId="52" xfId="0" applyFont="1" applyBorder="1" applyAlignment="1">
      <alignment horizontal="center" vertical="center" wrapText="1"/>
    </xf>
    <xf numFmtId="170" fontId="50" fillId="0" borderId="54" xfId="0" applyFont="1" applyBorder="1" applyAlignment="1">
      <alignment horizontal="center" vertical="center"/>
    </xf>
    <xf numFmtId="170" fontId="50" fillId="0" borderId="61" xfId="0" applyFont="1" applyBorder="1" applyAlignment="1">
      <alignment horizontal="center" vertical="center"/>
    </xf>
    <xf numFmtId="170" fontId="50" fillId="0" borderId="52" xfId="0" applyFont="1" applyBorder="1" applyAlignment="1">
      <alignment horizontal="center" vertical="center"/>
    </xf>
    <xf numFmtId="170" fontId="0" fillId="0" borderId="54" xfId="0" applyBorder="1"/>
    <xf numFmtId="170" fontId="0" fillId="0" borderId="61" xfId="0" applyBorder="1"/>
    <xf numFmtId="10" fontId="50" fillId="0" borderId="61" xfId="0" applyNumberFormat="1" applyFont="1" applyBorder="1" applyAlignment="1">
      <alignment horizontal="center" vertical="center"/>
    </xf>
    <xf numFmtId="170" fontId="0" fillId="0" borderId="61" xfId="0" applyBorder="1" applyAlignment="1">
      <alignment vertical="center"/>
    </xf>
    <xf numFmtId="170" fontId="50" fillId="0" borderId="66" xfId="0" applyFont="1" applyBorder="1" applyAlignment="1">
      <alignment horizontal="center" vertical="center"/>
    </xf>
    <xf numFmtId="170" fontId="0" fillId="0" borderId="66" xfId="0" applyBorder="1" applyAlignment="1">
      <alignment vertical="center"/>
    </xf>
    <xf numFmtId="9" fontId="50" fillId="0" borderId="66" xfId="0" applyNumberFormat="1" applyFont="1" applyBorder="1" applyAlignment="1">
      <alignment horizontal="center" vertical="center"/>
    </xf>
    <xf numFmtId="9" fontId="50" fillId="0" borderId="60" xfId="0" applyNumberFormat="1" applyFont="1" applyBorder="1" applyAlignment="1">
      <alignment horizontal="center" vertical="center"/>
    </xf>
    <xf numFmtId="6" fontId="50" fillId="0" borderId="61" xfId="0" applyNumberFormat="1" applyFont="1" applyBorder="1" applyAlignment="1">
      <alignment horizontal="center" vertical="center"/>
    </xf>
    <xf numFmtId="8" fontId="50" fillId="0" borderId="61" xfId="0" applyNumberFormat="1" applyFont="1" applyBorder="1" applyAlignment="1">
      <alignment horizontal="center" vertical="center"/>
    </xf>
    <xf numFmtId="8" fontId="50" fillId="0" borderId="52" xfId="0" applyNumberFormat="1" applyFont="1" applyBorder="1" applyAlignment="1">
      <alignment horizontal="center" vertical="center"/>
    </xf>
    <xf numFmtId="6" fontId="50" fillId="0" borderId="54" xfId="0" applyNumberFormat="1" applyFont="1" applyBorder="1" applyAlignment="1">
      <alignment horizontal="center" vertical="center"/>
    </xf>
    <xf numFmtId="6" fontId="50" fillId="0" borderId="60" xfId="0" applyNumberFormat="1" applyFont="1" applyBorder="1" applyAlignment="1">
      <alignment horizontal="center" vertical="center"/>
    </xf>
    <xf numFmtId="6" fontId="50" fillId="0" borderId="66" xfId="0" applyNumberFormat="1" applyFont="1" applyBorder="1" applyAlignment="1">
      <alignment horizontal="center" vertical="center"/>
    </xf>
    <xf numFmtId="8" fontId="50" fillId="0" borderId="66" xfId="0" applyNumberFormat="1" applyFont="1" applyBorder="1" applyAlignment="1">
      <alignment horizontal="center" vertical="center"/>
    </xf>
    <xf numFmtId="8" fontId="50" fillId="0" borderId="60" xfId="0" applyNumberFormat="1" applyFont="1" applyBorder="1" applyAlignment="1">
      <alignment horizontal="center" vertical="center"/>
    </xf>
    <xf numFmtId="170" fontId="50" fillId="0" borderId="39" xfId="0" applyFont="1" applyBorder="1" applyAlignment="1">
      <alignment horizontal="center" vertical="center"/>
    </xf>
    <xf numFmtId="170" fontId="50" fillId="0" borderId="43" xfId="0" applyFont="1" applyBorder="1" applyAlignment="1">
      <alignment horizontal="center" vertical="center"/>
    </xf>
    <xf numFmtId="170" fontId="50" fillId="0" borderId="12" xfId="0" applyFont="1" applyBorder="1" applyAlignment="1">
      <alignment horizontal="center" vertical="center" wrapText="1"/>
    </xf>
    <xf numFmtId="170" fontId="50" fillId="0" borderId="45" xfId="0" applyFont="1" applyBorder="1" applyAlignment="1">
      <alignment horizontal="center" vertical="center" wrapText="1"/>
    </xf>
    <xf numFmtId="170" fontId="50" fillId="0" borderId="61" xfId="0" applyFont="1" applyBorder="1" applyAlignment="1">
      <alignment vertical="center"/>
    </xf>
    <xf numFmtId="170" fontId="50" fillId="0" borderId="43" xfId="0" applyFont="1" applyBorder="1" applyAlignment="1">
      <alignment vertical="center"/>
    </xf>
    <xf numFmtId="170" fontId="50" fillId="0" borderId="43" xfId="0" applyFont="1" applyBorder="1" applyAlignment="1">
      <alignment horizontal="right" vertical="center"/>
    </xf>
    <xf numFmtId="170" fontId="0" fillId="0" borderId="57" xfId="0" applyBorder="1" applyAlignment="1">
      <alignment horizontal="right"/>
    </xf>
    <xf numFmtId="171" fontId="0" fillId="22" borderId="0" xfId="8" applyNumberFormat="1" applyFont="1" applyFill="1"/>
    <xf numFmtId="168" fontId="0" fillId="22" borderId="0" xfId="104" applyNumberFormat="1" applyFont="1" applyFill="1"/>
    <xf numFmtId="9" fontId="0" fillId="0" borderId="0" xfId="104" applyFont="1" applyFill="1" applyAlignment="1">
      <alignment vertical="center"/>
    </xf>
    <xf numFmtId="170" fontId="0" fillId="0" borderId="0" xfId="8" applyFont="1" applyFill="1" applyAlignment="1">
      <alignment vertical="center"/>
    </xf>
    <xf numFmtId="10" fontId="0" fillId="22" borderId="0" xfId="5" applyNumberFormat="1" applyFont="1" applyFill="1"/>
    <xf numFmtId="170" fontId="19" fillId="23" borderId="0" xfId="0" applyFont="1" applyFill="1"/>
    <xf numFmtId="170" fontId="19" fillId="23" borderId="0" xfId="0" applyFont="1" applyFill="1" applyBorder="1" applyAlignment="1">
      <alignment horizontal="center"/>
    </xf>
    <xf numFmtId="170" fontId="19" fillId="23" borderId="28" xfId="0" applyFont="1" applyFill="1" applyBorder="1" applyAlignment="1">
      <alignment horizontal="center" wrapText="1"/>
    </xf>
    <xf numFmtId="170" fontId="19" fillId="23" borderId="5" xfId="0" applyFont="1" applyFill="1" applyBorder="1" applyAlignment="1">
      <alignment horizontal="center" wrapText="1"/>
    </xf>
    <xf numFmtId="17" fontId="11" fillId="23" borderId="6" xfId="0" applyNumberFormat="1" applyFont="1" applyFill="1" applyBorder="1" applyAlignment="1">
      <alignment horizontal="center" wrapText="1"/>
    </xf>
    <xf numFmtId="170" fontId="0" fillId="23" borderId="6" xfId="0" applyFill="1" applyBorder="1" applyAlignment="1">
      <alignment horizontal="center" wrapText="1"/>
    </xf>
    <xf numFmtId="170" fontId="19" fillId="23" borderId="2" xfId="0" applyFont="1" applyFill="1" applyBorder="1"/>
    <xf numFmtId="170" fontId="19" fillId="23" borderId="2" xfId="0" quotePrefix="1" applyFont="1" applyFill="1" applyBorder="1" applyAlignment="1">
      <alignment horizontal="center"/>
    </xf>
    <xf numFmtId="182" fontId="19" fillId="23" borderId="7" xfId="0" applyNumberFormat="1" applyFont="1" applyFill="1" applyBorder="1" applyAlignment="1">
      <alignment horizontal="center"/>
    </xf>
    <xf numFmtId="7" fontId="11" fillId="23" borderId="7" xfId="0" applyNumberFormat="1" applyFont="1" applyFill="1" applyBorder="1" applyAlignment="1">
      <alignment horizontal="center"/>
    </xf>
    <xf numFmtId="7" fontId="11" fillId="23" borderId="0" xfId="0" applyNumberFormat="1" applyFont="1" applyFill="1" applyBorder="1" applyAlignment="1">
      <alignment horizontal="center"/>
    </xf>
    <xf numFmtId="8" fontId="11" fillId="23" borderId="4" xfId="0" applyNumberFormat="1" applyFont="1" applyFill="1" applyBorder="1" applyAlignment="1">
      <alignment horizontal="center"/>
    </xf>
    <xf numFmtId="166" fontId="11" fillId="23" borderId="0" xfId="0" applyNumberFormat="1" applyFont="1" applyFill="1" applyBorder="1" applyAlignment="1">
      <alignment horizontal="center"/>
    </xf>
    <xf numFmtId="0" fontId="19" fillId="23" borderId="8" xfId="0" applyNumberFormat="1" applyFont="1" applyFill="1" applyBorder="1" applyAlignment="1">
      <alignment horizontal="center"/>
    </xf>
    <xf numFmtId="7" fontId="11" fillId="23" borderId="8" xfId="0" applyNumberFormat="1" applyFont="1" applyFill="1" applyBorder="1" applyAlignment="1">
      <alignment horizontal="center"/>
    </xf>
    <xf numFmtId="7" fontId="11" fillId="23" borderId="2" xfId="0" applyNumberFormat="1" applyFont="1" applyFill="1" applyBorder="1" applyAlignment="1">
      <alignment horizontal="center"/>
    </xf>
    <xf numFmtId="8" fontId="11" fillId="23" borderId="9" xfId="0" applyNumberFormat="1" applyFont="1" applyFill="1" applyBorder="1" applyAlignment="1">
      <alignment horizontal="center"/>
    </xf>
    <xf numFmtId="166" fontId="11" fillId="23" borderId="2" xfId="0" applyNumberFormat="1" applyFont="1" applyFill="1" applyBorder="1" applyAlignment="1">
      <alignment horizontal="center"/>
    </xf>
    <xf numFmtId="0" fontId="19" fillId="23" borderId="28" xfId="0" applyNumberFormat="1" applyFont="1" applyFill="1" applyBorder="1" applyAlignment="1">
      <alignment horizontal="center"/>
    </xf>
    <xf numFmtId="0" fontId="19" fillId="23" borderId="3" xfId="0" applyNumberFormat="1" applyFont="1" applyFill="1" applyBorder="1" applyAlignment="1">
      <alignment horizontal="center"/>
    </xf>
    <xf numFmtId="184" fontId="11" fillId="23" borderId="0" xfId="0" applyNumberFormat="1" applyFont="1" applyFill="1" applyBorder="1" applyAlignment="1">
      <alignment horizontal="center"/>
    </xf>
    <xf numFmtId="8" fontId="11" fillId="23" borderId="0" xfId="0" applyNumberFormat="1" applyFont="1" applyFill="1" applyBorder="1" applyAlignment="1">
      <alignment horizontal="center"/>
    </xf>
    <xf numFmtId="0" fontId="19" fillId="23" borderId="5" xfId="0" applyNumberFormat="1" applyFont="1" applyFill="1" applyBorder="1" applyAlignment="1">
      <alignment horizontal="center"/>
    </xf>
    <xf numFmtId="0" fontId="19" fillId="23" borderId="0" xfId="0" applyNumberFormat="1" applyFont="1" applyFill="1" applyBorder="1" applyAlignment="1">
      <alignment horizontal="center"/>
    </xf>
    <xf numFmtId="0" fontId="19" fillId="23" borderId="0" xfId="0" applyNumberFormat="1" applyFont="1" applyFill="1" applyBorder="1" applyAlignment="1">
      <alignment horizontal="left"/>
    </xf>
    <xf numFmtId="170" fontId="11" fillId="23" borderId="0" xfId="0" applyFont="1" applyFill="1" applyAlignment="1">
      <alignment horizontal="right"/>
    </xf>
    <xf numFmtId="0" fontId="10" fillId="23" borderId="0" xfId="0" applyNumberFormat="1" applyFont="1" applyFill="1" applyBorder="1" applyAlignment="1">
      <alignment horizontal="left"/>
    </xf>
    <xf numFmtId="170" fontId="11" fillId="6" borderId="37" xfId="0" applyFont="1" applyFill="1" applyBorder="1" applyAlignment="1">
      <alignment horizontal="right"/>
    </xf>
    <xf numFmtId="170" fontId="11" fillId="20" borderId="67" xfId="0" applyFont="1" applyFill="1" applyBorder="1" applyAlignment="1"/>
    <xf numFmtId="170" fontId="11" fillId="20" borderId="68" xfId="0" applyFont="1" applyFill="1" applyBorder="1" applyAlignment="1"/>
    <xf numFmtId="170" fontId="11" fillId="0" borderId="68" xfId="0" applyFont="1" applyBorder="1" applyAlignment="1"/>
    <xf numFmtId="170" fontId="11" fillId="0" borderId="37" xfId="0" applyFont="1" applyBorder="1" applyAlignment="1"/>
    <xf numFmtId="170" fontId="11" fillId="2" borderId="38" xfId="0" applyFont="1" applyFill="1" applyBorder="1" applyAlignment="1"/>
    <xf numFmtId="170" fontId="11" fillId="2" borderId="36" xfId="0" applyFont="1" applyFill="1" applyBorder="1" applyAlignment="1"/>
    <xf numFmtId="170" fontId="11" fillId="0" borderId="36" xfId="0" applyFont="1" applyFill="1" applyBorder="1" applyAlignment="1"/>
    <xf numFmtId="170" fontId="11" fillId="2" borderId="37" xfId="0" applyFont="1" applyFill="1" applyBorder="1" applyAlignment="1"/>
    <xf numFmtId="170" fontId="10" fillId="2" borderId="37" xfId="0" applyFont="1" applyFill="1" applyBorder="1" applyAlignment="1"/>
    <xf numFmtId="170" fontId="11" fillId="0" borderId="67" xfId="0" applyFont="1" applyBorder="1" applyAlignment="1"/>
    <xf numFmtId="170" fontId="12" fillId="6" borderId="38" xfId="0" applyFont="1" applyFill="1" applyBorder="1" applyAlignment="1">
      <alignment horizontal="centerContinuous" wrapText="1"/>
    </xf>
    <xf numFmtId="170" fontId="12" fillId="6" borderId="37" xfId="0" applyFont="1" applyFill="1" applyBorder="1" applyAlignment="1">
      <alignment horizontal="centerContinuous" wrapText="1"/>
    </xf>
    <xf numFmtId="170" fontId="50" fillId="0" borderId="54" xfId="0" applyFont="1" applyBorder="1" applyAlignment="1">
      <alignment horizontal="right" vertical="center"/>
    </xf>
    <xf numFmtId="9" fontId="0" fillId="0" borderId="0" xfId="5" applyFont="1"/>
    <xf numFmtId="170" fontId="11" fillId="0" borderId="0" xfId="0" applyFont="1" applyFill="1" applyAlignment="1"/>
    <xf numFmtId="170" fontId="50" fillId="0" borderId="69" xfId="0" applyFont="1" applyBorder="1" applyAlignment="1">
      <alignment horizontal="right" vertical="center"/>
    </xf>
    <xf numFmtId="0" fontId="51" fillId="0" borderId="0" xfId="106" applyFont="1" applyAlignment="1">
      <alignment vertical="center"/>
    </xf>
    <xf numFmtId="0" fontId="2" fillId="0" borderId="0" xfId="106"/>
    <xf numFmtId="164" fontId="0" fillId="0" borderId="0" xfId="107" applyNumberFormat="1" applyFont="1"/>
    <xf numFmtId="174" fontId="0" fillId="0" borderId="0" xfId="108" applyNumberFormat="1" applyFont="1"/>
    <xf numFmtId="174" fontId="11" fillId="0" borderId="0" xfId="108" applyNumberFormat="1" applyFont="1" applyFill="1" applyBorder="1"/>
    <xf numFmtId="10" fontId="0" fillId="0" borderId="0" xfId="5" applyNumberFormat="1" applyFont="1"/>
    <xf numFmtId="9" fontId="11" fillId="0" borderId="0" xfId="5" applyFont="1" applyFill="1" applyBorder="1" applyAlignment="1">
      <alignment horizontal="center"/>
    </xf>
    <xf numFmtId="170" fontId="0" fillId="21" borderId="0" xfId="0" applyFill="1"/>
    <xf numFmtId="168" fontId="45" fillId="0" borderId="0" xfId="102" applyNumberFormat="1" applyFont="1" applyFill="1"/>
    <xf numFmtId="9" fontId="0" fillId="0" borderId="0" xfId="5" applyFont="1" applyFill="1"/>
    <xf numFmtId="170" fontId="48" fillId="0" borderId="44" xfId="0" applyFont="1" applyBorder="1" applyAlignment="1">
      <alignment horizontal="center" vertical="center"/>
    </xf>
    <xf numFmtId="170" fontId="48" fillId="0" borderId="11" xfId="0" applyFont="1" applyBorder="1" applyAlignment="1">
      <alignment horizontal="center" vertical="center"/>
    </xf>
    <xf numFmtId="170" fontId="48" fillId="0" borderId="45" xfId="0" applyFont="1" applyBorder="1" applyAlignment="1">
      <alignment horizontal="center" vertical="center"/>
    </xf>
    <xf numFmtId="170" fontId="47" fillId="0" borderId="43" xfId="0" applyFont="1" applyBorder="1" applyAlignment="1">
      <alignment horizontal="center" vertical="center"/>
    </xf>
    <xf numFmtId="170" fontId="47" fillId="0" borderId="46" xfId="0" applyFont="1" applyBorder="1" applyAlignment="1">
      <alignment horizontal="center" vertical="center"/>
    </xf>
    <xf numFmtId="170" fontId="47" fillId="0" borderId="50" xfId="0" applyFont="1" applyBorder="1" applyAlignment="1">
      <alignment horizontal="center" vertical="center"/>
    </xf>
    <xf numFmtId="170" fontId="47" fillId="0" borderId="44" xfId="0" applyFont="1" applyBorder="1" applyAlignment="1">
      <alignment horizontal="center" vertical="center"/>
    </xf>
    <xf numFmtId="170" fontId="47" fillId="0" borderId="11" xfId="0" applyFont="1" applyBorder="1" applyAlignment="1">
      <alignment horizontal="center" vertical="center"/>
    </xf>
    <xf numFmtId="170" fontId="47" fillId="0" borderId="45" xfId="0" applyFont="1" applyBorder="1" applyAlignment="1">
      <alignment horizontal="center" vertical="center"/>
    </xf>
    <xf numFmtId="170" fontId="13" fillId="0" borderId="0" xfId="0" applyFont="1" applyFill="1" applyAlignment="1">
      <alignment horizontal="center" wrapText="1"/>
    </xf>
    <xf numFmtId="170" fontId="46" fillId="0" borderId="40" xfId="0" applyFont="1" applyBorder="1" applyAlignment="1">
      <alignment horizontal="center" vertical="center"/>
    </xf>
    <xf numFmtId="170" fontId="46" fillId="0" borderId="41" xfId="0" applyFont="1" applyBorder="1" applyAlignment="1">
      <alignment horizontal="center" vertical="center"/>
    </xf>
    <xf numFmtId="170" fontId="46" fillId="0" borderId="42" xfId="0" applyFont="1" applyBorder="1" applyAlignment="1">
      <alignment horizontal="center" vertical="center"/>
    </xf>
    <xf numFmtId="170" fontId="13" fillId="0" borderId="0" xfId="0" applyFont="1" applyFill="1" applyAlignment="1">
      <alignment horizontal="center"/>
    </xf>
    <xf numFmtId="170" fontId="0" fillId="0" borderId="0" xfId="0" applyAlignment="1">
      <alignment horizontal="center"/>
    </xf>
    <xf numFmtId="170" fontId="11" fillId="0" borderId="0" xfId="0" applyFont="1" applyFill="1" applyAlignment="1">
      <alignment horizontal="left" vertical="top"/>
    </xf>
    <xf numFmtId="170" fontId="0" fillId="0" borderId="0" xfId="0" applyAlignment="1"/>
    <xf numFmtId="170" fontId="45" fillId="0" borderId="40" xfId="0" applyFont="1" applyBorder="1" applyAlignment="1">
      <alignment horizontal="center" vertical="center"/>
    </xf>
    <xf numFmtId="170" fontId="45" fillId="0" borderId="41" xfId="0" applyFont="1" applyBorder="1" applyAlignment="1">
      <alignment horizontal="center" vertical="center"/>
    </xf>
    <xf numFmtId="170" fontId="45" fillId="0" borderId="42" xfId="0" applyFont="1" applyBorder="1" applyAlignment="1">
      <alignment horizontal="center" vertical="center"/>
    </xf>
    <xf numFmtId="170" fontId="45" fillId="0" borderId="62" xfId="0" applyFont="1" applyBorder="1" applyAlignment="1">
      <alignment horizontal="center" vertical="center"/>
    </xf>
    <xf numFmtId="170" fontId="45" fillId="0" borderId="63" xfId="0" applyFont="1" applyBorder="1" applyAlignment="1">
      <alignment horizontal="center" vertical="center"/>
    </xf>
    <xf numFmtId="170" fontId="45" fillId="0" borderId="64" xfId="0" applyFont="1" applyBorder="1" applyAlignment="1">
      <alignment horizontal="center" vertical="center"/>
    </xf>
    <xf numFmtId="170" fontId="11" fillId="0" borderId="0" xfId="0" quotePrefix="1" applyFont="1" applyFill="1" applyAlignment="1"/>
    <xf numFmtId="170" fontId="12" fillId="0" borderId="0" xfId="8" applyFont="1" applyFill="1" applyAlignment="1">
      <alignment horizontal="center"/>
    </xf>
    <xf numFmtId="170" fontId="0" fillId="22" borderId="0" xfId="8" applyFont="1" applyFill="1" applyAlignment="1">
      <alignment horizontal="center"/>
    </xf>
    <xf numFmtId="170" fontId="13" fillId="23" borderId="0" xfId="0" applyFont="1" applyFill="1" applyAlignment="1">
      <alignment horizontal="center"/>
    </xf>
    <xf numFmtId="170" fontId="0" fillId="23" borderId="0" xfId="0" applyFill="1" applyAlignment="1">
      <alignment horizontal="center"/>
    </xf>
    <xf numFmtId="170" fontId="12" fillId="0" borderId="0" xfId="0" applyFont="1" applyFill="1" applyAlignment="1">
      <alignment horizontal="center"/>
    </xf>
    <xf numFmtId="17" fontId="10" fillId="23" borderId="37" xfId="0" applyNumberFormat="1" applyFont="1" applyFill="1" applyBorder="1" applyAlignment="1">
      <alignment horizontal="center" wrapText="1"/>
    </xf>
    <xf numFmtId="170" fontId="10" fillId="23" borderId="36" xfId="0" applyFont="1" applyFill="1" applyBorder="1" applyAlignment="1">
      <alignment horizontal="center" wrapText="1"/>
    </xf>
    <xf numFmtId="170" fontId="10" fillId="23" borderId="38" xfId="0" applyFont="1" applyFill="1" applyBorder="1" applyAlignment="1">
      <alignment horizontal="center" wrapText="1"/>
    </xf>
    <xf numFmtId="17" fontId="11" fillId="23" borderId="37" xfId="0" applyNumberFormat="1" applyFont="1" applyFill="1" applyBorder="1" applyAlignment="1">
      <alignment horizontal="center" wrapText="1"/>
    </xf>
    <xf numFmtId="170" fontId="0" fillId="23" borderId="36" xfId="0" applyFill="1" applyBorder="1" applyAlignment="1">
      <alignment horizontal="center" wrapText="1"/>
    </xf>
    <xf numFmtId="170" fontId="0" fillId="23" borderId="38" xfId="0" applyFill="1" applyBorder="1" applyAlignment="1">
      <alignment horizontal="center" wrapText="1"/>
    </xf>
    <xf numFmtId="170" fontId="0" fillId="0" borderId="37" xfId="0" applyBorder="1" applyAlignment="1">
      <alignment horizontal="center"/>
    </xf>
    <xf numFmtId="170" fontId="0" fillId="0" borderId="36" xfId="0" applyBorder="1" applyAlignment="1">
      <alignment horizontal="center"/>
    </xf>
    <xf numFmtId="170" fontId="0" fillId="0" borderId="38" xfId="0" applyBorder="1" applyAlignment="1">
      <alignment horizontal="center"/>
    </xf>
    <xf numFmtId="170" fontId="10" fillId="0" borderId="37" xfId="0" applyFont="1" applyBorder="1" applyAlignment="1">
      <alignment horizontal="center"/>
    </xf>
    <xf numFmtId="170" fontId="10" fillId="0" borderId="36" xfId="0" applyFont="1" applyBorder="1" applyAlignment="1">
      <alignment horizontal="center"/>
    </xf>
    <xf numFmtId="170" fontId="10" fillId="0" borderId="38" xfId="0" applyFont="1" applyBorder="1" applyAlignment="1">
      <alignment horizontal="center"/>
    </xf>
  </cellXfs>
  <cellStyles count="109">
    <cellStyle name="_x0013_" xfId="23"/>
    <cellStyle name="ArrayHeading" xfId="28"/>
    <cellStyle name="BetweenMacros" xfId="29"/>
    <cellStyle name="Column total in dollars" xfId="30"/>
    <cellStyle name="Comma  - Style1" xfId="31"/>
    <cellStyle name="Comma  - Style2" xfId="32"/>
    <cellStyle name="Comma  - Style3" xfId="33"/>
    <cellStyle name="Comma  - Style4" xfId="34"/>
    <cellStyle name="Comma  - Style5" xfId="35"/>
    <cellStyle name="Comma  - Style6" xfId="36"/>
    <cellStyle name="Comma  - Style7" xfId="37"/>
    <cellStyle name="Comma  - Style8" xfId="38"/>
    <cellStyle name="Comma (0)" xfId="39"/>
    <cellStyle name="Comma 2" xfId="7"/>
    <cellStyle name="Comma 2 2" xfId="22"/>
    <cellStyle name="Comma 2 3" xfId="40"/>
    <cellStyle name="Comma 3" xfId="41"/>
    <cellStyle name="Comma 4" xfId="42"/>
    <cellStyle name="Comma 5" xfId="101"/>
    <cellStyle name="Comma 6" xfId="105"/>
    <cellStyle name="Comma 7" xfId="107"/>
    <cellStyle name="Comma0" xfId="43"/>
    <cellStyle name="Comma0 - Style3" xfId="44"/>
    <cellStyle name="Comma0 - Style4" xfId="45"/>
    <cellStyle name="Comma0_2009 10 Yr Plan Key Assumptions" xfId="46"/>
    <cellStyle name="Comma1 - Style1" xfId="47"/>
    <cellStyle name="Currency" xfId="1" builtinId="4"/>
    <cellStyle name="Currency 2" xfId="24"/>
    <cellStyle name="Currency No Comma" xfId="14"/>
    <cellStyle name="Currency(0)" xfId="48"/>
    <cellStyle name="Currency0" xfId="49"/>
    <cellStyle name="Date" xfId="50"/>
    <cellStyle name="Date - Style3" xfId="51"/>
    <cellStyle name="Date_2009 10 Yr Plan Key Assumptions" xfId="52"/>
    <cellStyle name="Fixed" xfId="53"/>
    <cellStyle name="Grey" xfId="54"/>
    <cellStyle name="header" xfId="55"/>
    <cellStyle name="Header1" xfId="56"/>
    <cellStyle name="Header2" xfId="57"/>
    <cellStyle name="Input" xfId="2" builtinId="20" customBuiltin="1"/>
    <cellStyle name="Input [yellow]" xfId="58"/>
    <cellStyle name="Macro" xfId="59"/>
    <cellStyle name="macro descr" xfId="60"/>
    <cellStyle name="Macro_Comments" xfId="61"/>
    <cellStyle name="MacroText" xfId="62"/>
    <cellStyle name="MCP" xfId="15"/>
    <cellStyle name="nONE" xfId="63"/>
    <cellStyle name="noninput" xfId="16"/>
    <cellStyle name="Normal" xfId="0" builtinId="0" customBuiltin="1"/>
    <cellStyle name="Normal - Style1" xfId="64"/>
    <cellStyle name="Normal 10" xfId="65"/>
    <cellStyle name="Normal 11" xfId="100"/>
    <cellStyle name="Normal 12" xfId="103"/>
    <cellStyle name="Normal 13" xfId="106"/>
    <cellStyle name="Normal 176" xfId="25"/>
    <cellStyle name="Normal 176 2" xfId="26"/>
    <cellStyle name="Normal 2" xfId="9"/>
    <cellStyle name="Normal 2 2" xfId="66"/>
    <cellStyle name="Normal 2 3" xfId="67"/>
    <cellStyle name="Normal 2 4" xfId="68"/>
    <cellStyle name="Normal 3" xfId="12"/>
    <cellStyle name="Normal 3 2" xfId="69"/>
    <cellStyle name="Normal 4" xfId="27"/>
    <cellStyle name="Normal 5" xfId="6"/>
    <cellStyle name="Normal 6" xfId="70"/>
    <cellStyle name="Normal 7" xfId="71"/>
    <cellStyle name="Normal 7 4" xfId="95"/>
    <cellStyle name="Normal 8" xfId="72"/>
    <cellStyle name="Normal 9" xfId="96"/>
    <cellStyle name="Normal 9 2" xfId="97"/>
    <cellStyle name="Normal(0)" xfId="73"/>
    <cellStyle name="Normal_DRR AC Study - Utah Valley - 53 MW 90 CF (2.28.2005)" xfId="3"/>
    <cellStyle name="Normal_INF_06_03_07" xfId="11"/>
    <cellStyle name="Normal_Or AC 2003 - AC Study - Fuel Indexed Avoided Costs" xfId="4"/>
    <cellStyle name="Normal_OR AC Sch 37 - AC  Study (Gold) _2009 06 19" xfId="8"/>
    <cellStyle name="Normal_OR AC Sch 37 - AC  Study (Gold) _2009 07 07" xfId="99"/>
    <cellStyle name="Normal_T-INF-10-15-04-TEMPLATE" xfId="13"/>
    <cellStyle name="Normal_UT AC Sch 37 - L&amp;R  Study (Gold) _2009 06 19" xfId="21"/>
    <cellStyle name="Normal_WY AC 2009 - AC Study (Wind Study)_2009 08 11" xfId="10"/>
    <cellStyle name="Number" xfId="74"/>
    <cellStyle name="Password" xfId="17"/>
    <cellStyle name="Percen - Style1" xfId="75"/>
    <cellStyle name="Percen - Style2" xfId="76"/>
    <cellStyle name="Percent" xfId="5" builtinId="5"/>
    <cellStyle name="Percent [2]" xfId="77"/>
    <cellStyle name="Percent 2" xfId="78"/>
    <cellStyle name="Percent 2 2" xfId="98"/>
    <cellStyle name="Percent 3" xfId="79"/>
    <cellStyle name="Percent 4" xfId="80"/>
    <cellStyle name="Percent 5" xfId="102"/>
    <cellStyle name="Percent 6" xfId="104"/>
    <cellStyle name="Percent 7" xfId="108"/>
    <cellStyle name="Percent(0)" xfId="81"/>
    <cellStyle name="SAPBEXaggData" xfId="82"/>
    <cellStyle name="SAPBEXaggItem" xfId="83"/>
    <cellStyle name="SAPBEXchaText" xfId="84"/>
    <cellStyle name="SAPBEXstdData" xfId="85"/>
    <cellStyle name="SAPBEXstdItem" xfId="86"/>
    <cellStyle name="SAPBEXstdItemX" xfId="87"/>
    <cellStyle name="Shade" xfId="88"/>
    <cellStyle name="Special" xfId="89"/>
    <cellStyle name="Style 1" xfId="90"/>
    <cellStyle name="Titles" xfId="91"/>
    <cellStyle name="Total2 - Style2" xfId="92"/>
    <cellStyle name="Underl - Style4" xfId="93"/>
    <cellStyle name="UNLocked" xfId="94"/>
    <cellStyle name="Unprot" xfId="18"/>
    <cellStyle name="Unprot$" xfId="19"/>
    <cellStyle name="Unprotect" xfId="20"/>
  </cellStyles>
  <dxfs count="2">
    <dxf>
      <fill>
        <patternFill>
          <bgColor theme="6" tint="0.3999450666829432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styles" Target="styles.xml"/><Relationship Id="rId2" Type="http://schemas.openxmlformats.org/officeDocument/2006/relationships/worksheet" Target="worksheets/sheet1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9.xml"/><Relationship Id="rId19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PPA Rates for QF Resource starting 2015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4697239768105911E-2"/>
          <c:y val="7.8845663490095752E-2"/>
          <c:w val="0.87539753684635579"/>
          <c:h val="0.76377229413283299"/>
        </c:manualLayout>
      </c:layout>
      <c:lineChart>
        <c:grouping val="standard"/>
        <c:varyColors val="0"/>
        <c:ser>
          <c:idx val="0"/>
          <c:order val="0"/>
          <c:tx>
            <c:v>StdBaseLoadOnPk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39.36</c:v>
                </c:pt>
                <c:pt idx="1">
                  <c:v>38.54</c:v>
                </c:pt>
                <c:pt idx="2">
                  <c:v>40.619999999999997</c:v>
                </c:pt>
                <c:pt idx="3">
                  <c:v>43.25</c:v>
                </c:pt>
                <c:pt idx="4">
                  <c:v>45.46</c:v>
                </c:pt>
                <c:pt idx="5">
                  <c:v>47.75</c:v>
                </c:pt>
                <c:pt idx="6">
                  <c:v>49.22</c:v>
                </c:pt>
                <c:pt idx="7">
                  <c:v>55.78</c:v>
                </c:pt>
                <c:pt idx="8">
                  <c:v>57.87</c:v>
                </c:pt>
                <c:pt idx="9">
                  <c:v>69.67</c:v>
                </c:pt>
                <c:pt idx="10">
                  <c:v>71.14</c:v>
                </c:pt>
                <c:pt idx="11">
                  <c:v>73.050000000000011</c:v>
                </c:pt>
                <c:pt idx="12">
                  <c:v>75.23</c:v>
                </c:pt>
                <c:pt idx="13">
                  <c:v>77.41</c:v>
                </c:pt>
                <c:pt idx="14">
                  <c:v>80</c:v>
                </c:pt>
                <c:pt idx="15">
                  <c:v>73.601864166666658</c:v>
                </c:pt>
                <c:pt idx="16">
                  <c:v>75.470964999999993</c:v>
                </c:pt>
                <c:pt idx="17">
                  <c:v>77.291119166666661</c:v>
                </c:pt>
                <c:pt idx="18">
                  <c:v>79.190610000000007</c:v>
                </c:pt>
                <c:pt idx="19">
                  <c:v>80.960205833333333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StdWindOnPk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36.69</c:v>
                </c:pt>
                <c:pt idx="1">
                  <c:v>35.82</c:v>
                </c:pt>
                <c:pt idx="2">
                  <c:v>37.849999999999994</c:v>
                </c:pt>
                <c:pt idx="3">
                  <c:v>40.43</c:v>
                </c:pt>
                <c:pt idx="4">
                  <c:v>42.59</c:v>
                </c:pt>
                <c:pt idx="5">
                  <c:v>44.83</c:v>
                </c:pt>
                <c:pt idx="6">
                  <c:v>46.24</c:v>
                </c:pt>
                <c:pt idx="7">
                  <c:v>52.75</c:v>
                </c:pt>
                <c:pt idx="8">
                  <c:v>54.79</c:v>
                </c:pt>
                <c:pt idx="9">
                  <c:v>37.21</c:v>
                </c:pt>
                <c:pt idx="10">
                  <c:v>38.090000000000003</c:v>
                </c:pt>
                <c:pt idx="11">
                  <c:v>39.369999999999997</c:v>
                </c:pt>
                <c:pt idx="12">
                  <c:v>40.909999999999997</c:v>
                </c:pt>
                <c:pt idx="13">
                  <c:v>42.44</c:v>
                </c:pt>
                <c:pt idx="14">
                  <c:v>44.37</c:v>
                </c:pt>
                <c:pt idx="15">
                  <c:v>70.091864166666653</c:v>
                </c:pt>
                <c:pt idx="16">
                  <c:v>71.890964999999994</c:v>
                </c:pt>
                <c:pt idx="17">
                  <c:v>73.641119166666655</c:v>
                </c:pt>
                <c:pt idx="18">
                  <c:v>75.470610000000008</c:v>
                </c:pt>
                <c:pt idx="19">
                  <c:v>77.170205833333327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StdSolarOnPk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39.36</c:v>
                </c:pt>
                <c:pt idx="1">
                  <c:v>38.54</c:v>
                </c:pt>
                <c:pt idx="2">
                  <c:v>40.619999999999997</c:v>
                </c:pt>
                <c:pt idx="3">
                  <c:v>43.25</c:v>
                </c:pt>
                <c:pt idx="4">
                  <c:v>45.46</c:v>
                </c:pt>
                <c:pt idx="5">
                  <c:v>47.75</c:v>
                </c:pt>
                <c:pt idx="6">
                  <c:v>49.22</c:v>
                </c:pt>
                <c:pt idx="7">
                  <c:v>55.78</c:v>
                </c:pt>
                <c:pt idx="8">
                  <c:v>57.87</c:v>
                </c:pt>
                <c:pt idx="9">
                  <c:v>43.22296</c:v>
                </c:pt>
                <c:pt idx="10">
                  <c:v>44.217760000000006</c:v>
                </c:pt>
                <c:pt idx="11">
                  <c:v>45.618000000000002</c:v>
                </c:pt>
                <c:pt idx="12">
                  <c:v>47.270960000000002</c:v>
                </c:pt>
                <c:pt idx="13">
                  <c:v>48.923919999999995</c:v>
                </c:pt>
                <c:pt idx="14">
                  <c:v>50.9696</c:v>
                </c:pt>
                <c:pt idx="15">
                  <c:v>73.601864166666658</c:v>
                </c:pt>
                <c:pt idx="16">
                  <c:v>75.470964999999993</c:v>
                </c:pt>
                <c:pt idx="17">
                  <c:v>77.291119166666661</c:v>
                </c:pt>
                <c:pt idx="18">
                  <c:v>79.190610000000007</c:v>
                </c:pt>
                <c:pt idx="19">
                  <c:v>80.960205833333333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RnwBaseLoadOnPk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39.36</c:v>
                </c:pt>
                <c:pt idx="1">
                  <c:v>38.54</c:v>
                </c:pt>
                <c:pt idx="2">
                  <c:v>40.619999999999997</c:v>
                </c:pt>
                <c:pt idx="3">
                  <c:v>43.25</c:v>
                </c:pt>
                <c:pt idx="4">
                  <c:v>45.46</c:v>
                </c:pt>
                <c:pt idx="5">
                  <c:v>47.75</c:v>
                </c:pt>
                <c:pt idx="6">
                  <c:v>49.22</c:v>
                </c:pt>
                <c:pt idx="7">
                  <c:v>55.78</c:v>
                </c:pt>
                <c:pt idx="8">
                  <c:v>57.87</c:v>
                </c:pt>
                <c:pt idx="9">
                  <c:v>114.82</c:v>
                </c:pt>
                <c:pt idx="10">
                  <c:v>116.97</c:v>
                </c:pt>
                <c:pt idx="11">
                  <c:v>119.12</c:v>
                </c:pt>
                <c:pt idx="12">
                  <c:v>121.37</c:v>
                </c:pt>
                <c:pt idx="13">
                  <c:v>123.64</c:v>
                </c:pt>
                <c:pt idx="14">
                  <c:v>125.83</c:v>
                </c:pt>
                <c:pt idx="15">
                  <c:v>73.601864166666658</c:v>
                </c:pt>
                <c:pt idx="16">
                  <c:v>75.470964999999993</c:v>
                </c:pt>
                <c:pt idx="17">
                  <c:v>77.291119166666661</c:v>
                </c:pt>
                <c:pt idx="18">
                  <c:v>79.190610000000007</c:v>
                </c:pt>
                <c:pt idx="19">
                  <c:v>80.960205833333333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RnwWindOnPk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36.69</c:v>
                </c:pt>
                <c:pt idx="1">
                  <c:v>35.82</c:v>
                </c:pt>
                <c:pt idx="2">
                  <c:v>37.849999999999994</c:v>
                </c:pt>
                <c:pt idx="3">
                  <c:v>40.43</c:v>
                </c:pt>
                <c:pt idx="4">
                  <c:v>42.59</c:v>
                </c:pt>
                <c:pt idx="5">
                  <c:v>44.83</c:v>
                </c:pt>
                <c:pt idx="6">
                  <c:v>46.24</c:v>
                </c:pt>
                <c:pt idx="7">
                  <c:v>52.75</c:v>
                </c:pt>
                <c:pt idx="8">
                  <c:v>54.79</c:v>
                </c:pt>
                <c:pt idx="9">
                  <c:v>82.36</c:v>
                </c:pt>
                <c:pt idx="10">
                  <c:v>83.92</c:v>
                </c:pt>
                <c:pt idx="11">
                  <c:v>85.44</c:v>
                </c:pt>
                <c:pt idx="12">
                  <c:v>87.05</c:v>
                </c:pt>
                <c:pt idx="13">
                  <c:v>88.67</c:v>
                </c:pt>
                <c:pt idx="14">
                  <c:v>90.2</c:v>
                </c:pt>
                <c:pt idx="15">
                  <c:v>70.091864166666653</c:v>
                </c:pt>
                <c:pt idx="16">
                  <c:v>71.890964999999994</c:v>
                </c:pt>
                <c:pt idx="17">
                  <c:v>73.641119166666655</c:v>
                </c:pt>
                <c:pt idx="18">
                  <c:v>75.470610000000008</c:v>
                </c:pt>
                <c:pt idx="19">
                  <c:v>77.170205833333327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</c:extLst>
        </c:ser>
        <c:ser>
          <c:idx val="5"/>
          <c:order val="5"/>
          <c:tx>
            <c:v>RnwSolarOnPk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39.36</c:v>
                </c:pt>
                <c:pt idx="1">
                  <c:v>38.54</c:v>
                </c:pt>
                <c:pt idx="2">
                  <c:v>40.619999999999997</c:v>
                </c:pt>
                <c:pt idx="3">
                  <c:v>43.25</c:v>
                </c:pt>
                <c:pt idx="4">
                  <c:v>45.46</c:v>
                </c:pt>
                <c:pt idx="5">
                  <c:v>47.75</c:v>
                </c:pt>
                <c:pt idx="6">
                  <c:v>49.22</c:v>
                </c:pt>
                <c:pt idx="7">
                  <c:v>55.78</c:v>
                </c:pt>
                <c:pt idx="8">
                  <c:v>57.87</c:v>
                </c:pt>
                <c:pt idx="9">
                  <c:v>88.38</c:v>
                </c:pt>
                <c:pt idx="10">
                  <c:v>90.05</c:v>
                </c:pt>
                <c:pt idx="11">
                  <c:v>91.68</c:v>
                </c:pt>
                <c:pt idx="12">
                  <c:v>93.41</c:v>
                </c:pt>
                <c:pt idx="13">
                  <c:v>95.15</c:v>
                </c:pt>
                <c:pt idx="14">
                  <c:v>96.8</c:v>
                </c:pt>
                <c:pt idx="15">
                  <c:v>73.601864166666658</c:v>
                </c:pt>
                <c:pt idx="16">
                  <c:v>75.470964999999993</c:v>
                </c:pt>
                <c:pt idx="17">
                  <c:v>77.291119166666661</c:v>
                </c:pt>
                <c:pt idx="18">
                  <c:v>79.190610000000007</c:v>
                </c:pt>
                <c:pt idx="19">
                  <c:v>80.960205833333333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043504"/>
        <c:axId val="499045856"/>
      </c:lineChart>
      <c:catAx>
        <c:axId val="49904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9045856"/>
        <c:crosses val="autoZero"/>
        <c:auto val="1"/>
        <c:lblAlgn val="ctr"/>
        <c:lblOffset val="100"/>
        <c:noMultiLvlLbl val="0"/>
      </c:catAx>
      <c:valAx>
        <c:axId val="4990458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$/MWh</a:t>
                </a:r>
              </a:p>
            </c:rich>
          </c:tx>
          <c:overlay val="0"/>
        </c:title>
        <c:numFmt formatCode="&quot;$&quot;#,##0.00_);\(&quot;$&quot;#,##0.00\)" sourceLinked="1"/>
        <c:majorTickMark val="out"/>
        <c:minorTickMark val="none"/>
        <c:tickLblPos val="nextTo"/>
        <c:crossAx val="4990435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Escalation!$D$4</c:f>
              <c:strCache>
                <c:ptCount val="1"/>
                <c:pt idx="0">
                  <c:v>2017 IRP Solar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Escalation!$C$6:$C$28</c:f>
              <c:numCache>
                <c:formatCode>_(* #,##0_);[Red]_(* \(#,##0\);_(* "-"_);_(@_)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Escalation!$D$6:$D$28</c:f>
              <c:numCache>
                <c:formatCode>0%</c:formatCode>
                <c:ptCount val="23"/>
                <c:pt idx="0">
                  <c:v>1</c:v>
                </c:pt>
                <c:pt idx="1">
                  <c:v>1.0153929795133427</c:v>
                </c:pt>
                <c:pt idx="2">
                  <c:v>1.0310229032502078</c:v>
                </c:pt>
                <c:pt idx="3">
                  <c:v>1.0468934176750804</c:v>
                </c:pt>
                <c:pt idx="4">
                  <c:v>1.0630082265036995</c:v>
                </c:pt>
                <c:pt idx="5">
                  <c:v>1.0793710901525655</c:v>
                </c:pt>
                <c:pt idx="6">
                  <c:v>1.0959858273904184</c:v>
                </c:pt>
                <c:pt idx="7">
                  <c:v>1.1128563147877448</c:v>
                </c:pt>
                <c:pt idx="8">
                  <c:v>1.1299864894692424</c:v>
                </c:pt>
                <c:pt idx="9">
                  <c:v>1.1299864894692424</c:v>
                </c:pt>
                <c:pt idx="10">
                  <c:v>1.1299864894692424</c:v>
                </c:pt>
                <c:pt idx="11">
                  <c:v>1.1299864894692424</c:v>
                </c:pt>
                <c:pt idx="12">
                  <c:v>1.1299864894692424</c:v>
                </c:pt>
                <c:pt idx="13">
                  <c:v>1.1299864894692424</c:v>
                </c:pt>
                <c:pt idx="14">
                  <c:v>1.1299864894692424</c:v>
                </c:pt>
                <c:pt idx="15">
                  <c:v>1.1299864894692424</c:v>
                </c:pt>
                <c:pt idx="16">
                  <c:v>1.1299864894692424</c:v>
                </c:pt>
                <c:pt idx="17">
                  <c:v>1.1299864894692424</c:v>
                </c:pt>
                <c:pt idx="18">
                  <c:v>1.1299864894692424</c:v>
                </c:pt>
                <c:pt idx="19">
                  <c:v>1.1299864894692424</c:v>
                </c:pt>
                <c:pt idx="20">
                  <c:v>1.1299864894692424</c:v>
                </c:pt>
                <c:pt idx="21">
                  <c:v>1.1299864894692424</c:v>
                </c:pt>
                <c:pt idx="22">
                  <c:v>1.1299864894692424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Escalation!$E$4</c:f>
              <c:strCache>
                <c:ptCount val="1"/>
                <c:pt idx="0">
                  <c:v>2017 IRP Inflation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Escalation!$C$6:$C$28</c:f>
              <c:numCache>
                <c:formatCode>_(* #,##0_);[Red]_(* \(#,##0\);_(* "-"_);_(@_)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Escalation!$E$6:$E$28</c:f>
              <c:numCache>
                <c:formatCode>0%</c:formatCode>
                <c:ptCount val="23"/>
                <c:pt idx="0">
                  <c:v>1</c:v>
                </c:pt>
                <c:pt idx="1">
                  <c:v>1.0222</c:v>
                </c:pt>
                <c:pt idx="2">
                  <c:v>1.0448928399999999</c:v>
                </c:pt>
                <c:pt idx="3">
                  <c:v>1.0680894610479998</c:v>
                </c:pt>
                <c:pt idx="4">
                  <c:v>1.0918010470832655</c:v>
                </c:pt>
                <c:pt idx="5">
                  <c:v>1.1160390303285139</c:v>
                </c:pt>
                <c:pt idx="6">
                  <c:v>1.1408150968018069</c:v>
                </c:pt>
                <c:pt idx="7">
                  <c:v>1.1661411919508071</c:v>
                </c:pt>
                <c:pt idx="8">
                  <c:v>1.192029526412115</c:v>
                </c:pt>
                <c:pt idx="9">
                  <c:v>1.218492581898464</c:v>
                </c:pt>
                <c:pt idx="10">
                  <c:v>1.2455431172166098</c:v>
                </c:pt>
                <c:pt idx="11">
                  <c:v>1.2731941744188187</c:v>
                </c:pt>
                <c:pt idx="12">
                  <c:v>1.3014590850909165</c:v>
                </c:pt>
                <c:pt idx="13">
                  <c:v>1.3303514767799347</c:v>
                </c:pt>
                <c:pt idx="14">
                  <c:v>1.3598852795644492</c:v>
                </c:pt>
                <c:pt idx="15">
                  <c:v>1.3900747327707799</c:v>
                </c:pt>
                <c:pt idx="16">
                  <c:v>1.4209343918382911</c:v>
                </c:pt>
                <c:pt idx="17">
                  <c:v>1.4524791353371012</c:v>
                </c:pt>
                <c:pt idx="18">
                  <c:v>1.4847241721415847</c:v>
                </c:pt>
                <c:pt idx="19">
                  <c:v>1.5176850487631279</c:v>
                </c:pt>
                <c:pt idx="20">
                  <c:v>1.5513776568456694</c:v>
                </c:pt>
                <c:pt idx="21">
                  <c:v>1.5858182408276433</c:v>
                </c:pt>
                <c:pt idx="22">
                  <c:v>1.6210234057740169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Escalation!$F$4</c:f>
              <c:strCache>
                <c:ptCount val="1"/>
                <c:pt idx="0">
                  <c:v>2019 IRP Solar</c:v>
                </c:pt>
              </c:strCache>
            </c:strRef>
          </c:tx>
          <c:spPr>
            <a:ln w="15875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Escalation!$C$6:$C$28</c:f>
              <c:numCache>
                <c:formatCode>_(* #,##0_);[Red]_(* \(#,##0\);_(* "-"_);_(@_)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Escalation!$F$6:$F$28</c:f>
              <c:numCache>
                <c:formatCode>0%</c:formatCode>
                <c:ptCount val="23"/>
                <c:pt idx="0">
                  <c:v>1</c:v>
                </c:pt>
                <c:pt idx="1">
                  <c:v>0.85881082777495654</c:v>
                </c:pt>
                <c:pt idx="2">
                  <c:v>0.84579263413204953</c:v>
                </c:pt>
                <c:pt idx="3">
                  <c:v>0.8435377904423651</c:v>
                </c:pt>
                <c:pt idx="4">
                  <c:v>0.84128895806072446</c:v>
                </c:pt>
                <c:pt idx="5">
                  <c:v>0.83904612096126086</c:v>
                </c:pt>
                <c:pt idx="6">
                  <c:v>0.83680926316083182</c:v>
                </c:pt>
                <c:pt idx="7">
                  <c:v>0.83457836871890523</c:v>
                </c:pt>
                <c:pt idx="8">
                  <c:v>0.83235342173744553</c:v>
                </c:pt>
                <c:pt idx="9">
                  <c:v>0.83013440636080071</c:v>
                </c:pt>
                <c:pt idx="10">
                  <c:v>0.82792130677558928</c:v>
                </c:pt>
                <c:pt idx="11">
                  <c:v>0.82571410721058724</c:v>
                </c:pt>
                <c:pt idx="12">
                  <c:v>0.82626517229398477</c:v>
                </c:pt>
                <c:pt idx="13">
                  <c:v>0.82681660514719935</c:v>
                </c:pt>
                <c:pt idx="14">
                  <c:v>0.82736840601567319</c:v>
                </c:pt>
                <c:pt idx="15">
                  <c:v>0.82792057514501227</c:v>
                </c:pt>
                <c:pt idx="16">
                  <c:v>0.82847311278098668</c:v>
                </c:pt>
                <c:pt idx="17">
                  <c:v>0.82902601916953023</c:v>
                </c:pt>
                <c:pt idx="18">
                  <c:v>0.82957929455674106</c:v>
                </c:pt>
                <c:pt idx="19">
                  <c:v>0.83013293918888154</c:v>
                </c:pt>
                <c:pt idx="20">
                  <c:v>0.8306869533123783</c:v>
                </c:pt>
                <c:pt idx="21">
                  <c:v>0.83124133717382243</c:v>
                </c:pt>
                <c:pt idx="22">
                  <c:v>0.83179609101996976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9050168"/>
        <c:axId val="499048992"/>
      </c:lineChart>
      <c:catAx>
        <c:axId val="499050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048992"/>
        <c:crosses val="autoZero"/>
        <c:auto val="1"/>
        <c:lblAlgn val="ctr"/>
        <c:lblOffset val="100"/>
        <c:noMultiLvlLbl val="0"/>
      </c:catAx>
      <c:valAx>
        <c:axId val="49904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Capital Cost Change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(2018 = 100%)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050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311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21981</xdr:colOff>
      <xdr:row>31</xdr:row>
      <xdr:rowOff>31505</xdr:rowOff>
    </xdr:from>
    <xdr:to>
      <xdr:col>6</xdr:col>
      <xdr:colOff>498231</xdr:colOff>
      <xdr:row>48</xdr:row>
      <xdr:rowOff>34436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ashington/WA%20AC%20Aug%202019/PAC%20Filing/Confidential/WA%20Sch37%20Avoided%20Energy%20Cost%20and%20On-Off%20Shaping%20CONF_2019%2008%20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"/>
      <sheetName val="Shaping"/>
      <sheetName val="Profile"/>
      <sheetName val="Integration"/>
    </sheetNames>
    <sheetDataSet>
      <sheetData sheetId="0">
        <row r="4">
          <cell r="T4">
            <v>2019</v>
          </cell>
          <cell r="U4">
            <v>32.716494565217147</v>
          </cell>
          <cell r="V4">
            <v>0</v>
          </cell>
          <cell r="W4">
            <v>0</v>
          </cell>
          <cell r="X4">
            <v>40.785027173912901</v>
          </cell>
          <cell r="Y4">
            <v>28.682228260869632</v>
          </cell>
          <cell r="AA4">
            <v>2208</v>
          </cell>
          <cell r="AB4">
            <v>0</v>
          </cell>
          <cell r="AC4">
            <v>0</v>
          </cell>
          <cell r="AD4">
            <v>736</v>
          </cell>
          <cell r="AE4">
            <v>1472</v>
          </cell>
        </row>
        <row r="5">
          <cell r="T5">
            <v>2020</v>
          </cell>
          <cell r="U5">
            <v>29.826538023679483</v>
          </cell>
          <cell r="V5">
            <v>47.856506147541133</v>
          </cell>
          <cell r="W5">
            <v>24.446203893442654</v>
          </cell>
          <cell r="X5">
            <v>38.593919057377093</v>
          </cell>
          <cell r="Y5">
            <v>23.625522540983603</v>
          </cell>
          <cell r="AA5">
            <v>8784</v>
          </cell>
          <cell r="AB5">
            <v>976</v>
          </cell>
          <cell r="AC5">
            <v>1952</v>
          </cell>
          <cell r="AD5">
            <v>1952</v>
          </cell>
          <cell r="AE5">
            <v>3904</v>
          </cell>
        </row>
        <row r="6">
          <cell r="T6">
            <v>2021</v>
          </cell>
          <cell r="U6">
            <v>35.312568493150586</v>
          </cell>
          <cell r="V6">
            <v>57.38462090163943</v>
          </cell>
          <cell r="W6">
            <v>30.484303278688518</v>
          </cell>
          <cell r="X6">
            <v>46.03383230452674</v>
          </cell>
          <cell r="Y6">
            <v>26.835282921810862</v>
          </cell>
          <cell r="AA6">
            <v>8760</v>
          </cell>
          <cell r="AB6">
            <v>976</v>
          </cell>
          <cell r="AC6">
            <v>1952</v>
          </cell>
          <cell r="AD6">
            <v>1944</v>
          </cell>
          <cell r="AE6">
            <v>3888</v>
          </cell>
        </row>
        <row r="7">
          <cell r="T7">
            <v>2022</v>
          </cell>
          <cell r="U7">
            <v>34.511433789954083</v>
          </cell>
          <cell r="V7">
            <v>59.247971311475496</v>
          </cell>
          <cell r="W7">
            <v>31.39755635245908</v>
          </cell>
          <cell r="X7">
            <v>43.988117283950444</v>
          </cell>
          <cell r="Y7">
            <v>25.126854423868249</v>
          </cell>
          <cell r="AA7">
            <v>8760</v>
          </cell>
          <cell r="AB7">
            <v>976</v>
          </cell>
          <cell r="AC7">
            <v>1952</v>
          </cell>
          <cell r="AD7">
            <v>1944</v>
          </cell>
          <cell r="AE7">
            <v>3888</v>
          </cell>
        </row>
        <row r="8">
          <cell r="T8">
            <v>2023</v>
          </cell>
          <cell r="U8">
            <v>31.873659817351726</v>
          </cell>
          <cell r="V8">
            <v>61.444764344262296</v>
          </cell>
          <cell r="W8">
            <v>31.754707991803429</v>
          </cell>
          <cell r="X8">
            <v>37.532608024691562</v>
          </cell>
          <cell r="Y8">
            <v>21.680707304526592</v>
          </cell>
          <cell r="AA8">
            <v>8760</v>
          </cell>
          <cell r="AB8">
            <v>976</v>
          </cell>
          <cell r="AC8">
            <v>1952</v>
          </cell>
          <cell r="AD8">
            <v>1944</v>
          </cell>
          <cell r="AE8">
            <v>3888</v>
          </cell>
        </row>
        <row r="9">
          <cell r="T9">
            <v>2024</v>
          </cell>
          <cell r="U9">
            <v>32.772197176685211</v>
          </cell>
          <cell r="V9">
            <v>69.929385245901614</v>
          </cell>
          <cell r="W9">
            <v>35.776900614754005</v>
          </cell>
          <cell r="X9">
            <v>35.115835040983512</v>
          </cell>
          <cell r="Y9">
            <v>20.808729508196823</v>
          </cell>
          <cell r="AA9">
            <v>8784</v>
          </cell>
          <cell r="AB9">
            <v>976</v>
          </cell>
          <cell r="AC9">
            <v>1952</v>
          </cell>
          <cell r="AD9">
            <v>1952</v>
          </cell>
          <cell r="AE9">
            <v>3904</v>
          </cell>
        </row>
        <row r="10">
          <cell r="T10">
            <v>2025</v>
          </cell>
          <cell r="U10">
            <v>35.916794520547889</v>
          </cell>
          <cell r="V10">
            <v>77.399354508196865</v>
          </cell>
          <cell r="W10">
            <v>39.649692622950809</v>
          </cell>
          <cell r="X10">
            <v>38.113544238683048</v>
          </cell>
          <cell r="Y10">
            <v>22.530972222222236</v>
          </cell>
          <cell r="AA10">
            <v>8760</v>
          </cell>
          <cell r="AB10">
            <v>976</v>
          </cell>
          <cell r="AC10">
            <v>1952</v>
          </cell>
          <cell r="AD10">
            <v>1944</v>
          </cell>
          <cell r="AE10">
            <v>3888</v>
          </cell>
        </row>
        <row r="11">
          <cell r="T11">
            <v>2026</v>
          </cell>
          <cell r="U11">
            <v>38.106804794520357</v>
          </cell>
          <cell r="V11">
            <v>80.524590163934292</v>
          </cell>
          <cell r="W11">
            <v>41.527489754098262</v>
          </cell>
          <cell r="X11">
            <v>41.053791152263649</v>
          </cell>
          <cell r="Y11">
            <v>24.267844650205614</v>
          </cell>
          <cell r="AA11">
            <v>8760</v>
          </cell>
          <cell r="AB11">
            <v>976</v>
          </cell>
          <cell r="AC11">
            <v>1952</v>
          </cell>
          <cell r="AD11">
            <v>1944</v>
          </cell>
          <cell r="AE11">
            <v>3888</v>
          </cell>
        </row>
        <row r="12">
          <cell r="T12">
            <v>2027</v>
          </cell>
          <cell r="U12">
            <v>38.946640410958729</v>
          </cell>
          <cell r="V12">
            <v>81.365758196721245</v>
          </cell>
          <cell r="W12">
            <v>42.461582991803333</v>
          </cell>
          <cell r="X12">
            <v>42.016826131687559</v>
          </cell>
          <cell r="Y12">
            <v>24.998423353909406</v>
          </cell>
          <cell r="AA12">
            <v>8760</v>
          </cell>
          <cell r="AB12">
            <v>976</v>
          </cell>
          <cell r="AC12">
            <v>1952</v>
          </cell>
          <cell r="AD12">
            <v>1944</v>
          </cell>
          <cell r="AE12">
            <v>3888</v>
          </cell>
        </row>
        <row r="13">
          <cell r="T13">
            <v>2028</v>
          </cell>
          <cell r="U13">
            <v>40.974369307832141</v>
          </cell>
          <cell r="V13">
            <v>85.837274590163574</v>
          </cell>
          <cell r="W13">
            <v>44.964928278688298</v>
          </cell>
          <cell r="X13">
            <v>44.057889344262378</v>
          </cell>
          <cell r="Y13">
            <v>26.221603483606572</v>
          </cell>
          <cell r="AA13">
            <v>8784</v>
          </cell>
          <cell r="AB13">
            <v>976</v>
          </cell>
          <cell r="AC13">
            <v>1952</v>
          </cell>
          <cell r="AD13">
            <v>1952</v>
          </cell>
          <cell r="AE13">
            <v>3904</v>
          </cell>
        </row>
        <row r="14">
          <cell r="T14">
            <v>2029</v>
          </cell>
          <cell r="U14">
            <v>43.004966894977457</v>
          </cell>
          <cell r="V14">
            <v>90.513114754098609</v>
          </cell>
          <cell r="W14">
            <v>47.387090163934616</v>
          </cell>
          <cell r="X14">
            <v>46.083101851851907</v>
          </cell>
          <cell r="Y14">
            <v>27.339907407407694</v>
          </cell>
          <cell r="AA14">
            <v>8760</v>
          </cell>
          <cell r="AB14">
            <v>976</v>
          </cell>
          <cell r="AC14">
            <v>1952</v>
          </cell>
          <cell r="AD14">
            <v>1944</v>
          </cell>
          <cell r="AE14">
            <v>3888</v>
          </cell>
        </row>
        <row r="15">
          <cell r="T15">
            <v>2030</v>
          </cell>
          <cell r="U15">
            <v>44.53353196347021</v>
          </cell>
          <cell r="V15">
            <v>94.664436475410142</v>
          </cell>
          <cell r="W15">
            <v>49.443171106557244</v>
          </cell>
          <cell r="X15">
            <v>47.165257201645922</v>
          </cell>
          <cell r="Y15">
            <v>28.168446502057627</v>
          </cell>
          <cell r="AA15">
            <v>8760</v>
          </cell>
          <cell r="AB15">
            <v>976</v>
          </cell>
          <cell r="AC15">
            <v>1952</v>
          </cell>
          <cell r="AD15">
            <v>1944</v>
          </cell>
          <cell r="AE15">
            <v>3888</v>
          </cell>
        </row>
        <row r="16">
          <cell r="T16">
            <v>2031</v>
          </cell>
          <cell r="U16">
            <v>46.595027397260615</v>
          </cell>
          <cell r="V16">
            <v>98.688975409836189</v>
          </cell>
          <cell r="W16">
            <v>51.953719262295245</v>
          </cell>
          <cell r="X16">
            <v>49.30701646090548</v>
          </cell>
          <cell r="Y16">
            <v>29.471579218107046</v>
          </cell>
          <cell r="AA16">
            <v>8760</v>
          </cell>
          <cell r="AB16">
            <v>976</v>
          </cell>
          <cell r="AC16">
            <v>1952</v>
          </cell>
          <cell r="AD16">
            <v>1944</v>
          </cell>
          <cell r="AE16">
            <v>3888</v>
          </cell>
        </row>
        <row r="17">
          <cell r="T17">
            <v>2032</v>
          </cell>
          <cell r="U17">
            <v>48.635439435337247</v>
          </cell>
          <cell r="V17">
            <v>101.70907786885205</v>
          </cell>
          <cell r="W17">
            <v>53.925486680327865</v>
          </cell>
          <cell r="X17">
            <v>51.883309426229346</v>
          </cell>
          <cell r="Y17">
            <v>31.098071209016368</v>
          </cell>
          <cell r="AA17">
            <v>8784</v>
          </cell>
          <cell r="AB17">
            <v>976</v>
          </cell>
          <cell r="AC17">
            <v>1952</v>
          </cell>
          <cell r="AD17">
            <v>1952</v>
          </cell>
          <cell r="AE17">
            <v>3904</v>
          </cell>
        </row>
        <row r="18">
          <cell r="T18">
            <v>2033</v>
          </cell>
          <cell r="U18">
            <v>52.52776027397222</v>
          </cell>
          <cell r="V18">
            <v>111.89489754098302</v>
          </cell>
          <cell r="W18">
            <v>59.182115778688441</v>
          </cell>
          <cell r="X18">
            <v>54.865020576131634</v>
          </cell>
          <cell r="Y18">
            <v>33.115398662551264</v>
          </cell>
          <cell r="AA18">
            <v>8760</v>
          </cell>
          <cell r="AB18">
            <v>976</v>
          </cell>
          <cell r="AC18">
            <v>1952</v>
          </cell>
          <cell r="AD18">
            <v>1944</v>
          </cell>
          <cell r="AE18">
            <v>3888</v>
          </cell>
        </row>
        <row r="19">
          <cell r="T19">
            <v>2034</v>
          </cell>
          <cell r="U19">
            <v>55.035762557076922</v>
          </cell>
          <cell r="V19">
            <v>119.28968237704939</v>
          </cell>
          <cell r="W19">
            <v>62.58498975409799</v>
          </cell>
          <cell r="X19">
            <v>56.824485596708421</v>
          </cell>
          <cell r="Y19">
            <v>34.221669238683077</v>
          </cell>
          <cell r="AA19">
            <v>8760</v>
          </cell>
          <cell r="AB19">
            <v>976</v>
          </cell>
          <cell r="AC19">
            <v>1952</v>
          </cell>
          <cell r="AD19">
            <v>1944</v>
          </cell>
          <cell r="AE19">
            <v>3888</v>
          </cell>
        </row>
        <row r="20">
          <cell r="T20">
            <v>2035</v>
          </cell>
          <cell r="U20">
            <v>57.886619863014012</v>
          </cell>
          <cell r="V20">
            <v>129.99946721311511</v>
          </cell>
          <cell r="W20">
            <v>66.235604508196673</v>
          </cell>
          <cell r="X20">
            <v>58.762973251029038</v>
          </cell>
          <cell r="Y20">
            <v>35.15436985596682</v>
          </cell>
          <cell r="AA20">
            <v>8760</v>
          </cell>
          <cell r="AB20">
            <v>976</v>
          </cell>
          <cell r="AC20">
            <v>1952</v>
          </cell>
          <cell r="AD20">
            <v>1944</v>
          </cell>
          <cell r="AE20">
            <v>3888</v>
          </cell>
        </row>
        <row r="21">
          <cell r="T21">
            <v>2036</v>
          </cell>
          <cell r="U21">
            <v>58.635906193077659</v>
          </cell>
          <cell r="V21">
            <v>130.33590163934417</v>
          </cell>
          <cell r="W21">
            <v>67.16173668032765</v>
          </cell>
          <cell r="X21">
            <v>59.59627561475466</v>
          </cell>
          <cell r="Y21">
            <v>35.967807377048821</v>
          </cell>
          <cell r="AA21">
            <v>8784</v>
          </cell>
          <cell r="AB21">
            <v>976</v>
          </cell>
          <cell r="AC21">
            <v>1952</v>
          </cell>
          <cell r="AD21">
            <v>1952</v>
          </cell>
          <cell r="AE21">
            <v>3904</v>
          </cell>
        </row>
        <row r="22">
          <cell r="T22">
            <v>2037</v>
          </cell>
          <cell r="U22">
            <v>66.186974885844222</v>
          </cell>
          <cell r="V22">
            <v>155.91707991803284</v>
          </cell>
          <cell r="W22">
            <v>77.886977459015995</v>
          </cell>
          <cell r="X22">
            <v>64.327448559670955</v>
          </cell>
          <cell r="Y22">
            <v>38.717821502057973</v>
          </cell>
          <cell r="AA22">
            <v>8760</v>
          </cell>
          <cell r="AB22">
            <v>976</v>
          </cell>
          <cell r="AC22">
            <v>1952</v>
          </cell>
          <cell r="AD22">
            <v>1944</v>
          </cell>
          <cell r="AE22">
            <v>3888</v>
          </cell>
        </row>
        <row r="23">
          <cell r="T23">
            <v>2038</v>
          </cell>
          <cell r="U23">
            <v>69.565555936073565</v>
          </cell>
          <cell r="V23">
            <v>162.28003073770458</v>
          </cell>
          <cell r="W23">
            <v>81.524344262295628</v>
          </cell>
          <cell r="X23">
            <v>68.178786008230176</v>
          </cell>
          <cell r="Y23">
            <v>40.98093621399218</v>
          </cell>
          <cell r="AA23">
            <v>8760</v>
          </cell>
          <cell r="AB23">
            <v>976</v>
          </cell>
          <cell r="AC23">
            <v>1952</v>
          </cell>
          <cell r="AD23">
            <v>1944</v>
          </cell>
          <cell r="AE23">
            <v>3888</v>
          </cell>
        </row>
        <row r="24">
          <cell r="T24">
            <v>2039</v>
          </cell>
          <cell r="U24">
            <v>71.688907534246795</v>
          </cell>
          <cell r="V24">
            <v>165.87982581967259</v>
          </cell>
          <cell r="W24">
            <v>84.1097284836071</v>
          </cell>
          <cell r="X24">
            <v>70.336466049382707</v>
          </cell>
          <cell r="Y24">
            <v>42.484526748970971</v>
          </cell>
          <cell r="AA24">
            <v>8760</v>
          </cell>
          <cell r="AB24">
            <v>976</v>
          </cell>
          <cell r="AC24">
            <v>1952</v>
          </cell>
          <cell r="AD24">
            <v>1944</v>
          </cell>
          <cell r="AE24">
            <v>3888</v>
          </cell>
        </row>
        <row r="29">
          <cell r="T29">
            <v>2019</v>
          </cell>
          <cell r="U29">
            <v>32.432184519709537</v>
          </cell>
          <cell r="V29">
            <v>0</v>
          </cell>
          <cell r="W29">
            <v>0</v>
          </cell>
          <cell r="X29">
            <v>40.662766855870963</v>
          </cell>
          <cell r="Y29">
            <v>28.225422917548972</v>
          </cell>
          <cell r="AA29">
            <v>877.89799999999582</v>
          </cell>
          <cell r="AB29">
            <v>0</v>
          </cell>
          <cell r="AC29">
            <v>0</v>
          </cell>
          <cell r="AD29">
            <v>296.93699999999956</v>
          </cell>
          <cell r="AE29">
            <v>580.96099999999626</v>
          </cell>
        </row>
        <row r="30">
          <cell r="T30">
            <v>2020</v>
          </cell>
          <cell r="U30">
            <v>28.309064139263381</v>
          </cell>
          <cell r="V30">
            <v>43.610782036674991</v>
          </cell>
          <cell r="W30">
            <v>23.294847018784679</v>
          </cell>
          <cell r="X30">
            <v>38.095197693281754</v>
          </cell>
          <cell r="Y30">
            <v>22.291276810450405</v>
          </cell>
          <cell r="AA30">
            <v>3336.3686785714699</v>
          </cell>
          <cell r="AB30">
            <v>327.01600000000002</v>
          </cell>
          <cell r="AC30">
            <v>636.61200000000076</v>
          </cell>
          <cell r="AD30">
            <v>788.84557142857716</v>
          </cell>
          <cell r="AE30">
            <v>1583.8951071428919</v>
          </cell>
        </row>
        <row r="31">
          <cell r="T31">
            <v>2021</v>
          </cell>
          <cell r="U31">
            <v>33.85002998134496</v>
          </cell>
          <cell r="V31">
            <v>53.415441583897959</v>
          </cell>
          <cell r="W31">
            <v>29.332726087779513</v>
          </cell>
          <cell r="X31">
            <v>45.78519597770088</v>
          </cell>
          <cell r="Y31">
            <v>25.675146166123138</v>
          </cell>
          <cell r="AA31">
            <v>3326.3940000000412</v>
          </cell>
          <cell r="AB31">
            <v>327.01600000000002</v>
          </cell>
          <cell r="AC31">
            <v>636.61200000000076</v>
          </cell>
          <cell r="AD31">
            <v>785.32400000000553</v>
          </cell>
          <cell r="AE31">
            <v>1577.4420000000348</v>
          </cell>
        </row>
        <row r="32">
          <cell r="T32">
            <v>2022</v>
          </cell>
          <cell r="U32">
            <v>32.851198785456667</v>
          </cell>
          <cell r="V32">
            <v>54.856309604988411</v>
          </cell>
          <cell r="W32">
            <v>30.225618789780867</v>
          </cell>
          <cell r="X32">
            <v>43.539065075847404</v>
          </cell>
          <cell r="Y32">
            <v>24.028062661156568</v>
          </cell>
          <cell r="AA32">
            <v>3326.3940000000412</v>
          </cell>
          <cell r="AB32">
            <v>327.01600000000002</v>
          </cell>
          <cell r="AC32">
            <v>636.61200000000076</v>
          </cell>
          <cell r="AD32">
            <v>785.32400000000553</v>
          </cell>
          <cell r="AE32">
            <v>1577.4420000000348</v>
          </cell>
        </row>
        <row r="33">
          <cell r="T33">
            <v>2023</v>
          </cell>
          <cell r="U33">
            <v>29.954249138152719</v>
          </cell>
          <cell r="V33">
            <v>56.559833305647373</v>
          </cell>
          <cell r="W33">
            <v>30.566580607596634</v>
          </cell>
          <cell r="X33">
            <v>37.089707202420527</v>
          </cell>
          <cell r="Y33">
            <v>20.639221553996812</v>
          </cell>
          <cell r="AA33">
            <v>3326.3940000000412</v>
          </cell>
          <cell r="AB33">
            <v>327.01600000000002</v>
          </cell>
          <cell r="AC33">
            <v>636.61200000000076</v>
          </cell>
          <cell r="AD33">
            <v>785.32400000000553</v>
          </cell>
          <cell r="AE33">
            <v>1577.4420000000348</v>
          </cell>
        </row>
        <row r="34">
          <cell r="T34">
            <v>2024</v>
          </cell>
          <cell r="U34">
            <v>30.540301202575105</v>
          </cell>
          <cell r="V34">
            <v>64.453744602414773</v>
          </cell>
          <cell r="W34">
            <v>34.64971835205364</v>
          </cell>
          <cell r="X34">
            <v>34.740231765990607</v>
          </cell>
          <cell r="Y34">
            <v>19.794994000280354</v>
          </cell>
          <cell r="AA34">
            <v>3336.3686785714699</v>
          </cell>
          <cell r="AB34">
            <v>327.01600000000002</v>
          </cell>
          <cell r="AC34">
            <v>636.61200000000076</v>
          </cell>
          <cell r="AD34">
            <v>788.84557142857716</v>
          </cell>
          <cell r="AE34">
            <v>1583.8951071428919</v>
          </cell>
        </row>
        <row r="35">
          <cell r="T35">
            <v>2025</v>
          </cell>
          <cell r="U35">
            <v>33.483027689973888</v>
          </cell>
          <cell r="V35">
            <v>71.094743690091988</v>
          </cell>
          <cell r="W35">
            <v>38.476649405025867</v>
          </cell>
          <cell r="X35">
            <v>37.828314968510107</v>
          </cell>
          <cell r="Y35">
            <v>21.507252470672409</v>
          </cell>
          <cell r="AA35">
            <v>3326.3940000000412</v>
          </cell>
          <cell r="AB35">
            <v>327.01600000000002</v>
          </cell>
          <cell r="AC35">
            <v>636.61200000000076</v>
          </cell>
          <cell r="AD35">
            <v>785.32400000000553</v>
          </cell>
          <cell r="AE35">
            <v>1577.4420000000348</v>
          </cell>
        </row>
        <row r="36">
          <cell r="T36">
            <v>2026</v>
          </cell>
          <cell r="U36">
            <v>35.725179718795047</v>
          </cell>
          <cell r="V36">
            <v>74.715735634716665</v>
          </cell>
          <cell r="W36">
            <v>40.329527253919451</v>
          </cell>
          <cell r="X36">
            <v>40.847874466851856</v>
          </cell>
          <cell r="Y36">
            <v>23.233630960264708</v>
          </cell>
          <cell r="AA36">
            <v>3326.3940000000412</v>
          </cell>
          <cell r="AB36">
            <v>327.01600000000002</v>
          </cell>
          <cell r="AC36">
            <v>636.61200000000076</v>
          </cell>
          <cell r="AD36">
            <v>785.32400000000553</v>
          </cell>
          <cell r="AE36">
            <v>1577.4420000000348</v>
          </cell>
        </row>
        <row r="37">
          <cell r="T37">
            <v>2027</v>
          </cell>
          <cell r="U37">
            <v>36.538949033109297</v>
          </cell>
          <cell r="V37">
            <v>75.527568781153434</v>
          </cell>
          <cell r="W37">
            <v>41.279701104736191</v>
          </cell>
          <cell r="X37">
            <v>41.805983891534872</v>
          </cell>
          <cell r="Y37">
            <v>23.920893335018711</v>
          </cell>
          <cell r="AA37">
            <v>3326.3940000000412</v>
          </cell>
          <cell r="AB37">
            <v>327.01600000000002</v>
          </cell>
          <cell r="AC37">
            <v>636.61200000000076</v>
          </cell>
          <cell r="AD37">
            <v>785.32400000000553</v>
          </cell>
          <cell r="AE37">
            <v>1577.4420000000348</v>
          </cell>
        </row>
        <row r="38">
          <cell r="T38">
            <v>2028</v>
          </cell>
          <cell r="U38">
            <v>38.455591547698191</v>
          </cell>
          <cell r="V38">
            <v>79.835774122557609</v>
          </cell>
          <cell r="W38">
            <v>43.747476628917433</v>
          </cell>
          <cell r="X38">
            <v>43.829579248579229</v>
          </cell>
          <cell r="Y38">
            <v>25.108681368079679</v>
          </cell>
          <cell r="AA38">
            <v>3336.3686785714699</v>
          </cell>
          <cell r="AB38">
            <v>327.01600000000002</v>
          </cell>
          <cell r="AC38">
            <v>636.61200000000076</v>
          </cell>
          <cell r="AD38">
            <v>788.84557142857716</v>
          </cell>
          <cell r="AE38">
            <v>1583.8951071428919</v>
          </cell>
        </row>
        <row r="39">
          <cell r="T39">
            <v>2029</v>
          </cell>
          <cell r="U39">
            <v>40.233246283948858</v>
          </cell>
          <cell r="V39">
            <v>83.191317254707954</v>
          </cell>
          <cell r="W39">
            <v>45.96208427202221</v>
          </cell>
          <cell r="X39">
            <v>45.896952346344278</v>
          </cell>
          <cell r="Y39">
            <v>26.196046915869783</v>
          </cell>
          <cell r="AA39">
            <v>3326.3940000000412</v>
          </cell>
          <cell r="AB39">
            <v>327.01600000000002</v>
          </cell>
          <cell r="AC39">
            <v>636.61200000000076</v>
          </cell>
          <cell r="AD39">
            <v>785.32400000000553</v>
          </cell>
          <cell r="AE39">
            <v>1577.4420000000348</v>
          </cell>
        </row>
        <row r="40">
          <cell r="T40">
            <v>2030</v>
          </cell>
          <cell r="U40">
            <v>41.60872926336932</v>
          </cell>
          <cell r="V40">
            <v>87.314671477322108</v>
          </cell>
          <cell r="W40">
            <v>47.928902516000505</v>
          </cell>
          <cell r="X40">
            <v>46.929861967102688</v>
          </cell>
          <cell r="Y40">
            <v>26.933777187053359</v>
          </cell>
          <cell r="AA40">
            <v>3326.3940000000412</v>
          </cell>
          <cell r="AB40">
            <v>327.01600000000002</v>
          </cell>
          <cell r="AC40">
            <v>636.61200000000076</v>
          </cell>
          <cell r="AD40">
            <v>785.32400000000553</v>
          </cell>
          <cell r="AE40">
            <v>1577.4420000000348</v>
          </cell>
        </row>
        <row r="41">
          <cell r="T41">
            <v>2031</v>
          </cell>
          <cell r="U41">
            <v>43.608289439485816</v>
          </cell>
          <cell r="V41">
            <v>91.530298665107438</v>
          </cell>
          <cell r="W41">
            <v>50.383528603232548</v>
          </cell>
          <cell r="X41">
            <v>49.105132765406189</v>
          </cell>
          <cell r="Y41">
            <v>28.202800482348476</v>
          </cell>
          <cell r="AA41">
            <v>3326.3940000000412</v>
          </cell>
          <cell r="AB41">
            <v>327.01600000000002</v>
          </cell>
          <cell r="AC41">
            <v>636.61200000000076</v>
          </cell>
          <cell r="AD41">
            <v>785.32400000000553</v>
          </cell>
          <cell r="AE41">
            <v>1577.4420000000348</v>
          </cell>
        </row>
        <row r="42">
          <cell r="T42">
            <v>2032</v>
          </cell>
          <cell r="U42">
            <v>45.745018449459479</v>
          </cell>
          <cell r="V42">
            <v>94.816971954087478</v>
          </cell>
          <cell r="W42">
            <v>52.460891268590096</v>
          </cell>
          <cell r="X42">
            <v>51.833652632005894</v>
          </cell>
          <cell r="Y42">
            <v>29.881776513778068</v>
          </cell>
          <cell r="AA42">
            <v>3336.3686785714699</v>
          </cell>
          <cell r="AB42">
            <v>327.01600000000002</v>
          </cell>
          <cell r="AC42">
            <v>636.61200000000076</v>
          </cell>
          <cell r="AD42">
            <v>788.84557142857716</v>
          </cell>
          <cell r="AE42">
            <v>1583.8951071428919</v>
          </cell>
        </row>
        <row r="43">
          <cell r="T43">
            <v>2033</v>
          </cell>
          <cell r="U43">
            <v>49.270603245019252</v>
          </cell>
          <cell r="V43">
            <v>104.25766480414242</v>
          </cell>
          <cell r="W43">
            <v>57.639829668553027</v>
          </cell>
          <cell r="X43">
            <v>54.718796343008016</v>
          </cell>
          <cell r="Y43">
            <v>31.78140510572841</v>
          </cell>
          <cell r="AA43">
            <v>3326.3940000000412</v>
          </cell>
          <cell r="AB43">
            <v>327.01600000000002</v>
          </cell>
          <cell r="AC43">
            <v>636.61200000000076</v>
          </cell>
          <cell r="AD43">
            <v>785.32400000000553</v>
          </cell>
          <cell r="AE43">
            <v>1577.4420000000348</v>
          </cell>
        </row>
        <row r="44">
          <cell r="T44">
            <v>2034</v>
          </cell>
          <cell r="U44">
            <v>51.548605501728609</v>
          </cell>
          <cell r="V44">
            <v>111.2438139714511</v>
          </cell>
          <cell r="W44">
            <v>60.892556301490188</v>
          </cell>
          <cell r="X44">
            <v>56.679313422116266</v>
          </cell>
          <cell r="Y44">
            <v>32.848058941952758</v>
          </cell>
          <cell r="AA44">
            <v>3326.3940000000412</v>
          </cell>
          <cell r="AB44">
            <v>327.01600000000002</v>
          </cell>
          <cell r="AC44">
            <v>636.61200000000076</v>
          </cell>
          <cell r="AD44">
            <v>785.32400000000553</v>
          </cell>
          <cell r="AE44">
            <v>1577.4420000000348</v>
          </cell>
        </row>
        <row r="45">
          <cell r="T45">
            <v>2035</v>
          </cell>
          <cell r="U45">
            <v>53.8346033042817</v>
          </cell>
          <cell r="V45">
            <v>118.61966859261854</v>
          </cell>
          <cell r="W45">
            <v>64.315763233681608</v>
          </cell>
          <cell r="X45">
            <v>58.666713438507188</v>
          </cell>
          <cell r="Y45">
            <v>33.768599511838985</v>
          </cell>
          <cell r="AA45">
            <v>3326.3940000000412</v>
          </cell>
          <cell r="AB45">
            <v>327.01600000000002</v>
          </cell>
          <cell r="AC45">
            <v>636.61200000000076</v>
          </cell>
          <cell r="AD45">
            <v>785.32400000000553</v>
          </cell>
          <cell r="AE45">
            <v>1577.4420000000348</v>
          </cell>
        </row>
        <row r="46">
          <cell r="T46">
            <v>2036</v>
          </cell>
          <cell r="U46">
            <v>54.633596907998701</v>
          </cell>
          <cell r="V46">
            <v>120.51800304638017</v>
          </cell>
          <cell r="W46">
            <v>65.079709023165677</v>
          </cell>
          <cell r="X46">
            <v>59.40124107010908</v>
          </cell>
          <cell r="Y46">
            <v>34.457822563521219</v>
          </cell>
          <cell r="AA46">
            <v>3336.3686785714699</v>
          </cell>
          <cell r="AB46">
            <v>327.01600000000002</v>
          </cell>
          <cell r="AC46">
            <v>636.61200000000076</v>
          </cell>
          <cell r="AD46">
            <v>788.84557142857716</v>
          </cell>
          <cell r="AE46">
            <v>1583.8951071428919</v>
          </cell>
        </row>
        <row r="47">
          <cell r="T47">
            <v>2037</v>
          </cell>
          <cell r="U47">
            <v>61.451547082929181</v>
          </cell>
          <cell r="V47">
            <v>143.84671643125668</v>
          </cell>
          <cell r="W47">
            <v>75.672827629904234</v>
          </cell>
          <cell r="X47">
            <v>64.296100404528104</v>
          </cell>
          <cell r="Y47">
            <v>37.214920605431061</v>
          </cell>
          <cell r="AA47">
            <v>3326.3940000000412</v>
          </cell>
          <cell r="AB47">
            <v>327.01600000000002</v>
          </cell>
          <cell r="AC47">
            <v>636.61200000000076</v>
          </cell>
          <cell r="AD47">
            <v>785.32400000000553</v>
          </cell>
          <cell r="AE47">
            <v>1577.4420000000348</v>
          </cell>
        </row>
        <row r="48">
          <cell r="T48">
            <v>2038</v>
          </cell>
          <cell r="U48">
            <v>64.7246379912809</v>
          </cell>
          <cell r="V48">
            <v>149.62312021548541</v>
          </cell>
          <cell r="W48">
            <v>79.332499665821871</v>
          </cell>
          <cell r="X48">
            <v>68.227306897656632</v>
          </cell>
          <cell r="Y48">
            <v>39.485401267769447</v>
          </cell>
          <cell r="AA48">
            <v>3326.3940000000412</v>
          </cell>
          <cell r="AB48">
            <v>327.01600000000002</v>
          </cell>
          <cell r="AC48">
            <v>636.61200000000076</v>
          </cell>
          <cell r="AD48">
            <v>785.32400000000553</v>
          </cell>
          <cell r="AE48">
            <v>1577.4420000000348</v>
          </cell>
        </row>
        <row r="49">
          <cell r="T49">
            <v>2039</v>
          </cell>
          <cell r="U49">
            <v>66.718837624245765</v>
          </cell>
          <cell r="V49">
            <v>153.53191450906644</v>
          </cell>
          <cell r="W49">
            <v>81.850693573300845</v>
          </cell>
          <cell r="X49">
            <v>70.234547201356008</v>
          </cell>
          <cell r="Y49">
            <v>40.864728669407448</v>
          </cell>
          <cell r="AA49">
            <v>3326.3940000000412</v>
          </cell>
          <cell r="AB49">
            <v>327.01600000000002</v>
          </cell>
          <cell r="AC49">
            <v>636.61200000000076</v>
          </cell>
          <cell r="AD49">
            <v>785.32400000000553</v>
          </cell>
          <cell r="AE49">
            <v>1577.4420000000348</v>
          </cell>
        </row>
        <row r="54">
          <cell r="T54">
            <v>2019</v>
          </cell>
          <cell r="U54">
            <v>25.724732699673364</v>
          </cell>
          <cell r="V54">
            <v>0</v>
          </cell>
          <cell r="W54">
            <v>0</v>
          </cell>
          <cell r="X54">
            <v>30.533925911900521</v>
          </cell>
          <cell r="Y54">
            <v>25.392834963510282</v>
          </cell>
          <cell r="AA54">
            <v>283.71477111117781</v>
          </cell>
          <cell r="AB54">
            <v>0</v>
          </cell>
          <cell r="AC54">
            <v>0</v>
          </cell>
          <cell r="AD54">
            <v>18.31601331178318</v>
          </cell>
          <cell r="AE54">
            <v>265.39875779939462</v>
          </cell>
        </row>
        <row r="55">
          <cell r="T55">
            <v>2020</v>
          </cell>
          <cell r="U55">
            <v>23.600539083632718</v>
          </cell>
          <cell r="V55">
            <v>38.763927772993242</v>
          </cell>
          <cell r="W55">
            <v>25.356910373232168</v>
          </cell>
          <cell r="X55">
            <v>25.523531198550288</v>
          </cell>
          <cell r="Y55">
            <v>17.1210874307613</v>
          </cell>
          <cell r="AA55">
            <v>2172.1054371859564</v>
          </cell>
          <cell r="AB55">
            <v>293.88037833748706</v>
          </cell>
          <cell r="AC55">
            <v>813.82417076811862</v>
          </cell>
          <cell r="AD55">
            <v>120.33811927907573</v>
          </cell>
          <cell r="AE55">
            <v>944.06276880127518</v>
          </cell>
        </row>
        <row r="56">
          <cell r="T56">
            <v>2021</v>
          </cell>
          <cell r="U56">
            <v>28.724118490817659</v>
          </cell>
          <cell r="V56">
            <v>46.003490763419059</v>
          </cell>
          <cell r="W56">
            <v>30.747165610790645</v>
          </cell>
          <cell r="X56">
            <v>32.426205351649379</v>
          </cell>
          <cell r="Y56">
            <v>21.112869104542654</v>
          </cell>
          <cell r="AA56">
            <v>2169.6683308184001</v>
          </cell>
          <cell r="AB56">
            <v>293.88037833748706</v>
          </cell>
          <cell r="AC56">
            <v>813.82417076811862</v>
          </cell>
          <cell r="AD56">
            <v>120.07051203950799</v>
          </cell>
          <cell r="AE56">
            <v>941.89326967328657</v>
          </cell>
        </row>
        <row r="57">
          <cell r="T57">
            <v>2022</v>
          </cell>
          <cell r="U57">
            <v>29.545463703443829</v>
          </cell>
          <cell r="V57">
            <v>48.658012384654775</v>
          </cell>
          <cell r="W57">
            <v>32.126666688976087</v>
          </cell>
          <cell r="X57">
            <v>35.28561792096778</v>
          </cell>
          <cell r="Y57">
            <v>20.620172544169247</v>
          </cell>
          <cell r="AA57">
            <v>2169.6683308184001</v>
          </cell>
          <cell r="AB57">
            <v>293.88037833748706</v>
          </cell>
          <cell r="AC57">
            <v>813.82417076811862</v>
          </cell>
          <cell r="AD57">
            <v>120.07051203950799</v>
          </cell>
          <cell r="AE57">
            <v>941.89326967328657</v>
          </cell>
        </row>
        <row r="58">
          <cell r="T58">
            <v>2023</v>
          </cell>
          <cell r="U58">
            <v>28.852679462714448</v>
          </cell>
          <cell r="V58">
            <v>52.110224224089436</v>
          </cell>
          <cell r="W58">
            <v>33.329929351145104</v>
          </cell>
          <cell r="X58">
            <v>30.682329797620117</v>
          </cell>
          <cell r="Y58">
            <v>17.494367827551073</v>
          </cell>
          <cell r="AA58">
            <v>2169.6683308184001</v>
          </cell>
          <cell r="AB58">
            <v>293.88037833748706</v>
          </cell>
          <cell r="AC58">
            <v>813.82417076811862</v>
          </cell>
          <cell r="AD58">
            <v>120.07051203950799</v>
          </cell>
          <cell r="AE58">
            <v>941.89326967328657</v>
          </cell>
        </row>
        <row r="59">
          <cell r="T59">
            <v>2024</v>
          </cell>
          <cell r="U59">
            <v>30.748060966244029</v>
          </cell>
          <cell r="V59">
            <v>59.282614080707624</v>
          </cell>
          <cell r="W59">
            <v>37.586740846024064</v>
          </cell>
          <cell r="X59">
            <v>27.46267589532966</v>
          </cell>
          <cell r="Y59">
            <v>16.388982698651446</v>
          </cell>
          <cell r="AA59">
            <v>2172.1054371859564</v>
          </cell>
          <cell r="AB59">
            <v>293.88037833748706</v>
          </cell>
          <cell r="AC59">
            <v>813.82417076811862</v>
          </cell>
          <cell r="AD59">
            <v>120.33811927907573</v>
          </cell>
          <cell r="AE59">
            <v>944.06276880127518</v>
          </cell>
        </row>
        <row r="60">
          <cell r="T60">
            <v>2025</v>
          </cell>
          <cell r="U60">
            <v>33.778462112335454</v>
          </cell>
          <cell r="V60">
            <v>65.188751518942652</v>
          </cell>
          <cell r="W60">
            <v>41.622524941732337</v>
          </cell>
          <cell r="X60">
            <v>29.554290944165633</v>
          </cell>
          <cell r="Y60">
            <v>17.739110570705368</v>
          </cell>
          <cell r="AA60">
            <v>2169.6683308184001</v>
          </cell>
          <cell r="AB60">
            <v>293.88037833748706</v>
          </cell>
          <cell r="AC60">
            <v>813.82417076811862</v>
          </cell>
          <cell r="AD60">
            <v>120.07051203950799</v>
          </cell>
          <cell r="AE60">
            <v>941.89326967328657</v>
          </cell>
        </row>
        <row r="61">
          <cell r="T61">
            <v>2026</v>
          </cell>
          <cell r="U61">
            <v>35.716753450026673</v>
          </cell>
          <cell r="V61">
            <v>68.91295486476632</v>
          </cell>
          <cell r="W61">
            <v>43.54557610625956</v>
          </cell>
          <cell r="X61">
            <v>31.763459703376974</v>
          </cell>
          <cell r="Y61">
            <v>19.09881611360602</v>
          </cell>
          <cell r="AA61">
            <v>2169.6683308184001</v>
          </cell>
          <cell r="AB61">
            <v>293.88037833748706</v>
          </cell>
          <cell r="AC61">
            <v>813.82417076811862</v>
          </cell>
          <cell r="AD61">
            <v>120.07051203950799</v>
          </cell>
          <cell r="AE61">
            <v>941.89326967328657</v>
          </cell>
        </row>
        <row r="62">
          <cell r="T62">
            <v>2027</v>
          </cell>
          <cell r="U62">
            <v>36.215002783570306</v>
          </cell>
          <cell r="V62">
            <v>69.137317667400325</v>
          </cell>
          <cell r="W62">
            <v>44.27481747567866</v>
          </cell>
          <cell r="X62">
            <v>31.92506541605551</v>
          </cell>
          <cell r="Y62">
            <v>19.525851377623571</v>
          </cell>
          <cell r="AA62">
            <v>2169.6683308184001</v>
          </cell>
          <cell r="AB62">
            <v>293.88037833748706</v>
          </cell>
          <cell r="AC62">
            <v>813.82417076811862</v>
          </cell>
          <cell r="AD62">
            <v>120.07051203950799</v>
          </cell>
          <cell r="AE62">
            <v>941.89326967328657</v>
          </cell>
        </row>
        <row r="63">
          <cell r="T63">
            <v>2028</v>
          </cell>
          <cell r="U63">
            <v>38.195367075968853</v>
          </cell>
          <cell r="V63">
            <v>73.025636386215012</v>
          </cell>
          <cell r="W63">
            <v>46.911791839928696</v>
          </cell>
          <cell r="X63">
            <v>33.473394313463217</v>
          </cell>
          <cell r="Y63">
            <v>20.440894481060596</v>
          </cell>
          <cell r="AA63">
            <v>2172.1054371859564</v>
          </cell>
          <cell r="AB63">
            <v>293.88037833748706</v>
          </cell>
          <cell r="AC63">
            <v>813.82417076811862</v>
          </cell>
          <cell r="AD63">
            <v>120.33811927907573</v>
          </cell>
          <cell r="AE63">
            <v>944.06276880127518</v>
          </cell>
        </row>
        <row r="64">
          <cell r="T64">
            <v>2029</v>
          </cell>
          <cell r="U64">
            <v>39.911033958454468</v>
          </cell>
          <cell r="V64">
            <v>76.309330786264937</v>
          </cell>
          <cell r="W64">
            <v>49.002727768844025</v>
          </cell>
          <cell r="X64">
            <v>35.077787777798186</v>
          </cell>
          <cell r="Y64">
            <v>21.315025643132682</v>
          </cell>
          <cell r="AA64">
            <v>2169.6683308184001</v>
          </cell>
          <cell r="AB64">
            <v>293.88037833748706</v>
          </cell>
          <cell r="AC64">
            <v>813.82417076811862</v>
          </cell>
          <cell r="AD64">
            <v>120.07051203950799</v>
          </cell>
          <cell r="AE64">
            <v>941.89326967328657</v>
          </cell>
        </row>
        <row r="65">
          <cell r="T65">
            <v>2030</v>
          </cell>
          <cell r="U65">
            <v>41.454876669983214</v>
          </cell>
          <cell r="V65">
            <v>80.448593931735218</v>
          </cell>
          <cell r="W65">
            <v>51.168732057107675</v>
          </cell>
          <cell r="X65">
            <v>34.750238001725663</v>
          </cell>
          <cell r="Y65">
            <v>21.75006521554397</v>
          </cell>
          <cell r="AA65">
            <v>2169.6683308184001</v>
          </cell>
          <cell r="AB65">
            <v>293.88037833748706</v>
          </cell>
          <cell r="AC65">
            <v>813.82417076811862</v>
          </cell>
          <cell r="AD65">
            <v>120.07051203950799</v>
          </cell>
          <cell r="AE65">
            <v>941.89326967328657</v>
          </cell>
        </row>
        <row r="66">
          <cell r="T66">
            <v>2031</v>
          </cell>
          <cell r="U66">
            <v>43.389184765921989</v>
          </cell>
          <cell r="V66">
            <v>84.459932375217662</v>
          </cell>
          <cell r="W66">
            <v>53.577794431648002</v>
          </cell>
          <cell r="X66">
            <v>36.19255253947842</v>
          </cell>
          <cell r="Y66">
            <v>22.688834768851848</v>
          </cell>
          <cell r="AA66">
            <v>2169.6683308184001</v>
          </cell>
          <cell r="AB66">
            <v>293.88037833748706</v>
          </cell>
          <cell r="AC66">
            <v>813.82417076811862</v>
          </cell>
          <cell r="AD66">
            <v>120.07051203950799</v>
          </cell>
          <cell r="AE66">
            <v>941.89326967328657</v>
          </cell>
        </row>
        <row r="67">
          <cell r="T67">
            <v>2032</v>
          </cell>
          <cell r="U67">
            <v>45.151383067970507</v>
          </cell>
          <cell r="V67">
            <v>86.838610403000672</v>
          </cell>
          <cell r="W67">
            <v>55.657784320895381</v>
          </cell>
          <cell r="X67">
            <v>38.206839521347007</v>
          </cell>
          <cell r="Y67">
            <v>24.002653578113375</v>
          </cell>
          <cell r="AA67">
            <v>2172.1054371859564</v>
          </cell>
          <cell r="AB67">
            <v>293.88037833748706</v>
          </cell>
          <cell r="AC67">
            <v>813.82417076811862</v>
          </cell>
          <cell r="AD67">
            <v>120.33811927907573</v>
          </cell>
          <cell r="AE67">
            <v>944.06276880127518</v>
          </cell>
        </row>
        <row r="68">
          <cell r="T68">
            <v>2033</v>
          </cell>
          <cell r="U68">
            <v>49.22365523365373</v>
          </cell>
          <cell r="V68">
            <v>95.466689068341978</v>
          </cell>
          <cell r="W68">
            <v>61.50189418450389</v>
          </cell>
          <cell r="X68">
            <v>39.975193490249765</v>
          </cell>
          <cell r="Y68">
            <v>25.365558888867614</v>
          </cell>
          <cell r="AA68">
            <v>2169.6683308184001</v>
          </cell>
          <cell r="AB68">
            <v>293.88037833748706</v>
          </cell>
          <cell r="AC68">
            <v>813.82417076811862</v>
          </cell>
          <cell r="AD68">
            <v>120.07051203950799</v>
          </cell>
          <cell r="AE68">
            <v>941.89326967328657</v>
          </cell>
        </row>
        <row r="69">
          <cell r="T69">
            <v>2034</v>
          </cell>
          <cell r="U69">
            <v>52.184997240279131</v>
          </cell>
          <cell r="V69">
            <v>102.71040973949688</v>
          </cell>
          <cell r="W69">
            <v>65.55490262897851</v>
          </cell>
          <cell r="X69">
            <v>41.653913730278205</v>
          </cell>
          <cell r="Y69">
            <v>26.211027889971241</v>
          </cell>
          <cell r="AA69">
            <v>2169.6683308184001</v>
          </cell>
          <cell r="AB69">
            <v>293.88037833748706</v>
          </cell>
          <cell r="AC69">
            <v>813.82417076811862</v>
          </cell>
          <cell r="AD69">
            <v>120.07051203950799</v>
          </cell>
          <cell r="AE69">
            <v>941.89326967328657</v>
          </cell>
        </row>
        <row r="70">
          <cell r="T70">
            <v>2035</v>
          </cell>
          <cell r="U70">
            <v>55.47509621843259</v>
          </cell>
          <cell r="V70">
            <v>109.73994109761149</v>
          </cell>
          <cell r="W70">
            <v>70.391938487859122</v>
          </cell>
          <cell r="X70">
            <v>43.874095732428131</v>
          </cell>
          <cell r="Y70">
            <v>27.13417615363112</v>
          </cell>
          <cell r="AA70">
            <v>2169.6683308184001</v>
          </cell>
          <cell r="AB70">
            <v>293.88037833748706</v>
          </cell>
          <cell r="AC70">
            <v>813.82417076811862</v>
          </cell>
          <cell r="AD70">
            <v>120.07051203950799</v>
          </cell>
          <cell r="AE70">
            <v>941.89326967328657</v>
          </cell>
        </row>
        <row r="71">
          <cell r="T71">
            <v>2036</v>
          </cell>
          <cell r="U71">
            <v>56.074713095424045</v>
          </cell>
          <cell r="V71">
            <v>112.80549245258344</v>
          </cell>
          <cell r="W71">
            <v>70.672570011885611</v>
          </cell>
          <cell r="X71">
            <v>43.20072038226737</v>
          </cell>
          <cell r="Y71">
            <v>27.471827225384768</v>
          </cell>
          <cell r="AA71">
            <v>2172.1054371859564</v>
          </cell>
          <cell r="AB71">
            <v>293.88037833748706</v>
          </cell>
          <cell r="AC71">
            <v>813.82417076811862</v>
          </cell>
          <cell r="AD71">
            <v>120.33811927907573</v>
          </cell>
          <cell r="AE71">
            <v>944.06276880127518</v>
          </cell>
        </row>
        <row r="72">
          <cell r="T72">
            <v>2037</v>
          </cell>
          <cell r="U72">
            <v>65.508927562704329</v>
          </cell>
          <cell r="V72">
            <v>135.79949624274434</v>
          </cell>
          <cell r="W72">
            <v>84.37480606167054</v>
          </cell>
          <cell r="X72">
            <v>46.756314943299685</v>
          </cell>
          <cell r="Y72">
            <v>29.667402699808591</v>
          </cell>
          <cell r="AA72">
            <v>2169.6683308184001</v>
          </cell>
          <cell r="AB72">
            <v>293.88037833748706</v>
          </cell>
          <cell r="AC72">
            <v>813.82417076811862</v>
          </cell>
          <cell r="AD72">
            <v>120.07051203950799</v>
          </cell>
          <cell r="AE72">
            <v>941.89326967328657</v>
          </cell>
        </row>
        <row r="73">
          <cell r="T73">
            <v>2038</v>
          </cell>
          <cell r="U73">
            <v>68.62500195682432</v>
          </cell>
          <cell r="V73">
            <v>140.12291832278214</v>
          </cell>
          <cell r="W73">
            <v>88.361305386579033</v>
          </cell>
          <cell r="X73">
            <v>50.425346314724017</v>
          </cell>
          <cell r="Y73">
            <v>31.58420908129359</v>
          </cell>
          <cell r="AA73">
            <v>2169.6683308184001</v>
          </cell>
          <cell r="AB73">
            <v>293.88037833748706</v>
          </cell>
          <cell r="AC73">
            <v>813.82417076811862</v>
          </cell>
          <cell r="AD73">
            <v>120.07051203950799</v>
          </cell>
          <cell r="AE73">
            <v>941.89326967328657</v>
          </cell>
        </row>
        <row r="74">
          <cell r="T74">
            <v>2039</v>
          </cell>
          <cell r="U74">
            <v>70.517764028060299</v>
          </cell>
          <cell r="V74">
            <v>143.58642480316377</v>
          </cell>
          <cell r="W74">
            <v>90.758256921134617</v>
          </cell>
          <cell r="X74">
            <v>51.481798526615378</v>
          </cell>
          <cell r="Y74">
            <v>32.657858833827071</v>
          </cell>
          <cell r="AA74">
            <v>2169.6683308184001</v>
          </cell>
          <cell r="AB74">
            <v>293.88037833748706</v>
          </cell>
          <cell r="AC74">
            <v>813.82417076811862</v>
          </cell>
          <cell r="AD74">
            <v>120.07051203950799</v>
          </cell>
          <cell r="AE74">
            <v>941.89326967328657</v>
          </cell>
        </row>
        <row r="79">
          <cell r="T79">
            <v>2019</v>
          </cell>
          <cell r="U79">
            <v>25.450859327662663</v>
          </cell>
          <cell r="V79">
            <v>0</v>
          </cell>
          <cell r="W79">
            <v>0</v>
          </cell>
          <cell r="X79">
            <v>30.090042197153213</v>
          </cell>
          <cell r="Y79">
            <v>25.273452451690407</v>
          </cell>
          <cell r="AA79">
            <v>416.58900000000062</v>
          </cell>
          <cell r="AB79">
            <v>0</v>
          </cell>
          <cell r="AC79">
            <v>0</v>
          </cell>
          <cell r="AD79">
            <v>15.343999999999982</v>
          </cell>
          <cell r="AE79">
            <v>401.24500000000063</v>
          </cell>
        </row>
        <row r="80">
          <cell r="T80">
            <v>2020</v>
          </cell>
          <cell r="U80">
            <v>23.183035103476382</v>
          </cell>
          <cell r="V80">
            <v>36.221505682196558</v>
          </cell>
          <cell r="W80">
            <v>25.365106891240643</v>
          </cell>
          <cell r="X80">
            <v>25.550879233268905</v>
          </cell>
          <cell r="Y80">
            <v>19.128970128906527</v>
          </cell>
          <cell r="AA80">
            <v>2183.9111428571432</v>
          </cell>
          <cell r="AB80">
            <v>237.51699999999963</v>
          </cell>
          <cell r="AC80">
            <v>699.42100000000096</v>
          </cell>
          <cell r="AD80">
            <v>67.310964285714462</v>
          </cell>
          <cell r="AE80">
            <v>1179.6621785714283</v>
          </cell>
        </row>
        <row r="81">
          <cell r="T81">
            <v>2021</v>
          </cell>
          <cell r="U81">
            <v>28.206895375998087</v>
          </cell>
          <cell r="V81">
            <v>43.388604287747583</v>
          </cell>
          <cell r="W81">
            <v>31.027592278008996</v>
          </cell>
          <cell r="X81">
            <v>32.604493235751178</v>
          </cell>
          <cell r="Y81">
            <v>23.209461364633196</v>
          </cell>
          <cell r="AA81">
            <v>2179.578</v>
          </cell>
          <cell r="AB81">
            <v>237.51699999999963</v>
          </cell>
          <cell r="AC81">
            <v>699.42100000000096</v>
          </cell>
          <cell r="AD81">
            <v>67.189000000000163</v>
          </cell>
          <cell r="AE81">
            <v>1175.4509999999993</v>
          </cell>
        </row>
        <row r="82">
          <cell r="T82">
            <v>2022</v>
          </cell>
          <cell r="U82">
            <v>28.048045263904761</v>
          </cell>
          <cell r="V82">
            <v>45.089629039750406</v>
          </cell>
          <cell r="W82">
            <v>31.910170605954075</v>
          </cell>
          <cell r="X82">
            <v>34.331660866968903</v>
          </cell>
          <cell r="Y82">
            <v>21.947316887048608</v>
          </cell>
          <cell r="AA82">
            <v>2179.578</v>
          </cell>
          <cell r="AB82">
            <v>237.51699999999963</v>
          </cell>
          <cell r="AC82">
            <v>699.42100000000096</v>
          </cell>
          <cell r="AD82">
            <v>67.189000000000163</v>
          </cell>
          <cell r="AE82">
            <v>1175.4509999999993</v>
          </cell>
        </row>
        <row r="83">
          <cell r="T83">
            <v>2023</v>
          </cell>
          <cell r="U83">
            <v>26.541091145838045</v>
          </cell>
          <cell r="V83">
            <v>47.170508726868491</v>
          </cell>
          <cell r="W83">
            <v>32.731398588614532</v>
          </cell>
          <cell r="X83">
            <v>29.879691511363252</v>
          </cell>
          <cell r="Y83">
            <v>18.498403175443762</v>
          </cell>
          <cell r="AA83">
            <v>2179.578</v>
          </cell>
          <cell r="AB83">
            <v>237.51699999999963</v>
          </cell>
          <cell r="AC83">
            <v>699.42100000000096</v>
          </cell>
          <cell r="AD83">
            <v>67.189000000000163</v>
          </cell>
          <cell r="AE83">
            <v>1175.4509999999993</v>
          </cell>
        </row>
        <row r="84">
          <cell r="T84">
            <v>2024</v>
          </cell>
          <cell r="U84">
            <v>28.004467083174614</v>
          </cell>
          <cell r="V84">
            <v>53.72236554630782</v>
          </cell>
          <cell r="W84">
            <v>37.086179813770002</v>
          </cell>
          <cell r="X84">
            <v>27.432196049103748</v>
          </cell>
          <cell r="Y84">
            <v>17.474453661093605</v>
          </cell>
          <cell r="AA84">
            <v>2183.9111428571432</v>
          </cell>
          <cell r="AB84">
            <v>237.51699999999963</v>
          </cell>
          <cell r="AC84">
            <v>699.42100000000096</v>
          </cell>
          <cell r="AD84">
            <v>67.310964285714462</v>
          </cell>
          <cell r="AE84">
            <v>1179.6621785714283</v>
          </cell>
        </row>
        <row r="85">
          <cell r="T85">
            <v>2025</v>
          </cell>
          <cell r="U85">
            <v>30.819530108532188</v>
          </cell>
          <cell r="V85">
            <v>59.471757843071728</v>
          </cell>
          <cell r="W85">
            <v>41.158695225265681</v>
          </cell>
          <cell r="X85">
            <v>29.581582472205888</v>
          </cell>
          <cell r="Y85">
            <v>18.94864487707715</v>
          </cell>
          <cell r="AA85">
            <v>2179.578</v>
          </cell>
          <cell r="AB85">
            <v>237.51699999999963</v>
          </cell>
          <cell r="AC85">
            <v>699.42100000000096</v>
          </cell>
          <cell r="AD85">
            <v>67.189000000000163</v>
          </cell>
          <cell r="AE85">
            <v>1175.4509999999993</v>
          </cell>
        </row>
        <row r="86">
          <cell r="T86">
            <v>2026</v>
          </cell>
          <cell r="U86">
            <v>32.538541079585961</v>
          </cell>
          <cell r="V86">
            <v>62.188475320227361</v>
          </cell>
          <cell r="W86">
            <v>42.927794105071897</v>
          </cell>
          <cell r="X86">
            <v>31.800782494089667</v>
          </cell>
          <cell r="Y86">
            <v>20.407660328476528</v>
          </cell>
          <cell r="AA86">
            <v>2179.578</v>
          </cell>
          <cell r="AB86">
            <v>237.51699999999963</v>
          </cell>
          <cell r="AC86">
            <v>699.42100000000096</v>
          </cell>
          <cell r="AD86">
            <v>67.189000000000163</v>
          </cell>
          <cell r="AE86">
            <v>1175.4509999999993</v>
          </cell>
        </row>
        <row r="87">
          <cell r="T87">
            <v>2027</v>
          </cell>
          <cell r="U87">
            <v>33.131860021777769</v>
          </cell>
          <cell r="V87">
            <v>62.68779709364123</v>
          </cell>
          <cell r="W87">
            <v>43.629497360220419</v>
          </cell>
          <cell r="X87">
            <v>32.122920603774389</v>
          </cell>
          <cell r="Y87">
            <v>20.970982299241072</v>
          </cell>
          <cell r="AA87">
            <v>2179.578</v>
          </cell>
          <cell r="AB87">
            <v>237.51699999999963</v>
          </cell>
          <cell r="AC87">
            <v>699.42100000000096</v>
          </cell>
          <cell r="AD87">
            <v>67.189000000000163</v>
          </cell>
          <cell r="AE87">
            <v>1175.4509999999993</v>
          </cell>
        </row>
        <row r="88">
          <cell r="T88">
            <v>2028</v>
          </cell>
          <cell r="U88">
            <v>34.877923717315497</v>
          </cell>
          <cell r="V88">
            <v>66.146518198154126</v>
          </cell>
          <cell r="W88">
            <v>46.152813498378634</v>
          </cell>
          <cell r="X88">
            <v>33.624579813098897</v>
          </cell>
          <cell r="Y88">
            <v>21.968843532568048</v>
          </cell>
          <cell r="AA88">
            <v>2183.9111428571432</v>
          </cell>
          <cell r="AB88">
            <v>237.51699999999963</v>
          </cell>
          <cell r="AC88">
            <v>699.42100000000096</v>
          </cell>
          <cell r="AD88">
            <v>67.310964285714462</v>
          </cell>
          <cell r="AE88">
            <v>1179.6621785714283</v>
          </cell>
        </row>
        <row r="89">
          <cell r="T89">
            <v>2029</v>
          </cell>
          <cell r="U89">
            <v>36.485094823664966</v>
          </cell>
          <cell r="V89">
            <v>69.522164008951165</v>
          </cell>
          <cell r="W89">
            <v>48.213044111601732</v>
          </cell>
          <cell r="X89">
            <v>35.242707050901224</v>
          </cell>
          <cell r="Y89">
            <v>22.902083036243315</v>
          </cell>
          <cell r="AA89">
            <v>2179.578</v>
          </cell>
          <cell r="AB89">
            <v>237.51699999999963</v>
          </cell>
          <cell r="AC89">
            <v>699.42100000000096</v>
          </cell>
          <cell r="AD89">
            <v>67.189000000000163</v>
          </cell>
          <cell r="AE89">
            <v>1175.4509999999993</v>
          </cell>
        </row>
        <row r="90">
          <cell r="T90">
            <v>2030</v>
          </cell>
          <cell r="U90">
            <v>37.896589325329685</v>
          </cell>
          <cell r="V90">
            <v>72.899220592473156</v>
          </cell>
          <cell r="W90">
            <v>50.341844027916615</v>
          </cell>
          <cell r="X90">
            <v>35.182960215170255</v>
          </cell>
          <cell r="Y90">
            <v>23.573689915881953</v>
          </cell>
          <cell r="AA90">
            <v>2179.578</v>
          </cell>
          <cell r="AB90">
            <v>237.51699999999963</v>
          </cell>
          <cell r="AC90">
            <v>699.42100000000096</v>
          </cell>
          <cell r="AD90">
            <v>67.189000000000163</v>
          </cell>
          <cell r="AE90">
            <v>1175.4509999999993</v>
          </cell>
        </row>
        <row r="91">
          <cell r="T91">
            <v>2031</v>
          </cell>
          <cell r="U91">
            <v>39.609009278404116</v>
          </cell>
          <cell r="V91">
            <v>76.228719785807598</v>
          </cell>
          <cell r="W91">
            <v>52.668662723066767</v>
          </cell>
          <cell r="X91">
            <v>36.642640729698329</v>
          </cell>
          <cell r="Y91">
            <v>24.608220376026953</v>
          </cell>
          <cell r="AA91">
            <v>2179.578</v>
          </cell>
          <cell r="AB91">
            <v>237.51699999999963</v>
          </cell>
          <cell r="AC91">
            <v>699.42100000000096</v>
          </cell>
          <cell r="AD91">
            <v>67.189000000000163</v>
          </cell>
          <cell r="AE91">
            <v>1175.4509999999993</v>
          </cell>
        </row>
        <row r="92">
          <cell r="T92">
            <v>2032</v>
          </cell>
          <cell r="U92">
            <v>41.277305391770824</v>
          </cell>
          <cell r="V92">
            <v>78.546080755193131</v>
          </cell>
          <cell r="W92">
            <v>54.715233528184228</v>
          </cell>
          <cell r="X92">
            <v>38.795426129526163</v>
          </cell>
          <cell r="Y92">
            <v>25.947764871441773</v>
          </cell>
          <cell r="AA92">
            <v>2183.9111428571432</v>
          </cell>
          <cell r="AB92">
            <v>237.51699999999963</v>
          </cell>
          <cell r="AC92">
            <v>699.42100000000096</v>
          </cell>
          <cell r="AD92">
            <v>67.310964285714462</v>
          </cell>
          <cell r="AE92">
            <v>1179.6621785714283</v>
          </cell>
        </row>
        <row r="93">
          <cell r="T93">
            <v>2033</v>
          </cell>
          <cell r="U93">
            <v>44.90263406161835</v>
          </cell>
          <cell r="V93">
            <v>86.412743761182412</v>
          </cell>
          <cell r="W93">
            <v>60.375589618036138</v>
          </cell>
          <cell r="X93">
            <v>40.633504152705413</v>
          </cell>
          <cell r="Y93">
            <v>27.552163302490094</v>
          </cell>
          <cell r="AA93">
            <v>2179.578</v>
          </cell>
          <cell r="AB93">
            <v>237.51699999999963</v>
          </cell>
          <cell r="AC93">
            <v>699.42100000000096</v>
          </cell>
          <cell r="AD93">
            <v>67.189000000000163</v>
          </cell>
          <cell r="AE93">
            <v>1175.4509999999993</v>
          </cell>
        </row>
        <row r="94">
          <cell r="T94">
            <v>2034</v>
          </cell>
          <cell r="U94">
            <v>47.327205159361164</v>
          </cell>
          <cell r="V94">
            <v>92.373256911050461</v>
          </cell>
          <cell r="W94">
            <v>64.255297826606082</v>
          </cell>
          <cell r="X94">
            <v>42.235081899218038</v>
          </cell>
          <cell r="Y94">
            <v>28.443447430966511</v>
          </cell>
          <cell r="AA94">
            <v>2179.578</v>
          </cell>
          <cell r="AB94">
            <v>237.51699999999963</v>
          </cell>
          <cell r="AC94">
            <v>699.42100000000096</v>
          </cell>
          <cell r="AD94">
            <v>67.189000000000163</v>
          </cell>
          <cell r="AE94">
            <v>1175.4509999999993</v>
          </cell>
        </row>
        <row r="95">
          <cell r="T95">
            <v>2035</v>
          </cell>
          <cell r="U95">
            <v>50.278837068467531</v>
          </cell>
          <cell r="V95">
            <v>100.0584253224027</v>
          </cell>
          <cell r="W95">
            <v>69.170129000787981</v>
          </cell>
          <cell r="X95">
            <v>44.332043621474476</v>
          </cell>
          <cell r="Y95">
            <v>29.319302682945295</v>
          </cell>
          <cell r="AA95">
            <v>2179.578</v>
          </cell>
          <cell r="AB95">
            <v>237.51699999999963</v>
          </cell>
          <cell r="AC95">
            <v>699.42100000000096</v>
          </cell>
          <cell r="AD95">
            <v>67.189000000000163</v>
          </cell>
          <cell r="AE95">
            <v>1175.4509999999993</v>
          </cell>
        </row>
        <row r="96">
          <cell r="T96">
            <v>2036</v>
          </cell>
          <cell r="U96">
            <v>50.711277431773006</v>
          </cell>
          <cell r="V96">
            <v>101.08404978726843</v>
          </cell>
          <cell r="W96">
            <v>69.345605600272975</v>
          </cell>
          <cell r="X96">
            <v>43.941931327165314</v>
          </cell>
          <cell r="Y96">
            <v>29.907034110742238</v>
          </cell>
          <cell r="AA96">
            <v>2183.9111428571432</v>
          </cell>
          <cell r="AB96">
            <v>237.51699999999963</v>
          </cell>
          <cell r="AC96">
            <v>699.42100000000096</v>
          </cell>
          <cell r="AD96">
            <v>67.310964285714462</v>
          </cell>
          <cell r="AE96">
            <v>1179.6621785714283</v>
          </cell>
        </row>
        <row r="97">
          <cell r="T97">
            <v>2037</v>
          </cell>
          <cell r="U97">
            <v>58.650726588616131</v>
          </cell>
          <cell r="V97">
            <v>121.31422176526939</v>
          </cell>
          <cell r="W97">
            <v>82.825306650248578</v>
          </cell>
          <cell r="X97">
            <v>47.531469846288751</v>
          </cell>
          <cell r="Y97">
            <v>32.239789336529668</v>
          </cell>
          <cell r="AA97">
            <v>2179.578</v>
          </cell>
          <cell r="AB97">
            <v>237.51699999999963</v>
          </cell>
          <cell r="AC97">
            <v>699.42100000000096</v>
          </cell>
          <cell r="AD97">
            <v>67.189000000000163</v>
          </cell>
          <cell r="AE97">
            <v>1175.4509999999993</v>
          </cell>
        </row>
        <row r="98">
          <cell r="T98">
            <v>2038</v>
          </cell>
          <cell r="U98">
            <v>61.558739670386608</v>
          </cell>
          <cell r="V98">
            <v>125.92884872512344</v>
          </cell>
          <cell r="W98">
            <v>86.740699441994479</v>
          </cell>
          <cell r="X98">
            <v>51.083049169480404</v>
          </cell>
          <cell r="Y98">
            <v>34.166755224664136</v>
          </cell>
          <cell r="AA98">
            <v>2179.578</v>
          </cell>
          <cell r="AB98">
            <v>237.51699999999963</v>
          </cell>
          <cell r="AC98">
            <v>699.42100000000096</v>
          </cell>
          <cell r="AD98">
            <v>67.189000000000163</v>
          </cell>
          <cell r="AE98">
            <v>1175.4509999999993</v>
          </cell>
        </row>
        <row r="99">
          <cell r="T99">
            <v>2039</v>
          </cell>
          <cell r="U99">
            <v>63.314319157889848</v>
          </cell>
          <cell r="V99">
            <v>128.74881909183989</v>
          </cell>
          <cell r="W99">
            <v>88.95748925640541</v>
          </cell>
          <cell r="X99">
            <v>52.328854973837352</v>
          </cell>
          <cell r="Y99">
            <v>35.461966791669518</v>
          </cell>
          <cell r="AA99">
            <v>2179.578</v>
          </cell>
          <cell r="AB99">
            <v>237.51699999999963</v>
          </cell>
          <cell r="AC99">
            <v>699.42100000000096</v>
          </cell>
          <cell r="AD99">
            <v>67.189000000000163</v>
          </cell>
          <cell r="AE99">
            <v>1175.4509999999993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8"/>
  <sheetViews>
    <sheetView tabSelected="1" workbookViewId="0">
      <selection activeCell="N39" sqref="N39"/>
    </sheetView>
  </sheetViews>
  <sheetFormatPr defaultColWidth="9.33203125" defaultRowHeight="12.75"/>
  <cols>
    <col min="1" max="1" width="1.5" style="3" customWidth="1"/>
    <col min="2" max="2" width="8.83203125" style="3" customWidth="1"/>
    <col min="3" max="3" width="10.5" style="3" customWidth="1"/>
    <col min="4" max="7" width="9.33203125" style="3" customWidth="1"/>
    <col min="8" max="8" width="10.5" style="3" customWidth="1"/>
    <col min="9" max="12" width="9.33203125" style="3" customWidth="1"/>
    <col min="13" max="13" width="1.5" style="3" customWidth="1"/>
    <col min="14" max="14" width="9.1640625" style="3" customWidth="1"/>
    <col min="15" max="15" width="10.5" style="3" customWidth="1"/>
    <col min="16" max="19" width="9.33203125" style="3" customWidth="1"/>
    <col min="20" max="20" width="10.5" style="3" customWidth="1"/>
    <col min="21" max="24" width="9.33203125" style="3" customWidth="1"/>
    <col min="25" max="25" width="3.33203125" style="3" customWidth="1"/>
    <col min="26" max="16384" width="9.33203125" style="3"/>
  </cols>
  <sheetData>
    <row r="1" spans="2:24" ht="15.75" customHeight="1">
      <c r="B1" s="350" t="s">
        <v>181</v>
      </c>
      <c r="C1" s="350"/>
      <c r="D1" s="350"/>
      <c r="E1" s="350"/>
      <c r="F1" s="350"/>
      <c r="G1" s="350"/>
      <c r="H1" s="350"/>
      <c r="I1" s="350"/>
      <c r="N1" s="350" t="s">
        <v>182</v>
      </c>
      <c r="O1" s="350"/>
      <c r="P1" s="350"/>
      <c r="Q1" s="350"/>
      <c r="R1" s="350"/>
      <c r="S1" s="350"/>
      <c r="T1" s="350"/>
      <c r="U1" s="350"/>
    </row>
    <row r="2" spans="2:24" ht="18.75" customHeight="1">
      <c r="B2" s="350" t="s">
        <v>174</v>
      </c>
      <c r="C2" s="350"/>
      <c r="D2" s="350"/>
      <c r="E2" s="350"/>
      <c r="F2" s="350"/>
      <c r="G2" s="350"/>
      <c r="H2" s="350"/>
      <c r="I2" s="350"/>
      <c r="N2" s="350" t="s">
        <v>174</v>
      </c>
      <c r="O2" s="350"/>
      <c r="P2" s="350"/>
      <c r="Q2" s="350"/>
      <c r="R2" s="350"/>
      <c r="S2" s="350"/>
      <c r="T2" s="350"/>
      <c r="U2" s="350"/>
    </row>
    <row r="3" spans="2:24" ht="15" thickBot="1">
      <c r="B3" s="189"/>
      <c r="C3" s="189"/>
      <c r="D3" s="189"/>
      <c r="E3" s="189"/>
      <c r="F3" s="189"/>
      <c r="G3" s="189"/>
      <c r="H3" s="189"/>
      <c r="I3" s="201"/>
      <c r="J3" s="201"/>
      <c r="N3" s="189"/>
    </row>
    <row r="4" spans="2:24" ht="14.25" thickTop="1" thickBot="1">
      <c r="B4" s="222"/>
      <c r="C4" s="351" t="s">
        <v>191</v>
      </c>
      <c r="D4" s="352"/>
      <c r="E4" s="352"/>
      <c r="F4" s="352"/>
      <c r="G4" s="353"/>
      <c r="H4" s="351" t="s">
        <v>192</v>
      </c>
      <c r="I4" s="352"/>
      <c r="J4" s="352"/>
      <c r="K4" s="352"/>
      <c r="L4" s="353"/>
      <c r="N4" s="222"/>
      <c r="O4" s="351" t="s">
        <v>193</v>
      </c>
      <c r="P4" s="352"/>
      <c r="Q4" s="352"/>
      <c r="R4" s="352"/>
      <c r="S4" s="353"/>
      <c r="T4" s="351" t="s">
        <v>194</v>
      </c>
      <c r="U4" s="352"/>
      <c r="V4" s="352"/>
      <c r="W4" s="352"/>
      <c r="X4" s="353"/>
    </row>
    <row r="5" spans="2:24" ht="13.5" thickBot="1">
      <c r="B5" s="223"/>
      <c r="C5" s="347" t="s">
        <v>151</v>
      </c>
      <c r="D5" s="348"/>
      <c r="E5" s="348"/>
      <c r="F5" s="348"/>
      <c r="G5" s="349"/>
      <c r="H5" s="347" t="s">
        <v>170</v>
      </c>
      <c r="I5" s="348"/>
      <c r="J5" s="348"/>
      <c r="K5" s="348"/>
      <c r="L5" s="349"/>
      <c r="N5" s="223"/>
      <c r="O5" s="347" t="s">
        <v>170</v>
      </c>
      <c r="P5" s="348"/>
      <c r="Q5" s="348"/>
      <c r="R5" s="348"/>
      <c r="S5" s="349"/>
      <c r="T5" s="347" t="s">
        <v>170</v>
      </c>
      <c r="U5" s="348"/>
      <c r="V5" s="348"/>
      <c r="W5" s="348"/>
      <c r="X5" s="349"/>
    </row>
    <row r="6" spans="2:24">
      <c r="B6" s="344" t="s">
        <v>2</v>
      </c>
      <c r="C6" s="345" t="s">
        <v>190</v>
      </c>
      <c r="D6" s="224" t="s">
        <v>0</v>
      </c>
      <c r="E6" s="225" t="s">
        <v>1</v>
      </c>
      <c r="F6" s="234" t="s">
        <v>0</v>
      </c>
      <c r="G6" s="225" t="s">
        <v>1</v>
      </c>
      <c r="H6" s="345" t="s">
        <v>190</v>
      </c>
      <c r="I6" s="224" t="s">
        <v>0</v>
      </c>
      <c r="J6" s="225" t="s">
        <v>1</v>
      </c>
      <c r="K6" s="234" t="s">
        <v>0</v>
      </c>
      <c r="L6" s="235" t="s">
        <v>1</v>
      </c>
      <c r="N6" s="344" t="s">
        <v>2</v>
      </c>
      <c r="O6" s="345" t="s">
        <v>190</v>
      </c>
      <c r="P6" s="224" t="s">
        <v>0</v>
      </c>
      <c r="Q6" s="225" t="s">
        <v>1</v>
      </c>
      <c r="R6" s="234" t="s">
        <v>0</v>
      </c>
      <c r="S6" s="225" t="s">
        <v>1</v>
      </c>
      <c r="T6" s="345" t="s">
        <v>190</v>
      </c>
      <c r="U6" s="224" t="s">
        <v>0</v>
      </c>
      <c r="V6" s="225" t="s">
        <v>1</v>
      </c>
      <c r="W6" s="234" t="s">
        <v>0</v>
      </c>
      <c r="X6" s="235" t="s">
        <v>1</v>
      </c>
    </row>
    <row r="7" spans="2:24" ht="13.5" thickBot="1">
      <c r="B7" s="344" t="s">
        <v>2</v>
      </c>
      <c r="C7" s="346" t="s">
        <v>188</v>
      </c>
      <c r="D7" s="226" t="s">
        <v>111</v>
      </c>
      <c r="E7" s="227" t="s">
        <v>111</v>
      </c>
      <c r="F7" s="227" t="s">
        <v>112</v>
      </c>
      <c r="G7" s="227" t="s">
        <v>112</v>
      </c>
      <c r="H7" s="346" t="s">
        <v>188</v>
      </c>
      <c r="I7" s="226" t="s">
        <v>111</v>
      </c>
      <c r="J7" s="227" t="s">
        <v>111</v>
      </c>
      <c r="K7" s="227" t="s">
        <v>112</v>
      </c>
      <c r="L7" s="248" t="s">
        <v>112</v>
      </c>
      <c r="N7" s="344" t="s">
        <v>2</v>
      </c>
      <c r="O7" s="346" t="s">
        <v>188</v>
      </c>
      <c r="P7" s="226" t="s">
        <v>111</v>
      </c>
      <c r="Q7" s="227" t="s">
        <v>111</v>
      </c>
      <c r="R7" s="227" t="s">
        <v>112</v>
      </c>
      <c r="S7" s="227" t="s">
        <v>112</v>
      </c>
      <c r="T7" s="346" t="s">
        <v>188</v>
      </c>
      <c r="U7" s="226" t="s">
        <v>111</v>
      </c>
      <c r="V7" s="227" t="s">
        <v>111</v>
      </c>
      <c r="W7" s="227" t="s">
        <v>112</v>
      </c>
      <c r="X7" s="248" t="s">
        <v>112</v>
      </c>
    </row>
    <row r="8" spans="2:24" ht="13.5" thickBot="1">
      <c r="B8" s="228"/>
      <c r="C8" s="341" t="s">
        <v>14</v>
      </c>
      <c r="D8" s="342"/>
      <c r="E8" s="342"/>
      <c r="F8" s="342"/>
      <c r="G8" s="343"/>
      <c r="H8" s="341" t="s">
        <v>14</v>
      </c>
      <c r="I8" s="342"/>
      <c r="J8" s="342"/>
      <c r="K8" s="342"/>
      <c r="L8" s="343"/>
      <c r="N8" s="228"/>
      <c r="O8" s="341" t="s">
        <v>14</v>
      </c>
      <c r="P8" s="342"/>
      <c r="Q8" s="342"/>
      <c r="R8" s="342"/>
      <c r="S8" s="343"/>
      <c r="T8" s="341" t="s">
        <v>14</v>
      </c>
      <c r="U8" s="342"/>
      <c r="V8" s="342"/>
      <c r="W8" s="342"/>
      <c r="X8" s="343"/>
    </row>
    <row r="9" spans="2:24" ht="13.5" thickBot="1">
      <c r="B9" s="229"/>
      <c r="C9" s="225" t="s">
        <v>4</v>
      </c>
      <c r="D9" s="225" t="s">
        <v>5</v>
      </c>
      <c r="E9" s="225" t="s">
        <v>6</v>
      </c>
      <c r="F9" s="225" t="s">
        <v>7</v>
      </c>
      <c r="G9" s="230" t="s">
        <v>8</v>
      </c>
      <c r="H9" s="225" t="s">
        <v>4</v>
      </c>
      <c r="I9" s="225" t="s">
        <v>5</v>
      </c>
      <c r="J9" s="225" t="s">
        <v>6</v>
      </c>
      <c r="K9" s="225" t="s">
        <v>7</v>
      </c>
      <c r="L9" s="230" t="s">
        <v>8</v>
      </c>
      <c r="N9" s="229"/>
      <c r="O9" s="225" t="s">
        <v>4</v>
      </c>
      <c r="P9" s="225" t="s">
        <v>5</v>
      </c>
      <c r="Q9" s="225" t="s">
        <v>6</v>
      </c>
      <c r="R9" s="225" t="s">
        <v>7</v>
      </c>
      <c r="S9" s="230" t="s">
        <v>8</v>
      </c>
      <c r="T9" s="225" t="s">
        <v>4</v>
      </c>
      <c r="U9" s="225" t="s">
        <v>5</v>
      </c>
      <c r="V9" s="225" t="s">
        <v>6</v>
      </c>
      <c r="W9" s="225" t="s">
        <v>7</v>
      </c>
      <c r="X9" s="230" t="s">
        <v>8</v>
      </c>
    </row>
    <row r="10" spans="2:24" ht="5.25" customHeight="1">
      <c r="B10" s="244"/>
      <c r="C10" s="231"/>
      <c r="D10" s="232"/>
      <c r="E10" s="233"/>
      <c r="F10" s="234"/>
      <c r="G10" s="235"/>
      <c r="H10" s="231"/>
      <c r="I10" s="232"/>
      <c r="J10" s="233"/>
      <c r="K10" s="234"/>
      <c r="L10" s="235"/>
      <c r="N10" s="244"/>
      <c r="O10" s="231"/>
      <c r="P10" s="232"/>
      <c r="Q10" s="233"/>
      <c r="R10" s="234"/>
      <c r="S10" s="235"/>
      <c r="T10" s="231"/>
      <c r="U10" s="232"/>
      <c r="V10" s="233"/>
      <c r="W10" s="234"/>
      <c r="X10" s="235"/>
    </row>
    <row r="11" spans="2:24">
      <c r="B11" s="245">
        <v>2020</v>
      </c>
      <c r="C11" s="236">
        <f>SUMPRODUCT(D11:G11,Profiles!D12:G12)/SUM(Profiles!D12:G12)</f>
        <v>42.967801121393727</v>
      </c>
      <c r="D11" s="237">
        <f>'Table B - Energy'!D11+INDEX('Table C - Capacity'!$12:$32,MATCH($B11,'Table C - Capacity'!$B$12:$B$32,0),MATCH(C$4,'Table C - Capacity'!$4:$4,0)+IF(D$7="Winter",2,3))</f>
        <v>45.241218055172645</v>
      </c>
      <c r="E11" s="238">
        <f>'Table B - Energy'!E11+INDEX('Table C - Capacity'!$12:$32,MATCH($B11,'Table C - Capacity'!$B$12:$B$32,0),MATCH(C$4,'Table C - Capacity'!$4:$4,0)+IF(E$7="Winter",2,3))</f>
        <v>30.272821538779151</v>
      </c>
      <c r="F11" s="238">
        <f>'Table B - Energy'!F11+INDEX('Table C - Capacity'!$12:$32,MATCH($B11,'Table C - Capacity'!$B$12:$B$32,0),MATCH(C$4,'Table C - Capacity'!$4:$4,0)+IF(F$7="Winter",2,3))</f>
        <v>73.985697445092853</v>
      </c>
      <c r="G11" s="239">
        <f>'Table B - Energy'!G11+INDEX('Table C - Capacity'!$12:$32,MATCH($B11,'Table C - Capacity'!$B$12:$B$32,0),MATCH(C$4,'Table C - Capacity'!$4:$4,0)+IF(G$7="Winter",2,3))</f>
        <v>50.575395190994378</v>
      </c>
      <c r="H11" s="236">
        <f>SUMPRODUCT(I11:L11,Profiles!I12:L12)/SUM(Profiles!I12:L12)</f>
        <v>32.383623403144774</v>
      </c>
      <c r="I11" s="237">
        <f>'Table B - Energy'!I11+INDEX('Table C - Capacity'!$12:$32,MATCH($B11,'Table C - Capacity'!$B$12:$B$32,0),MATCH(H$4,'Table C - Capacity'!$4:$4,0)+IF(I$7="Winter",2,3))</f>
        <v>40.027362155222079</v>
      </c>
      <c r="J11" s="238">
        <f>'Table B - Energy'!J11+INDEX('Table C - Capacity'!$12:$32,MATCH($B11,'Table C - Capacity'!$B$12:$B$32,0),MATCH(H$4,'Table C - Capacity'!$4:$4,0)+IF(J$7="Winter",2,3))</f>
        <v>24.22344127239073</v>
      </c>
      <c r="K11" s="238">
        <f>'Table B - Energy'!K11+INDEX('Table C - Capacity'!$12:$32,MATCH($B11,'Table C - Capacity'!$B$12:$B$32,0),MATCH(H$4,'Table C - Capacity'!$4:$4,0)+IF(K$7="Winter",2,3))</f>
        <v>52.960558807857176</v>
      </c>
      <c r="L11" s="239">
        <f>'Table B - Energy'!L11+INDEX('Table C - Capacity'!$12:$32,MATCH($B11,'Table C - Capacity'!$B$12:$B$32,0),MATCH(H$4,'Table C - Capacity'!$4:$4,0)+IF(L$7="Winter",2,3))</f>
        <v>32.644623789966865</v>
      </c>
      <c r="N11" s="245">
        <v>2020</v>
      </c>
      <c r="O11" s="236">
        <f>SUMPRODUCT(P11:S11,Profiles!N12:Q12)/SUM(Profiles!N12:Q12)</f>
        <v>24.239988421505956</v>
      </c>
      <c r="P11" s="237">
        <f>'Table B - Energy'!P11+INDEX('Table C - Capacity'!$12:$32,MATCH($B11,'Table C - Capacity'!$B$12:$B$32,0),MATCH(O$4,'Table C - Capacity'!$4:$4,0)+IF(P$7="Winter",2,3))</f>
        <v>26.17492369709581</v>
      </c>
      <c r="Q11" s="238">
        <f>'Table B - Energy'!Q11+INDEX('Table C - Capacity'!$12:$32,MATCH($B11,'Table C - Capacity'!$B$12:$B$32,0),MATCH(O$4,'Table C - Capacity'!$4:$4,0)+IF(Q$7="Winter",2,3))</f>
        <v>19.753014592733432</v>
      </c>
      <c r="R11" s="238">
        <f>'Table B - Energy'!R11+INDEX('Table C - Capacity'!$12:$32,MATCH($B11,'Table C - Capacity'!$B$12:$B$32,0),MATCH(O$4,'Table C - Capacity'!$4:$4,0)+IF(R$7="Winter",2,3))</f>
        <v>37.854618484094473</v>
      </c>
      <c r="S11" s="239">
        <f>'Table B - Energy'!S11+INDEX('Table C - Capacity'!$12:$32,MATCH($B11,'Table C - Capacity'!$B$12:$B$32,0),MATCH(O$4,'Table C - Capacity'!$4:$4,0)+IF(S$7="Winter",2,3))</f>
        <v>26.998219693138559</v>
      </c>
      <c r="T11" s="236">
        <f>SUMPRODUCT(U11:X11,Profiles!S12:V12)/SUM(Profiles!S12:V12)</f>
        <v>24.662918073805265</v>
      </c>
      <c r="U11" s="237">
        <f>'Table B - Energy'!U11+INDEX('Table C - Capacity'!$12:$32,MATCH($B11,'Table C - Capacity'!$B$12:$B$32,0),MATCH(T$4,'Table C - Capacity'!$4:$4,0)+IF(U$7="Winter",2,3))</f>
        <v>26.253964390806189</v>
      </c>
      <c r="V11" s="238">
        <f>'Table B - Energy'!V11+INDEX('Table C - Capacity'!$12:$32,MATCH($B11,'Table C - Capacity'!$B$12:$B$32,0),MATCH(T$4,'Table C - Capacity'!$4:$4,0)+IF(V$7="Winter",2,3))</f>
        <v>17.851520623017201</v>
      </c>
      <c r="W11" s="238">
        <f>'Table B - Energy'!W11+INDEX('Table C - Capacity'!$12:$32,MATCH($B11,'Table C - Capacity'!$B$12:$B$32,0),MATCH(T$4,'Table C - Capacity'!$4:$4,0)+IF(W$7="Winter",2,3))</f>
        <v>40.145275753932836</v>
      </c>
      <c r="X11" s="239">
        <f>'Table B - Energy'!X11+INDEX('Table C - Capacity'!$12:$32,MATCH($B11,'Table C - Capacity'!$B$12:$B$32,0),MATCH(T$4,'Table C - Capacity'!$4:$4,0)+IF(X$7="Winter",2,3))</f>
        <v>26.738258354171759</v>
      </c>
    </row>
    <row r="12" spans="2:24">
      <c r="B12" s="245">
        <f t="shared" ref="B12:B30" si="0">B11+1</f>
        <v>2021</v>
      </c>
      <c r="C12" s="236">
        <f>SUMPRODUCT(D12:G12,Profiles!D13:G13)/SUM(Profiles!D13:G13)</f>
        <v>48.761122478494528</v>
      </c>
      <c r="D12" s="237">
        <f>'Table B - Energy'!D12+INDEX('Table C - Capacity'!$12:$32,MATCH($B12,'Table C - Capacity'!$B$12:$B$32,0),MATCH(C$4,'Table C - Capacity'!$4:$4,0)+IF(D$7="Winter",2,3))</f>
        <v>52.827371880273787</v>
      </c>
      <c r="E12" s="238">
        <f>'Table B - Energy'!E12+INDEX('Table C - Capacity'!$12:$32,MATCH($B12,'Table C - Capacity'!$B$12:$B$32,0),MATCH(C$4,'Table C - Capacity'!$4:$4,0)+IF(E$7="Winter",2,3))</f>
        <v>33.628822497557913</v>
      </c>
      <c r="F12" s="238">
        <f>'Table B - Energy'!F12+INDEX('Table C - Capacity'!$12:$32,MATCH($B12,'Table C - Capacity'!$B$12:$B$32,0),MATCH(C$4,'Table C - Capacity'!$4:$4,0)+IF(F$7="Winter",2,3))</f>
        <v>84.088654407737295</v>
      </c>
      <c r="G12" s="239">
        <f>'Table B - Energy'!G12+INDEX('Table C - Capacity'!$12:$32,MATCH($B12,'Table C - Capacity'!$B$12:$B$32,0),MATCH(C$4,'Table C - Capacity'!$4:$4,0)+IF(G$7="Winter",2,3))</f>
        <v>57.188336784786387</v>
      </c>
      <c r="H12" s="236">
        <f>SUMPRODUCT(I12:L12,Profiles!I13:L13)/SUM(Profiles!I13:L13)</f>
        <v>38.020795167209386</v>
      </c>
      <c r="I12" s="237">
        <f>'Table B - Energy'!I12+INDEX('Table C - Capacity'!$12:$32,MATCH($B12,'Table C - Capacity'!$B$12:$B$32,0),MATCH(H$4,'Table C - Capacity'!$4:$4,0)+IF(I$7="Winter",2,3))</f>
        <v>47.759868057803892</v>
      </c>
      <c r="J12" s="238">
        <f>'Table B - Energy'!J12+INDEX('Table C - Capacity'!$12:$32,MATCH($B12,'Table C - Capacity'!$B$12:$B$32,0),MATCH(H$4,'Table C - Capacity'!$4:$4,0)+IF(J$7="Winter",2,3))</f>
        <v>27.64981824622615</v>
      </c>
      <c r="K12" s="238">
        <f>'Table B - Energy'!K12+INDEX('Table C - Capacity'!$12:$32,MATCH($B12,'Table C - Capacity'!$B$12:$B$32,0),MATCH(H$4,'Table C - Capacity'!$4:$4,0)+IF(K$7="Winter",2,3))</f>
        <v>62.970913444046154</v>
      </c>
      <c r="L12" s="239">
        <f>'Table B - Energy'!L12+INDEX('Table C - Capacity'!$12:$32,MATCH($B12,'Table C - Capacity'!$B$12:$B$32,0),MATCH(H$4,'Table C - Capacity'!$4:$4,0)+IF(L$7="Winter",2,3))</f>
        <v>38.888197947927708</v>
      </c>
      <c r="N12" s="245">
        <v>2021</v>
      </c>
      <c r="O12" s="236">
        <f>SUMPRODUCT(P12:S12,Profiles!N13:Q13)/SUM(Profiles!N13:Q13)</f>
        <v>29.287981252310871</v>
      </c>
      <c r="P12" s="237">
        <f>'Table B - Energy'!P12+INDEX('Table C - Capacity'!$12:$32,MATCH($B12,'Table C - Capacity'!$B$12:$B$32,0),MATCH(O$4,'Table C - Capacity'!$4:$4,0)+IF(P$7="Winter",2,3))</f>
        <v>33.242266677782276</v>
      </c>
      <c r="Q12" s="238">
        <f>'Table B - Energy'!Q12+INDEX('Table C - Capacity'!$12:$32,MATCH($B12,'Table C - Capacity'!$B$12:$B$32,0),MATCH(O$4,'Table C - Capacity'!$4:$4,0)+IF(Q$7="Winter",2,3))</f>
        <v>23.847234806664293</v>
      </c>
      <c r="R12" s="238">
        <f>'Table B - Energy'!R12+INDEX('Table C - Capacity'!$12:$32,MATCH($B12,'Table C - Capacity'!$B$12:$B$32,0),MATCH(O$4,'Table C - Capacity'!$4:$4,0)+IF(R$7="Winter",2,3))</f>
        <v>45.057645571287253</v>
      </c>
      <c r="S12" s="239">
        <f>'Table B - Energy'!S12+INDEX('Table C - Capacity'!$12:$32,MATCH($B12,'Table C - Capacity'!$B$12:$B$32,0),MATCH(O$4,'Table C - Capacity'!$4:$4,0)+IF(S$7="Winter",2,3))</f>
        <v>32.696633561548666</v>
      </c>
      <c r="T12" s="236">
        <f>SUMPRODUCT(U12:X12,Profiles!S13:V13)/SUM(Profiles!S13:V13)</f>
        <v>29.810250883900295</v>
      </c>
      <c r="U12" s="237">
        <f>'Table B - Energy'!U12+INDEX('Table C - Capacity'!$12:$32,MATCH($B12,'Table C - Capacity'!$B$12:$B$32,0),MATCH(T$4,'Table C - Capacity'!$4:$4,0)+IF(U$7="Winter",2,3))</f>
        <v>33.17270807413491</v>
      </c>
      <c r="V12" s="238">
        <f>'Table B - Energy'!V12+INDEX('Table C - Capacity'!$12:$32,MATCH($B12,'Table C - Capacity'!$B$12:$B$32,0),MATCH(T$4,'Table C - Capacity'!$4:$4,0)+IF(V$7="Winter",2,3))</f>
        <v>21.859371827028188</v>
      </c>
      <c r="W12" s="238">
        <f>'Table B - Energy'!W12+INDEX('Table C - Capacity'!$12:$32,MATCH($B12,'Table C - Capacity'!$B$12:$B$32,0),MATCH(T$4,'Table C - Capacity'!$4:$4,0)+IF(W$7="Winter",2,3))</f>
        <v>47.415228399939323</v>
      </c>
      <c r="X12" s="239">
        <f>'Table B - Energy'!X12+INDEX('Table C - Capacity'!$12:$32,MATCH($B12,'Table C - Capacity'!$B$12:$B$32,0),MATCH(T$4,'Table C - Capacity'!$4:$4,0)+IF(X$7="Winter",2,3))</f>
        <v>32.15890324731091</v>
      </c>
    </row>
    <row r="13" spans="2:24">
      <c r="B13" s="245">
        <f t="shared" si="0"/>
        <v>2022</v>
      </c>
      <c r="C13" s="236">
        <f>SUMPRODUCT(D13:G13,Profiles!D14:G14)/SUM(Profiles!D14:G14)</f>
        <v>48.269304516960965</v>
      </c>
      <c r="D13" s="237">
        <f>'Table B - Energy'!D13+INDEX('Table C - Capacity'!$12:$32,MATCH($B13,'Table C - Capacity'!$B$12:$B$32,0),MATCH(C$4,'Table C - Capacity'!$4:$4,0)+IF(D$7="Winter",2,3))</f>
        <v>50.937908269939676</v>
      </c>
      <c r="E13" s="238">
        <f>'Table B - Energy'!E13+INDEX('Table C - Capacity'!$12:$32,MATCH($B13,'Table C - Capacity'!$B$12:$B$32,0),MATCH(C$4,'Table C - Capacity'!$4:$4,0)+IF(E$7="Winter",2,3))</f>
        <v>32.076645409857484</v>
      </c>
      <c r="F13" s="238">
        <f>'Table B - Energy'!F13+INDEX('Table C - Capacity'!$12:$32,MATCH($B13,'Table C - Capacity'!$B$12:$B$32,0),MATCH(C$4,'Table C - Capacity'!$4:$4,0)+IF(F$7="Winter",2,3))</f>
        <v>86.566197588213612</v>
      </c>
      <c r="G13" s="239">
        <f>'Table B - Energy'!G13+INDEX('Table C - Capacity'!$12:$32,MATCH($B13,'Table C - Capacity'!$B$12:$B$32,0),MATCH(C$4,'Table C - Capacity'!$4:$4,0)+IF(G$7="Winter",2,3))</f>
        <v>58.715782629197193</v>
      </c>
      <c r="H13" s="236">
        <f>SUMPRODUCT(I13:L13,Profiles!I14:L14)/SUM(Profiles!I14:L14)</f>
        <v>37.117891570595475</v>
      </c>
      <c r="I13" s="237">
        <f>'Table B - Energy'!I13+INDEX('Table C - Capacity'!$12:$32,MATCH($B13,'Table C - Capacity'!$B$12:$B$32,0),MATCH(H$4,'Table C - Capacity'!$4:$4,0)+IF(I$7="Winter",2,3))</f>
        <v>45.559154613792785</v>
      </c>
      <c r="J13" s="238">
        <f>'Table B - Energy'!J13+INDEX('Table C - Capacity'!$12:$32,MATCH($B13,'Table C - Capacity'!$B$12:$B$32,0),MATCH(H$4,'Table C - Capacity'!$4:$4,0)+IF(J$7="Winter",2,3))</f>
        <v>26.048152199101949</v>
      </c>
      <c r="K13" s="238">
        <f>'Table B - Energy'!K13+INDEX('Table C - Capacity'!$12:$32,MATCH($B13,'Table C - Capacity'!$B$12:$B$32,0),MATCH(H$4,'Table C - Capacity'!$4:$4,0)+IF(K$7="Winter",2,3))</f>
        <v>64.631557317920013</v>
      </c>
      <c r="L13" s="239">
        <f>'Table B - Energy'!L13+INDEX('Table C - Capacity'!$12:$32,MATCH($B13,'Table C - Capacity'!$B$12:$B$32,0),MATCH(H$4,'Table C - Capacity'!$4:$4,0)+IF(L$7="Winter",2,3))</f>
        <v>40.000866502712469</v>
      </c>
      <c r="N13" s="245">
        <v>2022</v>
      </c>
      <c r="O13" s="236">
        <f>SUMPRODUCT(P13:S13,Profiles!N14:Q14)/SUM(Profiles!N14:Q14)</f>
        <v>29.153996115372692</v>
      </c>
      <c r="P13" s="237">
        <f>'Table B - Energy'!P13+INDEX('Table C - Capacity'!$12:$32,MATCH($B13,'Table C - Capacity'!$B$12:$B$32,0),MATCH(O$4,'Table C - Capacity'!$4:$4,0)+IF(P$7="Winter",2,3))</f>
        <v>34.984103098166713</v>
      </c>
      <c r="Q13" s="238">
        <f>'Table B - Energy'!Q13+INDEX('Table C - Capacity'!$12:$32,MATCH($B13,'Table C - Capacity'!$B$12:$B$32,0),MATCH(O$4,'Table C - Capacity'!$4:$4,0)+IF(Q$7="Winter",2,3))</f>
        <v>22.599759118246421</v>
      </c>
      <c r="R13" s="238">
        <f>'Table B - Energy'!R13+INDEX('Table C - Capacity'!$12:$32,MATCH($B13,'Table C - Capacity'!$B$12:$B$32,0),MATCH(O$4,'Table C - Capacity'!$4:$4,0)+IF(R$7="Winter",2,3))</f>
        <v>46.797058272811483</v>
      </c>
      <c r="S13" s="239">
        <f>'Table B - Energy'!S13+INDEX('Table C - Capacity'!$12:$32,MATCH($B13,'Table C - Capacity'!$B$12:$B$32,0),MATCH(O$4,'Table C - Capacity'!$4:$4,0)+IF(S$7="Winter",2,3))</f>
        <v>33.617599839015156</v>
      </c>
      <c r="T13" s="236">
        <f>SUMPRODUCT(U13:X13,Profiles!S14:V14)/SUM(Profiles!S14:V14)</f>
        <v>30.656577141567748</v>
      </c>
      <c r="U13" s="237">
        <f>'Table B - Energy'!U13+INDEX('Table C - Capacity'!$12:$32,MATCH($B13,'Table C - Capacity'!$B$12:$B$32,0),MATCH(T$4,'Table C - Capacity'!$4:$4,0)+IF(U$7="Winter",2,3))</f>
        <v>36.049290206070481</v>
      </c>
      <c r="V13" s="238">
        <f>'Table B - Energy'!V13+INDEX('Table C - Capacity'!$12:$32,MATCH($B13,'Table C - Capacity'!$B$12:$B$32,0),MATCH(T$4,'Table C - Capacity'!$4:$4,0)+IF(V$7="Winter",2,3))</f>
        <v>21.383844829271947</v>
      </c>
      <c r="W13" s="238">
        <f>'Table B - Energy'!W13+INDEX('Table C - Capacity'!$12:$32,MATCH($B13,'Table C - Capacity'!$B$12:$B$32,0),MATCH(T$4,'Table C - Capacity'!$4:$4,0)+IF(W$7="Winter",2,3))</f>
        <v>50.102219986815001</v>
      </c>
      <c r="X13" s="239">
        <f>'Table B - Energy'!X13+INDEX('Table C - Capacity'!$12:$32,MATCH($B13,'Table C - Capacity'!$B$12:$B$32,0),MATCH(T$4,'Table C - Capacity'!$4:$4,0)+IF(X$7="Winter",2,3))</f>
        <v>33.570874291136313</v>
      </c>
    </row>
    <row r="14" spans="2:24">
      <c r="B14" s="245">
        <f t="shared" si="0"/>
        <v>2023</v>
      </c>
      <c r="C14" s="236">
        <f>SUMPRODUCT(D14:G14,Profiles!D15:G15)/SUM(Profiles!D15:G15)</f>
        <v>45.93420370035242</v>
      </c>
      <c r="D14" s="237">
        <f>'Table B - Energy'!D14+INDEX('Table C - Capacity'!$12:$32,MATCH($B14,'Table C - Capacity'!$B$12:$B$32,0),MATCH(C$4,'Table C - Capacity'!$4:$4,0)+IF(D$7="Winter",2,3))</f>
        <v>44.635294412372559</v>
      </c>
      <c r="E14" s="238">
        <f>'Table B - Energy'!E14+INDEX('Table C - Capacity'!$12:$32,MATCH($B14,'Table C - Capacity'!$B$12:$B$32,0),MATCH(C$4,'Table C - Capacity'!$4:$4,0)+IF(E$7="Winter",2,3))</f>
        <v>28.783393692207589</v>
      </c>
      <c r="F14" s="238">
        <f>'Table B - Energy'!F14+INDEX('Table C - Capacity'!$12:$32,MATCH($B14,'Table C - Capacity'!$B$12:$B$32,0),MATCH(C$4,'Table C - Capacity'!$4:$4,0)+IF(F$7="Winter",2,3))</f>
        <v>89.363991599088649</v>
      </c>
      <c r="G14" s="239">
        <f>'Table B - Energy'!G14+INDEX('Table C - Capacity'!$12:$32,MATCH($B14,'Table C - Capacity'!$B$12:$B$32,0),MATCH(C$4,'Table C - Capacity'!$4:$4,0)+IF(G$7="Winter",2,3))</f>
        <v>59.673935246629782</v>
      </c>
      <c r="H14" s="236">
        <f>SUMPRODUCT(I14:L14,Profiles!I15:L15)/SUM(Profiles!I15:L15)</f>
        <v>34.314809164564757</v>
      </c>
      <c r="I14" s="237">
        <f>'Table B - Energy'!I14+INDEX('Table C - Capacity'!$12:$32,MATCH($B14,'Table C - Capacity'!$B$12:$B$32,0),MATCH(H$4,'Table C - Capacity'!$4:$4,0)+IF(I$7="Winter",2,3))</f>
        <v>39.154238710200708</v>
      </c>
      <c r="J14" s="238">
        <f>'Table B - Energy'!J14+INDEX('Table C - Capacity'!$12:$32,MATCH($B14,'Table C - Capacity'!$B$12:$B$32,0),MATCH(H$4,'Table C - Capacity'!$4:$4,0)+IF(J$7="Winter",2,3))</f>
        <v>22.70375306177699</v>
      </c>
      <c r="K14" s="238">
        <f>'Table B - Energy'!K14+INDEX('Table C - Capacity'!$12:$32,MATCH($B14,'Table C - Capacity'!$B$12:$B$32,0),MATCH(H$4,'Table C - Capacity'!$4:$4,0)+IF(K$7="Winter",2,3))</f>
        <v>66.550136468263474</v>
      </c>
      <c r="L14" s="239">
        <f>'Table B - Energy'!L14+INDEX('Table C - Capacity'!$12:$32,MATCH($B14,'Table C - Capacity'!$B$12:$B$32,0),MATCH(H$4,'Table C - Capacity'!$4:$4,0)+IF(L$7="Winter",2,3))</f>
        <v>40.556883770212728</v>
      </c>
      <c r="N14" s="245">
        <v>2023</v>
      </c>
      <c r="O14" s="236">
        <f>SUMPRODUCT(P14:S14,Profiles!N15:Q15)/SUM(Profiles!N15:Q15)</f>
        <v>27.671372916038187</v>
      </c>
      <c r="P14" s="237">
        <f>'Table B - Energy'!P14+INDEX('Table C - Capacity'!$12:$32,MATCH($B14,'Table C - Capacity'!$B$12:$B$32,0),MATCH(O$4,'Table C - Capacity'!$4:$4,0)+IF(P$7="Winter",2,3))</f>
        <v>30.546487471647417</v>
      </c>
      <c r="Q14" s="238">
        <f>'Table B - Energy'!Q14+INDEX('Table C - Capacity'!$12:$32,MATCH($B14,'Table C - Capacity'!$B$12:$B$32,0),MATCH(O$4,'Table C - Capacity'!$4:$4,0)+IF(Q$7="Winter",2,3))</f>
        <v>19.165199135727928</v>
      </c>
      <c r="R14" s="238">
        <f>'Table B - Energy'!R14+INDEX('Table C - Capacity'!$12:$32,MATCH($B14,'Table C - Capacity'!$B$12:$B$32,0),MATCH(O$4,'Table C - Capacity'!$4:$4,0)+IF(R$7="Winter",2,3))</f>
        <v>48.915501403056915</v>
      </c>
      <c r="S14" s="239">
        <f>'Table B - Energy'!S14+INDEX('Table C - Capacity'!$12:$32,MATCH($B14,'Table C - Capacity'!$B$12:$B$32,0),MATCH(O$4,'Table C - Capacity'!$4:$4,0)+IF(S$7="Winter",2,3))</f>
        <v>34.476391264802956</v>
      </c>
      <c r="T14" s="236">
        <f>SUMPRODUCT(U14:X14,Profiles!S15:V15)/SUM(Profiles!S15:V15)</f>
        <v>29.98823739647678</v>
      </c>
      <c r="U14" s="237">
        <f>'Table B - Energy'!U14+INDEX('Table C - Capacity'!$12:$32,MATCH($B14,'Table C - Capacity'!$B$12:$B$32,0),MATCH(T$4,'Table C - Capacity'!$4:$4,0)+IF(U$7="Winter",2,3))</f>
        <v>31.462802872995077</v>
      </c>
      <c r="V14" s="238">
        <f>'Table B - Energy'!V14+INDEX('Table C - Capacity'!$12:$32,MATCH($B14,'Table C - Capacity'!$B$12:$B$32,0),MATCH(T$4,'Table C - Capacity'!$4:$4,0)+IF(V$7="Winter",2,3))</f>
        <v>18.274840902926034</v>
      </c>
      <c r="W14" s="238">
        <f>'Table B - Energy'!W14+INDEX('Table C - Capacity'!$12:$32,MATCH($B14,'Table C - Capacity'!$B$12:$B$32,0),MATCH(T$4,'Table C - Capacity'!$4:$4,0)+IF(W$7="Winter",2,3))</f>
        <v>53.586204393497191</v>
      </c>
      <c r="X14" s="239">
        <f>'Table B - Energy'!X14+INDEX('Table C - Capacity'!$12:$32,MATCH($B14,'Table C - Capacity'!$B$12:$B$32,0),MATCH(T$4,'Table C - Capacity'!$4:$4,0)+IF(X$7="Winter",2,3))</f>
        <v>34.805909520552859</v>
      </c>
    </row>
    <row r="15" spans="2:24">
      <c r="B15" s="245">
        <f t="shared" si="0"/>
        <v>2024</v>
      </c>
      <c r="C15" s="236">
        <f>SUMPRODUCT(D15:G15,Profiles!D16:G16)/SUM(Profiles!D16:G16)</f>
        <v>47.122644253635713</v>
      </c>
      <c r="D15" s="237">
        <f>'Table B - Energy'!D15+INDEX('Table C - Capacity'!$12:$32,MATCH($B15,'Table C - Capacity'!$B$12:$B$32,0),MATCH(C$4,'Table C - Capacity'!$4:$4,0)+IF(D$7="Winter",2,3))</f>
        <v>42.374780529193487</v>
      </c>
      <c r="E15" s="238">
        <f>'Table B - Energy'!E15+INDEX('Table C - Capacity'!$12:$32,MATCH($B15,'Table C - Capacity'!$B$12:$B$32,0),MATCH(C$4,'Table C - Capacity'!$4:$4,0)+IF(E$7="Winter",2,3))</f>
        <v>28.067674996406801</v>
      </c>
      <c r="F15" s="238">
        <f>'Table B - Energy'!F15+INDEX('Table C - Capacity'!$12:$32,MATCH($B15,'Table C - Capacity'!$B$12:$B$32,0),MATCH(C$4,'Table C - Capacity'!$4:$4,0)+IF(F$7="Winter",2,3))</f>
        <v>98.462835500334137</v>
      </c>
      <c r="G15" s="239">
        <f>'Table B - Energy'!G15+INDEX('Table C - Capacity'!$12:$32,MATCH($B15,'Table C - Capacity'!$B$12:$B$32,0),MATCH(C$4,'Table C - Capacity'!$4:$4,0)+IF(G$7="Winter",2,3))</f>
        <v>64.310350869186536</v>
      </c>
      <c r="H15" s="236">
        <f>SUMPRODUCT(I15:L15,Profiles!I16:L16)/SUM(Profiles!I16:L16)</f>
        <v>34.989778139720137</v>
      </c>
      <c r="I15" s="237">
        <f>'Table B - Energy'!I15+INDEX('Table C - Capacity'!$12:$32,MATCH($B15,'Table C - Capacity'!$B$12:$B$32,0),MATCH(H$4,'Table C - Capacity'!$4:$4,0)+IF(I$7="Winter",2,3))</f>
        <v>36.850182966941951</v>
      </c>
      <c r="J15" s="238">
        <f>'Table B - Energy'!J15+INDEX('Table C - Capacity'!$12:$32,MATCH($B15,'Table C - Capacity'!$B$12:$B$32,0),MATCH(H$4,'Table C - Capacity'!$4:$4,0)+IF(J$7="Winter",2,3))</f>
        <v>21.904945201231698</v>
      </c>
      <c r="K15" s="238">
        <f>'Table B - Energy'!K15+INDEX('Table C - Capacity'!$12:$32,MATCH($B15,'Table C - Capacity'!$B$12:$B$32,0),MATCH(H$4,'Table C - Capacity'!$4:$4,0)+IF(K$7="Winter",2,3))</f>
        <v>74.663834434608418</v>
      </c>
      <c r="L15" s="239">
        <f>'Table B - Energy'!L15+INDEX('Table C - Capacity'!$12:$32,MATCH($B15,'Table C - Capacity'!$B$12:$B$32,0),MATCH(H$4,'Table C - Capacity'!$4:$4,0)+IF(L$7="Winter",2,3))</f>
        <v>44.859808184247292</v>
      </c>
      <c r="N15" s="245">
        <v>2024</v>
      </c>
      <c r="O15" s="236">
        <f>SUMPRODUCT(P15:S15,Profiles!N16:Q16)/SUM(Profiles!N16:Q16)</f>
        <v>29.158675209167463</v>
      </c>
      <c r="P15" s="237">
        <f>'Table B - Energy'!P15+INDEX('Table C - Capacity'!$12:$32,MATCH($B15,'Table C - Capacity'!$B$12:$B$32,0),MATCH(O$4,'Table C - Capacity'!$4:$4,0)+IF(P$7="Winter",2,3))</f>
        <v>28.113661520514164</v>
      </c>
      <c r="Q15" s="238">
        <f>'Table B - Energy'!Q15+INDEX('Table C - Capacity'!$12:$32,MATCH($B15,'Table C - Capacity'!$B$12:$B$32,0),MATCH(O$4,'Table C - Capacity'!$4:$4,0)+IF(Q$7="Winter",2,3))</f>
        <v>18.155919132504021</v>
      </c>
      <c r="R15" s="238">
        <f>'Table B - Energy'!R15+INDEX('Table C - Capacity'!$12:$32,MATCH($B15,'Table C - Capacity'!$B$12:$B$32,0),MATCH(O$4,'Table C - Capacity'!$4:$4,0)+IF(R$7="Winter",2,3))</f>
        <v>55.505748061372387</v>
      </c>
      <c r="S15" s="239">
        <f>'Table B - Energy'!S15+INDEX('Table C - Capacity'!$12:$32,MATCH($B15,'Table C - Capacity'!$B$12:$B$32,0),MATCH(O$4,'Table C - Capacity'!$4:$4,0)+IF(S$7="Winter",2,3))</f>
        <v>38.869562328834569</v>
      </c>
      <c r="T15" s="236">
        <f>SUMPRODUCT(U15:X15,Profiles!S16:V16)/SUM(Profiles!S16:V16)</f>
        <v>31.908194003744047</v>
      </c>
      <c r="U15" s="237">
        <f>'Table B - Energy'!U15+INDEX('Table C - Capacity'!$12:$32,MATCH($B15,'Table C - Capacity'!$B$12:$B$32,0),MATCH(T$4,'Table C - Capacity'!$4:$4,0)+IF(U$7="Winter",2,3))</f>
        <v>28.260319378362869</v>
      </c>
      <c r="V15" s="238">
        <f>'Table B - Energy'!V15+INDEX('Table C - Capacity'!$12:$32,MATCH($B15,'Table C - Capacity'!$B$12:$B$32,0),MATCH(T$4,'Table C - Capacity'!$4:$4,0)+IF(V$7="Winter",2,3))</f>
        <v>17.186626181684655</v>
      </c>
      <c r="W15" s="238">
        <f>'Table B - Energy'!W15+INDEX('Table C - Capacity'!$12:$32,MATCH($B15,'Table C - Capacity'!$B$12:$B$32,0),MATCH(T$4,'Table C - Capacity'!$4:$4,0)+IF(W$7="Winter",2,3))</f>
        <v>60.791065813842351</v>
      </c>
      <c r="X15" s="239">
        <f>'Table B - Energy'!X15+INDEX('Table C - Capacity'!$12:$32,MATCH($B15,'Table C - Capacity'!$B$12:$B$32,0),MATCH(T$4,'Table C - Capacity'!$4:$4,0)+IF(X$7="Winter",2,3))</f>
        <v>39.095192579158791</v>
      </c>
    </row>
    <row r="16" spans="2:24">
      <c r="B16" s="245">
        <f t="shared" si="0"/>
        <v>2025</v>
      </c>
      <c r="C16" s="236">
        <f>SUMPRODUCT(D16:G16,Profiles!D17:G17)/SUM(Profiles!D17:G17)</f>
        <v>50.602807637640169</v>
      </c>
      <c r="D16" s="237">
        <f>'Table B - Energy'!D16+INDEX('Table C - Capacity'!$12:$32,MATCH($B16,'Table C - Capacity'!$B$12:$B$32,0),MATCH(C$4,'Table C - Capacity'!$4:$4,0)+IF(D$7="Winter",2,3))</f>
        <v>45.532186527633648</v>
      </c>
      <c r="E16" s="238">
        <f>'Table B - Energy'!E16+INDEX('Table C - Capacity'!$12:$32,MATCH($B16,'Table C - Capacity'!$B$12:$B$32,0),MATCH(C$4,'Table C - Capacity'!$4:$4,0)+IF(E$7="Winter",2,3))</f>
        <v>29.949614511172832</v>
      </c>
      <c r="F16" s="238">
        <f>'Table B - Energy'!F16+INDEX('Table C - Capacity'!$12:$32,MATCH($B16,'Table C - Capacity'!$B$12:$B$32,0),MATCH(C$4,'Table C - Capacity'!$4:$4,0)+IF(F$7="Winter",2,3))</f>
        <v>106.56054066822691</v>
      </c>
      <c r="G16" s="239">
        <f>'Table B - Energy'!G16+INDEX('Table C - Capacity'!$12:$32,MATCH($B16,'Table C - Capacity'!$B$12:$B$32,0),MATCH(C$4,'Table C - Capacity'!$4:$4,0)+IF(G$7="Winter",2,3))</f>
        <v>68.810878782980865</v>
      </c>
      <c r="H16" s="236">
        <f>SUMPRODUCT(I16:L16,Profiles!I17:L17)/SUM(Profiles!I17:L17)</f>
        <v>38.037562868601128</v>
      </c>
      <c r="I16" s="237">
        <f>'Table B - Energy'!I16+INDEX('Table C - Capacity'!$12:$32,MATCH($B16,'Table C - Capacity'!$B$12:$B$32,0),MATCH(H$4,'Table C - Capacity'!$4:$4,0)+IF(I$7="Winter",2,3))</f>
        <v>39.984685095882377</v>
      </c>
      <c r="J16" s="238">
        <f>'Table B - Energy'!J16+INDEX('Table C - Capacity'!$12:$32,MATCH($B16,'Table C - Capacity'!$B$12:$B$32,0),MATCH(H$4,'Table C - Capacity'!$4:$4,0)+IF(J$7="Winter",2,3))</f>
        <v>23.663622598044682</v>
      </c>
      <c r="K16" s="238">
        <f>'Table B - Energy'!K16+INDEX('Table C - Capacity'!$12:$32,MATCH($B16,'Table C - Capacity'!$B$12:$B$32,0),MATCH(H$4,'Table C - Capacity'!$4:$4,0)+IF(K$7="Winter",2,3))</f>
        <v>81.529455498593904</v>
      </c>
      <c r="L16" s="239">
        <f>'Table B - Energy'!L16+INDEX('Table C - Capacity'!$12:$32,MATCH($B16,'Table C - Capacity'!$B$12:$B$32,0),MATCH(H$4,'Table C - Capacity'!$4:$4,0)+IF(L$7="Winter",2,3))</f>
        <v>48.911361213527783</v>
      </c>
      <c r="N16" s="245">
        <v>2025</v>
      </c>
      <c r="O16" s="236">
        <f>SUMPRODUCT(P16:S16,Profiles!N17:Q17)/SUM(Profiles!N17:Q17)</f>
        <v>32.000091332998004</v>
      </c>
      <c r="P16" s="237">
        <f>'Table B - Energy'!P16+INDEX('Table C - Capacity'!$12:$32,MATCH($B16,'Table C - Capacity'!$B$12:$B$32,0),MATCH(O$4,'Table C - Capacity'!$4:$4,0)+IF(P$7="Winter",2,3))</f>
        <v>30.278040183987333</v>
      </c>
      <c r="Q16" s="238">
        <f>'Table B - Energy'!Q16+INDEX('Table C - Capacity'!$12:$32,MATCH($B16,'Table C - Capacity'!$B$12:$B$32,0),MATCH(O$4,'Table C - Capacity'!$4:$4,0)+IF(Q$7="Winter",2,3))</f>
        <v>19.645102588858595</v>
      </c>
      <c r="R16" s="238">
        <f>'Table B - Energy'!R16+INDEX('Table C - Capacity'!$12:$32,MATCH($B16,'Table C - Capacity'!$B$12:$B$32,0),MATCH(O$4,'Table C - Capacity'!$4:$4,0)+IF(R$7="Winter",2,3))</f>
        <v>61.294374773467716</v>
      </c>
      <c r="S16" s="239">
        <f>'Table B - Energy'!S16+INDEX('Table C - Capacity'!$12:$32,MATCH($B16,'Table C - Capacity'!$B$12:$B$32,0),MATCH(O$4,'Table C - Capacity'!$4:$4,0)+IF(S$7="Winter",2,3))</f>
        <v>42.981312155661669</v>
      </c>
      <c r="T16" s="236">
        <f>SUMPRODUCT(U16:X16,Profiles!S17:V17)/SUM(Profiles!S17:V17)</f>
        <v>34.964534205223181</v>
      </c>
      <c r="U16" s="237">
        <f>'Table B - Energy'!U16+INDEX('Table C - Capacity'!$12:$32,MATCH($B16,'Table C - Capacity'!$B$12:$B$32,0),MATCH(T$4,'Table C - Capacity'!$4:$4,0)+IF(U$7="Winter",2,3))</f>
        <v>30.369482583825572</v>
      </c>
      <c r="V16" s="238">
        <f>'Table B - Energy'!V16+INDEX('Table C - Capacity'!$12:$32,MATCH($B16,'Table C - Capacity'!$B$12:$B$32,0),MATCH(T$4,'Table C - Capacity'!$4:$4,0)+IF(V$7="Winter",2,3))</f>
        <v>18.554302210365307</v>
      </c>
      <c r="W16" s="238">
        <f>'Table B - Energy'!W16+INDEX('Table C - Capacity'!$12:$32,MATCH($B16,'Table C - Capacity'!$B$12:$B$32,0),MATCH(T$4,'Table C - Capacity'!$4:$4,0)+IF(W$7="Winter",2,3))</f>
        <v>66.730389190206338</v>
      </c>
      <c r="X16" s="239">
        <f>'Table B - Energy'!X16+INDEX('Table C - Capacity'!$12:$32,MATCH($B16,'Table C - Capacity'!$B$12:$B$32,0),MATCH(T$4,'Table C - Capacity'!$4:$4,0)+IF(X$7="Winter",2,3))</f>
        <v>43.164162612996023</v>
      </c>
    </row>
    <row r="17" spans="2:24">
      <c r="B17" s="245">
        <f t="shared" si="0"/>
        <v>2026</v>
      </c>
      <c r="C17" s="236">
        <f>SUMPRODUCT(D17:G17,Profiles!D18:G18)/SUM(Profiles!D18:G18)</f>
        <v>53.115910200188765</v>
      </c>
      <c r="D17" s="237">
        <f>'Table B - Energy'!D17+INDEX('Table C - Capacity'!$12:$32,MATCH($B17,'Table C - Capacity'!$B$12:$B$32,0),MATCH(C$4,'Table C - Capacity'!$4:$4,0)+IF(D$7="Winter",2,3))</f>
        <v>48.635643571571158</v>
      </c>
      <c r="E17" s="238">
        <f>'Table B - Energy'!E17+INDEX('Table C - Capacity'!$12:$32,MATCH($B17,'Table C - Capacity'!$B$12:$B$32,0),MATCH(C$4,'Table C - Capacity'!$4:$4,0)+IF(E$7="Winter",2,3))</f>
        <v>31.849697069513127</v>
      </c>
      <c r="F17" s="238">
        <f>'Table B - Energy'!F17+INDEX('Table C - Capacity'!$12:$32,MATCH($B17,'Table C - Capacity'!$B$12:$B$32,0),MATCH(C$4,'Table C - Capacity'!$4:$4,0)+IF(F$7="Winter",2,3))</f>
        <v>110.327322419485</v>
      </c>
      <c r="G17" s="239">
        <f>'Table B - Energy'!G17+INDEX('Table C - Capacity'!$12:$32,MATCH($B17,'Table C - Capacity'!$B$12:$B$32,0),MATCH(C$4,'Table C - Capacity'!$4:$4,0)+IF(G$7="Winter",2,3))</f>
        <v>71.330222009648978</v>
      </c>
      <c r="H17" s="236">
        <f>SUMPRODUCT(I17:L17,Profiles!I18:L18)/SUM(Profiles!I18:L18)</f>
        <v>40.379914671352047</v>
      </c>
      <c r="I17" s="237">
        <f>'Table B - Energy'!I17+INDEX('Table C - Capacity'!$12:$32,MATCH($B17,'Table C - Capacity'!$B$12:$B$32,0),MATCH(H$4,'Table C - Capacity'!$4:$4,0)+IF(I$7="Winter",2,3))</f>
        <v>43.051684737026321</v>
      </c>
      <c r="J17" s="238">
        <f>'Table B - Energy'!J17+INDEX('Table C - Capacity'!$12:$32,MATCH($B17,'Table C - Capacity'!$B$12:$B$32,0),MATCH(H$4,'Table C - Capacity'!$4:$4,0)+IF(J$7="Winter",2,3))</f>
        <v>25.43744123043917</v>
      </c>
      <c r="K17" s="238">
        <f>'Table B - Energy'!K17+INDEX('Table C - Capacity'!$12:$32,MATCH($B17,'Table C - Capacity'!$B$12:$B$32,0),MATCH(H$4,'Table C - Capacity'!$4:$4,0)+IF(K$7="Winter",2,3))</f>
        <v>85.380011103005614</v>
      </c>
      <c r="L17" s="239">
        <f>'Table B - Energy'!L17+INDEX('Table C - Capacity'!$12:$32,MATCH($B17,'Table C - Capacity'!$B$12:$B$32,0),MATCH(H$4,'Table C - Capacity'!$4:$4,0)+IF(L$7="Winter",2,3))</f>
        <v>50.993802722208407</v>
      </c>
      <c r="N17" s="245">
        <v>2026</v>
      </c>
      <c r="O17" s="236">
        <f>SUMPRODUCT(P17:S17,Profiles!N18:Q18)/SUM(Profiles!N18:Q18)</f>
        <v>33.745074650990169</v>
      </c>
      <c r="P17" s="237">
        <f>'Table B - Energy'!P17+INDEX('Table C - Capacity'!$12:$32,MATCH($B17,'Table C - Capacity'!$B$12:$B$32,0),MATCH(O$4,'Table C - Capacity'!$4:$4,0)+IF(P$7="Winter",2,3))</f>
        <v>32.512562275530307</v>
      </c>
      <c r="Q17" s="238">
        <f>'Table B - Energy'!Q17+INDEX('Table C - Capacity'!$12:$32,MATCH($B17,'Table C - Capacity'!$B$12:$B$32,0),MATCH(O$4,'Table C - Capacity'!$4:$4,0)+IF(Q$7="Winter",2,3))</f>
        <v>21.119440109917164</v>
      </c>
      <c r="R17" s="238">
        <f>'Table B - Energy'!R17+INDEX('Table C - Capacity'!$12:$32,MATCH($B17,'Table C - Capacity'!$B$12:$B$32,0),MATCH(O$4,'Table C - Capacity'!$4:$4,0)+IF(R$7="Winter",2,3))</f>
        <v>64.051189823092059</v>
      </c>
      <c r="S17" s="239">
        <f>'Table B - Energy'!S17+INDEX('Table C - Capacity'!$12:$32,MATCH($B17,'Table C - Capacity'!$B$12:$B$32,0),MATCH(O$4,'Table C - Capacity'!$4:$4,0)+IF(S$7="Winter",2,3))</f>
        <v>44.790508607936601</v>
      </c>
      <c r="T17" s="236">
        <f>SUMPRODUCT(U17:X17,Profiles!S18:V18)/SUM(Profiles!S18:V18)</f>
        <v>36.928919128957894</v>
      </c>
      <c r="U17" s="237">
        <f>'Table B - Energy'!U17+INDEX('Table C - Capacity'!$12:$32,MATCH($B17,'Table C - Capacity'!$B$12:$B$32,0),MATCH(T$4,'Table C - Capacity'!$4:$4,0)+IF(U$7="Winter",2,3))</f>
        <v>32.596585559109435</v>
      </c>
      <c r="V17" s="238">
        <f>'Table B - Energy'!V17+INDEX('Table C - Capacity'!$12:$32,MATCH($B17,'Table C - Capacity'!$B$12:$B$32,0),MATCH(T$4,'Table C - Capacity'!$4:$4,0)+IF(V$7="Winter",2,3))</f>
        <v>19.931941969338478</v>
      </c>
      <c r="W17" s="238">
        <f>'Table B - Energy'!W17+INDEX('Table C - Capacity'!$12:$32,MATCH($B17,'Table C - Capacity'!$B$12:$B$32,0),MATCH(T$4,'Table C - Capacity'!$4:$4,0)+IF(W$7="Winter",2,3))</f>
        <v>70.488508564797812</v>
      </c>
      <c r="X17" s="239">
        <f>'Table B - Energy'!X17+INDEX('Table C - Capacity'!$12:$32,MATCH($B17,'Table C - Capacity'!$B$12:$B$32,0),MATCH(T$4,'Table C - Capacity'!$4:$4,0)+IF(X$7="Winter",2,3))</f>
        <v>45.121129806291052</v>
      </c>
    </row>
    <row r="18" spans="2:24">
      <c r="B18" s="245">
        <f t="shared" si="0"/>
        <v>2027</v>
      </c>
      <c r="C18" s="236">
        <f>SUMPRODUCT(D18:G18,Profiles!D19:G19)/SUM(Profiles!D19:G19)</f>
        <v>54.285946135551903</v>
      </c>
      <c r="D18" s="237">
        <f>'Table B - Energy'!D18+INDEX('Table C - Capacity'!$12:$32,MATCH($B18,'Table C - Capacity'!$B$12:$B$32,0),MATCH(C$4,'Table C - Capacity'!$4:$4,0)+IF(D$7="Winter",2,3))</f>
        <v>49.765479304219838</v>
      </c>
      <c r="E18" s="238">
        <f>'Table B - Energy'!E18+INDEX('Table C - Capacity'!$12:$32,MATCH($B18,'Table C - Capacity'!$B$12:$B$32,0),MATCH(C$4,'Table C - Capacity'!$4:$4,0)+IF(E$7="Winter",2,3))</f>
        <v>32.747076526441681</v>
      </c>
      <c r="F18" s="238">
        <f>'Table B - Energy'!F18+INDEX('Table C - Capacity'!$12:$32,MATCH($B18,'Table C - Capacity'!$B$12:$B$32,0),MATCH(C$4,'Table C - Capacity'!$4:$4,0)+IF(F$7="Winter",2,3))</f>
        <v>111.82415056189407</v>
      </c>
      <c r="G18" s="239">
        <f>'Table B - Energy'!G18+INDEX('Table C - Capacity'!$12:$32,MATCH($B18,'Table C - Capacity'!$B$12:$B$32,0),MATCH(C$4,'Table C - Capacity'!$4:$4,0)+IF(G$7="Winter",2,3))</f>
        <v>72.919975356976167</v>
      </c>
      <c r="H18" s="236">
        <f>SUMPRODUCT(I18:L18,Profiles!I19:L19)/SUM(Profiles!I19:L19)</f>
        <v>41.296088154622169</v>
      </c>
      <c r="I18" s="237">
        <f>'Table B - Energy'!I18+INDEX('Table C - Capacity'!$12:$32,MATCH($B18,'Table C - Capacity'!$B$12:$B$32,0),MATCH(H$4,'Table C - Capacity'!$4:$4,0)+IF(I$7="Winter",2,3))</f>
        <v>44.05827798765317</v>
      </c>
      <c r="J18" s="238">
        <f>'Table B - Energy'!J18+INDEX('Table C - Capacity'!$12:$32,MATCH($B18,'Table C - Capacity'!$B$12:$B$32,0),MATCH(H$4,'Table C - Capacity'!$4:$4,0)+IF(J$7="Winter",2,3))</f>
        <v>26.173187431137013</v>
      </c>
      <c r="K18" s="238">
        <f>'Table B - Energy'!K18+INDEX('Table C - Capacity'!$12:$32,MATCH($B18,'Table C - Capacity'!$B$12:$B$32,0),MATCH(H$4,'Table C - Capacity'!$4:$4,0)+IF(K$7="Winter",2,3))</f>
        <v>86.426458309744746</v>
      </c>
      <c r="L18" s="239">
        <f>'Table B - Energy'!L18+INDEX('Table C - Capacity'!$12:$32,MATCH($B18,'Table C - Capacity'!$B$12:$B$32,0),MATCH(H$4,'Table C - Capacity'!$4:$4,0)+IF(L$7="Winter",2,3))</f>
        <v>52.178590633327502</v>
      </c>
      <c r="N18" s="245">
        <v>2027</v>
      </c>
      <c r="O18" s="236">
        <f>SUMPRODUCT(P18:S18,Profiles!N19:Q19)/SUM(Profiles!N19:Q19)</f>
        <v>34.364937331752593</v>
      </c>
      <c r="P18" s="237">
        <f>'Table B - Energy'!P18+INDEX('Table C - Capacity'!$12:$32,MATCH($B18,'Table C - Capacity'!$B$12:$B$32,0),MATCH(O$4,'Table C - Capacity'!$4:$4,0)+IF(P$7="Winter",2,3))</f>
        <v>32.850359540406721</v>
      </c>
      <c r="Q18" s="238">
        <f>'Table B - Energy'!Q18+INDEX('Table C - Capacity'!$12:$32,MATCH($B18,'Table C - Capacity'!$B$12:$B$32,0),MATCH(O$4,'Table C - Capacity'!$4:$4,0)+IF(Q$7="Winter",2,3))</f>
        <v>21.698421235873404</v>
      </c>
      <c r="R18" s="238">
        <f>'Table B - Energy'!R18+INDEX('Table C - Capacity'!$12:$32,MATCH($B18,'Table C - Capacity'!$B$12:$B$32,0),MATCH(O$4,'Table C - Capacity'!$4:$4,0)+IF(R$7="Winter",2,3))</f>
        <v>64.591491315568959</v>
      </c>
      <c r="S18" s="239">
        <f>'Table B - Energy'!S18+INDEX('Table C - Capacity'!$12:$32,MATCH($B18,'Table C - Capacity'!$B$12:$B$32,0),MATCH(O$4,'Table C - Capacity'!$4:$4,0)+IF(S$7="Winter",2,3))</f>
        <v>45.533191582148149</v>
      </c>
      <c r="T18" s="236">
        <f>SUMPRODUCT(U18:X18,Profiles!S19:V19)/SUM(Profiles!S19:V19)</f>
        <v>37.453836107438178</v>
      </c>
      <c r="U18" s="237">
        <f>'Table B - Energy'!U18+INDEX('Table C - Capacity'!$12:$32,MATCH($B18,'Table C - Capacity'!$B$12:$B$32,0),MATCH(T$4,'Table C - Capacity'!$4:$4,0)+IF(U$7="Winter",2,3))</f>
        <v>32.776520040614081</v>
      </c>
      <c r="V18" s="238">
        <f>'Table B - Energy'!V18+INDEX('Table C - Capacity'!$12:$32,MATCH($B18,'Table C - Capacity'!$B$12:$B$32,0),MATCH(T$4,'Table C - Capacity'!$4:$4,0)+IF(V$7="Winter",2,3))</f>
        <v>20.377306002182145</v>
      </c>
      <c r="W18" s="238">
        <f>'Table B - Energy'!W18+INDEX('Table C - Capacity'!$12:$32,MATCH($B18,'Table C - Capacity'!$B$12:$B$32,0),MATCH(T$4,'Table C - Capacity'!$4:$4,0)+IF(W$7="Winter",2,3))</f>
        <v>70.747533548832507</v>
      </c>
      <c r="X18" s="239">
        <f>'Table B - Energy'!X18+INDEX('Table C - Capacity'!$12:$32,MATCH($B18,'Table C - Capacity'!$B$12:$B$32,0),MATCH(T$4,'Table C - Capacity'!$4:$4,0)+IF(X$7="Winter",2,3))</f>
        <v>45.885033357110842</v>
      </c>
    </row>
    <row r="19" spans="2:24">
      <c r="B19" s="246">
        <f t="shared" si="0"/>
        <v>2028</v>
      </c>
      <c r="C19" s="236">
        <f>SUMPRODUCT(D19:G19,Profiles!D20:G20)/SUM(Profiles!D20:G20)</f>
        <v>56.645262568023298</v>
      </c>
      <c r="D19" s="237">
        <f>'Table B - Energy'!D19+INDEX('Table C - Capacity'!$12:$32,MATCH($B19,'Table C - Capacity'!$B$12:$B$32,0),MATCH(C$4,'Table C - Capacity'!$4:$4,0)+IF(D$7="Winter",2,3))</f>
        <v>51.9847615397629</v>
      </c>
      <c r="E19" s="238">
        <f>'Table B - Energy'!E19+INDEX('Table C - Capacity'!$12:$32,MATCH($B19,'Table C - Capacity'!$B$12:$B$32,0),MATCH(C$4,'Table C - Capacity'!$4:$4,0)+IF(E$7="Winter",2,3))</f>
        <v>34.148475679107094</v>
      </c>
      <c r="F19" s="238">
        <f>'Table B - Energy'!F19+INDEX('Table C - Capacity'!$12:$32,MATCH($B19,'Table C - Capacity'!$B$12:$B$32,0),MATCH(C$4,'Table C - Capacity'!$4:$4,0)+IF(F$7="Winter",2,3))</f>
        <v>116.99620997973537</v>
      </c>
      <c r="G19" s="239">
        <f>'Table B - Energy'!G19+INDEX('Table C - Capacity'!$12:$32,MATCH($B19,'Table C - Capacity'!$B$12:$B$32,0),MATCH(C$4,'Table C - Capacity'!$4:$4,0)+IF(G$7="Winter",2,3))</f>
        <v>76.1238636682601</v>
      </c>
      <c r="H19" s="236">
        <f>SUMPRODUCT(I19:L19,Profiles!I20:L20)/SUM(Profiles!I20:L20)</f>
        <v>43.314483941209893</v>
      </c>
      <c r="I19" s="237">
        <f>'Table B - Energy'!I19+INDEX('Table C - Capacity'!$12:$32,MATCH($B19,'Table C - Capacity'!$B$12:$B$32,0),MATCH(H$4,'Table C - Capacity'!$4:$4,0)+IF(I$7="Winter",2,3))</f>
        <v>46.133676108908247</v>
      </c>
      <c r="J19" s="238">
        <f>'Table B - Energy'!J19+INDEX('Table C - Capacity'!$12:$32,MATCH($B19,'Table C - Capacity'!$B$12:$B$32,0),MATCH(H$4,'Table C - Capacity'!$4:$4,0)+IF(J$7="Winter",2,3))</f>
        <v>27.412778228408701</v>
      </c>
      <c r="K19" s="238">
        <f>'Table B - Energy'!K19+INDEX('Table C - Capacity'!$12:$32,MATCH($B19,'Table C - Capacity'!$B$12:$B$32,0),MATCH(H$4,'Table C - Capacity'!$4:$4,0)+IF(K$7="Winter",2,3))</f>
        <v>90.985338110306515</v>
      </c>
      <c r="L19" s="239">
        <f>'Table B - Energy'!L19+INDEX('Table C - Capacity'!$12:$32,MATCH($B19,'Table C - Capacity'!$B$12:$B$32,0),MATCH(H$4,'Table C - Capacity'!$4:$4,0)+IF(L$7="Winter",2,3))</f>
        <v>54.897040616666345</v>
      </c>
      <c r="N19" s="246">
        <v>2028</v>
      </c>
      <c r="O19" s="236">
        <f>SUMPRODUCT(P19:S19,Profiles!N20:Q20)/SUM(Profiles!N20:Q20)</f>
        <v>36.138335483268939</v>
      </c>
      <c r="P19" s="237">
        <f>'Table B - Energy'!P19+INDEX('Table C - Capacity'!$12:$32,MATCH($B19,'Table C - Capacity'!$B$12:$B$32,0),MATCH(O$4,'Table C - Capacity'!$4:$4,0)+IF(P$7="Winter",2,3))</f>
        <v>34.368749845273769</v>
      </c>
      <c r="Q19" s="238">
        <f>'Table B - Energy'!Q19+INDEX('Table C - Capacity'!$12:$32,MATCH($B19,'Table C - Capacity'!$B$12:$B$32,0),MATCH(O$4,'Table C - Capacity'!$4:$4,0)+IF(Q$7="Winter",2,3))</f>
        <v>22.713013564742923</v>
      </c>
      <c r="R19" s="238">
        <f>'Table B - Energy'!R19+INDEX('Table C - Capacity'!$12:$32,MATCH($B19,'Table C - Capacity'!$B$12:$B$32,0),MATCH(O$4,'Table C - Capacity'!$4:$4,0)+IF(R$7="Winter",2,3))</f>
        <v>68.093997387186192</v>
      </c>
      <c r="S19" s="239">
        <f>'Table B - Energy'!S19+INDEX('Table C - Capacity'!$12:$32,MATCH($B19,'Table C - Capacity'!$B$12:$B$32,0),MATCH(O$4,'Table C - Capacity'!$4:$4,0)+IF(S$7="Winter",2,3))</f>
        <v>48.1002926874107</v>
      </c>
      <c r="T19" s="236">
        <f>SUMPRODUCT(U19:X19,Profiles!S20:V20)/SUM(Profiles!S20:V20)</f>
        <v>39.462248929948608</v>
      </c>
      <c r="U19" s="237">
        <f>'Table B - Energy'!U19+INDEX('Table C - Capacity'!$12:$32,MATCH($B19,'Table C - Capacity'!$B$12:$B$32,0),MATCH(T$4,'Table C - Capacity'!$4:$4,0)+IF(U$7="Winter",2,3))</f>
        <v>34.344432394386637</v>
      </c>
      <c r="V19" s="238">
        <f>'Table B - Energy'!V19+INDEX('Table C - Capacity'!$12:$32,MATCH($B19,'Table C - Capacity'!$B$12:$B$32,0),MATCH(T$4,'Table C - Capacity'!$4:$4,0)+IF(V$7="Winter",2,3))</f>
        <v>21.311932561984015</v>
      </c>
      <c r="W19" s="238">
        <f>'Table B - Energy'!W19+INDEX('Table C - Capacity'!$12:$32,MATCH($B19,'Table C - Capacity'!$B$12:$B$32,0),MATCH(T$4,'Table C - Capacity'!$4:$4,0)+IF(W$7="Winter",2,3))</f>
        <v>74.672887232920132</v>
      </c>
      <c r="X19" s="239">
        <f>'Table B - Energy'!X19+INDEX('Table C - Capacity'!$12:$32,MATCH($B19,'Table C - Capacity'!$B$12:$B$32,0),MATCH(T$4,'Table C - Capacity'!$4:$4,0)+IF(X$7="Winter",2,3))</f>
        <v>48.559042686633816</v>
      </c>
    </row>
    <row r="20" spans="2:24">
      <c r="B20" s="245">
        <f t="shared" si="0"/>
        <v>2029</v>
      </c>
      <c r="C20" s="236">
        <f>SUMPRODUCT(D20:G20,Profiles!D21:G21)/SUM(Profiles!D21:G21)</f>
        <v>59.057995175629912</v>
      </c>
      <c r="D20" s="237">
        <f>'Table B - Energy'!D20+INDEX('Table C - Capacity'!$12:$32,MATCH($B20,'Table C - Capacity'!$B$12:$B$32,0),MATCH(C$4,'Table C - Capacity'!$4:$4,0)+IF(D$7="Winter",2,3))</f>
        <v>54.192292107848935</v>
      </c>
      <c r="E20" s="238">
        <f>'Table B - Energy'!E20+INDEX('Table C - Capacity'!$12:$32,MATCH($B20,'Table C - Capacity'!$B$12:$B$32,0),MATCH(C$4,'Table C - Capacity'!$4:$4,0)+IF(E$7="Winter",2,3))</f>
        <v>35.449097663404721</v>
      </c>
      <c r="F20" s="238">
        <f>'Table B - Energy'!F20+INDEX('Table C - Capacity'!$12:$32,MATCH($B20,'Table C - Capacity'!$B$12:$B$32,0),MATCH(C$4,'Table C - Capacity'!$4:$4,0)+IF(F$7="Winter",2,3))</f>
        <v>122.38870565763055</v>
      </c>
      <c r="G20" s="239">
        <f>'Table B - Energy'!G20+INDEX('Table C - Capacity'!$12:$32,MATCH($B20,'Table C - Capacity'!$B$12:$B$32,0),MATCH(C$4,'Table C - Capacity'!$4:$4,0)+IF(G$7="Winter",2,3))</f>
        <v>79.262681067466559</v>
      </c>
      <c r="H20" s="236">
        <f>SUMPRODUCT(I20:L20,Profiles!I21:L21)/SUM(Profiles!I21:L21)</f>
        <v>45.21173033164677</v>
      </c>
      <c r="I20" s="237">
        <f>'Table B - Energy'!I20+INDEX('Table C - Capacity'!$12:$32,MATCH($B20,'Table C - Capacity'!$B$12:$B$32,0),MATCH(H$4,'Table C - Capacity'!$4:$4,0)+IF(I$7="Winter",2,3))</f>
        <v>48.254043434460868</v>
      </c>
      <c r="J20" s="238">
        <f>'Table B - Energy'!J20+INDEX('Table C - Capacity'!$12:$32,MATCH($B20,'Table C - Capacity'!$B$12:$B$32,0),MATCH(H$4,'Table C - Capacity'!$4:$4,0)+IF(J$7="Winter",2,3))</f>
        <v>28.553138003986369</v>
      </c>
      <c r="K20" s="238">
        <f>'Table B - Energy'!K20+INDEX('Table C - Capacity'!$12:$32,MATCH($B20,'Table C - Capacity'!$B$12:$B$32,0),MATCH(H$4,'Table C - Capacity'!$4:$4,0)+IF(K$7="Winter",2,3))</f>
        <v>94.597321214175082</v>
      </c>
      <c r="L20" s="239">
        <f>'Table B - Energy'!L20+INDEX('Table C - Capacity'!$12:$32,MATCH($B20,'Table C - Capacity'!$B$12:$B$32,0),MATCH(H$4,'Table C - Capacity'!$4:$4,0)+IF(L$7="Winter",2,3))</f>
        <v>57.368088231489345</v>
      </c>
      <c r="N20" s="245">
        <v>2029</v>
      </c>
      <c r="O20" s="236">
        <f>SUMPRODUCT(P20:S20,Profiles!N21:Q21)/SUM(Profiles!N21:Q21)</f>
        <v>37.775545987795574</v>
      </c>
      <c r="P20" s="237">
        <f>'Table B - Energy'!P20+INDEX('Table C - Capacity'!$12:$32,MATCH($B20,'Table C - Capacity'!$B$12:$B$32,0),MATCH(O$4,'Table C - Capacity'!$4:$4,0)+IF(P$7="Winter",2,3))</f>
        <v>36.003992993816119</v>
      </c>
      <c r="Q20" s="238">
        <f>'Table B - Energy'!Q20+INDEX('Table C - Capacity'!$12:$32,MATCH($B20,'Table C - Capacity'!$B$12:$B$32,0),MATCH(O$4,'Table C - Capacity'!$4:$4,0)+IF(Q$7="Winter",2,3))</f>
        <v>23.663368979158211</v>
      </c>
      <c r="R20" s="238">
        <f>'Table B - Energy'!R20+INDEX('Table C - Capacity'!$12:$32,MATCH($B20,'Table C - Capacity'!$B$12:$B$32,0),MATCH(O$4,'Table C - Capacity'!$4:$4,0)+IF(R$7="Winter",2,3))</f>
        <v>71.514435219330963</v>
      </c>
      <c r="S20" s="239">
        <f>'Table B - Energy'!S20+INDEX('Table C - Capacity'!$12:$32,MATCH($B20,'Table C - Capacity'!$B$12:$B$32,0),MATCH(O$4,'Table C - Capacity'!$4:$4,0)+IF(S$7="Winter",2,3))</f>
        <v>50.20531532198153</v>
      </c>
      <c r="T20" s="236">
        <f>SUMPRODUCT(U20:X20,Profiles!S21:V21)/SUM(Profiles!S21:V21)</f>
        <v>41.207508958048351</v>
      </c>
      <c r="U20" s="237">
        <f>'Table B - Energy'!U20+INDEX('Table C - Capacity'!$12:$32,MATCH($B20,'Table C - Capacity'!$B$12:$B$32,0),MATCH(T$4,'Table C - Capacity'!$4:$4,0)+IF(U$7="Winter",2,3))</f>
        <v>35.968859734582843</v>
      </c>
      <c r="V20" s="238">
        <f>'Table B - Energy'!V20+INDEX('Table C - Capacity'!$12:$32,MATCH($B20,'Table C - Capacity'!$B$12:$B$32,0),MATCH(T$4,'Table C - Capacity'!$4:$4,0)+IF(V$7="Winter",2,3))</f>
        <v>22.206097599917339</v>
      </c>
      <c r="W20" s="238">
        <f>'Table B - Energy'!W20+INDEX('Table C - Capacity'!$12:$32,MATCH($B20,'Table C - Capacity'!$B$12:$B$32,0),MATCH(T$4,'Table C - Capacity'!$4:$4,0)+IF(W$7="Winter",2,3))</f>
        <v>77.994468402444269</v>
      </c>
      <c r="X20" s="239">
        <f>'Table B - Energy'!X20+INDEX('Table C - Capacity'!$12:$32,MATCH($B20,'Table C - Capacity'!$B$12:$B$32,0),MATCH(T$4,'Table C - Capacity'!$4:$4,0)+IF(X$7="Winter",2,3))</f>
        <v>50.687865385023365</v>
      </c>
    </row>
    <row r="21" spans="2:24">
      <c r="B21" s="245">
        <f t="shared" si="0"/>
        <v>2030</v>
      </c>
      <c r="C21" s="236">
        <f>SUMPRODUCT(D21:G21,Profiles!D22:G22)/SUM(Profiles!D22:G22)</f>
        <v>60.955779894577837</v>
      </c>
      <c r="D21" s="237">
        <f>'Table B - Energy'!D21+INDEX('Table C - Capacity'!$12:$32,MATCH($B21,'Table C - Capacity'!$B$12:$B$32,0),MATCH(C$4,'Table C - Capacity'!$4:$4,0)+IF(D$7="Winter",2,3))</f>
        <v>55.460958833530881</v>
      </c>
      <c r="E21" s="238">
        <f>'Table B - Energy'!E21+INDEX('Table C - Capacity'!$12:$32,MATCH($B21,'Table C - Capacity'!$B$12:$B$32,0),MATCH(C$4,'Table C - Capacity'!$4:$4,0)+IF(E$7="Winter",2,3))</f>
        <v>36.464148133942587</v>
      </c>
      <c r="F21" s="238">
        <f>'Table B - Energy'!F21+INDEX('Table C - Capacity'!$12:$32,MATCH($B21,'Table C - Capacity'!$B$12:$B$32,0),MATCH(C$4,'Table C - Capacity'!$4:$4,0)+IF(F$7="Winter",2,3))</f>
        <v>127.27316596972332</v>
      </c>
      <c r="G21" s="239">
        <f>'Table B - Energy'!G21+INDEX('Table C - Capacity'!$12:$32,MATCH($B21,'Table C - Capacity'!$B$12:$B$32,0),MATCH(C$4,'Table C - Capacity'!$4:$4,0)+IF(G$7="Winter",2,3))</f>
        <v>82.051900600870425</v>
      </c>
      <c r="H21" s="236">
        <f>SUMPRODUCT(I21:L21,Profiles!I22:L22)/SUM(Profiles!I22:L22)</f>
        <v>46.701718444164399</v>
      </c>
      <c r="I21" s="237">
        <f>'Table B - Energy'!I21+INDEX('Table C - Capacity'!$12:$32,MATCH($B21,'Table C - Capacity'!$B$12:$B$32,0),MATCH(H$4,'Table C - Capacity'!$4:$4,0)+IF(I$7="Winter",2,3))</f>
        <v>49.341166150245954</v>
      </c>
      <c r="J21" s="238">
        <f>'Table B - Energy'!J21+INDEX('Table C - Capacity'!$12:$32,MATCH($B21,'Table C - Capacity'!$B$12:$B$32,0),MATCH(H$4,'Table C - Capacity'!$4:$4,0)+IF(J$7="Winter",2,3))</f>
        <v>29.345081370196628</v>
      </c>
      <c r="K21" s="238">
        <f>'Table B - Energy'!K21+INDEX('Table C - Capacity'!$12:$32,MATCH($B21,'Table C - Capacity'!$B$12:$B$32,0),MATCH(H$4,'Table C - Capacity'!$4:$4,0)+IF(K$7="Winter",2,3))</f>
        <v>98.983013527856983</v>
      </c>
      <c r="L21" s="239">
        <f>'Table B - Energy'!L21+INDEX('Table C - Capacity'!$12:$32,MATCH($B21,'Table C - Capacity'!$B$12:$B$32,0),MATCH(H$4,'Table C - Capacity'!$4:$4,0)+IF(L$7="Winter",2,3))</f>
        <v>59.59724456653538</v>
      </c>
      <c r="N21" s="245">
        <v>2030</v>
      </c>
      <c r="O21" s="236">
        <f>SUMPRODUCT(P21:S21,Profiles!N22:Q22)/SUM(Profiles!N22:Q22)</f>
        <v>39.216720866235342</v>
      </c>
      <c r="P21" s="237">
        <f>'Table B - Energy'!P21+INDEX('Table C - Capacity'!$12:$32,MATCH($B21,'Table C - Capacity'!$B$12:$B$32,0),MATCH(O$4,'Table C - Capacity'!$4:$4,0)+IF(P$7="Winter",2,3))</f>
        <v>35.961755734772197</v>
      </c>
      <c r="Q21" s="238">
        <f>'Table B - Energy'!Q21+INDEX('Table C - Capacity'!$12:$32,MATCH($B21,'Table C - Capacity'!$B$12:$B$32,0),MATCH(O$4,'Table C - Capacity'!$4:$4,0)+IF(Q$7="Winter",2,3))</f>
        <v>24.352485435483892</v>
      </c>
      <c r="R21" s="238">
        <f>'Table B - Energy'!R21+INDEX('Table C - Capacity'!$12:$32,MATCH($B21,'Table C - Capacity'!$B$12:$B$32,0),MATCH(O$4,'Table C - Capacity'!$4:$4,0)+IF(R$7="Winter",2,3))</f>
        <v>74.937314040691689</v>
      </c>
      <c r="S21" s="239">
        <f>'Table B - Energy'!S21+INDEX('Table C - Capacity'!$12:$32,MATCH($B21,'Table C - Capacity'!$B$12:$B$32,0),MATCH(O$4,'Table C - Capacity'!$4:$4,0)+IF(S$7="Winter",2,3))</f>
        <v>52.379937476135147</v>
      </c>
      <c r="T21" s="236">
        <f>SUMPRODUCT(U21:X21,Profiles!S22:V22)/SUM(Profiles!S22:V22)</f>
        <v>42.781170594568266</v>
      </c>
      <c r="U21" s="237">
        <f>'Table B - Energy'!U21+INDEX('Table C - Capacity'!$12:$32,MATCH($B21,'Table C - Capacity'!$B$12:$B$32,0),MATCH(T$4,'Table C - Capacity'!$4:$4,0)+IF(U$7="Winter",2,3))</f>
        <v>35.661804613516367</v>
      </c>
      <c r="V21" s="238">
        <f>'Table B - Energy'!V21+INDEX('Table C - Capacity'!$12:$32,MATCH($B21,'Table C - Capacity'!$B$12:$B$32,0),MATCH(T$4,'Table C - Capacity'!$4:$4,0)+IF(V$7="Winter",2,3))</f>
        <v>22.661631827334674</v>
      </c>
      <c r="W21" s="238">
        <f>'Table B - Energy'!W21+INDEX('Table C - Capacity'!$12:$32,MATCH($B21,'Table C - Capacity'!$B$12:$B$32,0),MATCH(T$4,'Table C - Capacity'!$4:$4,0)+IF(W$7="Winter",2,3))</f>
        <v>82.172489713086676</v>
      </c>
      <c r="X21" s="239">
        <f>'Table B - Energy'!X21+INDEX('Table C - Capacity'!$12:$32,MATCH($B21,'Table C - Capacity'!$B$12:$B$32,0),MATCH(T$4,'Table C - Capacity'!$4:$4,0)+IF(X$7="Winter",2,3))</f>
        <v>52.892627838459141</v>
      </c>
    </row>
    <row r="22" spans="2:24">
      <c r="B22" s="245">
        <f t="shared" si="0"/>
        <v>2031</v>
      </c>
      <c r="C22" s="236">
        <f>SUMPRODUCT(D22:G22,Profiles!D23:G23)/SUM(Profiles!D23:G23)</f>
        <v>63.394987030783383</v>
      </c>
      <c r="D22" s="237">
        <f>'Table B - Energy'!D22+INDEX('Table C - Capacity'!$12:$32,MATCH($B22,'Table C - Capacity'!$B$12:$B$32,0),MATCH(C$4,'Table C - Capacity'!$4:$4,0)+IF(D$7="Winter",2,3))</f>
        <v>57.793519230323795</v>
      </c>
      <c r="E22" s="238">
        <f>'Table B - Energy'!E22+INDEX('Table C - Capacity'!$12:$32,MATCH($B22,'Table C - Capacity'!$B$12:$B$32,0),MATCH(C$4,'Table C - Capacity'!$4:$4,0)+IF(E$7="Winter",2,3))</f>
        <v>37.958081987525361</v>
      </c>
      <c r="F22" s="238">
        <f>'Table B - Energy'!F22+INDEX('Table C - Capacity'!$12:$32,MATCH($B22,'Table C - Capacity'!$B$12:$B$32,0),MATCH(C$4,'Table C - Capacity'!$4:$4,0)+IF(F$7="Winter",2,3))</f>
        <v>132.04770568251857</v>
      </c>
      <c r="G22" s="239">
        <f>'Table B - Energy'!G22+INDEX('Table C - Capacity'!$12:$32,MATCH($B22,'Table C - Capacity'!$B$12:$B$32,0),MATCH(C$4,'Table C - Capacity'!$4:$4,0)+IF(G$7="Winter",2,3))</f>
        <v>85.312449534977617</v>
      </c>
      <c r="H22" s="236">
        <f>SUMPRODUCT(I22:L22,Profiles!I23:L23)/SUM(Profiles!I23:L23)</f>
        <v>48.818417371438187</v>
      </c>
      <c r="I22" s="237">
        <f>'Table B - Energy'!I22+INDEX('Table C - Capacity'!$12:$32,MATCH($B22,'Table C - Capacity'!$B$12:$B$32,0),MATCH(H$4,'Table C - Capacity'!$4:$4,0)+IF(I$7="Winter",2,3))</f>
        <v>51.571896944761754</v>
      </c>
      <c r="J22" s="238">
        <f>'Table B - Energy'!J22+INDEX('Table C - Capacity'!$12:$32,MATCH($B22,'Table C - Capacity'!$B$12:$B$32,0),MATCH(H$4,'Table C - Capacity'!$4:$4,0)+IF(J$7="Winter",2,3))</f>
        <v>30.66956466170404</v>
      </c>
      <c r="K22" s="238">
        <f>'Table B - Energy'!K22+INDEX('Table C - Capacity'!$12:$32,MATCH($B22,'Table C - Capacity'!$B$12:$B$32,0),MATCH(H$4,'Table C - Capacity'!$4:$4,0)+IF(K$7="Winter",2,3))</f>
        <v>103.46701258280461</v>
      </c>
      <c r="L22" s="239">
        <f>'Table B - Energy'!L22+INDEX('Table C - Capacity'!$12:$32,MATCH($B22,'Table C - Capacity'!$B$12:$B$32,0),MATCH(H$4,'Table C - Capacity'!$4:$4,0)+IF(L$7="Winter",2,3))</f>
        <v>62.320242520929725</v>
      </c>
      <c r="N22" s="245">
        <v>2031</v>
      </c>
      <c r="O22" s="236">
        <f>SUMPRODUCT(P22:S22,Profiles!N23:Q23)/SUM(Profiles!N23:Q23)</f>
        <v>40.959503844750742</v>
      </c>
      <c r="P22" s="237">
        <f>'Table B - Energy'!P22+INDEX('Table C - Capacity'!$12:$32,MATCH($B22,'Table C - Capacity'!$B$12:$B$32,0),MATCH(O$4,'Table C - Capacity'!$4:$4,0)+IF(P$7="Winter",2,3))</f>
        <v>37.439348546251111</v>
      </c>
      <c r="Q22" s="238">
        <f>'Table B - Energy'!Q22+INDEX('Table C - Capacity'!$12:$32,MATCH($B22,'Table C - Capacity'!$B$12:$B$32,0),MATCH(O$4,'Table C - Capacity'!$4:$4,0)+IF(Q$7="Winter",2,3))</f>
        <v>25.404928192579735</v>
      </c>
      <c r="R22" s="238">
        <f>'Table B - Energy'!R22+INDEX('Table C - Capacity'!$12:$32,MATCH($B22,'Table C - Capacity'!$B$12:$B$32,0),MATCH(O$4,'Table C - Capacity'!$4:$4,0)+IF(R$7="Winter",2,3))</f>
        <v>78.313689383335159</v>
      </c>
      <c r="S22" s="239">
        <f>'Table B - Energy'!S22+INDEX('Table C - Capacity'!$12:$32,MATCH($B22,'Table C - Capacity'!$B$12:$B$32,0),MATCH(O$4,'Table C - Capacity'!$4:$4,0)+IF(S$7="Winter",2,3))</f>
        <v>54.753632320594328</v>
      </c>
      <c r="T22" s="236">
        <f>SUMPRODUCT(U22:X22,Profiles!S23:V23)/SUM(Profiles!S23:V23)</f>
        <v>44.745983450772563</v>
      </c>
      <c r="U22" s="237">
        <f>'Table B - Energy'!U22+INDEX('Table C - Capacity'!$12:$32,MATCH($B22,'Table C - Capacity'!$B$12:$B$32,0),MATCH(T$4,'Table C - Capacity'!$4:$4,0)+IF(U$7="Winter",2,3))</f>
        <v>37.12508518334031</v>
      </c>
      <c r="V22" s="238">
        <f>'Table B - Energy'!V22+INDEX('Table C - Capacity'!$12:$32,MATCH($B22,'Table C - Capacity'!$B$12:$B$32,0),MATCH(T$4,'Table C - Capacity'!$4:$4,0)+IF(V$7="Winter",2,3))</f>
        <v>23.621367412713738</v>
      </c>
      <c r="W22" s="238">
        <f>'Table B - Energy'!W22+INDEX('Table C - Capacity'!$12:$32,MATCH($B22,'Table C - Capacity'!$B$12:$B$32,0),MATCH(T$4,'Table C - Capacity'!$4:$4,0)+IF(W$7="Winter",2,3))</f>
        <v>86.223477759540216</v>
      </c>
      <c r="X22" s="239">
        <f>'Table B - Energy'!X22+INDEX('Table C - Capacity'!$12:$32,MATCH($B22,'Table C - Capacity'!$B$12:$B$32,0),MATCH(T$4,'Table C - Capacity'!$4:$4,0)+IF(X$7="Winter",2,3))</f>
        <v>55.341339815970549</v>
      </c>
    </row>
    <row r="23" spans="2:24">
      <c r="B23" s="245">
        <f t="shared" si="0"/>
        <v>2032</v>
      </c>
      <c r="C23" s="236">
        <f>SUMPRODUCT(D23:G23,Profiles!D24:G24)/SUM(Profiles!D24:G24)</f>
        <v>65.798561347064862</v>
      </c>
      <c r="D23" s="237">
        <f>'Table B - Energy'!D23+INDEX('Table C - Capacity'!$12:$32,MATCH($B23,'Table C - Capacity'!$B$12:$B$32,0),MATCH(C$4,'Table C - Capacity'!$4:$4,0)+IF(D$7="Winter",2,3))</f>
        <v>60.565001759344284</v>
      </c>
      <c r="E23" s="238">
        <f>'Table B - Energy'!E23+INDEX('Table C - Capacity'!$12:$32,MATCH($B23,'Table C - Capacity'!$B$12:$B$32,0),MATCH(C$4,'Table C - Capacity'!$4:$4,0)+IF(E$7="Winter",2,3))</f>
        <v>39.779763542131306</v>
      </c>
      <c r="F23" s="238">
        <f>'Table B - Energy'!F23+INDEX('Table C - Capacity'!$12:$32,MATCH($B23,'Table C - Capacity'!$B$12:$B$32,0),MATCH(C$4,'Table C - Capacity'!$4:$4,0)+IF(F$7="Winter",2,3))</f>
        <v>135.83505893780614</v>
      </c>
      <c r="G23" s="239">
        <f>'Table B - Energy'!G23+INDEX('Table C - Capacity'!$12:$32,MATCH($B23,'Table C - Capacity'!$B$12:$B$32,0),MATCH(C$4,'Table C - Capacity'!$4:$4,0)+IF(G$7="Winter",2,3))</f>
        <v>88.05146774928194</v>
      </c>
      <c r="H23" s="236">
        <f>SUMPRODUCT(I23:L23,Profiles!I24:L24)/SUM(Profiles!I24:L24)</f>
        <v>51.066588899923126</v>
      </c>
      <c r="I23" s="237">
        <f>'Table B - Energy'!I23+INDEX('Table C - Capacity'!$12:$32,MATCH($B23,'Table C - Capacity'!$B$12:$B$32,0),MATCH(H$4,'Table C - Capacity'!$4:$4,0)+IF(I$7="Winter",2,3))</f>
        <v>54.357152387486636</v>
      </c>
      <c r="J23" s="238">
        <f>'Table B - Energy'!J23+INDEX('Table C - Capacity'!$12:$32,MATCH($B23,'Table C - Capacity'!$B$12:$B$32,0),MATCH(H$4,'Table C - Capacity'!$4:$4,0)+IF(J$7="Winter",2,3))</f>
        <v>32.405276269258806</v>
      </c>
      <c r="K23" s="238">
        <f>'Table B - Energy'!K23+INDEX('Table C - Capacity'!$12:$32,MATCH($B23,'Table C - Capacity'!$B$12:$B$32,0),MATCH(H$4,'Table C - Capacity'!$4:$4,0)+IF(K$7="Winter",2,3))</f>
        <v>107.02823029189169</v>
      </c>
      <c r="L23" s="239">
        <f>'Table B - Energy'!L23+INDEX('Table C - Capacity'!$12:$32,MATCH($B23,'Table C - Capacity'!$B$12:$B$32,0),MATCH(H$4,'Table C - Capacity'!$4:$4,0)+IF(L$7="Winter",2,3))</f>
        <v>64.672149606394314</v>
      </c>
      <c r="N23" s="245">
        <v>2032</v>
      </c>
      <c r="O23" s="236">
        <f>SUMPRODUCT(P23:S23,Profiles!N24:Q24)/SUM(Profiles!N24:Q24)</f>
        <v>42.65773728157194</v>
      </c>
      <c r="P23" s="237">
        <f>'Table B - Energy'!P23+INDEX('Table C - Capacity'!$12:$32,MATCH($B23,'Table C - Capacity'!$B$12:$B$32,0),MATCH(O$4,'Table C - Capacity'!$4:$4,0)+IF(P$7="Winter",2,3))</f>
        <v>39.610458225859659</v>
      </c>
      <c r="Q23" s="238">
        <f>'Table B - Energy'!Q23+INDEX('Table C - Capacity'!$12:$32,MATCH($B23,'Table C - Capacity'!$B$12:$B$32,0),MATCH(O$4,'Table C - Capacity'!$4:$4,0)+IF(Q$7="Winter",2,3))</f>
        <v>26.76279696777527</v>
      </c>
      <c r="R23" s="238">
        <f>'Table B - Energy'!R23+INDEX('Table C - Capacity'!$12:$32,MATCH($B23,'Table C - Capacity'!$B$12:$B$32,0),MATCH(O$4,'Table C - Capacity'!$4:$4,0)+IF(R$7="Winter",2,3))</f>
        <v>80.679004653463821</v>
      </c>
      <c r="S23" s="239">
        <f>'Table B - Energy'!S23+INDEX('Table C - Capacity'!$12:$32,MATCH($B23,'Table C - Capacity'!$B$12:$B$32,0),MATCH(O$4,'Table C - Capacity'!$4:$4,0)+IF(S$7="Winter",2,3))</f>
        <v>56.848157426454925</v>
      </c>
      <c r="T23" s="236">
        <f>SUMPRODUCT(U23:X23,Profiles!S24:V24)/SUM(Profiles!S24:V24)</f>
        <v>46.53890114665267</v>
      </c>
      <c r="U23" s="237">
        <f>'Table B - Energy'!U23+INDEX('Table C - Capacity'!$12:$32,MATCH($B23,'Table C - Capacity'!$B$12:$B$32,0),MATCH(T$4,'Table C - Capacity'!$4:$4,0)+IF(U$7="Winter",2,3))</f>
        <v>39.160820416017721</v>
      </c>
      <c r="V23" s="238">
        <f>'Table B - Energy'!V23+INDEX('Table C - Capacity'!$12:$32,MATCH($B23,'Table C - Capacity'!$B$12:$B$32,0),MATCH(T$4,'Table C - Capacity'!$4:$4,0)+IF(V$7="Winter",2,3))</f>
        <v>24.956634472784089</v>
      </c>
      <c r="W23" s="238">
        <f>'Table B - Energy'!W23+INDEX('Table C - Capacity'!$12:$32,MATCH($B23,'Table C - Capacity'!$B$12:$B$32,0),MATCH(T$4,'Table C - Capacity'!$4:$4,0)+IF(W$7="Winter",2,3))</f>
        <v>88.642717331162643</v>
      </c>
      <c r="X23" s="239">
        <f>'Table B - Energy'!X23+INDEX('Table C - Capacity'!$12:$32,MATCH($B23,'Table C - Capacity'!$B$12:$B$32,0),MATCH(T$4,'Table C - Capacity'!$4:$4,0)+IF(X$7="Winter",2,3))</f>
        <v>57.461891249057345</v>
      </c>
    </row>
    <row r="24" spans="2:24">
      <c r="B24" s="245">
        <f t="shared" si="0"/>
        <v>2033</v>
      </c>
      <c r="C24" s="236">
        <f>SUMPRODUCT(D24:G24,Profiles!D25:G25)/SUM(Profiles!D25:G25)</f>
        <v>70.092218870578549</v>
      </c>
      <c r="D24" s="237">
        <f>'Table B - Energy'!D24+INDEX('Table C - Capacity'!$12:$32,MATCH($B24,'Table C - Capacity'!$B$12:$B$32,0),MATCH(C$4,'Table C - Capacity'!$4:$4,0)+IF(D$7="Winter",2,3))</f>
        <v>63.737710140575096</v>
      </c>
      <c r="E24" s="238">
        <f>'Table B - Energy'!E24+INDEX('Table C - Capacity'!$12:$32,MATCH($B24,'Table C - Capacity'!$B$12:$B$32,0),MATCH(C$4,'Table C - Capacity'!$4:$4,0)+IF(E$7="Winter",2,3))</f>
        <v>41.988088226994726</v>
      </c>
      <c r="F24" s="238">
        <f>'Table B - Energy'!F24+INDEX('Table C - Capacity'!$12:$32,MATCH($B24,'Table C - Capacity'!$B$12:$B$32,0),MATCH(C$4,'Table C - Capacity'!$4:$4,0)+IF(F$7="Winter",2,3))</f>
        <v>146.77165019345409</v>
      </c>
      <c r="G24" s="239">
        <f>'Table B - Energy'!G24+INDEX('Table C - Capacity'!$12:$32,MATCH($B24,'Table C - Capacity'!$B$12:$B$32,0),MATCH(C$4,'Table C - Capacity'!$4:$4,0)+IF(G$7="Winter",2,3))</f>
        <v>94.05886843115951</v>
      </c>
      <c r="H24" s="236">
        <f>SUMPRODUCT(I24:L24,Profiles!I25:L25)/SUM(Profiles!I25:L25)</f>
        <v>54.717823258644621</v>
      </c>
      <c r="I24" s="237">
        <f>'Table B - Energy'!I24+INDEX('Table C - Capacity'!$12:$32,MATCH($B24,'Table C - Capacity'!$B$12:$B$32,0),MATCH(H$4,'Table C - Capacity'!$4:$4,0)+IF(I$7="Winter",2,3))</f>
        <v>57.297813093109333</v>
      </c>
      <c r="J24" s="238">
        <f>'Table B - Energy'!J24+INDEX('Table C - Capacity'!$12:$32,MATCH($B24,'Table C - Capacity'!$B$12:$B$32,0),MATCH(H$4,'Table C - Capacity'!$4:$4,0)+IF(J$7="Winter",2,3))</f>
        <v>34.360421855829728</v>
      </c>
      <c r="K24" s="238">
        <f>'Table B - Energy'!K24+INDEX('Table C - Capacity'!$12:$32,MATCH($B24,'Table C - Capacity'!$B$12:$B$32,0),MATCH(H$4,'Table C - Capacity'!$4:$4,0)+IF(K$7="Winter",2,3))</f>
        <v>116.73757082537833</v>
      </c>
      <c r="L24" s="239">
        <f>'Table B - Energy'!L24+INDEX('Table C - Capacity'!$12:$32,MATCH($B24,'Table C - Capacity'!$B$12:$B$32,0),MATCH(H$4,'Table C - Capacity'!$4:$4,0)+IF(L$7="Winter",2,3))</f>
        <v>70.119735689788939</v>
      </c>
      <c r="N24" s="245">
        <v>2033</v>
      </c>
      <c r="O24" s="236">
        <f>SUMPRODUCT(P24:S24,Profiles!N25:Q25)/SUM(Profiles!N25:Q25)</f>
        <v>46.314584233700899</v>
      </c>
      <c r="P24" s="237">
        <f>'Table B - Energy'!P24+INDEX('Table C - Capacity'!$12:$32,MATCH($B24,'Table C - Capacity'!$B$12:$B$32,0),MATCH(O$4,'Table C - Capacity'!$4:$4,0)+IF(P$7="Winter",2,3))</f>
        <v>41.466466955158246</v>
      </c>
      <c r="Q24" s="238">
        <f>'Table B - Energy'!Q24+INDEX('Table C - Capacity'!$12:$32,MATCH($B24,'Table C - Capacity'!$B$12:$B$32,0),MATCH(O$4,'Table C - Capacity'!$4:$4,0)+IF(Q$7="Winter",2,3))</f>
        <v>28.385126104942927</v>
      </c>
      <c r="R24" s="238">
        <f>'Table B - Energy'!R24+INDEX('Table C - Capacity'!$12:$32,MATCH($B24,'Table C - Capacity'!$B$12:$B$32,0),MATCH(O$4,'Table C - Capacity'!$4:$4,0)+IF(R$7="Winter",2,3))</f>
        <v>88.592591985215066</v>
      </c>
      <c r="S24" s="239">
        <f>'Table B - Energy'!S24+INDEX('Table C - Capacity'!$12:$32,MATCH($B24,'Table C - Capacity'!$B$12:$B$32,0),MATCH(O$4,'Table C - Capacity'!$4:$4,0)+IF(S$7="Winter",2,3))</f>
        <v>62.555437842068791</v>
      </c>
      <c r="T24" s="236">
        <f>SUMPRODUCT(U24:X24,Profiles!S25:V25)/SUM(Profiles!S25:V25)</f>
        <v>50.642196399456516</v>
      </c>
      <c r="U24" s="237">
        <f>'Table B - Energy'!U24+INDEX('Table C - Capacity'!$12:$32,MATCH($B24,'Table C - Capacity'!$B$12:$B$32,0),MATCH(T$4,'Table C - Capacity'!$4:$4,0)+IF(U$7="Winter",2,3))</f>
        <v>40.950161964603232</v>
      </c>
      <c r="V24" s="238">
        <f>'Table B - Energy'!V24+INDEX('Table C - Capacity'!$12:$32,MATCH($B24,'Table C - Capacity'!$B$12:$B$32,0),MATCH(T$4,'Table C - Capacity'!$4:$4,0)+IF(V$7="Winter",2,3))</f>
        <v>26.340527363221085</v>
      </c>
      <c r="W24" s="238">
        <f>'Table B - Energy'!W24+INDEX('Table C - Capacity'!$12:$32,MATCH($B24,'Table C - Capacity'!$B$12:$B$32,0),MATCH(T$4,'Table C - Capacity'!$4:$4,0)+IF(W$7="Winter",2,3))</f>
        <v>97.310486348923504</v>
      </c>
      <c r="X24" s="239">
        <f>'Table B - Energy'!X24+INDEX('Table C - Capacity'!$12:$32,MATCH($B24,'Table C - Capacity'!$B$12:$B$32,0),MATCH(T$4,'Table C - Capacity'!$4:$4,0)+IF(X$7="Winter",2,3))</f>
        <v>63.345691465085416</v>
      </c>
    </row>
    <row r="25" spans="2:24">
      <c r="B25" s="245">
        <f t="shared" si="0"/>
        <v>2034</v>
      </c>
      <c r="C25" s="236">
        <f>SUMPRODUCT(D25:G25,Profiles!D26:G26)/SUM(Profiles!D26:G26)</f>
        <v>72.986639242809133</v>
      </c>
      <c r="D25" s="237">
        <f>'Table B - Energy'!D25+INDEX('Table C - Capacity'!$12:$32,MATCH($B25,'Table C - Capacity'!$B$12:$B$32,0),MATCH(C$4,'Table C - Capacity'!$4:$4,0)+IF(D$7="Winter",2,3))</f>
        <v>65.892374331569641</v>
      </c>
      <c r="E25" s="238">
        <f>'Table B - Energy'!E25+INDEX('Table C - Capacity'!$12:$32,MATCH($B25,'Table C - Capacity'!$B$12:$B$32,0),MATCH(C$4,'Table C - Capacity'!$4:$4,0)+IF(E$7="Winter",2,3))</f>
        <v>43.289557973544298</v>
      </c>
      <c r="F25" s="238">
        <f>'Table B - Energy'!F25+INDEX('Table C - Capacity'!$12:$32,MATCH($B25,'Table C - Capacity'!$B$12:$B$32,0),MATCH(C$4,'Table C - Capacity'!$4:$4,0)+IF(F$7="Winter",2,3))</f>
        <v>154.93372358787482</v>
      </c>
      <c r="G25" s="239">
        <f>'Table B - Energy'!G25+INDEX('Table C - Capacity'!$12:$32,MATCH($B25,'Table C - Capacity'!$B$12:$B$32,0),MATCH(C$4,'Table C - Capacity'!$4:$4,0)+IF(G$7="Winter",2,3))</f>
        <v>98.229030964923425</v>
      </c>
      <c r="H25" s="236">
        <f>SUMPRODUCT(I25:L25,Profiles!I26:L26)/SUM(Profiles!I26:L26)</f>
        <v>57.115664355652058</v>
      </c>
      <c r="I25" s="237">
        <f>'Table B - Energy'!I25+INDEX('Table C - Capacity'!$12:$32,MATCH($B25,'Table C - Capacity'!$B$12:$B$32,0),MATCH(H$4,'Table C - Capacity'!$4:$4,0)+IF(I$7="Winter",2,3))</f>
        <v>59.315068540719814</v>
      </c>
      <c r="J25" s="238">
        <f>'Table B - Energy'!J25+INDEX('Table C - Capacity'!$12:$32,MATCH($B25,'Table C - Capacity'!$B$12:$B$32,0),MATCH(H$4,'Table C - Capacity'!$4:$4,0)+IF(J$7="Winter",2,3))</f>
        <v>35.483814060556305</v>
      </c>
      <c r="K25" s="238">
        <f>'Table B - Energy'!K25+INDEX('Table C - Capacity'!$12:$32,MATCH($B25,'Table C - Capacity'!$B$12:$B$32,0),MATCH(H$4,'Table C - Capacity'!$4:$4,0)+IF(K$7="Winter",2,3))</f>
        <v>123.9982779251542</v>
      </c>
      <c r="L25" s="239">
        <f>'Table B - Energy'!L25+INDEX('Table C - Capacity'!$12:$32,MATCH($B25,'Table C - Capacity'!$B$12:$B$32,0),MATCH(H$4,'Table C - Capacity'!$4:$4,0)+IF(L$7="Winter",2,3))</f>
        <v>73.647020255193283</v>
      </c>
      <c r="N25" s="245">
        <v>2034</v>
      </c>
      <c r="O25" s="236">
        <f>SUMPRODUCT(P25:S25,Profiles!N26:Q26)/SUM(Profiles!N26:Q26)</f>
        <v>48.770218235229308</v>
      </c>
      <c r="P25" s="237">
        <f>'Table B - Energy'!P25+INDEX('Table C - Capacity'!$12:$32,MATCH($B25,'Table C - Capacity'!$B$12:$B$32,0),MATCH(O$4,'Table C - Capacity'!$4:$4,0)+IF(P$7="Winter",2,3))</f>
        <v>43.086369883324835</v>
      </c>
      <c r="Q25" s="238">
        <f>'Table B - Energy'!Q25+INDEX('Table C - Capacity'!$12:$32,MATCH($B25,'Table C - Capacity'!$B$12:$B$32,0),MATCH(O$4,'Table C - Capacity'!$4:$4,0)+IF(Q$7="Winter",2,3))</f>
        <v>29.294735415073308</v>
      </c>
      <c r="R25" s="238">
        <f>'Table B - Energy'!R25+INDEX('Table C - Capacity'!$12:$32,MATCH($B25,'Table C - Capacity'!$B$12:$B$32,0),MATCH(O$4,'Table C - Capacity'!$4:$4,0)+IF(R$7="Winter",2,3))</f>
        <v>94.601061796011834</v>
      </c>
      <c r="S25" s="239">
        <f>'Table B - Energy'!S25+INDEX('Table C - Capacity'!$12:$32,MATCH($B25,'Table C - Capacity'!$B$12:$B$32,0),MATCH(O$4,'Table C - Capacity'!$4:$4,0)+IF(S$7="Winter",2,3))</f>
        <v>66.483102711567454</v>
      </c>
      <c r="T25" s="236">
        <f>SUMPRODUCT(U25:X25,Profiles!S26:V26)/SUM(Profiles!S26:V26)</f>
        <v>53.634746311730346</v>
      </c>
      <c r="U25" s="237">
        <f>'Table B - Energy'!U25+INDEX('Table C - Capacity'!$12:$32,MATCH($B25,'Table C - Capacity'!$B$12:$B$32,0),MATCH(T$4,'Table C - Capacity'!$4:$4,0)+IF(U$7="Winter",2,3))</f>
        <v>42.650331511067449</v>
      </c>
      <c r="V25" s="238">
        <f>'Table B - Energy'!V25+INDEX('Table C - Capacity'!$12:$32,MATCH($B25,'Table C - Capacity'!$B$12:$B$32,0),MATCH(T$4,'Table C - Capacity'!$4:$4,0)+IF(V$7="Winter",2,3))</f>
        <v>27.207445670760489</v>
      </c>
      <c r="W25" s="238">
        <f>'Table B - Energy'!W25+INDEX('Table C - Capacity'!$12:$32,MATCH($B25,'Table C - Capacity'!$B$12:$B$32,0),MATCH(T$4,'Table C - Capacity'!$4:$4,0)+IF(W$7="Winter",2,3))</f>
        <v>104.59477056025121</v>
      </c>
      <c r="X25" s="239">
        <f>'Table B - Energy'!X25+INDEX('Table C - Capacity'!$12:$32,MATCH($B25,'Table C - Capacity'!$B$12:$B$32,0),MATCH(T$4,'Table C - Capacity'!$4:$4,0)+IF(X$7="Winter",2,3))</f>
        <v>67.439263449732834</v>
      </c>
    </row>
    <row r="26" spans="2:24">
      <c r="B26" s="245">
        <f t="shared" si="0"/>
        <v>2035</v>
      </c>
      <c r="C26" s="236">
        <f>SUMPRODUCT(D26:G26,Profiles!D27:G27)/SUM(Profiles!D27:G27)</f>
        <v>76.232415835831205</v>
      </c>
      <c r="D26" s="237">
        <f>'Table B - Energy'!D26+INDEX('Table C - Capacity'!$12:$32,MATCH($B26,'Table C - Capacity'!$B$12:$B$32,0),MATCH(C$4,'Table C - Capacity'!$4:$4,0)+IF(D$7="Winter",2,3))</f>
        <v>68.030355538057208</v>
      </c>
      <c r="E26" s="238">
        <f>'Table B - Energy'!E26+INDEX('Table C - Capacity'!$12:$32,MATCH($B26,'Table C - Capacity'!$B$12:$B$32,0),MATCH(C$4,'Table C - Capacity'!$4:$4,0)+IF(E$7="Winter",2,3))</f>
        <v>44.42175214299499</v>
      </c>
      <c r="F26" s="238">
        <f>'Table B - Energy'!F26+INDEX('Table C - Capacity'!$12:$32,MATCH($B26,'Table C - Capacity'!$B$12:$B$32,0),MATCH(C$4,'Table C - Capacity'!$4:$4,0)+IF(F$7="Winter",2,3))</f>
        <v>166.42767733057869</v>
      </c>
      <c r="G26" s="239">
        <f>'Table B - Energy'!G26+INDEX('Table C - Capacity'!$12:$32,MATCH($B26,'Table C - Capacity'!$B$12:$B$32,0),MATCH(C$4,'Table C - Capacity'!$4:$4,0)+IF(G$7="Winter",2,3))</f>
        <v>102.66381462566025</v>
      </c>
      <c r="H26" s="236">
        <f>SUMPRODUCT(I26:L26,Profiles!I27:L27)/SUM(Profiles!I27:L27)</f>
        <v>59.524137452991731</v>
      </c>
      <c r="I26" s="237">
        <f>'Table B - Energy'!I26+INDEX('Table C - Capacity'!$12:$32,MATCH($B26,'Table C - Capacity'!$B$12:$B$32,0),MATCH(H$4,'Table C - Capacity'!$4:$4,0)+IF(I$7="Winter",2,3))</f>
        <v>61.360455169720012</v>
      </c>
      <c r="J26" s="238">
        <f>'Table B - Energy'!J26+INDEX('Table C - Capacity'!$12:$32,MATCH($B26,'Table C - Capacity'!$B$12:$B$32,0),MATCH(H$4,'Table C - Capacity'!$4:$4,0)+IF(J$7="Winter",2,3))</f>
        <v>36.46234124305181</v>
      </c>
      <c r="K26" s="238">
        <f>'Table B - Energy'!K26+INDEX('Table C - Capacity'!$12:$32,MATCH($B26,'Table C - Capacity'!$B$12:$B$32,0),MATCH(H$4,'Table C - Capacity'!$4:$4,0)+IF(K$7="Winter",2,3))</f>
        <v>131.65473075330311</v>
      </c>
      <c r="L26" s="239">
        <f>'Table B - Energy'!L26+INDEX('Table C - Capacity'!$12:$32,MATCH($B26,'Table C - Capacity'!$B$12:$B$32,0),MATCH(H$4,'Table C - Capacity'!$4:$4,0)+IF(L$7="Winter",2,3))</f>
        <v>77.350825394366169</v>
      </c>
      <c r="N26" s="245">
        <v>2035</v>
      </c>
      <c r="O26" s="236">
        <f>SUMPRODUCT(P26:S26,Profiles!N27:Q27)/SUM(Profiles!N27:Q27)</f>
        <v>51.753596432005153</v>
      </c>
      <c r="P26" s="237">
        <f>'Table B - Energy'!P26+INDEX('Table C - Capacity'!$12:$32,MATCH($B26,'Table C - Capacity'!$B$12:$B$32,0),MATCH(O$4,'Table C - Capacity'!$4:$4,0)+IF(P$7="Winter",2,3))</f>
        <v>45.202059941231624</v>
      </c>
      <c r="Q26" s="238">
        <f>'Table B - Energy'!Q26+INDEX('Table C - Capacity'!$12:$32,MATCH($B26,'Table C - Capacity'!$B$12:$B$32,0),MATCH(O$4,'Table C - Capacity'!$4:$4,0)+IF(Q$7="Winter",2,3))</f>
        <v>30.18931900270244</v>
      </c>
      <c r="R26" s="238">
        <f>'Table B - Energy'!R26+INDEX('Table C - Capacity'!$12:$32,MATCH($B26,'Table C - Capacity'!$B$12:$B$32,0),MATCH(O$4,'Table C - Capacity'!$4:$4,0)+IF(R$7="Winter",2,3))</f>
        <v>102.33524191483322</v>
      </c>
      <c r="S26" s="239">
        <f>'Table B - Energy'!S26+INDEX('Table C - Capacity'!$12:$32,MATCH($B26,'Table C - Capacity'!$B$12:$B$32,0),MATCH(O$4,'Table C - Capacity'!$4:$4,0)+IF(S$7="Winter",2,3))</f>
        <v>71.446945593218501</v>
      </c>
      <c r="T26" s="236">
        <f>SUMPRODUCT(U26:X26,Profiles!S27:V27)/SUM(Profiles!S27:V27)</f>
        <v>56.956739769455915</v>
      </c>
      <c r="U26" s="237">
        <f>'Table B - Energy'!U26+INDEX('Table C - Capacity'!$12:$32,MATCH($B26,'Table C - Capacity'!$B$12:$B$32,0),MATCH(T$4,'Table C - Capacity'!$4:$4,0)+IF(U$7="Winter",2,3))</f>
        <v>44.892434704394745</v>
      </c>
      <c r="V26" s="238">
        <f>'Table B - Energy'!V26+INDEX('Table C - Capacity'!$12:$32,MATCH($B26,'Table C - Capacity'!$B$12:$B$32,0),MATCH(T$4,'Table C - Capacity'!$4:$4,0)+IF(V$7="Winter",2,3))</f>
        <v>28.152515125597731</v>
      </c>
      <c r="W26" s="238">
        <f>'Table B - Energy'!W26+INDEX('Table C - Capacity'!$12:$32,MATCH($B26,'Table C - Capacity'!$B$12:$B$32,0),MATCH(T$4,'Table C - Capacity'!$4:$4,0)+IF(W$7="Winter",2,3))</f>
        <v>111.66575785642242</v>
      </c>
      <c r="X26" s="239">
        <f>'Table B - Energy'!X26+INDEX('Table C - Capacity'!$12:$32,MATCH($B26,'Table C - Capacity'!$B$12:$B$32,0),MATCH(T$4,'Table C - Capacity'!$4:$4,0)+IF(X$7="Winter",2,3))</f>
        <v>72.317755246670046</v>
      </c>
    </row>
    <row r="27" spans="2:24">
      <c r="B27" s="245">
        <f t="shared" si="0"/>
        <v>2036</v>
      </c>
      <c r="C27" s="236">
        <f>SUMPRODUCT(D27:G27,Profiles!D28:G28)/SUM(Profiles!D28:G28)</f>
        <v>77.35995957132269</v>
      </c>
      <c r="D27" s="237">
        <f>'Table B - Energy'!D27+INDEX('Table C - Capacity'!$12:$32,MATCH($B27,'Table C - Capacity'!$B$12:$B$32,0),MATCH(C$4,'Table C - Capacity'!$4:$4,0)+IF(D$7="Winter",2,3))</f>
        <v>69.067540312097449</v>
      </c>
      <c r="E27" s="238">
        <f>'Table B - Energy'!E27+INDEX('Table C - Capacity'!$12:$32,MATCH($B27,'Table C - Capacity'!$B$12:$B$32,0),MATCH(C$4,'Table C - Capacity'!$4:$4,0)+IF(E$7="Winter",2,3))</f>
        <v>45.439072074391603</v>
      </c>
      <c r="F27" s="238">
        <f>'Table B - Energy'!F27+INDEX('Table C - Capacity'!$12:$32,MATCH($B27,'Table C - Capacity'!$B$12:$B$32,0),MATCH(C$4,'Table C - Capacity'!$4:$4,0)+IF(F$7="Winter",2,3))</f>
        <v>167.56553237939195</v>
      </c>
      <c r="G27" s="239">
        <f>'Table B - Energy'!G27+INDEX('Table C - Capacity'!$12:$32,MATCH($B27,'Table C - Capacity'!$B$12:$B$32,0),MATCH(C$4,'Table C - Capacity'!$4:$4,0)+IF(G$7="Winter",2,3))</f>
        <v>104.39136742037545</v>
      </c>
      <c r="H27" s="236">
        <f>SUMPRODUCT(I27:L27,Profiles!I28:L28)/SUM(Profiles!I28:L28)</f>
        <v>60.439147301629141</v>
      </c>
      <c r="I27" s="237">
        <f>'Table B - Energy'!I27+INDEX('Table C - Capacity'!$12:$32,MATCH($B27,'Table C - Capacity'!$B$12:$B$32,0),MATCH(H$4,'Table C - Capacity'!$4:$4,0)+IF(I$7="Winter",2,3))</f>
        <v>62.154245119408586</v>
      </c>
      <c r="J27" s="238">
        <f>'Table B - Energy'!J27+INDEX('Table C - Capacity'!$12:$32,MATCH($B27,'Table C - Capacity'!$B$12:$B$32,0),MATCH(H$4,'Table C - Capacity'!$4:$4,0)+IF(J$7="Winter",2,3))</f>
        <v>37.210826612820725</v>
      </c>
      <c r="K27" s="238">
        <f>'Table B - Energy'!K27+INDEX('Table C - Capacity'!$12:$32,MATCH($B27,'Table C - Capacity'!$B$12:$B$32,0),MATCH(H$4,'Table C - Capacity'!$4:$4,0)+IF(K$7="Winter",2,3))</f>
        <v>133.83983657459979</v>
      </c>
      <c r="L27" s="239">
        <f>'Table B - Energy'!L27+INDEX('Table C - Capacity'!$12:$32,MATCH($B27,'Table C - Capacity'!$B$12:$B$32,0),MATCH(H$4,'Table C - Capacity'!$4:$4,0)+IF(L$7="Winter",2,3))</f>
        <v>78.401542551385305</v>
      </c>
      <c r="N27" s="245">
        <v>2036</v>
      </c>
      <c r="O27" s="236">
        <f>SUMPRODUCT(P27:S27,Profiles!N28:Q28)/SUM(Profiles!N28:Q28)</f>
        <v>52.217255220813605</v>
      </c>
      <c r="P27" s="237">
        <f>'Table B - Energy'!P27+INDEX('Table C - Capacity'!$12:$32,MATCH($B27,'Table C - Capacity'!$B$12:$B$32,0),MATCH(O$4,'Table C - Capacity'!$4:$4,0)+IF(P$7="Winter",2,3))</f>
        <v>44.83108800595712</v>
      </c>
      <c r="Q27" s="238">
        <f>'Table B - Energy'!Q27+INDEX('Table C - Capacity'!$12:$32,MATCH($B27,'Table C - Capacity'!$B$12:$B$32,0),MATCH(O$4,'Table C - Capacity'!$4:$4,0)+IF(Q$7="Winter",2,3))</f>
        <v>30.796190789534041</v>
      </c>
      <c r="R27" s="238">
        <f>'Table B - Energy'!R27+INDEX('Table C - Capacity'!$12:$32,MATCH($B27,'Table C - Capacity'!$B$12:$B$32,0),MATCH(O$4,'Table C - Capacity'!$4:$4,0)+IF(R$7="Winter",2,3))</f>
        <v>103.41095634473241</v>
      </c>
      <c r="S27" s="239">
        <f>'Table B - Energy'!S27+INDEX('Table C - Capacity'!$12:$32,MATCH($B27,'Table C - Capacity'!$B$12:$B$32,0),MATCH(O$4,'Table C - Capacity'!$4:$4,0)+IF(S$7="Winter",2,3))</f>
        <v>71.672512157736961</v>
      </c>
      <c r="T27" s="236">
        <f>SUMPRODUCT(U27:X27,Profiles!S28:V28)/SUM(Profiles!S28:V28)</f>
        <v>57.588421539735705</v>
      </c>
      <c r="U27" s="237">
        <f>'Table B - Energy'!U27+INDEX('Table C - Capacity'!$12:$32,MATCH($B27,'Table C - Capacity'!$B$12:$B$32,0),MATCH(T$4,'Table C - Capacity'!$4:$4,0)+IF(U$7="Winter",2,3))</f>
        <v>44.241462811617247</v>
      </c>
      <c r="V27" s="238">
        <f>'Table B - Energy'!V27+INDEX('Table C - Capacity'!$12:$32,MATCH($B27,'Table C - Capacity'!$B$12:$B$32,0),MATCH(T$4,'Table C - Capacity'!$4:$4,0)+IF(V$7="Winter",2,3))</f>
        <v>28.512569654734644</v>
      </c>
      <c r="W27" s="238">
        <f>'Table B - Energy'!W27+INDEX('Table C - Capacity'!$12:$32,MATCH($B27,'Table C - Capacity'!$B$12:$B$32,0),MATCH(T$4,'Table C - Capacity'!$4:$4,0)+IF(W$7="Winter",2,3))</f>
        <v>114.7736771800882</v>
      </c>
      <c r="X27" s="239">
        <f>'Table B - Energy'!X27+INDEX('Table C - Capacity'!$12:$32,MATCH($B27,'Table C - Capacity'!$B$12:$B$32,0),MATCH(T$4,'Table C - Capacity'!$4:$4,0)+IF(X$7="Winter",2,3))</f>
        <v>72.640754739390374</v>
      </c>
    </row>
    <row r="28" spans="2:24">
      <c r="B28" s="245">
        <f t="shared" si="0"/>
        <v>2037</v>
      </c>
      <c r="C28" s="236">
        <f>SUMPRODUCT(D28:G28,Profiles!D29:G29)/SUM(Profiles!D29:G29)</f>
        <v>85.34886524671721</v>
      </c>
      <c r="D28" s="237">
        <f>'Table B - Energy'!D28+INDEX('Table C - Capacity'!$12:$32,MATCH($B28,'Table C - Capacity'!$B$12:$B$32,0),MATCH(C$4,'Table C - Capacity'!$4:$4,0)+IF(D$7="Winter",2,3))</f>
        <v>74.007081080355277</v>
      </c>
      <c r="E28" s="238">
        <f>'Table B - Energy'!E28+INDEX('Table C - Capacity'!$12:$32,MATCH($B28,'Table C - Capacity'!$B$12:$B$32,0),MATCH(C$4,'Table C - Capacity'!$4:$4,0)+IF(E$7="Winter",2,3))</f>
        <v>48.397454022742302</v>
      </c>
      <c r="F28" s="238">
        <f>'Table B - Energy'!F28+INDEX('Table C - Capacity'!$12:$32,MATCH($B28,'Table C - Capacity'!$B$12:$B$32,0),MATCH(C$4,'Table C - Capacity'!$4:$4,0)+IF(F$7="Winter",2,3))</f>
        <v>193.96576253436169</v>
      </c>
      <c r="G28" s="239">
        <f>'Table B - Energy'!G28+INDEX('Table C - Capacity'!$12:$32,MATCH($B28,'Table C - Capacity'!$B$12:$B$32,0),MATCH(C$4,'Table C - Capacity'!$4:$4,0)+IF(G$7="Winter",2,3))</f>
        <v>115.93566007534483</v>
      </c>
      <c r="H28" s="236">
        <f>SUMPRODUCT(I28:L28,Profiles!I29:L29)/SUM(Profiles!I29:L29)</f>
        <v>67.394174468710219</v>
      </c>
      <c r="I28" s="237">
        <f>'Table B - Energy'!I28+INDEX('Table C - Capacity'!$12:$32,MATCH($B28,'Table C - Capacity'!$B$12:$B$32,0),MATCH(H$4,'Table C - Capacity'!$4:$4,0)+IF(I$7="Winter",2,3))</f>
        <v>67.109670542912198</v>
      </c>
      <c r="J28" s="238">
        <f>'Table B - Energy'!J28+INDEX('Table C - Capacity'!$12:$32,MATCH($B28,'Table C - Capacity'!$B$12:$B$32,0),MATCH(H$4,'Table C - Capacity'!$4:$4,0)+IF(J$7="Winter",2,3))</f>
        <v>40.028490743815155</v>
      </c>
      <c r="K28" s="238">
        <f>'Table B - Energy'!K28+INDEX('Table C - Capacity'!$12:$32,MATCH($B28,'Table C - Capacity'!$B$12:$B$32,0),MATCH(H$4,'Table C - Capacity'!$4:$4,0)+IF(K$7="Winter",2,3))</f>
        <v>157.46163029709714</v>
      </c>
      <c r="L28" s="239">
        <f>'Table B - Energy'!L28+INDEX('Table C - Capacity'!$12:$32,MATCH($B28,'Table C - Capacity'!$B$12:$B$32,0),MATCH(H$4,'Table C - Capacity'!$4:$4,0)+IF(L$7="Winter",2,3))</f>
        <v>89.287741495744683</v>
      </c>
      <c r="N28" s="245">
        <v>2037</v>
      </c>
      <c r="O28" s="236">
        <f>SUMPRODUCT(P28:S28,Profiles!N29:Q29)/SUM(Profiles!N29:Q29)</f>
        <v>60.19108914768082</v>
      </c>
      <c r="P28" s="237">
        <f>'Table B - Energy'!P28+INDEX('Table C - Capacity'!$12:$32,MATCH($B28,'Table C - Capacity'!$B$12:$B$32,0),MATCH(O$4,'Table C - Capacity'!$4:$4,0)+IF(P$7="Winter",2,3))</f>
        <v>48.440187972013973</v>
      </c>
      <c r="Q28" s="238">
        <f>'Table B - Energy'!Q28+INDEX('Table C - Capacity'!$12:$32,MATCH($B28,'Table C - Capacity'!$B$12:$B$32,0),MATCH(O$4,'Table C - Capacity'!$4:$4,0)+IF(Q$7="Winter",2,3))</f>
        <v>33.148507462254891</v>
      </c>
      <c r="R28" s="238">
        <f>'Table B - Energy'!R28+INDEX('Table C - Capacity'!$12:$32,MATCH($B28,'Table C - Capacity'!$B$12:$B$32,0),MATCH(O$4,'Table C - Capacity'!$4:$4,0)+IF(R$7="Winter",2,3))</f>
        <v>123.6923202669976</v>
      </c>
      <c r="S28" s="239">
        <f>'Table B - Energy'!S28+INDEX('Table C - Capacity'!$12:$32,MATCH($B28,'Table C - Capacity'!$B$12:$B$32,0),MATCH(O$4,'Table C - Capacity'!$4:$4,0)+IF(S$7="Winter",2,3))</f>
        <v>85.203405151976781</v>
      </c>
      <c r="T28" s="236">
        <f>SUMPRODUCT(U28:X28,Profiles!S29:V29)/SUM(Profiles!S29:V29)</f>
        <v>67.056480545450427</v>
      </c>
      <c r="U28" s="237">
        <f>'Table B - Energy'!U28+INDEX('Table C - Capacity'!$12:$32,MATCH($B28,'Table C - Capacity'!$B$12:$B$32,0),MATCH(T$4,'Table C - Capacity'!$4:$4,0)+IF(U$7="Winter",2,3))</f>
        <v>47.819953706095255</v>
      </c>
      <c r="V28" s="238">
        <f>'Table B - Energy'!V28+INDEX('Table C - Capacity'!$12:$32,MATCH($B28,'Table C - Capacity'!$B$12:$B$32,0),MATCH(T$4,'Table C - Capacity'!$4:$4,0)+IF(V$7="Winter",2,3))</f>
        <v>30.731041462604164</v>
      </c>
      <c r="W28" s="238">
        <f>'Table B - Energy'!W28+INDEX('Table C - Capacity'!$12:$32,MATCH($B28,'Table C - Capacity'!$B$12:$B$32,0),MATCH(T$4,'Table C - Capacity'!$4:$4,0)+IF(W$7="Winter",2,3))</f>
        <v>137.81098103425421</v>
      </c>
      <c r="X28" s="239">
        <f>'Table B - Energy'!X28+INDEX('Table C - Capacity'!$12:$32,MATCH($B28,'Table C - Capacity'!$B$12:$B$32,0),MATCH(T$4,'Table C - Capacity'!$4:$4,0)+IF(X$7="Winter",2,3))</f>
        <v>86.386290853180398</v>
      </c>
    </row>
    <row r="29" spans="2:24">
      <c r="B29" s="245">
        <f t="shared" si="0"/>
        <v>2038</v>
      </c>
      <c r="C29" s="236">
        <f>SUMPRODUCT(D29:G29,Profiles!D30:G30)/SUM(Profiles!D30:G30)</f>
        <v>89.149007884884824</v>
      </c>
      <c r="D29" s="237">
        <f>'Table B - Energy'!D29+INDEX('Table C - Capacity'!$12:$32,MATCH($B29,'Table C - Capacity'!$B$12:$B$32,0),MATCH(C$4,'Table C - Capacity'!$4:$4,0)+IF(D$7="Winter",2,3))</f>
        <v>78.071370444369563</v>
      </c>
      <c r="E29" s="238">
        <f>'Table B - Energy'!E29+INDEX('Table C - Capacity'!$12:$32,MATCH($B29,'Table C - Capacity'!$B$12:$B$32,0),MATCH(C$4,'Table C - Capacity'!$4:$4,0)+IF(E$7="Winter",2,3))</f>
        <v>50.873520650131567</v>
      </c>
      <c r="F29" s="238">
        <f>'Table B - Energy'!F29+INDEX('Table C - Capacity'!$12:$32,MATCH($B29,'Table C - Capacity'!$B$12:$B$32,0),MATCH(C$4,'Table C - Capacity'!$4:$4,0)+IF(F$7="Winter",2,3))</f>
        <v>201.16578437159265</v>
      </c>
      <c r="G29" s="239">
        <f>'Table B - Energy'!G29+INDEX('Table C - Capacity'!$12:$32,MATCH($B29,'Table C - Capacity'!$B$12:$B$32,0),MATCH(C$4,'Table C - Capacity'!$4:$4,0)+IF(G$7="Winter",2,3))</f>
        <v>120.41009789618371</v>
      </c>
      <c r="H29" s="236">
        <f>SUMPRODUCT(I29:L29,Profiles!I30:L30)/SUM(Profiles!I30:L30)</f>
        <v>70.79800317955133</v>
      </c>
      <c r="I29" s="237">
        <f>'Table B - Energy'!I29+INDEX('Table C - Capacity'!$12:$32,MATCH($B29,'Table C - Capacity'!$B$12:$B$32,0),MATCH(H$4,'Table C - Capacity'!$4:$4,0)+IF(I$7="Winter",2,3))</f>
        <v>71.102775579085176</v>
      </c>
      <c r="J29" s="238">
        <f>'Table B - Energy'!J29+INDEX('Table C - Capacity'!$12:$32,MATCH($B29,'Table C - Capacity'!$B$12:$B$32,0),MATCH(H$4,'Table C - Capacity'!$4:$4,0)+IF(J$7="Winter",2,3))</f>
        <v>42.360869949197998</v>
      </c>
      <c r="K29" s="238">
        <f>'Table B - Energy'!K29+INDEX('Table C - Capacity'!$12:$32,MATCH($B29,'Table C - Capacity'!$B$12:$B$32,0),MATCH(H$4,'Table C - Capacity'!$4:$4,0)+IF(K$7="Winter",2,3))</f>
        <v>163.53756218637437</v>
      </c>
      <c r="L29" s="239">
        <f>'Table B - Energy'!L29+INDEX('Table C - Capacity'!$12:$32,MATCH($B29,'Table C - Capacity'!$B$12:$B$32,0),MATCH(H$4,'Table C - Capacity'!$4:$4,0)+IF(L$7="Winter",2,3))</f>
        <v>93.246941636710815</v>
      </c>
      <c r="N29" s="245">
        <v>2038</v>
      </c>
      <c r="O29" s="236">
        <f>SUMPRODUCT(P29:S29,Profiles!N30:Q30)/SUM(Profiles!N30:Q30)</f>
        <v>63.132990205750609</v>
      </c>
      <c r="P29" s="237">
        <f>'Table B - Energy'!P29+INDEX('Table C - Capacity'!$12:$32,MATCH($B29,'Table C - Capacity'!$B$12:$B$32,0),MATCH(O$4,'Table C - Capacity'!$4:$4,0)+IF(P$7="Winter",2,3))</f>
        <v>52.011759093971584</v>
      </c>
      <c r="Q29" s="238">
        <f>'Table B - Energy'!Q29+INDEX('Table C - Capacity'!$12:$32,MATCH($B29,'Table C - Capacity'!$B$12:$B$32,0),MATCH(O$4,'Table C - Capacity'!$4:$4,0)+IF(Q$7="Winter",2,3))</f>
        <v>35.095465149155316</v>
      </c>
      <c r="R29" s="238">
        <f>'Table B - Energy'!R29+INDEX('Table C - Capacity'!$12:$32,MATCH($B29,'Table C - Capacity'!$B$12:$B$32,0),MATCH(O$4,'Table C - Capacity'!$4:$4,0)+IF(R$7="Winter",2,3))</f>
        <v>128.35926539388967</v>
      </c>
      <c r="S29" s="239">
        <f>'Table B - Energy'!S29+INDEX('Table C - Capacity'!$12:$32,MATCH($B29,'Table C - Capacity'!$B$12:$B$32,0),MATCH(O$4,'Table C - Capacity'!$4:$4,0)+IF(S$7="Winter",2,3))</f>
        <v>89.171116110760693</v>
      </c>
      <c r="T29" s="236">
        <f>SUMPRODUCT(U29:X29,Profiles!S30:V30)/SUM(Profiles!S30:V30)</f>
        <v>70.20660110519205</v>
      </c>
      <c r="U29" s="237">
        <f>'Table B - Energy'!U29+INDEX('Table C - Capacity'!$12:$32,MATCH($B29,'Table C - Capacity'!$B$12:$B$32,0),MATCH(T$4,'Table C - Capacity'!$4:$4,0)+IF(U$7="Winter",2,3))</f>
        <v>51.512385130301091</v>
      </c>
      <c r="V29" s="238">
        <f>'Table B - Energy'!V29+INDEX('Table C - Capacity'!$12:$32,MATCH($B29,'Table C - Capacity'!$B$12:$B$32,0),MATCH(T$4,'Table C - Capacity'!$4:$4,0)+IF(V$7="Winter",2,3))</f>
        <v>32.671247896870668</v>
      </c>
      <c r="W29" s="238">
        <f>'Table B - Energy'!W29+INDEX('Table C - Capacity'!$12:$32,MATCH($B29,'Table C - Capacity'!$B$12:$B$32,0),MATCH(T$4,'Table C - Capacity'!$4:$4,0)+IF(W$7="Winter",2,3))</f>
        <v>142.17865577970522</v>
      </c>
      <c r="X29" s="239">
        <f>'Table B - Energy'!X29+INDEX('Table C - Capacity'!$12:$32,MATCH($B29,'Table C - Capacity'!$B$12:$B$32,0),MATCH(T$4,'Table C - Capacity'!$4:$4,0)+IF(X$7="Winter",2,3))</f>
        <v>90.417042843502117</v>
      </c>
    </row>
    <row r="30" spans="2:24" ht="13.5" thickBot="1">
      <c r="B30" s="247">
        <f t="shared" si="0"/>
        <v>2039</v>
      </c>
      <c r="C30" s="240">
        <f>SUMPRODUCT(D30:G30,Profiles!D31:G31)/SUM(Profiles!D31:G31)</f>
        <v>91.703195425932066</v>
      </c>
      <c r="D30" s="241">
        <f>'Table B - Energy'!D30+INDEX('Table C - Capacity'!$12:$32,MATCH($B30,'Table C - Capacity'!$B$12:$B$32,0),MATCH(C$4,'Table C - Capacity'!$4:$4,0)+IF(D$7="Winter",2,3))</f>
        <v>80.446687343117162</v>
      </c>
      <c r="E30" s="242">
        <f>'Table B - Energy'!E30+INDEX('Table C - Capacity'!$12:$32,MATCH($B30,'Table C - Capacity'!$B$12:$B$32,0),MATCH(C$4,'Table C - Capacity'!$4:$4,0)+IF(E$7="Winter",2,3))</f>
        <v>52.594748042705419</v>
      </c>
      <c r="F30" s="242">
        <f>'Table B - Energy'!F30+INDEX('Table C - Capacity'!$12:$32,MATCH($B30,'Table C - Capacity'!$B$12:$B$32,0),MATCH(C$4,'Table C - Capacity'!$4:$4,0)+IF(F$7="Winter",2,3))</f>
        <v>205.6210660335062</v>
      </c>
      <c r="G30" s="243">
        <f>'Table B - Energy'!G30+INDEX('Table C - Capacity'!$12:$32,MATCH($B30,'Table C - Capacity'!$B$12:$B$32,0),MATCH(C$4,'Table C - Capacity'!$4:$4,0)+IF(G$7="Winter",2,3))</f>
        <v>123.85096869744072</v>
      </c>
      <c r="H30" s="240">
        <f>SUMPRODUCT(I30:L30,Profiles!I31:L31)/SUM(Profiles!I31:L31)</f>
        <v>72.925816846657568</v>
      </c>
      <c r="I30" s="241">
        <f>'Table B - Energy'!I30+INDEX('Table C - Capacity'!$12:$32,MATCH($B30,'Table C - Capacity'!$B$12:$B$32,0),MATCH(H$4,'Table C - Capacity'!$4:$4,0)+IF(I$7="Winter",2,3))</f>
        <v>73.17327619377599</v>
      </c>
      <c r="J30" s="242">
        <f>'Table B - Energy'!J30+INDEX('Table C - Capacity'!$12:$32,MATCH($B30,'Table C - Capacity'!$B$12:$B$32,0),MATCH(H$4,'Table C - Capacity'!$4:$4,0)+IF(J$7="Winter",2,3))</f>
        <v>43.803457661827423</v>
      </c>
      <c r="K30" s="242">
        <f>'Table B - Energy'!K30+INDEX('Table C - Capacity'!$12:$32,MATCH($B30,'Table C - Capacity'!$B$12:$B$32,0),MATCH(H$4,'Table C - Capacity'!$4:$4,0)+IF(K$7="Winter",2,3))</f>
        <v>167.75247420331493</v>
      </c>
      <c r="L30" s="243">
        <f>'Table B - Energy'!L30+INDEX('Table C - Capacity'!$12:$32,MATCH($B30,'Table C - Capacity'!$B$12:$B$32,0),MATCH(H$4,'Table C - Capacity'!$4:$4,0)+IF(L$7="Winter",2,3))</f>
        <v>96.071253267549352</v>
      </c>
      <c r="N30" s="247">
        <v>2039</v>
      </c>
      <c r="O30" s="240">
        <f>SUMPRODUCT(P30:S30,Profiles!N31:Q31)/SUM(Profiles!N31:Q31)</f>
        <v>64.923203205031953</v>
      </c>
      <c r="P30" s="241">
        <f>'Table B - Energy'!P30+INDEX('Table C - Capacity'!$12:$32,MATCH($B30,'Table C - Capacity'!$B$12:$B$32,0),MATCH(O$4,'Table C - Capacity'!$4:$4,0)+IF(P$7="Winter",2,3))</f>
        <v>53.277996516667336</v>
      </c>
      <c r="Q30" s="242">
        <f>'Table B - Energy'!Q30+INDEX('Table C - Capacity'!$12:$32,MATCH($B30,'Table C - Capacity'!$B$12:$B$32,0),MATCH(O$4,'Table C - Capacity'!$4:$4,0)+IF(Q$7="Winter",2,3))</f>
        <v>36.411108334499502</v>
      </c>
      <c r="R30" s="242">
        <f>'Table B - Energy'!R30+INDEX('Table C - Capacity'!$12:$32,MATCH($B30,'Table C - Capacity'!$B$12:$B$32,0),MATCH(O$4,'Table C - Capacity'!$4:$4,0)+IF(R$7="Winter",2,3))</f>
        <v>131.23270492731896</v>
      </c>
      <c r="S30" s="243">
        <f>'Table B - Energy'!S30+INDEX('Table C - Capacity'!$12:$32,MATCH($B30,'Table C - Capacity'!$B$12:$B$32,0),MATCH(O$4,'Table C - Capacity'!$4:$4,0)+IF(S$7="Winter",2,3))</f>
        <v>91.441375091884481</v>
      </c>
      <c r="T30" s="240">
        <f>SUMPRODUCT(U30:X30,Profiles!S31:V31)/SUM(Profiles!S31:V31)</f>
        <v>72.134158357691959</v>
      </c>
      <c r="U30" s="241">
        <f>'Table B - Energy'!U30+INDEX('Table C - Capacity'!$12:$32,MATCH($B30,'Table C - Capacity'!$B$12:$B$32,0),MATCH(T$4,'Table C - Capacity'!$4:$4,0)+IF(U$7="Winter",2,3))</f>
        <v>52.592752196135152</v>
      </c>
      <c r="V30" s="242">
        <f>'Table B - Energy'!V30+INDEX('Table C - Capacity'!$12:$32,MATCH($B30,'Table C - Capacity'!$B$12:$B$32,0),MATCH(T$4,'Table C - Capacity'!$4:$4,0)+IF(V$7="Winter",2,3))</f>
        <v>33.768812503346844</v>
      </c>
      <c r="W30" s="242">
        <f>'Table B - Energy'!W30+INDEX('Table C - Capacity'!$12:$32,MATCH($B30,'Table C - Capacity'!$B$12:$B$32,0),MATCH(T$4,'Table C - Capacity'!$4:$4,0)+IF(W$7="Winter",2,3))</f>
        <v>145.68738848413915</v>
      </c>
      <c r="X30" s="243">
        <f>'Table B - Energy'!X30+INDEX('Table C - Capacity'!$12:$32,MATCH($B30,'Table C - Capacity'!$B$12:$B$32,0),MATCH(T$4,'Table C - Capacity'!$4:$4,0)+IF(X$7="Winter",2,3))</f>
        <v>92.85922060211</v>
      </c>
    </row>
    <row r="31" spans="2:24" ht="4.5" customHeight="1" thickTop="1">
      <c r="B31" s="210"/>
      <c r="D31" s="30"/>
      <c r="E31" s="30"/>
      <c r="F31" s="30"/>
      <c r="G31" s="30"/>
      <c r="H31" s="30"/>
      <c r="I31" s="30"/>
      <c r="J31" s="30"/>
      <c r="K31" s="30"/>
      <c r="L31" s="30"/>
      <c r="N31" s="210"/>
      <c r="P31" s="30"/>
      <c r="Q31" s="30"/>
      <c r="R31" s="30"/>
      <c r="S31" s="30"/>
      <c r="T31" s="30"/>
      <c r="U31" s="30"/>
      <c r="V31" s="30"/>
      <c r="W31" s="30"/>
      <c r="X31" s="30"/>
    </row>
    <row r="32" spans="2:24">
      <c r="B32" s="48" t="str">
        <f>'Table B - Energy'!B32</f>
        <v>(1) Avoided cost prices have been reduced by wind and solar integration charges.</v>
      </c>
      <c r="D32" s="30"/>
      <c r="E32" s="30"/>
      <c r="F32" s="30"/>
      <c r="G32" s="30"/>
      <c r="H32" s="30"/>
      <c r="I32" s="30"/>
      <c r="J32" s="30"/>
      <c r="K32" s="30"/>
      <c r="L32" s="30"/>
      <c r="N32" s="48" t="str">
        <f t="shared" ref="N32:O39" si="1">B32</f>
        <v>(1) Avoided cost prices have been reduced by wind and solar integration charges.</v>
      </c>
      <c r="P32" s="30"/>
      <c r="Q32" s="30"/>
      <c r="R32" s="30"/>
      <c r="S32" s="30"/>
      <c r="T32" s="30"/>
      <c r="U32" s="30"/>
      <c r="V32" s="30"/>
      <c r="W32" s="30"/>
      <c r="X32" s="30"/>
    </row>
    <row r="33" spans="2:24">
      <c r="B33" s="1" t="str">
        <f>'Table B - Energy'!B33</f>
        <v xml:space="preserve">      If the QF resource is not in PacifiCorp's BAA, prices will be increased by the applicable integration charges.</v>
      </c>
      <c r="D33" s="30"/>
      <c r="E33" s="30"/>
      <c r="F33" s="30"/>
      <c r="G33" s="30"/>
      <c r="H33" s="30"/>
      <c r="I33" s="30"/>
      <c r="J33" s="30"/>
      <c r="K33" s="30"/>
      <c r="L33" s="30"/>
      <c r="N33" s="1" t="str">
        <f t="shared" si="1"/>
        <v xml:space="preserve">      If the QF resource is not in PacifiCorp's BAA, prices will be increased by the applicable integration charges.</v>
      </c>
      <c r="P33" s="30"/>
      <c r="Q33" s="30"/>
      <c r="R33" s="30"/>
      <c r="S33" s="30"/>
      <c r="T33" s="30"/>
      <c r="U33" s="30"/>
      <c r="V33" s="30"/>
      <c r="W33" s="30"/>
      <c r="X33" s="30"/>
    </row>
    <row r="34" spans="2:24">
      <c r="B34" s="48" t="s">
        <v>218</v>
      </c>
      <c r="D34" s="30"/>
      <c r="E34" s="30"/>
      <c r="F34" s="30"/>
      <c r="G34" s="30"/>
      <c r="H34" s="30"/>
      <c r="I34" s="30"/>
      <c r="J34" s="30"/>
      <c r="K34" s="30"/>
      <c r="L34" s="30"/>
      <c r="N34" s="1" t="str">
        <f t="shared" si="1"/>
        <v>(2) Capacity costs are based on a renewable resource starting in 2028.</v>
      </c>
      <c r="P34" s="30"/>
      <c r="Q34" s="30"/>
      <c r="R34" s="30"/>
      <c r="S34" s="30"/>
      <c r="T34" s="30"/>
      <c r="U34" s="30"/>
      <c r="V34" s="30"/>
      <c r="W34" s="30"/>
      <c r="X34" s="30"/>
    </row>
    <row r="35" spans="2:24">
      <c r="B35" s="7" t="str">
        <f>'Table B - Energy'!B34</f>
        <v>(a)</v>
      </c>
      <c r="C35" s="3" t="str">
        <f>'Table B - Energy'!C34</f>
        <v>Illustrative price for all hours</v>
      </c>
      <c r="D35" s="29"/>
      <c r="E35" s="29"/>
      <c r="F35" s="29"/>
      <c r="G35" s="29"/>
      <c r="H35" s="13"/>
      <c r="N35" s="7" t="str">
        <f t="shared" si="1"/>
        <v>(a)</v>
      </c>
      <c r="O35" s="3" t="str">
        <f t="shared" si="1"/>
        <v>Illustrative price for all hours</v>
      </c>
    </row>
    <row r="36" spans="2:24">
      <c r="B36" s="7" t="str">
        <f>'Table B - Energy'!B35</f>
        <v>(b)</v>
      </c>
      <c r="C36" s="3" t="str">
        <f>'Table B - Energy'!C35</f>
        <v>On-peak Winter hours:  6:00a - 8:00a and 5:00p - 11:00p Pacific Prevailing Time (PPT), Oct. through May</v>
      </c>
      <c r="N36" s="7" t="str">
        <f t="shared" si="1"/>
        <v>(b)</v>
      </c>
      <c r="O36" s="3" t="str">
        <f t="shared" si="1"/>
        <v>On-peak Winter hours:  6:00a - 8:00a and 5:00p - 11:00p Pacific Prevailing Time (PPT), Oct. through May</v>
      </c>
    </row>
    <row r="37" spans="2:24">
      <c r="B37" s="7" t="str">
        <f>'Table B - Energy'!B36</f>
        <v>(c)</v>
      </c>
      <c r="C37" s="3" t="str">
        <f>'Table B - Energy'!C36</f>
        <v>Off-peak Winter hours:  All other hours, Oct. through May</v>
      </c>
      <c r="N37" s="7" t="str">
        <f t="shared" si="1"/>
        <v>(c)</v>
      </c>
      <c r="O37" s="3" t="str">
        <f t="shared" si="1"/>
        <v>Off-peak Winter hours:  All other hours, Oct. through May</v>
      </c>
    </row>
    <row r="38" spans="2:24">
      <c r="B38" s="7" t="str">
        <f>'Table B - Energy'!B37</f>
        <v>(d)</v>
      </c>
      <c r="C38" s="3" t="str">
        <f>'Table B - Energy'!C37</f>
        <v>On-peak Summer hours:  2:00p - 10:00p PPT, June through September</v>
      </c>
      <c r="N38" s="7" t="str">
        <f t="shared" si="1"/>
        <v>(d)</v>
      </c>
      <c r="O38" s="3" t="str">
        <f t="shared" si="1"/>
        <v>On-peak Summer hours:  2:00p - 10:00p PPT, June through September</v>
      </c>
    </row>
    <row r="39" spans="2:24">
      <c r="B39" s="7" t="str">
        <f>'Table B - Energy'!B38</f>
        <v>(e)</v>
      </c>
      <c r="C39" s="3" t="str">
        <f>'Table B - Energy'!C38</f>
        <v>Off-peak Summer hours:  All other hours, June through September</v>
      </c>
      <c r="H39" s="13"/>
      <c r="N39" s="7" t="str">
        <f>B39</f>
        <v>(e)</v>
      </c>
      <c r="O39" s="3" t="str">
        <f t="shared" si="1"/>
        <v>Off-peak Summer hours:  All other hours, June through September</v>
      </c>
    </row>
    <row r="40" spans="2:24">
      <c r="B40" s="7"/>
      <c r="H40" s="13"/>
    </row>
    <row r="41" spans="2:24">
      <c r="B41" s="7"/>
    </row>
    <row r="42" spans="2:24">
      <c r="B42" s="7"/>
    </row>
    <row r="43" spans="2:24">
      <c r="B43" s="7"/>
      <c r="F43" s="187"/>
      <c r="G43" s="7"/>
    </row>
    <row r="44" spans="2:24">
      <c r="B44" s="7"/>
      <c r="G44" s="7"/>
    </row>
    <row r="45" spans="2:24">
      <c r="B45" s="7"/>
    </row>
    <row r="46" spans="2:24">
      <c r="B46" s="7"/>
    </row>
    <row r="48" spans="2:24">
      <c r="B48" s="10"/>
    </row>
  </sheetData>
  <mergeCells count="22">
    <mergeCell ref="C5:G5"/>
    <mergeCell ref="H5:L5"/>
    <mergeCell ref="O5:S5"/>
    <mergeCell ref="T5:X5"/>
    <mergeCell ref="B1:I1"/>
    <mergeCell ref="B2:I2"/>
    <mergeCell ref="C4:G4"/>
    <mergeCell ref="H4:L4"/>
    <mergeCell ref="O4:S4"/>
    <mergeCell ref="T4:X4"/>
    <mergeCell ref="N1:U1"/>
    <mergeCell ref="N2:U2"/>
    <mergeCell ref="C8:G8"/>
    <mergeCell ref="H8:L8"/>
    <mergeCell ref="O8:S8"/>
    <mergeCell ref="T8:X8"/>
    <mergeCell ref="B6:B7"/>
    <mergeCell ref="C6:C7"/>
    <mergeCell ref="H6:H7"/>
    <mergeCell ref="N6:N7"/>
    <mergeCell ref="O6:O7"/>
    <mergeCell ref="T6:T7"/>
  </mergeCells>
  <printOptions horizontalCentered="1"/>
  <pageMargins left="0.8" right="0.3" top="0.4" bottom="0.4" header="0.5" footer="0.2"/>
  <pageSetup scale="6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C1:M31"/>
  <sheetViews>
    <sheetView workbookViewId="0">
      <selection activeCell="G13" sqref="G13"/>
    </sheetView>
  </sheetViews>
  <sheetFormatPr defaultRowHeight="12.75"/>
  <cols>
    <col min="2" max="2" width="11" customWidth="1"/>
    <col min="3" max="3" width="17.5" customWidth="1"/>
    <col min="4" max="4" width="17.1640625" customWidth="1"/>
    <col min="5" max="5" width="19.33203125" bestFit="1" customWidth="1"/>
    <col min="6" max="6" width="17.5" customWidth="1"/>
    <col min="7" max="7" width="10.6640625" customWidth="1"/>
    <col min="8" max="9" width="8.1640625" customWidth="1"/>
    <col min="11" max="12" width="8.1640625" customWidth="1"/>
    <col min="14" max="14" width="8.1640625" customWidth="1"/>
  </cols>
  <sheetData>
    <row r="1" spans="3:13">
      <c r="E1" s="336">
        <v>2.2200000000000001E-2</v>
      </c>
      <c r="F1" t="s">
        <v>226</v>
      </c>
    </row>
    <row r="2" spans="3:13">
      <c r="L2" t="s">
        <v>232</v>
      </c>
    </row>
    <row r="3" spans="3:13" ht="15">
      <c r="D3" t="s">
        <v>230</v>
      </c>
      <c r="L3" s="332" t="s">
        <v>233</v>
      </c>
      <c r="M3" s="331" t="s">
        <v>214</v>
      </c>
    </row>
    <row r="4" spans="3:13" ht="15">
      <c r="C4" t="s">
        <v>2</v>
      </c>
      <c r="D4" t="s">
        <v>224</v>
      </c>
      <c r="E4" t="s">
        <v>225</v>
      </c>
      <c r="F4" t="s">
        <v>227</v>
      </c>
      <c r="I4" s="220" t="s">
        <v>228</v>
      </c>
      <c r="J4" s="328">
        <f>'CONF Exhibit 2 - Planned Cap'!H43/'CONF Exhibit 2 - Planned Cap'!H42-1</f>
        <v>0.32743362831858414</v>
      </c>
      <c r="L4" s="332" t="s">
        <v>229</v>
      </c>
      <c r="M4" s="332" t="s">
        <v>216</v>
      </c>
    </row>
    <row r="5" spans="3:13">
      <c r="C5">
        <v>2017</v>
      </c>
      <c r="D5" s="328">
        <f>D6/(1+'CONF Exhibit 2 - Planned Cap'!Q7)</f>
        <v>0.98484037274448444</v>
      </c>
      <c r="E5" s="328">
        <f>E6/(1+$E$1)</f>
        <v>0.9782821365681863</v>
      </c>
      <c r="L5" s="333"/>
      <c r="M5" s="333">
        <v>1789.0158140000001</v>
      </c>
    </row>
    <row r="6" spans="3:13">
      <c r="C6">
        <f t="shared" ref="C6:C28" si="0">C5+1</f>
        <v>2018</v>
      </c>
      <c r="D6" s="328">
        <v>1</v>
      </c>
      <c r="E6" s="328">
        <v>1</v>
      </c>
      <c r="F6" s="328">
        <v>1</v>
      </c>
      <c r="L6" s="333">
        <v>1327.246410895088</v>
      </c>
      <c r="M6" s="333">
        <v>1816.554097</v>
      </c>
    </row>
    <row r="7" spans="3:13">
      <c r="C7">
        <f t="shared" si="0"/>
        <v>2019</v>
      </c>
      <c r="D7" s="328">
        <f>D6*(1+'CONF Exhibit 2 - Planned Cap'!Q8)</f>
        <v>1.0153929795133427</v>
      </c>
      <c r="E7" s="328">
        <f t="shared" ref="E7:E28" si="1">E6*(1+$E$1)</f>
        <v>1.0222</v>
      </c>
      <c r="F7" s="328">
        <f t="shared" ref="F7:F28" si="2">F6*(L8/L7)</f>
        <v>0.85881082777495654</v>
      </c>
      <c r="L7" s="333">
        <v>1183.9061703303037</v>
      </c>
      <c r="M7" s="333">
        <v>1844.5162769999999</v>
      </c>
    </row>
    <row r="8" spans="3:13">
      <c r="C8">
        <f t="shared" si="0"/>
        <v>2020</v>
      </c>
      <c r="D8" s="328">
        <f>D7*(1+'CONF Exhibit 2 - Planned Cap'!Q9)</f>
        <v>1.0310229032502078</v>
      </c>
      <c r="E8" s="328">
        <f t="shared" si="1"/>
        <v>1.0448928399999999</v>
      </c>
      <c r="F8" s="328">
        <f t="shared" si="2"/>
        <v>0.84579263413204953</v>
      </c>
      <c r="L8" s="333">
        <v>1016.7514381492468</v>
      </c>
      <c r="M8" s="333">
        <v>1872.9088790000001</v>
      </c>
    </row>
    <row r="9" spans="3:13">
      <c r="C9">
        <f t="shared" si="0"/>
        <v>2021</v>
      </c>
      <c r="D9" s="328">
        <f>D8*(1+'CONF Exhibit 2 - Planned Cap'!Q10)</f>
        <v>1.0468934176750804</v>
      </c>
      <c r="E9" s="328">
        <f t="shared" si="1"/>
        <v>1.0680894610479998</v>
      </c>
      <c r="F9" s="328">
        <f t="shared" si="2"/>
        <v>0.8435377904423651</v>
      </c>
      <c r="L9" s="333">
        <v>1001.3391183688545</v>
      </c>
      <c r="M9" s="333">
        <v>1901.738527</v>
      </c>
    </row>
    <row r="10" spans="3:13">
      <c r="C10">
        <f t="shared" si="0"/>
        <v>2022</v>
      </c>
      <c r="D10" s="328">
        <f>D9*(1+'CONF Exhibit 2 - Planned Cap'!Q11)</f>
        <v>1.0630082265036995</v>
      </c>
      <c r="E10" s="328">
        <f t="shared" si="1"/>
        <v>1.0918010470832655</v>
      </c>
      <c r="F10" s="328">
        <f t="shared" si="2"/>
        <v>0.84128895806072446</v>
      </c>
      <c r="L10" s="333">
        <v>998.66959501150677</v>
      </c>
      <c r="M10" s="333">
        <v>1931.011949</v>
      </c>
    </row>
    <row r="11" spans="3:13">
      <c r="C11">
        <f t="shared" si="0"/>
        <v>2023</v>
      </c>
      <c r="D11" s="328">
        <f>D10*(1+'CONF Exhibit 2 - Planned Cap'!Q12)</f>
        <v>1.0793710901525655</v>
      </c>
      <c r="E11" s="328">
        <f t="shared" si="1"/>
        <v>1.1160390303285139</v>
      </c>
      <c r="F11" s="328">
        <f t="shared" si="2"/>
        <v>0.83904612096126086</v>
      </c>
      <c r="L11" s="333">
        <v>996.00718847884377</v>
      </c>
      <c r="M11" s="333">
        <v>1960.7359759999999</v>
      </c>
    </row>
    <row r="12" spans="3:13">
      <c r="C12">
        <f t="shared" si="0"/>
        <v>2024</v>
      </c>
      <c r="D12" s="328">
        <f>D11*(1+'CONF Exhibit 2 - Planned Cap'!Q13)</f>
        <v>1.0959858273904184</v>
      </c>
      <c r="E12" s="328">
        <f t="shared" si="1"/>
        <v>1.1408150968018069</v>
      </c>
      <c r="F12" s="328">
        <f t="shared" si="2"/>
        <v>0.83680926316083182</v>
      </c>
      <c r="L12" s="333">
        <v>993.35187979774309</v>
      </c>
      <c r="M12" s="333">
        <v>1990.917545</v>
      </c>
    </row>
    <row r="13" spans="3:13">
      <c r="C13">
        <f t="shared" si="0"/>
        <v>2025</v>
      </c>
      <c r="D13" s="328">
        <f>D12*(1+'CONF Exhibit 2 - Planned Cap'!Q14)</f>
        <v>1.1128563147877448</v>
      </c>
      <c r="E13" s="328">
        <f t="shared" si="1"/>
        <v>1.1661411919508071</v>
      </c>
      <c r="F13" s="328">
        <f t="shared" si="2"/>
        <v>0.83457836871890523</v>
      </c>
      <c r="L13" s="333">
        <v>990.70365004566372</v>
      </c>
      <c r="M13" s="333">
        <v>2021.5636980000002</v>
      </c>
    </row>
    <row r="14" spans="3:13">
      <c r="C14">
        <f t="shared" si="0"/>
        <v>2026</v>
      </c>
      <c r="D14" s="328">
        <f>D13*(1+'CONF Exhibit 2 - Planned Cap'!Q15)</f>
        <v>1.1299864894692424</v>
      </c>
      <c r="E14" s="328">
        <f t="shared" si="1"/>
        <v>1.192029526412115</v>
      </c>
      <c r="F14" s="328">
        <f t="shared" si="2"/>
        <v>0.83235342173744553</v>
      </c>
      <c r="L14" s="333">
        <v>988.06248035051124</v>
      </c>
      <c r="M14" s="333">
        <v>2052.681587</v>
      </c>
    </row>
    <row r="15" spans="3:13">
      <c r="C15">
        <f t="shared" si="0"/>
        <v>2027</v>
      </c>
      <c r="D15" s="328">
        <f>D14*(1+'CONF Exhibit 2 - Planned Cap'!Q16)</f>
        <v>1.1299864894692424</v>
      </c>
      <c r="E15" s="328">
        <f t="shared" si="1"/>
        <v>1.218492581898464</v>
      </c>
      <c r="F15" s="328">
        <f t="shared" si="2"/>
        <v>0.83013440636080071</v>
      </c>
      <c r="L15" s="333">
        <v>985.42835189050334</v>
      </c>
      <c r="M15" s="333">
        <v>2052.681587</v>
      </c>
    </row>
    <row r="16" spans="3:13">
      <c r="C16">
        <f t="shared" si="0"/>
        <v>2028</v>
      </c>
      <c r="D16" s="328">
        <f>D15*(1+'CONF Exhibit 2 - Planned Cap'!Q17)</f>
        <v>1.1299864894692424</v>
      </c>
      <c r="E16" s="328">
        <f t="shared" si="1"/>
        <v>1.2455431172166098</v>
      </c>
      <c r="F16" s="328">
        <f t="shared" si="2"/>
        <v>0.82792130677558928</v>
      </c>
      <c r="L16" s="333">
        <v>982.80124589403579</v>
      </c>
      <c r="M16" s="333">
        <v>2052.681587</v>
      </c>
    </row>
    <row r="17" spans="3:13">
      <c r="C17">
        <f t="shared" si="0"/>
        <v>2029</v>
      </c>
      <c r="D17" s="328">
        <f>D16*(1+'CONF Exhibit 2 - Planned Cap'!Q18)</f>
        <v>1.1299864894692424</v>
      </c>
      <c r="E17" s="328">
        <f t="shared" si="1"/>
        <v>1.2731941744188187</v>
      </c>
      <c r="F17" s="328">
        <f t="shared" si="2"/>
        <v>0.82571410721058724</v>
      </c>
      <c r="L17" s="333">
        <v>980.18114363954851</v>
      </c>
      <c r="M17" s="333">
        <v>2052.681587</v>
      </c>
    </row>
    <row r="18" spans="3:13">
      <c r="C18">
        <f t="shared" si="0"/>
        <v>2030</v>
      </c>
      <c r="D18" s="328">
        <f>D17*(1+'CONF Exhibit 2 - Planned Cap'!Q19)</f>
        <v>1.1299864894692424</v>
      </c>
      <c r="E18" s="328">
        <f t="shared" si="1"/>
        <v>1.3014590850909165</v>
      </c>
      <c r="F18" s="328">
        <f t="shared" si="2"/>
        <v>0.82626517229398477</v>
      </c>
      <c r="L18" s="333">
        <v>977.56802645539221</v>
      </c>
      <c r="M18" s="333">
        <v>2052.681587</v>
      </c>
    </row>
    <row r="19" spans="3:13">
      <c r="C19">
        <f t="shared" si="0"/>
        <v>2031</v>
      </c>
      <c r="D19" s="328">
        <f>D18*(1+'CONF Exhibit 2 - Planned Cap'!Q20)</f>
        <v>1.1299864894692424</v>
      </c>
      <c r="E19" s="328">
        <f t="shared" si="1"/>
        <v>1.3303514767799347</v>
      </c>
      <c r="F19" s="328">
        <f t="shared" si="2"/>
        <v>0.82681660514719935</v>
      </c>
      <c r="L19" s="333">
        <v>978.22043580788011</v>
      </c>
      <c r="M19" s="333">
        <v>2052.681587</v>
      </c>
    </row>
    <row r="20" spans="3:13">
      <c r="C20">
        <f t="shared" si="0"/>
        <v>2032</v>
      </c>
      <c r="D20" s="328">
        <f>D19*(1+'CONF Exhibit 2 - Planned Cap'!Q21)</f>
        <v>1.1299864894692424</v>
      </c>
      <c r="E20" s="328">
        <f t="shared" si="1"/>
        <v>1.3598852795644492</v>
      </c>
      <c r="F20" s="328">
        <f t="shared" si="2"/>
        <v>0.82736840601567319</v>
      </c>
      <c r="L20" s="333">
        <v>978.87328056532363</v>
      </c>
      <c r="M20" s="333">
        <v>2052.681587</v>
      </c>
    </row>
    <row r="21" spans="3:13">
      <c r="C21">
        <f t="shared" si="0"/>
        <v>2033</v>
      </c>
      <c r="D21" s="328">
        <f>D20*(1+'CONF Exhibit 2 - Planned Cap'!Q22)</f>
        <v>1.1299864894692424</v>
      </c>
      <c r="E21" s="328">
        <f t="shared" si="1"/>
        <v>1.3900747327707799</v>
      </c>
      <c r="F21" s="328">
        <f t="shared" si="2"/>
        <v>0.82792057514501227</v>
      </c>
      <c r="L21" s="333">
        <v>979.52656101830337</v>
      </c>
      <c r="M21" s="333">
        <v>2052.681587</v>
      </c>
    </row>
    <row r="22" spans="3:13">
      <c r="C22">
        <f t="shared" si="0"/>
        <v>2034</v>
      </c>
      <c r="D22" s="328">
        <f>D21*(1+'CONF Exhibit 2 - Planned Cap'!Q23)</f>
        <v>1.1299864894692424</v>
      </c>
      <c r="E22" s="328">
        <f t="shared" si="1"/>
        <v>1.4209343918382911</v>
      </c>
      <c r="F22" s="328">
        <f t="shared" si="2"/>
        <v>0.82847311278098668</v>
      </c>
      <c r="L22" s="333">
        <v>980.18027745759389</v>
      </c>
      <c r="M22" s="333">
        <v>2052.681587</v>
      </c>
    </row>
    <row r="23" spans="3:13">
      <c r="C23">
        <f t="shared" si="0"/>
        <v>2035</v>
      </c>
      <c r="D23" s="328">
        <f>D22*(1+'CONF Exhibit 2 - Planned Cap'!Q24)</f>
        <v>1.1299864894692424</v>
      </c>
      <c r="E23" s="328">
        <f t="shared" si="1"/>
        <v>1.4524791353371012</v>
      </c>
      <c r="F23" s="328">
        <f t="shared" si="2"/>
        <v>0.82902601916953023</v>
      </c>
      <c r="L23" s="333">
        <v>980.83443017416369</v>
      </c>
      <c r="M23" s="333">
        <v>2052.681587</v>
      </c>
    </row>
    <row r="24" spans="3:13">
      <c r="C24">
        <f t="shared" si="0"/>
        <v>2036</v>
      </c>
      <c r="D24" s="328">
        <f>D23*(1+'CONF Exhibit 2 - Planned Cap'!Q25)</f>
        <v>1.1299864894692424</v>
      </c>
      <c r="E24" s="328">
        <f t="shared" si="1"/>
        <v>1.4847241721415847</v>
      </c>
      <c r="F24" s="328">
        <f t="shared" si="2"/>
        <v>0.82957929455674106</v>
      </c>
      <c r="L24" s="333">
        <v>981.48901945917544</v>
      </c>
      <c r="M24" s="333">
        <v>2052.681587</v>
      </c>
    </row>
    <row r="25" spans="3:13">
      <c r="C25">
        <f t="shared" si="0"/>
        <v>2037</v>
      </c>
      <c r="D25" s="328">
        <f>D24*(1+'CONF Exhibit 2 - Planned Cap'!Q26)</f>
        <v>1.1299864894692424</v>
      </c>
      <c r="E25" s="328">
        <f t="shared" si="1"/>
        <v>1.5176850487631279</v>
      </c>
      <c r="F25" s="328">
        <f t="shared" si="2"/>
        <v>0.83013293918888154</v>
      </c>
      <c r="L25" s="333">
        <v>982.14404560398623</v>
      </c>
      <c r="M25" s="338">
        <f>M24*M24/M23</f>
        <v>2052.681587</v>
      </c>
    </row>
    <row r="26" spans="3:13">
      <c r="C26">
        <f t="shared" si="0"/>
        <v>2038</v>
      </c>
      <c r="D26" s="328">
        <f>D25*(1+'CONF Exhibit 2 - Planned Cap'!Q27)</f>
        <v>1.1299864894692424</v>
      </c>
      <c r="E26" s="328">
        <f t="shared" si="1"/>
        <v>1.5513776568456694</v>
      </c>
      <c r="F26" s="328">
        <f t="shared" si="2"/>
        <v>0.8306869533123783</v>
      </c>
      <c r="L26" s="333">
        <v>982.79950890014754</v>
      </c>
      <c r="M26" s="338">
        <f>M25*M25/M24</f>
        <v>2052.681587</v>
      </c>
    </row>
    <row r="27" spans="3:13">
      <c r="C27">
        <f t="shared" si="0"/>
        <v>2039</v>
      </c>
      <c r="D27" s="328">
        <f>D26*(1+'CONF Exhibit 2 - Planned Cap'!Q28)</f>
        <v>1.1299864894692424</v>
      </c>
      <c r="E27" s="328">
        <f t="shared" si="1"/>
        <v>1.5858182408276433</v>
      </c>
      <c r="F27" s="328">
        <f t="shared" si="2"/>
        <v>0.83124133717382243</v>
      </c>
      <c r="L27" s="338">
        <f>L26*L26/L25</f>
        <v>983.4554096394055</v>
      </c>
      <c r="M27" s="338">
        <f>M26*M26/M25</f>
        <v>2052.681587</v>
      </c>
    </row>
    <row r="28" spans="3:13">
      <c r="C28">
        <f t="shared" si="0"/>
        <v>2040</v>
      </c>
      <c r="D28" s="328">
        <f>D27*(1+'CONF Exhibit 2 - Planned Cap'!Q29)</f>
        <v>1.1299864894692424</v>
      </c>
      <c r="E28" s="328">
        <f t="shared" si="1"/>
        <v>1.6210234057740169</v>
      </c>
      <c r="F28" s="328">
        <f t="shared" si="2"/>
        <v>0.83179609101996976</v>
      </c>
      <c r="L28" s="338">
        <f>L27*L27/L26</f>
        <v>984.11174811370074</v>
      </c>
      <c r="M28" s="338">
        <f>M27*M27/M26</f>
        <v>2052.681587</v>
      </c>
    </row>
    <row r="29" spans="3:13">
      <c r="L29" s="338">
        <f>L28*L28/L27</f>
        <v>984.76852461516899</v>
      </c>
      <c r="M29" s="338">
        <f>M28*M28/M27</f>
        <v>2052.681587</v>
      </c>
    </row>
    <row r="31" spans="3:13">
      <c r="C31" s="185" t="s">
        <v>231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1:AB37"/>
  <sheetViews>
    <sheetView topLeftCell="J9" workbookViewId="0">
      <selection activeCell="AA13" sqref="AA13:AB31"/>
    </sheetView>
  </sheetViews>
  <sheetFormatPr defaultColWidth="9.33203125" defaultRowHeight="12.75"/>
  <cols>
    <col min="1" max="1" width="1.5" style="3" customWidth="1"/>
    <col min="2" max="2" width="8.1640625" style="3" customWidth="1"/>
    <col min="3" max="3" width="10.5" style="3" customWidth="1"/>
    <col min="4" max="7" width="9.33203125" style="3" customWidth="1"/>
    <col min="8" max="8" width="10.5" style="3" customWidth="1"/>
    <col min="9" max="12" width="9.33203125" style="3" customWidth="1"/>
    <col min="13" max="13" width="10.5" style="3" customWidth="1"/>
    <col min="14" max="17" width="9.33203125" style="3" customWidth="1"/>
    <col min="18" max="18" width="10.5" style="3" customWidth="1"/>
    <col min="19" max="22" width="9.33203125" style="3" customWidth="1"/>
    <col min="23" max="24" width="9.33203125" style="3"/>
    <col min="26" max="26" width="24.83203125" customWidth="1"/>
    <col min="27" max="16384" width="9.33203125" style="3"/>
  </cols>
  <sheetData>
    <row r="1" spans="2:28" ht="15.75" customHeight="1">
      <c r="B1" s="350"/>
      <c r="C1" s="350"/>
      <c r="D1" s="350"/>
      <c r="E1" s="350"/>
      <c r="F1" s="350"/>
      <c r="G1" s="350"/>
      <c r="H1" s="350"/>
      <c r="I1" s="350"/>
    </row>
    <row r="2" spans="2:28" ht="18.75" customHeight="1">
      <c r="B2" s="350" t="s">
        <v>154</v>
      </c>
      <c r="C2" s="350"/>
      <c r="D2" s="350"/>
      <c r="E2" s="350"/>
      <c r="F2" s="350"/>
      <c r="G2" s="350"/>
      <c r="H2" s="350"/>
      <c r="I2" s="350"/>
    </row>
    <row r="3" spans="2:28" ht="14.25">
      <c r="B3" s="189"/>
      <c r="C3" s="189"/>
      <c r="D3" s="189"/>
      <c r="E3" s="189"/>
      <c r="F3" s="189"/>
      <c r="G3" s="189"/>
      <c r="H3" s="189"/>
      <c r="I3" s="201"/>
      <c r="J3" s="201"/>
    </row>
    <row r="4" spans="2:28" ht="14.25">
      <c r="B4" s="4"/>
      <c r="C4" s="379" t="s">
        <v>126</v>
      </c>
      <c r="D4" s="380"/>
      <c r="E4" s="380"/>
      <c r="F4" s="380"/>
      <c r="G4" s="381"/>
      <c r="H4" s="379" t="s">
        <v>141</v>
      </c>
      <c r="I4" s="380"/>
      <c r="J4" s="380"/>
      <c r="K4" s="380"/>
      <c r="L4" s="381"/>
      <c r="M4" s="379" t="s">
        <v>142</v>
      </c>
      <c r="N4" s="380"/>
      <c r="O4" s="380"/>
      <c r="P4" s="380"/>
      <c r="Q4" s="381"/>
      <c r="R4" s="379" t="s">
        <v>143</v>
      </c>
      <c r="S4" s="380"/>
      <c r="T4" s="380"/>
      <c r="U4" s="380"/>
      <c r="V4" s="381"/>
    </row>
    <row r="5" spans="2:28">
      <c r="C5" s="376" t="s">
        <v>153</v>
      </c>
      <c r="D5" s="377"/>
      <c r="E5" s="377"/>
      <c r="F5" s="377"/>
      <c r="G5" s="378"/>
      <c r="H5" s="376" t="s">
        <v>153</v>
      </c>
      <c r="I5" s="377"/>
      <c r="J5" s="377"/>
      <c r="K5" s="377"/>
      <c r="L5" s="378"/>
      <c r="M5" s="376" t="s">
        <v>153</v>
      </c>
      <c r="N5" s="377"/>
      <c r="O5" s="377"/>
      <c r="P5" s="377"/>
      <c r="Q5" s="378"/>
      <c r="R5" s="376" t="s">
        <v>153</v>
      </c>
      <c r="S5" s="377"/>
      <c r="T5" s="377"/>
      <c r="U5" s="377"/>
      <c r="V5" s="378"/>
    </row>
    <row r="6" spans="2:28">
      <c r="B6" s="208"/>
      <c r="C6" s="15" t="s">
        <v>144</v>
      </c>
      <c r="D6" s="15" t="s">
        <v>0</v>
      </c>
      <c r="E6" s="17" t="s">
        <v>1</v>
      </c>
      <c r="F6" s="15" t="s">
        <v>0</v>
      </c>
      <c r="G6" s="17" t="s">
        <v>1</v>
      </c>
      <c r="H6" s="15" t="s">
        <v>144</v>
      </c>
      <c r="I6" s="15" t="s">
        <v>0</v>
      </c>
      <c r="J6" s="17" t="s">
        <v>1</v>
      </c>
      <c r="K6" s="15" t="s">
        <v>0</v>
      </c>
      <c r="L6" s="17" t="s">
        <v>1</v>
      </c>
      <c r="M6" s="15" t="s">
        <v>144</v>
      </c>
      <c r="N6" s="15" t="s">
        <v>0</v>
      </c>
      <c r="O6" s="17" t="s">
        <v>1</v>
      </c>
      <c r="P6" s="15" t="s">
        <v>0</v>
      </c>
      <c r="Q6" s="17" t="s">
        <v>1</v>
      </c>
      <c r="R6" s="15" t="s">
        <v>144</v>
      </c>
      <c r="S6" s="15" t="s">
        <v>0</v>
      </c>
      <c r="T6" s="17" t="s">
        <v>1</v>
      </c>
      <c r="U6" s="15" t="s">
        <v>0</v>
      </c>
      <c r="V6" s="17" t="s">
        <v>1</v>
      </c>
    </row>
    <row r="7" spans="2:28">
      <c r="B7" s="15" t="s">
        <v>2</v>
      </c>
      <c r="C7" s="76" t="s">
        <v>146</v>
      </c>
      <c r="D7" s="76" t="s">
        <v>111</v>
      </c>
      <c r="E7" s="76" t="s">
        <v>111</v>
      </c>
      <c r="F7" s="76" t="s">
        <v>112</v>
      </c>
      <c r="G7" s="77" t="s">
        <v>112</v>
      </c>
      <c r="H7" s="76" t="s">
        <v>145</v>
      </c>
      <c r="I7" s="76" t="s">
        <v>111</v>
      </c>
      <c r="J7" s="76" t="s">
        <v>111</v>
      </c>
      <c r="K7" s="76" t="s">
        <v>112</v>
      </c>
      <c r="L7" s="77" t="s">
        <v>112</v>
      </c>
      <c r="M7" s="76" t="s">
        <v>145</v>
      </c>
      <c r="N7" s="76" t="s">
        <v>111</v>
      </c>
      <c r="O7" s="76" t="s">
        <v>111</v>
      </c>
      <c r="P7" s="76" t="s">
        <v>112</v>
      </c>
      <c r="Q7" s="77" t="s">
        <v>112</v>
      </c>
      <c r="R7" s="76" t="s">
        <v>145</v>
      </c>
      <c r="S7" s="76" t="s">
        <v>111</v>
      </c>
      <c r="T7" s="76" t="s">
        <v>111</v>
      </c>
      <c r="U7" s="76" t="s">
        <v>112</v>
      </c>
      <c r="V7" s="77" t="s">
        <v>112</v>
      </c>
    </row>
    <row r="8" spans="2:28">
      <c r="B8" s="18"/>
      <c r="C8" s="78" t="s">
        <v>147</v>
      </c>
      <c r="D8" s="78" t="s">
        <v>147</v>
      </c>
      <c r="E8" s="78" t="s">
        <v>147</v>
      </c>
      <c r="F8" s="78" t="s">
        <v>147</v>
      </c>
      <c r="G8" s="79" t="s">
        <v>147</v>
      </c>
      <c r="H8" s="78" t="s">
        <v>147</v>
      </c>
      <c r="I8" s="78" t="s">
        <v>147</v>
      </c>
      <c r="J8" s="78" t="s">
        <v>147</v>
      </c>
      <c r="K8" s="78" t="s">
        <v>147</v>
      </c>
      <c r="L8" s="79" t="s">
        <v>147</v>
      </c>
      <c r="M8" s="78" t="s">
        <v>147</v>
      </c>
      <c r="N8" s="78" t="s">
        <v>147</v>
      </c>
      <c r="O8" s="78" t="s">
        <v>147</v>
      </c>
      <c r="P8" s="78" t="s">
        <v>147</v>
      </c>
      <c r="Q8" s="79" t="s">
        <v>147</v>
      </c>
      <c r="R8" s="78" t="s">
        <v>147</v>
      </c>
      <c r="S8" s="78" t="s">
        <v>147</v>
      </c>
      <c r="T8" s="78" t="s">
        <v>147</v>
      </c>
      <c r="U8" s="78" t="s">
        <v>147</v>
      </c>
      <c r="V8" s="79" t="s">
        <v>147</v>
      </c>
      <c r="Y8" s="3"/>
      <c r="Z8" s="3"/>
    </row>
    <row r="9" spans="2:28"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Y9" s="3"/>
      <c r="Z9" s="3"/>
    </row>
    <row r="10" spans="2:28"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Y10" s="3"/>
      <c r="Z10" s="3"/>
    </row>
    <row r="11" spans="2:28">
      <c r="B11" s="209">
        <v>2019</v>
      </c>
      <c r="C11" s="202">
        <f>INDEX([2]Energy!$AA$4:$AE$24,MATCH($B11,[2]Energy!$T$4:$T$24,0),1)</f>
        <v>2208</v>
      </c>
      <c r="D11" s="203">
        <f>INDEX([2]Energy!$AA$4:$AE$24,MATCH($B11,[2]Energy!$T$4:$T$24,0),4)</f>
        <v>736</v>
      </c>
      <c r="E11" s="203">
        <f>INDEX([2]Energy!$AA$4:$AE$24,MATCH($B11,[2]Energy!$T$4:$T$24,0),5)</f>
        <v>1472</v>
      </c>
      <c r="F11" s="203"/>
      <c r="G11" s="204"/>
      <c r="H11" s="202">
        <f>INDEX([2]Energy!$AA$29:$AE$49,MATCH($B11,[2]Energy!$T$29:$T$49,0),1)</f>
        <v>877.89799999999582</v>
      </c>
      <c r="I11" s="203">
        <f>INDEX([2]Energy!$AA$29:$AE$49,MATCH($B11,[2]Energy!$T$29:$T$49,0),4)</f>
        <v>296.93699999999956</v>
      </c>
      <c r="J11" s="203">
        <f>INDEX([2]Energy!$AA$29:$AE$49,MATCH($B11,[2]Energy!$T$29:$T$49,0),5)</f>
        <v>580.96099999999626</v>
      </c>
      <c r="K11" s="203"/>
      <c r="L11" s="204"/>
      <c r="M11" s="202">
        <f>INDEX([2]Energy!$AA$79:$AE$99,MATCH($B11,[2]Energy!$T$79:$T$99,0),1)</f>
        <v>416.58900000000062</v>
      </c>
      <c r="N11" s="203">
        <f>INDEX([2]Energy!$AA$79:$AE$99,MATCH($B11,[2]Energy!$T$79:$T$99,0),4)</f>
        <v>15.343999999999982</v>
      </c>
      <c r="O11" s="203">
        <f>INDEX([2]Energy!$AA$79:$AE$99,MATCH($B11,[2]Energy!$T$79:$T$99,0),5)</f>
        <v>401.24500000000063</v>
      </c>
      <c r="P11" s="203"/>
      <c r="Q11" s="204"/>
      <c r="R11" s="202">
        <f>INDEX([2]Energy!$AA$54:$AE$74,MATCH($B11,[2]Energy!$T$54:$T$74,0),1)</f>
        <v>283.71477111117781</v>
      </c>
      <c r="S11" s="203">
        <f>INDEX([2]Energy!$AA$54:$AE$74,MATCH($B11,[2]Energy!$T$54:$T$74,0),4)</f>
        <v>18.31601331178318</v>
      </c>
      <c r="T11" s="203">
        <f>INDEX([2]Energy!$AA$54:$AE$74,MATCH($B11,[2]Energy!$T$54:$T$74,0),5)</f>
        <v>265.39875779939462</v>
      </c>
      <c r="U11" s="203"/>
      <c r="V11" s="204"/>
      <c r="Y11" s="3"/>
      <c r="Z11" s="3"/>
    </row>
    <row r="12" spans="2:28">
      <c r="B12" s="14">
        <f t="shared" ref="B12:B31" si="0">B11+1</f>
        <v>2020</v>
      </c>
      <c r="C12" s="205">
        <f>INDEX([2]Energy!$AA$4:$AE$24,MATCH($B12,[2]Energy!$T$4:$T$24,0),1)</f>
        <v>8784</v>
      </c>
      <c r="D12" s="206">
        <f>INDEX([2]Energy!$AA$4:$AE$24,MATCH($B12,[2]Energy!$T$4:$T$24,0),4)</f>
        <v>1952</v>
      </c>
      <c r="E12" s="206">
        <f>INDEX([2]Energy!$AA$4:$AE$24,MATCH($B12,[2]Energy!$T$4:$T$24,0),5)</f>
        <v>3904</v>
      </c>
      <c r="F12" s="206">
        <f>INDEX([2]Energy!$AA$4:$AE$24,MATCH($B12,[2]Energy!$T$4:$T$24,0),2)</f>
        <v>976</v>
      </c>
      <c r="G12" s="207">
        <f>INDEX([2]Energy!$AA$4:$AE$24,MATCH($B12,[2]Energy!$T$4:$T$24,0),3)</f>
        <v>1952</v>
      </c>
      <c r="H12" s="205">
        <f>INDEX([2]Energy!$AA$29:$AE$49,MATCH($B12,[2]Energy!$T$29:$T$49,0),1)</f>
        <v>3336.3686785714699</v>
      </c>
      <c r="I12" s="206">
        <f>INDEX([2]Energy!$AA$29:$AE$49,MATCH($B12,[2]Energy!$T$29:$T$49,0),4)</f>
        <v>788.84557142857716</v>
      </c>
      <c r="J12" s="206">
        <f>INDEX([2]Energy!$AA$29:$AE$49,MATCH($B12,[2]Energy!$T$29:$T$49,0),5)</f>
        <v>1583.8951071428919</v>
      </c>
      <c r="K12" s="206">
        <f>INDEX([2]Energy!$AA$29:$AE$49,MATCH($B12,[2]Energy!$T$29:$T$49,0),2)</f>
        <v>327.01600000000002</v>
      </c>
      <c r="L12" s="207">
        <f>INDEX([2]Energy!$AA$29:$AE$49,MATCH($B12,[2]Energy!$T$29:$T$49,0),3)</f>
        <v>636.61200000000076</v>
      </c>
      <c r="M12" s="205">
        <f>INDEX([2]Energy!$AA$79:$AE$99,MATCH($B12,[2]Energy!$T$79:$T$99,0),1)</f>
        <v>2183.9111428571432</v>
      </c>
      <c r="N12" s="206">
        <f>INDEX([2]Energy!$AA$79:$AE$99,MATCH($B12,[2]Energy!$T$79:$T$99,0),4)</f>
        <v>67.310964285714462</v>
      </c>
      <c r="O12" s="206">
        <f>INDEX([2]Energy!$AA$79:$AE$99,MATCH($B12,[2]Energy!$T$79:$T$99,0),5)</f>
        <v>1179.6621785714283</v>
      </c>
      <c r="P12" s="206">
        <f>INDEX([2]Energy!$AA$79:$AE$99,MATCH($B12,[2]Energy!$T$79:$T$99,0),2)</f>
        <v>237.51699999999963</v>
      </c>
      <c r="Q12" s="207">
        <f>INDEX([2]Energy!$AA$79:$AE$99,MATCH($B12,[2]Energy!$T$79:$T$99,0),3)</f>
        <v>699.42100000000096</v>
      </c>
      <c r="R12" s="205">
        <f>INDEX([2]Energy!$AA$54:$AE$74,MATCH($B12,[2]Energy!$T$54:$T$74,0),1)</f>
        <v>2172.1054371859564</v>
      </c>
      <c r="S12" s="206">
        <f>INDEX([2]Energy!$AA$54:$AE$74,MATCH($B12,[2]Energy!$T$54:$T$74,0),4)</f>
        <v>120.33811927907573</v>
      </c>
      <c r="T12" s="206">
        <f>INDEX([2]Energy!$AA$54:$AE$74,MATCH($B12,[2]Energy!$T$54:$T$74,0),5)</f>
        <v>944.06276880127518</v>
      </c>
      <c r="U12" s="206">
        <f>INDEX([2]Energy!$AA$54:$AE$74,MATCH($B12,[2]Energy!$T$54:$T$74,0),2)</f>
        <v>293.88037833748706</v>
      </c>
      <c r="V12" s="207">
        <f>INDEX([2]Energy!$AA$54:$AE$74,MATCH($B12,[2]Energy!$T$54:$T$74,0),3)</f>
        <v>813.82417076811862</v>
      </c>
      <c r="Y12" s="3"/>
      <c r="Z12" s="3"/>
    </row>
    <row r="13" spans="2:28">
      <c r="B13" s="14">
        <f t="shared" si="0"/>
        <v>2021</v>
      </c>
      <c r="C13" s="205">
        <f>INDEX([2]Energy!$AA$4:$AE$24,MATCH($B13,[2]Energy!$T$4:$T$24,0),1)</f>
        <v>8760</v>
      </c>
      <c r="D13" s="206">
        <f>INDEX([2]Energy!$AA$4:$AE$24,MATCH($B13,[2]Energy!$T$4:$T$24,0),4)</f>
        <v>1944</v>
      </c>
      <c r="E13" s="206">
        <f>INDEX([2]Energy!$AA$4:$AE$24,MATCH($B13,[2]Energy!$T$4:$T$24,0),5)</f>
        <v>3888</v>
      </c>
      <c r="F13" s="206">
        <f>INDEX([2]Energy!$AA$4:$AE$24,MATCH($B13,[2]Energy!$T$4:$T$24,0),2)</f>
        <v>976</v>
      </c>
      <c r="G13" s="207">
        <f>INDEX([2]Energy!$AA$4:$AE$24,MATCH($B13,[2]Energy!$T$4:$T$24,0),3)</f>
        <v>1952</v>
      </c>
      <c r="H13" s="205">
        <f>INDEX([2]Energy!$AA$29:$AE$49,MATCH($B13,[2]Energy!$T$29:$T$49,0),1)</f>
        <v>3326.3940000000412</v>
      </c>
      <c r="I13" s="206">
        <f>INDEX([2]Energy!$AA$29:$AE$49,MATCH($B13,[2]Energy!$T$29:$T$49,0),4)</f>
        <v>785.32400000000553</v>
      </c>
      <c r="J13" s="206">
        <f>INDEX([2]Energy!$AA$29:$AE$49,MATCH($B13,[2]Energy!$T$29:$T$49,0),5)</f>
        <v>1577.4420000000348</v>
      </c>
      <c r="K13" s="206">
        <f>INDEX([2]Energy!$AA$29:$AE$49,MATCH($B13,[2]Energy!$T$29:$T$49,0),2)</f>
        <v>327.01600000000002</v>
      </c>
      <c r="L13" s="207">
        <f>INDEX([2]Energy!$AA$29:$AE$49,MATCH($B13,[2]Energy!$T$29:$T$49,0),3)</f>
        <v>636.61200000000076</v>
      </c>
      <c r="M13" s="205">
        <f>INDEX([2]Energy!$AA$79:$AE$99,MATCH($B13,[2]Energy!$T$79:$T$99,0),1)</f>
        <v>2179.578</v>
      </c>
      <c r="N13" s="206">
        <f>INDEX([2]Energy!$AA$79:$AE$99,MATCH($B13,[2]Energy!$T$79:$T$99,0),4)</f>
        <v>67.189000000000163</v>
      </c>
      <c r="O13" s="206">
        <f>INDEX([2]Energy!$AA$79:$AE$99,MATCH($B13,[2]Energy!$T$79:$T$99,0),5)</f>
        <v>1175.4509999999993</v>
      </c>
      <c r="P13" s="206">
        <f>INDEX([2]Energy!$AA$79:$AE$99,MATCH($B13,[2]Energy!$T$79:$T$99,0),2)</f>
        <v>237.51699999999963</v>
      </c>
      <c r="Q13" s="207">
        <f>INDEX([2]Energy!$AA$79:$AE$99,MATCH($B13,[2]Energy!$T$79:$T$99,0),3)</f>
        <v>699.42100000000096</v>
      </c>
      <c r="R13" s="205">
        <f>INDEX([2]Energy!$AA$54:$AE$74,MATCH($B13,[2]Energy!$T$54:$T$74,0),1)</f>
        <v>2169.6683308184001</v>
      </c>
      <c r="S13" s="206">
        <f>INDEX([2]Energy!$AA$54:$AE$74,MATCH($B13,[2]Energy!$T$54:$T$74,0),4)</f>
        <v>120.07051203950799</v>
      </c>
      <c r="T13" s="206">
        <f>INDEX([2]Energy!$AA$54:$AE$74,MATCH($B13,[2]Energy!$T$54:$T$74,0),5)</f>
        <v>941.89326967328657</v>
      </c>
      <c r="U13" s="206">
        <f>INDEX([2]Energy!$AA$54:$AE$74,MATCH($B13,[2]Energy!$T$54:$T$74,0),2)</f>
        <v>293.88037833748706</v>
      </c>
      <c r="V13" s="207">
        <f>INDEX([2]Energy!$AA$54:$AE$74,MATCH($B13,[2]Energy!$T$54:$T$74,0),3)</f>
        <v>813.82417076811862</v>
      </c>
      <c r="Y13" s="212"/>
      <c r="Z13" s="213" t="s">
        <v>161</v>
      </c>
      <c r="AA13" s="3" t="s">
        <v>208</v>
      </c>
      <c r="AB13" s="3" t="s">
        <v>145</v>
      </c>
    </row>
    <row r="14" spans="2:28">
      <c r="B14" s="14">
        <f t="shared" si="0"/>
        <v>2022</v>
      </c>
      <c r="C14" s="205">
        <f>INDEX([2]Energy!$AA$4:$AE$24,MATCH($B14,[2]Energy!$T$4:$T$24,0),1)</f>
        <v>8760</v>
      </c>
      <c r="D14" s="206">
        <f>INDEX([2]Energy!$AA$4:$AE$24,MATCH($B14,[2]Energy!$T$4:$T$24,0),4)</f>
        <v>1944</v>
      </c>
      <c r="E14" s="206">
        <f>INDEX([2]Energy!$AA$4:$AE$24,MATCH($B14,[2]Energy!$T$4:$T$24,0),5)</f>
        <v>3888</v>
      </c>
      <c r="F14" s="206">
        <f>INDEX([2]Energy!$AA$4:$AE$24,MATCH($B14,[2]Energy!$T$4:$T$24,0),2)</f>
        <v>976</v>
      </c>
      <c r="G14" s="207">
        <f>INDEX([2]Energy!$AA$4:$AE$24,MATCH($B14,[2]Energy!$T$4:$T$24,0),3)</f>
        <v>1952</v>
      </c>
      <c r="H14" s="205">
        <f>INDEX([2]Energy!$AA$29:$AE$49,MATCH($B14,[2]Energy!$T$29:$T$49,0),1)</f>
        <v>3326.3940000000412</v>
      </c>
      <c r="I14" s="206">
        <f>INDEX([2]Energy!$AA$29:$AE$49,MATCH($B14,[2]Energy!$T$29:$T$49,0),4)</f>
        <v>785.32400000000553</v>
      </c>
      <c r="J14" s="206">
        <f>INDEX([2]Energy!$AA$29:$AE$49,MATCH($B14,[2]Energy!$T$29:$T$49,0),5)</f>
        <v>1577.4420000000348</v>
      </c>
      <c r="K14" s="206">
        <f>INDEX([2]Energy!$AA$29:$AE$49,MATCH($B14,[2]Energy!$T$29:$T$49,0),2)</f>
        <v>327.01600000000002</v>
      </c>
      <c r="L14" s="207">
        <f>INDEX([2]Energy!$AA$29:$AE$49,MATCH($B14,[2]Energy!$T$29:$T$49,0),3)</f>
        <v>636.61200000000076</v>
      </c>
      <c r="M14" s="205">
        <f>INDEX([2]Energy!$AA$79:$AE$99,MATCH($B14,[2]Energy!$T$79:$T$99,0),1)</f>
        <v>2179.578</v>
      </c>
      <c r="N14" s="206">
        <f>INDEX([2]Energy!$AA$79:$AE$99,MATCH($B14,[2]Energy!$T$79:$T$99,0),4)</f>
        <v>67.189000000000163</v>
      </c>
      <c r="O14" s="206">
        <f>INDEX([2]Energy!$AA$79:$AE$99,MATCH($B14,[2]Energy!$T$79:$T$99,0),5)</f>
        <v>1175.4509999999993</v>
      </c>
      <c r="P14" s="206">
        <f>INDEX([2]Energy!$AA$79:$AE$99,MATCH($B14,[2]Energy!$T$79:$T$99,0),2)</f>
        <v>237.51699999999963</v>
      </c>
      <c r="Q14" s="207">
        <f>INDEX([2]Energy!$AA$79:$AE$99,MATCH($B14,[2]Energy!$T$79:$T$99,0),3)</f>
        <v>699.42100000000096</v>
      </c>
      <c r="R14" s="205">
        <f>INDEX([2]Energy!$AA$54:$AE$74,MATCH($B14,[2]Energy!$T$54:$T$74,0),1)</f>
        <v>2169.6683308184001</v>
      </c>
      <c r="S14" s="206">
        <f>INDEX([2]Energy!$AA$54:$AE$74,MATCH($B14,[2]Energy!$T$54:$T$74,0),4)</f>
        <v>120.07051203950799</v>
      </c>
      <c r="T14" s="206">
        <f>INDEX([2]Energy!$AA$54:$AE$74,MATCH($B14,[2]Energy!$T$54:$T$74,0),5)</f>
        <v>941.89326967328657</v>
      </c>
      <c r="U14" s="206">
        <f>INDEX([2]Energy!$AA$54:$AE$74,MATCH($B14,[2]Energy!$T$54:$T$74,0),2)</f>
        <v>293.88037833748706</v>
      </c>
      <c r="V14" s="207">
        <f>INDEX([2]Energy!$AA$54:$AE$74,MATCH($B14,[2]Energy!$T$54:$T$74,0),3)</f>
        <v>813.82417076811862</v>
      </c>
      <c r="Y14" s="212"/>
      <c r="Z14" s="213"/>
    </row>
    <row r="15" spans="2:28">
      <c r="B15" s="14">
        <f t="shared" si="0"/>
        <v>2023</v>
      </c>
      <c r="C15" s="205">
        <f>INDEX([2]Energy!$AA$4:$AE$24,MATCH($B15,[2]Energy!$T$4:$T$24,0),1)</f>
        <v>8760</v>
      </c>
      <c r="D15" s="206">
        <f>INDEX([2]Energy!$AA$4:$AE$24,MATCH($B15,[2]Energy!$T$4:$T$24,0),4)</f>
        <v>1944</v>
      </c>
      <c r="E15" s="206">
        <f>INDEX([2]Energy!$AA$4:$AE$24,MATCH($B15,[2]Energy!$T$4:$T$24,0),5)</f>
        <v>3888</v>
      </c>
      <c r="F15" s="206">
        <f>INDEX([2]Energy!$AA$4:$AE$24,MATCH($B15,[2]Energy!$T$4:$T$24,0),2)</f>
        <v>976</v>
      </c>
      <c r="G15" s="207">
        <f>INDEX([2]Energy!$AA$4:$AE$24,MATCH($B15,[2]Energy!$T$4:$T$24,0),3)</f>
        <v>1952</v>
      </c>
      <c r="H15" s="205">
        <f>INDEX([2]Energy!$AA$29:$AE$49,MATCH($B15,[2]Energy!$T$29:$T$49,0),1)</f>
        <v>3326.3940000000412</v>
      </c>
      <c r="I15" s="206">
        <f>INDEX([2]Energy!$AA$29:$AE$49,MATCH($B15,[2]Energy!$T$29:$T$49,0),4)</f>
        <v>785.32400000000553</v>
      </c>
      <c r="J15" s="206">
        <f>INDEX([2]Energy!$AA$29:$AE$49,MATCH($B15,[2]Energy!$T$29:$T$49,0),5)</f>
        <v>1577.4420000000348</v>
      </c>
      <c r="K15" s="206">
        <f>INDEX([2]Energy!$AA$29:$AE$49,MATCH($B15,[2]Energy!$T$29:$T$49,0),2)</f>
        <v>327.01600000000002</v>
      </c>
      <c r="L15" s="207">
        <f>INDEX([2]Energy!$AA$29:$AE$49,MATCH($B15,[2]Energy!$T$29:$T$49,0),3)</f>
        <v>636.61200000000076</v>
      </c>
      <c r="M15" s="205">
        <f>INDEX([2]Energy!$AA$79:$AE$99,MATCH($B15,[2]Energy!$T$79:$T$99,0),1)</f>
        <v>2179.578</v>
      </c>
      <c r="N15" s="206">
        <f>INDEX([2]Energy!$AA$79:$AE$99,MATCH($B15,[2]Energy!$T$79:$T$99,0),4)</f>
        <v>67.189000000000163</v>
      </c>
      <c r="O15" s="206">
        <f>INDEX([2]Energy!$AA$79:$AE$99,MATCH($B15,[2]Energy!$T$79:$T$99,0),5)</f>
        <v>1175.4509999999993</v>
      </c>
      <c r="P15" s="206">
        <f>INDEX([2]Energy!$AA$79:$AE$99,MATCH($B15,[2]Energy!$T$79:$T$99,0),2)</f>
        <v>237.51699999999963</v>
      </c>
      <c r="Q15" s="207">
        <f>INDEX([2]Energy!$AA$79:$AE$99,MATCH($B15,[2]Energy!$T$79:$T$99,0),3)</f>
        <v>699.42100000000096</v>
      </c>
      <c r="R15" s="205">
        <f>INDEX([2]Energy!$AA$54:$AE$74,MATCH($B15,[2]Energy!$T$54:$T$74,0),1)</f>
        <v>2169.6683308184001</v>
      </c>
      <c r="S15" s="206">
        <f>INDEX([2]Energy!$AA$54:$AE$74,MATCH($B15,[2]Energy!$T$54:$T$74,0),4)</f>
        <v>120.07051203950799</v>
      </c>
      <c r="T15" s="206">
        <f>INDEX([2]Energy!$AA$54:$AE$74,MATCH($B15,[2]Energy!$T$54:$T$74,0),5)</f>
        <v>941.89326967328657</v>
      </c>
      <c r="U15" s="206">
        <f>INDEX([2]Energy!$AA$54:$AE$74,MATCH($B15,[2]Energy!$T$54:$T$74,0),2)</f>
        <v>293.88037833748706</v>
      </c>
      <c r="V15" s="207">
        <f>INDEX([2]Energy!$AA$54:$AE$74,MATCH($B15,[2]Energy!$T$54:$T$74,0),3)</f>
        <v>813.82417076811862</v>
      </c>
      <c r="Y15" s="185" t="s">
        <v>122</v>
      </c>
      <c r="Z15" s="213" t="s">
        <v>123</v>
      </c>
    </row>
    <row r="16" spans="2:28">
      <c r="B16" s="14">
        <f t="shared" si="0"/>
        <v>2024</v>
      </c>
      <c r="C16" s="205">
        <f>INDEX([2]Energy!$AA$4:$AE$24,MATCH($B16,[2]Energy!$T$4:$T$24,0),1)</f>
        <v>8784</v>
      </c>
      <c r="D16" s="206">
        <f>INDEX([2]Energy!$AA$4:$AE$24,MATCH($B16,[2]Energy!$T$4:$T$24,0),4)</f>
        <v>1952</v>
      </c>
      <c r="E16" s="206">
        <f>INDEX([2]Energy!$AA$4:$AE$24,MATCH($B16,[2]Energy!$T$4:$T$24,0),5)</f>
        <v>3904</v>
      </c>
      <c r="F16" s="206">
        <f>INDEX([2]Energy!$AA$4:$AE$24,MATCH($B16,[2]Energy!$T$4:$T$24,0),2)</f>
        <v>976</v>
      </c>
      <c r="G16" s="207">
        <f>INDEX([2]Energy!$AA$4:$AE$24,MATCH($B16,[2]Energy!$T$4:$T$24,0),3)</f>
        <v>1952</v>
      </c>
      <c r="H16" s="205">
        <f>INDEX([2]Energy!$AA$29:$AE$49,MATCH($B16,[2]Energy!$T$29:$T$49,0),1)</f>
        <v>3336.3686785714699</v>
      </c>
      <c r="I16" s="206">
        <f>INDEX([2]Energy!$AA$29:$AE$49,MATCH($B16,[2]Energy!$T$29:$T$49,0),4)</f>
        <v>788.84557142857716</v>
      </c>
      <c r="J16" s="206">
        <f>INDEX([2]Energy!$AA$29:$AE$49,MATCH($B16,[2]Energy!$T$29:$T$49,0),5)</f>
        <v>1583.8951071428919</v>
      </c>
      <c r="K16" s="206">
        <f>INDEX([2]Energy!$AA$29:$AE$49,MATCH($B16,[2]Energy!$T$29:$T$49,0),2)</f>
        <v>327.01600000000002</v>
      </c>
      <c r="L16" s="207">
        <f>INDEX([2]Energy!$AA$29:$AE$49,MATCH($B16,[2]Energy!$T$29:$T$49,0),3)</f>
        <v>636.61200000000076</v>
      </c>
      <c r="M16" s="205">
        <f>INDEX([2]Energy!$AA$79:$AE$99,MATCH($B16,[2]Energy!$T$79:$T$99,0),1)</f>
        <v>2183.9111428571432</v>
      </c>
      <c r="N16" s="206">
        <f>INDEX([2]Energy!$AA$79:$AE$99,MATCH($B16,[2]Energy!$T$79:$T$99,0),4)</f>
        <v>67.310964285714462</v>
      </c>
      <c r="O16" s="206">
        <f>INDEX([2]Energy!$AA$79:$AE$99,MATCH($B16,[2]Energy!$T$79:$T$99,0),5)</f>
        <v>1179.6621785714283</v>
      </c>
      <c r="P16" s="206">
        <f>INDEX([2]Energy!$AA$79:$AE$99,MATCH($B16,[2]Energy!$T$79:$T$99,0),2)</f>
        <v>237.51699999999963</v>
      </c>
      <c r="Q16" s="207">
        <f>INDEX([2]Energy!$AA$79:$AE$99,MATCH($B16,[2]Energy!$T$79:$T$99,0),3)</f>
        <v>699.42100000000096</v>
      </c>
      <c r="R16" s="205">
        <f>INDEX([2]Energy!$AA$54:$AE$74,MATCH($B16,[2]Energy!$T$54:$T$74,0),1)</f>
        <v>2172.1054371859564</v>
      </c>
      <c r="S16" s="206">
        <f>INDEX([2]Energy!$AA$54:$AE$74,MATCH($B16,[2]Energy!$T$54:$T$74,0),4)</f>
        <v>120.33811927907573</v>
      </c>
      <c r="T16" s="206">
        <f>INDEX([2]Energy!$AA$54:$AE$74,MATCH($B16,[2]Energy!$T$54:$T$74,0),5)</f>
        <v>944.06276880127518</v>
      </c>
      <c r="U16" s="206">
        <f>INDEX([2]Energy!$AA$54:$AE$74,MATCH($B16,[2]Energy!$T$54:$T$74,0),2)</f>
        <v>293.88037833748706</v>
      </c>
      <c r="V16" s="207">
        <f>INDEX([2]Energy!$AA$54:$AE$74,MATCH($B16,[2]Energy!$T$54:$T$74,0),3)</f>
        <v>813.82417076811862</v>
      </c>
      <c r="Y16" s="185">
        <v>1</v>
      </c>
      <c r="Z16" s="214">
        <v>1.5832527047233706E-3</v>
      </c>
      <c r="AA16" s="339">
        <f>1/12</f>
        <v>8.3333333333333329E-2</v>
      </c>
      <c r="AB16" s="339">
        <f>AVERAGE(Z16:AA16)</f>
        <v>4.2458293019028349E-2</v>
      </c>
    </row>
    <row r="17" spans="2:28">
      <c r="B17" s="14">
        <f t="shared" si="0"/>
        <v>2025</v>
      </c>
      <c r="C17" s="205">
        <f>INDEX([2]Energy!$AA$4:$AE$24,MATCH($B17,[2]Energy!$T$4:$T$24,0),1)</f>
        <v>8760</v>
      </c>
      <c r="D17" s="206">
        <f>INDEX([2]Energy!$AA$4:$AE$24,MATCH($B17,[2]Energy!$T$4:$T$24,0),4)</f>
        <v>1944</v>
      </c>
      <c r="E17" s="206">
        <f>INDEX([2]Energy!$AA$4:$AE$24,MATCH($B17,[2]Energy!$T$4:$T$24,0),5)</f>
        <v>3888</v>
      </c>
      <c r="F17" s="206">
        <f>INDEX([2]Energy!$AA$4:$AE$24,MATCH($B17,[2]Energy!$T$4:$T$24,0),2)</f>
        <v>976</v>
      </c>
      <c r="G17" s="207">
        <f>INDEX([2]Energy!$AA$4:$AE$24,MATCH($B17,[2]Energy!$T$4:$T$24,0),3)</f>
        <v>1952</v>
      </c>
      <c r="H17" s="205">
        <f>INDEX([2]Energy!$AA$29:$AE$49,MATCH($B17,[2]Energy!$T$29:$T$49,0),1)</f>
        <v>3326.3940000000412</v>
      </c>
      <c r="I17" s="206">
        <f>INDEX([2]Energy!$AA$29:$AE$49,MATCH($B17,[2]Energy!$T$29:$T$49,0),4)</f>
        <v>785.32400000000553</v>
      </c>
      <c r="J17" s="206">
        <f>INDEX([2]Energy!$AA$29:$AE$49,MATCH($B17,[2]Energy!$T$29:$T$49,0),5)</f>
        <v>1577.4420000000348</v>
      </c>
      <c r="K17" s="206">
        <f>INDEX([2]Energy!$AA$29:$AE$49,MATCH($B17,[2]Energy!$T$29:$T$49,0),2)</f>
        <v>327.01600000000002</v>
      </c>
      <c r="L17" s="207">
        <f>INDEX([2]Energy!$AA$29:$AE$49,MATCH($B17,[2]Energy!$T$29:$T$49,0),3)</f>
        <v>636.61200000000076</v>
      </c>
      <c r="M17" s="205">
        <f>INDEX([2]Energy!$AA$79:$AE$99,MATCH($B17,[2]Energy!$T$79:$T$99,0),1)</f>
        <v>2179.578</v>
      </c>
      <c r="N17" s="206">
        <f>INDEX([2]Energy!$AA$79:$AE$99,MATCH($B17,[2]Energy!$T$79:$T$99,0),4)</f>
        <v>67.189000000000163</v>
      </c>
      <c r="O17" s="206">
        <f>INDEX([2]Energy!$AA$79:$AE$99,MATCH($B17,[2]Energy!$T$79:$T$99,0),5)</f>
        <v>1175.4509999999993</v>
      </c>
      <c r="P17" s="206">
        <f>INDEX([2]Energy!$AA$79:$AE$99,MATCH($B17,[2]Energy!$T$79:$T$99,0),2)</f>
        <v>237.51699999999963</v>
      </c>
      <c r="Q17" s="207">
        <f>INDEX([2]Energy!$AA$79:$AE$99,MATCH($B17,[2]Energy!$T$79:$T$99,0),3)</f>
        <v>699.42100000000096</v>
      </c>
      <c r="R17" s="205">
        <f>INDEX([2]Energy!$AA$54:$AE$74,MATCH($B17,[2]Energy!$T$54:$T$74,0),1)</f>
        <v>2169.6683308184001</v>
      </c>
      <c r="S17" s="206">
        <f>INDEX([2]Energy!$AA$54:$AE$74,MATCH($B17,[2]Energy!$T$54:$T$74,0),4)</f>
        <v>120.07051203950799</v>
      </c>
      <c r="T17" s="206">
        <f>INDEX([2]Energy!$AA$54:$AE$74,MATCH($B17,[2]Energy!$T$54:$T$74,0),5)</f>
        <v>941.89326967328657</v>
      </c>
      <c r="U17" s="206">
        <f>INDEX([2]Energy!$AA$54:$AE$74,MATCH($B17,[2]Energy!$T$54:$T$74,0),2)</f>
        <v>293.88037833748706</v>
      </c>
      <c r="V17" s="207">
        <f>INDEX([2]Energy!$AA$54:$AE$74,MATCH($B17,[2]Energy!$T$54:$T$74,0),3)</f>
        <v>813.82417076811862</v>
      </c>
      <c r="Y17" s="185">
        <v>2</v>
      </c>
      <c r="Z17" s="214">
        <v>0</v>
      </c>
      <c r="AA17" s="339">
        <f t="shared" ref="AA17:AA27" si="1">1/12</f>
        <v>8.3333333333333329E-2</v>
      </c>
      <c r="AB17" s="339">
        <f t="shared" ref="AB17:AB27" si="2">AVERAGE(Z17:AA17)</f>
        <v>4.1666666666666664E-2</v>
      </c>
    </row>
    <row r="18" spans="2:28">
      <c r="B18" s="14">
        <f t="shared" si="0"/>
        <v>2026</v>
      </c>
      <c r="C18" s="205">
        <f>INDEX([2]Energy!$AA$4:$AE$24,MATCH($B18,[2]Energy!$T$4:$T$24,0),1)</f>
        <v>8760</v>
      </c>
      <c r="D18" s="206">
        <f>INDEX([2]Energy!$AA$4:$AE$24,MATCH($B18,[2]Energy!$T$4:$T$24,0),4)</f>
        <v>1944</v>
      </c>
      <c r="E18" s="206">
        <f>INDEX([2]Energy!$AA$4:$AE$24,MATCH($B18,[2]Energy!$T$4:$T$24,0),5)</f>
        <v>3888</v>
      </c>
      <c r="F18" s="206">
        <f>INDEX([2]Energy!$AA$4:$AE$24,MATCH($B18,[2]Energy!$T$4:$T$24,0),2)</f>
        <v>976</v>
      </c>
      <c r="G18" s="207">
        <f>INDEX([2]Energy!$AA$4:$AE$24,MATCH($B18,[2]Energy!$T$4:$T$24,0),3)</f>
        <v>1952</v>
      </c>
      <c r="H18" s="205">
        <f>INDEX([2]Energy!$AA$29:$AE$49,MATCH($B18,[2]Energy!$T$29:$T$49,0),1)</f>
        <v>3326.3940000000412</v>
      </c>
      <c r="I18" s="206">
        <f>INDEX([2]Energy!$AA$29:$AE$49,MATCH($B18,[2]Energy!$T$29:$T$49,0),4)</f>
        <v>785.32400000000553</v>
      </c>
      <c r="J18" s="206">
        <f>INDEX([2]Energy!$AA$29:$AE$49,MATCH($B18,[2]Energy!$T$29:$T$49,0),5)</f>
        <v>1577.4420000000348</v>
      </c>
      <c r="K18" s="206">
        <f>INDEX([2]Energy!$AA$29:$AE$49,MATCH($B18,[2]Energy!$T$29:$T$49,0),2)</f>
        <v>327.01600000000002</v>
      </c>
      <c r="L18" s="207">
        <f>INDEX([2]Energy!$AA$29:$AE$49,MATCH($B18,[2]Energy!$T$29:$T$49,0),3)</f>
        <v>636.61200000000076</v>
      </c>
      <c r="M18" s="205">
        <f>INDEX([2]Energy!$AA$79:$AE$99,MATCH($B18,[2]Energy!$T$79:$T$99,0),1)</f>
        <v>2179.578</v>
      </c>
      <c r="N18" s="206">
        <f>INDEX([2]Energy!$AA$79:$AE$99,MATCH($B18,[2]Energy!$T$79:$T$99,0),4)</f>
        <v>67.189000000000163</v>
      </c>
      <c r="O18" s="206">
        <f>INDEX([2]Energy!$AA$79:$AE$99,MATCH($B18,[2]Energy!$T$79:$T$99,0),5)</f>
        <v>1175.4509999999993</v>
      </c>
      <c r="P18" s="206">
        <f>INDEX([2]Energy!$AA$79:$AE$99,MATCH($B18,[2]Energy!$T$79:$T$99,0),2)</f>
        <v>237.51699999999963</v>
      </c>
      <c r="Q18" s="207">
        <f>INDEX([2]Energy!$AA$79:$AE$99,MATCH($B18,[2]Energy!$T$79:$T$99,0),3)</f>
        <v>699.42100000000096</v>
      </c>
      <c r="R18" s="205">
        <f>INDEX([2]Energy!$AA$54:$AE$74,MATCH($B18,[2]Energy!$T$54:$T$74,0),1)</f>
        <v>2169.6683308184001</v>
      </c>
      <c r="S18" s="206">
        <f>INDEX([2]Energy!$AA$54:$AE$74,MATCH($B18,[2]Energy!$T$54:$T$74,0),4)</f>
        <v>120.07051203950799</v>
      </c>
      <c r="T18" s="206">
        <f>INDEX([2]Energy!$AA$54:$AE$74,MATCH($B18,[2]Energy!$T$54:$T$74,0),5)</f>
        <v>941.89326967328657</v>
      </c>
      <c r="U18" s="206">
        <f>INDEX([2]Energy!$AA$54:$AE$74,MATCH($B18,[2]Energy!$T$54:$T$74,0),2)</f>
        <v>293.88037833748706</v>
      </c>
      <c r="V18" s="207">
        <f>INDEX([2]Energy!$AA$54:$AE$74,MATCH($B18,[2]Energy!$T$54:$T$74,0),3)</f>
        <v>813.82417076811862</v>
      </c>
      <c r="Y18" s="185">
        <v>3</v>
      </c>
      <c r="Z18" s="214">
        <v>0</v>
      </c>
      <c r="AA18" s="339">
        <f t="shared" si="1"/>
        <v>8.3333333333333329E-2</v>
      </c>
      <c r="AB18" s="339">
        <f t="shared" si="2"/>
        <v>4.1666666666666664E-2</v>
      </c>
    </row>
    <row r="19" spans="2:28">
      <c r="B19" s="14">
        <f t="shared" si="0"/>
        <v>2027</v>
      </c>
      <c r="C19" s="205">
        <f>INDEX([2]Energy!$AA$4:$AE$24,MATCH($B19,[2]Energy!$T$4:$T$24,0),1)</f>
        <v>8760</v>
      </c>
      <c r="D19" s="206">
        <f>INDEX([2]Energy!$AA$4:$AE$24,MATCH($B19,[2]Energy!$T$4:$T$24,0),4)</f>
        <v>1944</v>
      </c>
      <c r="E19" s="206">
        <f>INDEX([2]Energy!$AA$4:$AE$24,MATCH($B19,[2]Energy!$T$4:$T$24,0),5)</f>
        <v>3888</v>
      </c>
      <c r="F19" s="206">
        <f>INDEX([2]Energy!$AA$4:$AE$24,MATCH($B19,[2]Energy!$T$4:$T$24,0),2)</f>
        <v>976</v>
      </c>
      <c r="G19" s="207">
        <f>INDEX([2]Energy!$AA$4:$AE$24,MATCH($B19,[2]Energy!$T$4:$T$24,0),3)</f>
        <v>1952</v>
      </c>
      <c r="H19" s="205">
        <f>INDEX([2]Energy!$AA$29:$AE$49,MATCH($B19,[2]Energy!$T$29:$T$49,0),1)</f>
        <v>3326.3940000000412</v>
      </c>
      <c r="I19" s="206">
        <f>INDEX([2]Energy!$AA$29:$AE$49,MATCH($B19,[2]Energy!$T$29:$T$49,0),4)</f>
        <v>785.32400000000553</v>
      </c>
      <c r="J19" s="206">
        <f>INDEX([2]Energy!$AA$29:$AE$49,MATCH($B19,[2]Energy!$T$29:$T$49,0),5)</f>
        <v>1577.4420000000348</v>
      </c>
      <c r="K19" s="206">
        <f>INDEX([2]Energy!$AA$29:$AE$49,MATCH($B19,[2]Energy!$T$29:$T$49,0),2)</f>
        <v>327.01600000000002</v>
      </c>
      <c r="L19" s="207">
        <f>INDEX([2]Energy!$AA$29:$AE$49,MATCH($B19,[2]Energy!$T$29:$T$49,0),3)</f>
        <v>636.61200000000076</v>
      </c>
      <c r="M19" s="205">
        <f>INDEX([2]Energy!$AA$79:$AE$99,MATCH($B19,[2]Energy!$T$79:$T$99,0),1)</f>
        <v>2179.578</v>
      </c>
      <c r="N19" s="206">
        <f>INDEX([2]Energy!$AA$79:$AE$99,MATCH($B19,[2]Energy!$T$79:$T$99,0),4)</f>
        <v>67.189000000000163</v>
      </c>
      <c r="O19" s="206">
        <f>INDEX([2]Energy!$AA$79:$AE$99,MATCH($B19,[2]Energy!$T$79:$T$99,0),5)</f>
        <v>1175.4509999999993</v>
      </c>
      <c r="P19" s="206">
        <f>INDEX([2]Energy!$AA$79:$AE$99,MATCH($B19,[2]Energy!$T$79:$T$99,0),2)</f>
        <v>237.51699999999963</v>
      </c>
      <c r="Q19" s="207">
        <f>INDEX([2]Energy!$AA$79:$AE$99,MATCH($B19,[2]Energy!$T$79:$T$99,0),3)</f>
        <v>699.42100000000096</v>
      </c>
      <c r="R19" s="205">
        <f>INDEX([2]Energy!$AA$54:$AE$74,MATCH($B19,[2]Energy!$T$54:$T$74,0),1)</f>
        <v>2169.6683308184001</v>
      </c>
      <c r="S19" s="206">
        <f>INDEX([2]Energy!$AA$54:$AE$74,MATCH($B19,[2]Energy!$T$54:$T$74,0),4)</f>
        <v>120.07051203950799</v>
      </c>
      <c r="T19" s="206">
        <f>INDEX([2]Energy!$AA$54:$AE$74,MATCH($B19,[2]Energy!$T$54:$T$74,0),5)</f>
        <v>941.89326967328657</v>
      </c>
      <c r="U19" s="206">
        <f>INDEX([2]Energy!$AA$54:$AE$74,MATCH($B19,[2]Energy!$T$54:$T$74,0),2)</f>
        <v>293.88037833748706</v>
      </c>
      <c r="V19" s="207">
        <f>INDEX([2]Energy!$AA$54:$AE$74,MATCH($B19,[2]Energy!$T$54:$T$74,0),3)</f>
        <v>813.82417076811862</v>
      </c>
      <c r="Y19" s="185">
        <v>4</v>
      </c>
      <c r="Z19" s="214">
        <v>2.1813703931744216E-3</v>
      </c>
      <c r="AA19" s="339">
        <f t="shared" si="1"/>
        <v>8.3333333333333329E-2</v>
      </c>
      <c r="AB19" s="339">
        <f t="shared" si="2"/>
        <v>4.2757351863253877E-2</v>
      </c>
    </row>
    <row r="20" spans="2:28">
      <c r="B20" s="14">
        <f t="shared" si="0"/>
        <v>2028</v>
      </c>
      <c r="C20" s="205">
        <f>INDEX([2]Energy!$AA$4:$AE$24,MATCH($B20,[2]Energy!$T$4:$T$24,0),1)</f>
        <v>8784</v>
      </c>
      <c r="D20" s="206">
        <f>INDEX([2]Energy!$AA$4:$AE$24,MATCH($B20,[2]Energy!$T$4:$T$24,0),4)</f>
        <v>1952</v>
      </c>
      <c r="E20" s="206">
        <f>INDEX([2]Energy!$AA$4:$AE$24,MATCH($B20,[2]Energy!$T$4:$T$24,0),5)</f>
        <v>3904</v>
      </c>
      <c r="F20" s="206">
        <f>INDEX([2]Energy!$AA$4:$AE$24,MATCH($B20,[2]Energy!$T$4:$T$24,0),2)</f>
        <v>976</v>
      </c>
      <c r="G20" s="207">
        <f>INDEX([2]Energy!$AA$4:$AE$24,MATCH($B20,[2]Energy!$T$4:$T$24,0),3)</f>
        <v>1952</v>
      </c>
      <c r="H20" s="205">
        <f>INDEX([2]Energy!$AA$29:$AE$49,MATCH($B20,[2]Energy!$T$29:$T$49,0),1)</f>
        <v>3336.3686785714699</v>
      </c>
      <c r="I20" s="206">
        <f>INDEX([2]Energy!$AA$29:$AE$49,MATCH($B20,[2]Energy!$T$29:$T$49,0),4)</f>
        <v>788.84557142857716</v>
      </c>
      <c r="J20" s="206">
        <f>INDEX([2]Energy!$AA$29:$AE$49,MATCH($B20,[2]Energy!$T$29:$T$49,0),5)</f>
        <v>1583.8951071428919</v>
      </c>
      <c r="K20" s="206">
        <f>INDEX([2]Energy!$AA$29:$AE$49,MATCH($B20,[2]Energy!$T$29:$T$49,0),2)</f>
        <v>327.01600000000002</v>
      </c>
      <c r="L20" s="207">
        <f>INDEX([2]Energy!$AA$29:$AE$49,MATCH($B20,[2]Energy!$T$29:$T$49,0),3)</f>
        <v>636.61200000000076</v>
      </c>
      <c r="M20" s="205">
        <f>INDEX([2]Energy!$AA$79:$AE$99,MATCH($B20,[2]Energy!$T$79:$T$99,0),1)</f>
        <v>2183.9111428571432</v>
      </c>
      <c r="N20" s="206">
        <f>INDEX([2]Energy!$AA$79:$AE$99,MATCH($B20,[2]Energy!$T$79:$T$99,0),4)</f>
        <v>67.310964285714462</v>
      </c>
      <c r="O20" s="206">
        <f>INDEX([2]Energy!$AA$79:$AE$99,MATCH($B20,[2]Energy!$T$79:$T$99,0),5)</f>
        <v>1179.6621785714283</v>
      </c>
      <c r="P20" s="206">
        <f>INDEX([2]Energy!$AA$79:$AE$99,MATCH($B20,[2]Energy!$T$79:$T$99,0),2)</f>
        <v>237.51699999999963</v>
      </c>
      <c r="Q20" s="207">
        <f>INDEX([2]Energy!$AA$79:$AE$99,MATCH($B20,[2]Energy!$T$79:$T$99,0),3)</f>
        <v>699.42100000000096</v>
      </c>
      <c r="R20" s="205">
        <f>INDEX([2]Energy!$AA$54:$AE$74,MATCH($B20,[2]Energy!$T$54:$T$74,0),1)</f>
        <v>2172.1054371859564</v>
      </c>
      <c r="S20" s="206">
        <f>INDEX([2]Energy!$AA$54:$AE$74,MATCH($B20,[2]Energy!$T$54:$T$74,0),4)</f>
        <v>120.33811927907573</v>
      </c>
      <c r="T20" s="206">
        <f>INDEX([2]Energy!$AA$54:$AE$74,MATCH($B20,[2]Energy!$T$54:$T$74,0),5)</f>
        <v>944.06276880127518</v>
      </c>
      <c r="U20" s="206">
        <f>INDEX([2]Energy!$AA$54:$AE$74,MATCH($B20,[2]Energy!$T$54:$T$74,0),2)</f>
        <v>293.88037833748706</v>
      </c>
      <c r="V20" s="207">
        <f>INDEX([2]Energy!$AA$54:$AE$74,MATCH($B20,[2]Energy!$T$54:$T$74,0),3)</f>
        <v>813.82417076811862</v>
      </c>
      <c r="Y20" s="185">
        <v>5</v>
      </c>
      <c r="Z20" s="214">
        <v>0</v>
      </c>
      <c r="AA20" s="339">
        <f t="shared" si="1"/>
        <v>8.3333333333333329E-2</v>
      </c>
      <c r="AB20" s="339">
        <f t="shared" si="2"/>
        <v>4.1666666666666664E-2</v>
      </c>
    </row>
    <row r="21" spans="2:28">
      <c r="B21" s="14">
        <f t="shared" si="0"/>
        <v>2029</v>
      </c>
      <c r="C21" s="205">
        <f>INDEX([2]Energy!$AA$4:$AE$24,MATCH($B21,[2]Energy!$T$4:$T$24,0),1)</f>
        <v>8760</v>
      </c>
      <c r="D21" s="206">
        <f>INDEX([2]Energy!$AA$4:$AE$24,MATCH($B21,[2]Energy!$T$4:$T$24,0),4)</f>
        <v>1944</v>
      </c>
      <c r="E21" s="206">
        <f>INDEX([2]Energy!$AA$4:$AE$24,MATCH($B21,[2]Energy!$T$4:$T$24,0),5)</f>
        <v>3888</v>
      </c>
      <c r="F21" s="206">
        <f>INDEX([2]Energy!$AA$4:$AE$24,MATCH($B21,[2]Energy!$T$4:$T$24,0),2)</f>
        <v>976</v>
      </c>
      <c r="G21" s="207">
        <f>INDEX([2]Energy!$AA$4:$AE$24,MATCH($B21,[2]Energy!$T$4:$T$24,0),3)</f>
        <v>1952</v>
      </c>
      <c r="H21" s="205">
        <f>INDEX([2]Energy!$AA$29:$AE$49,MATCH($B21,[2]Energy!$T$29:$T$49,0),1)</f>
        <v>3326.3940000000412</v>
      </c>
      <c r="I21" s="206">
        <f>INDEX([2]Energy!$AA$29:$AE$49,MATCH($B21,[2]Energy!$T$29:$T$49,0),4)</f>
        <v>785.32400000000553</v>
      </c>
      <c r="J21" s="206">
        <f>INDEX([2]Energy!$AA$29:$AE$49,MATCH($B21,[2]Energy!$T$29:$T$49,0),5)</f>
        <v>1577.4420000000348</v>
      </c>
      <c r="K21" s="206">
        <f>INDEX([2]Energy!$AA$29:$AE$49,MATCH($B21,[2]Energy!$T$29:$T$49,0),2)</f>
        <v>327.01600000000002</v>
      </c>
      <c r="L21" s="207">
        <f>INDEX([2]Energy!$AA$29:$AE$49,MATCH($B21,[2]Energy!$T$29:$T$49,0),3)</f>
        <v>636.61200000000076</v>
      </c>
      <c r="M21" s="205">
        <f>INDEX([2]Energy!$AA$79:$AE$99,MATCH($B21,[2]Energy!$T$79:$T$99,0),1)</f>
        <v>2179.578</v>
      </c>
      <c r="N21" s="206">
        <f>INDEX([2]Energy!$AA$79:$AE$99,MATCH($B21,[2]Energy!$T$79:$T$99,0),4)</f>
        <v>67.189000000000163</v>
      </c>
      <c r="O21" s="206">
        <f>INDEX([2]Energy!$AA$79:$AE$99,MATCH($B21,[2]Energy!$T$79:$T$99,0),5)</f>
        <v>1175.4509999999993</v>
      </c>
      <c r="P21" s="206">
        <f>INDEX([2]Energy!$AA$79:$AE$99,MATCH($B21,[2]Energy!$T$79:$T$99,0),2)</f>
        <v>237.51699999999963</v>
      </c>
      <c r="Q21" s="207">
        <f>INDEX([2]Energy!$AA$79:$AE$99,MATCH($B21,[2]Energy!$T$79:$T$99,0),3)</f>
        <v>699.42100000000096</v>
      </c>
      <c r="R21" s="205">
        <f>INDEX([2]Energy!$AA$54:$AE$74,MATCH($B21,[2]Energy!$T$54:$T$74,0),1)</f>
        <v>2169.6683308184001</v>
      </c>
      <c r="S21" s="206">
        <f>INDEX([2]Energy!$AA$54:$AE$74,MATCH($B21,[2]Energy!$T$54:$T$74,0),4)</f>
        <v>120.07051203950799</v>
      </c>
      <c r="T21" s="206">
        <f>INDEX([2]Energy!$AA$54:$AE$74,MATCH($B21,[2]Energy!$T$54:$T$74,0),5)</f>
        <v>941.89326967328657</v>
      </c>
      <c r="U21" s="206">
        <f>INDEX([2]Energy!$AA$54:$AE$74,MATCH($B21,[2]Energy!$T$54:$T$74,0),2)</f>
        <v>293.88037833748706</v>
      </c>
      <c r="V21" s="207">
        <f>INDEX([2]Energy!$AA$54:$AE$74,MATCH($B21,[2]Energy!$T$54:$T$74,0),3)</f>
        <v>813.82417076811862</v>
      </c>
      <c r="Y21" s="185">
        <v>6</v>
      </c>
      <c r="Z21" s="214">
        <v>0.38773858738675343</v>
      </c>
      <c r="AA21" s="339">
        <f t="shared" si="1"/>
        <v>8.3333333333333329E-2</v>
      </c>
      <c r="AB21" s="339">
        <f t="shared" si="2"/>
        <v>0.23553596036004337</v>
      </c>
    </row>
    <row r="22" spans="2:28">
      <c r="B22" s="14">
        <f t="shared" si="0"/>
        <v>2030</v>
      </c>
      <c r="C22" s="205">
        <f>INDEX([2]Energy!$AA$4:$AE$24,MATCH($B22,[2]Energy!$T$4:$T$24,0),1)</f>
        <v>8760</v>
      </c>
      <c r="D22" s="206">
        <f>INDEX([2]Energy!$AA$4:$AE$24,MATCH($B22,[2]Energy!$T$4:$T$24,0),4)</f>
        <v>1944</v>
      </c>
      <c r="E22" s="206">
        <f>INDEX([2]Energy!$AA$4:$AE$24,MATCH($B22,[2]Energy!$T$4:$T$24,0),5)</f>
        <v>3888</v>
      </c>
      <c r="F22" s="206">
        <f>INDEX([2]Energy!$AA$4:$AE$24,MATCH($B22,[2]Energy!$T$4:$T$24,0),2)</f>
        <v>976</v>
      </c>
      <c r="G22" s="207">
        <f>INDEX([2]Energy!$AA$4:$AE$24,MATCH($B22,[2]Energy!$T$4:$T$24,0),3)</f>
        <v>1952</v>
      </c>
      <c r="H22" s="205">
        <f>INDEX([2]Energy!$AA$29:$AE$49,MATCH($B22,[2]Energy!$T$29:$T$49,0),1)</f>
        <v>3326.3940000000412</v>
      </c>
      <c r="I22" s="206">
        <f>INDEX([2]Energy!$AA$29:$AE$49,MATCH($B22,[2]Energy!$T$29:$T$49,0),4)</f>
        <v>785.32400000000553</v>
      </c>
      <c r="J22" s="206">
        <f>INDEX([2]Energy!$AA$29:$AE$49,MATCH($B22,[2]Energy!$T$29:$T$49,0),5)</f>
        <v>1577.4420000000348</v>
      </c>
      <c r="K22" s="206">
        <f>INDEX([2]Energy!$AA$29:$AE$49,MATCH($B22,[2]Energy!$T$29:$T$49,0),2)</f>
        <v>327.01600000000002</v>
      </c>
      <c r="L22" s="207">
        <f>INDEX([2]Energy!$AA$29:$AE$49,MATCH($B22,[2]Energy!$T$29:$T$49,0),3)</f>
        <v>636.61200000000076</v>
      </c>
      <c r="M22" s="205">
        <f>INDEX([2]Energy!$AA$79:$AE$99,MATCH($B22,[2]Energy!$T$79:$T$99,0),1)</f>
        <v>2179.578</v>
      </c>
      <c r="N22" s="206">
        <f>INDEX([2]Energy!$AA$79:$AE$99,MATCH($B22,[2]Energy!$T$79:$T$99,0),4)</f>
        <v>67.189000000000163</v>
      </c>
      <c r="O22" s="206">
        <f>INDEX([2]Energy!$AA$79:$AE$99,MATCH($B22,[2]Energy!$T$79:$T$99,0),5)</f>
        <v>1175.4509999999993</v>
      </c>
      <c r="P22" s="206">
        <f>INDEX([2]Energy!$AA$79:$AE$99,MATCH($B22,[2]Energy!$T$79:$T$99,0),2)</f>
        <v>237.51699999999963</v>
      </c>
      <c r="Q22" s="207">
        <f>INDEX([2]Energy!$AA$79:$AE$99,MATCH($B22,[2]Energy!$T$79:$T$99,0),3)</f>
        <v>699.42100000000096</v>
      </c>
      <c r="R22" s="205">
        <f>INDEX([2]Energy!$AA$54:$AE$74,MATCH($B22,[2]Energy!$T$54:$T$74,0),1)</f>
        <v>2169.6683308184001</v>
      </c>
      <c r="S22" s="206">
        <f>INDEX([2]Energy!$AA$54:$AE$74,MATCH($B22,[2]Energy!$T$54:$T$74,0),4)</f>
        <v>120.07051203950799</v>
      </c>
      <c r="T22" s="206">
        <f>INDEX([2]Energy!$AA$54:$AE$74,MATCH($B22,[2]Energy!$T$54:$T$74,0),5)</f>
        <v>941.89326967328657</v>
      </c>
      <c r="U22" s="206">
        <f>INDEX([2]Energy!$AA$54:$AE$74,MATCH($B22,[2]Energy!$T$54:$T$74,0),2)</f>
        <v>293.88037833748706</v>
      </c>
      <c r="V22" s="207">
        <f>INDEX([2]Energy!$AA$54:$AE$74,MATCH($B22,[2]Energy!$T$54:$T$74,0),3)</f>
        <v>813.82417076811862</v>
      </c>
      <c r="Y22" s="185">
        <v>7</v>
      </c>
      <c r="Z22" s="214">
        <v>0.50083560559415963</v>
      </c>
      <c r="AA22" s="339">
        <f t="shared" si="1"/>
        <v>8.3333333333333329E-2</v>
      </c>
      <c r="AB22" s="339">
        <f t="shared" si="2"/>
        <v>0.2920844694637465</v>
      </c>
    </row>
    <row r="23" spans="2:28">
      <c r="B23" s="14">
        <f t="shared" si="0"/>
        <v>2031</v>
      </c>
      <c r="C23" s="205">
        <f>INDEX([2]Energy!$AA$4:$AE$24,MATCH($B23,[2]Energy!$T$4:$T$24,0),1)</f>
        <v>8760</v>
      </c>
      <c r="D23" s="206">
        <f>INDEX([2]Energy!$AA$4:$AE$24,MATCH($B23,[2]Energy!$T$4:$T$24,0),4)</f>
        <v>1944</v>
      </c>
      <c r="E23" s="206">
        <f>INDEX([2]Energy!$AA$4:$AE$24,MATCH($B23,[2]Energy!$T$4:$T$24,0),5)</f>
        <v>3888</v>
      </c>
      <c r="F23" s="206">
        <f>INDEX([2]Energy!$AA$4:$AE$24,MATCH($B23,[2]Energy!$T$4:$T$24,0),2)</f>
        <v>976</v>
      </c>
      <c r="G23" s="207">
        <f>INDEX([2]Energy!$AA$4:$AE$24,MATCH($B23,[2]Energy!$T$4:$T$24,0),3)</f>
        <v>1952</v>
      </c>
      <c r="H23" s="205">
        <f>INDEX([2]Energy!$AA$29:$AE$49,MATCH($B23,[2]Energy!$T$29:$T$49,0),1)</f>
        <v>3326.3940000000412</v>
      </c>
      <c r="I23" s="206">
        <f>INDEX([2]Energy!$AA$29:$AE$49,MATCH($B23,[2]Energy!$T$29:$T$49,0),4)</f>
        <v>785.32400000000553</v>
      </c>
      <c r="J23" s="206">
        <f>INDEX([2]Energy!$AA$29:$AE$49,MATCH($B23,[2]Energy!$T$29:$T$49,0),5)</f>
        <v>1577.4420000000348</v>
      </c>
      <c r="K23" s="206">
        <f>INDEX([2]Energy!$AA$29:$AE$49,MATCH($B23,[2]Energy!$T$29:$T$49,0),2)</f>
        <v>327.01600000000002</v>
      </c>
      <c r="L23" s="207">
        <f>INDEX([2]Energy!$AA$29:$AE$49,MATCH($B23,[2]Energy!$T$29:$T$49,0),3)</f>
        <v>636.61200000000076</v>
      </c>
      <c r="M23" s="205">
        <f>INDEX([2]Energy!$AA$79:$AE$99,MATCH($B23,[2]Energy!$T$79:$T$99,0),1)</f>
        <v>2179.578</v>
      </c>
      <c r="N23" s="206">
        <f>INDEX([2]Energy!$AA$79:$AE$99,MATCH($B23,[2]Energy!$T$79:$T$99,0),4)</f>
        <v>67.189000000000163</v>
      </c>
      <c r="O23" s="206">
        <f>INDEX([2]Energy!$AA$79:$AE$99,MATCH($B23,[2]Energy!$T$79:$T$99,0),5)</f>
        <v>1175.4509999999993</v>
      </c>
      <c r="P23" s="206">
        <f>INDEX([2]Energy!$AA$79:$AE$99,MATCH($B23,[2]Energy!$T$79:$T$99,0),2)</f>
        <v>237.51699999999963</v>
      </c>
      <c r="Q23" s="207">
        <f>INDEX([2]Energy!$AA$79:$AE$99,MATCH($B23,[2]Energy!$T$79:$T$99,0),3)</f>
        <v>699.42100000000096</v>
      </c>
      <c r="R23" s="205">
        <f>INDEX([2]Energy!$AA$54:$AE$74,MATCH($B23,[2]Energy!$T$54:$T$74,0),1)</f>
        <v>2169.6683308184001</v>
      </c>
      <c r="S23" s="206">
        <f>INDEX([2]Energy!$AA$54:$AE$74,MATCH($B23,[2]Energy!$T$54:$T$74,0),4)</f>
        <v>120.07051203950799</v>
      </c>
      <c r="T23" s="206">
        <f>INDEX([2]Energy!$AA$54:$AE$74,MATCH($B23,[2]Energy!$T$54:$T$74,0),5)</f>
        <v>941.89326967328657</v>
      </c>
      <c r="U23" s="206">
        <f>INDEX([2]Energy!$AA$54:$AE$74,MATCH($B23,[2]Energy!$T$54:$T$74,0),2)</f>
        <v>293.88037833748706</v>
      </c>
      <c r="V23" s="207">
        <f>INDEX([2]Energy!$AA$54:$AE$74,MATCH($B23,[2]Energy!$T$54:$T$74,0),3)</f>
        <v>813.82417076811862</v>
      </c>
      <c r="Y23" s="185">
        <v>8</v>
      </c>
      <c r="Z23" s="214">
        <v>0.1050224294133169</v>
      </c>
      <c r="AA23" s="339">
        <f t="shared" si="1"/>
        <v>8.3333333333333329E-2</v>
      </c>
      <c r="AB23" s="339">
        <f t="shared" si="2"/>
        <v>9.4177881373325112E-2</v>
      </c>
    </row>
    <row r="24" spans="2:28">
      <c r="B24" s="14">
        <f t="shared" si="0"/>
        <v>2032</v>
      </c>
      <c r="C24" s="205">
        <f>INDEX([2]Energy!$AA$4:$AE$24,MATCH($B24,[2]Energy!$T$4:$T$24,0),1)</f>
        <v>8784</v>
      </c>
      <c r="D24" s="206">
        <f>INDEX([2]Energy!$AA$4:$AE$24,MATCH($B24,[2]Energy!$T$4:$T$24,0),4)</f>
        <v>1952</v>
      </c>
      <c r="E24" s="206">
        <f>INDEX([2]Energy!$AA$4:$AE$24,MATCH($B24,[2]Energy!$T$4:$T$24,0),5)</f>
        <v>3904</v>
      </c>
      <c r="F24" s="206">
        <f>INDEX([2]Energy!$AA$4:$AE$24,MATCH($B24,[2]Energy!$T$4:$T$24,0),2)</f>
        <v>976</v>
      </c>
      <c r="G24" s="207">
        <f>INDEX([2]Energy!$AA$4:$AE$24,MATCH($B24,[2]Energy!$T$4:$T$24,0),3)</f>
        <v>1952</v>
      </c>
      <c r="H24" s="205">
        <f>INDEX([2]Energy!$AA$29:$AE$49,MATCH($B24,[2]Energy!$T$29:$T$49,0),1)</f>
        <v>3336.3686785714699</v>
      </c>
      <c r="I24" s="206">
        <f>INDEX([2]Energy!$AA$29:$AE$49,MATCH($B24,[2]Energy!$T$29:$T$49,0),4)</f>
        <v>788.84557142857716</v>
      </c>
      <c r="J24" s="206">
        <f>INDEX([2]Energy!$AA$29:$AE$49,MATCH($B24,[2]Energy!$T$29:$T$49,0),5)</f>
        <v>1583.8951071428919</v>
      </c>
      <c r="K24" s="206">
        <f>INDEX([2]Energy!$AA$29:$AE$49,MATCH($B24,[2]Energy!$T$29:$T$49,0),2)</f>
        <v>327.01600000000002</v>
      </c>
      <c r="L24" s="207">
        <f>INDEX([2]Energy!$AA$29:$AE$49,MATCH($B24,[2]Energy!$T$29:$T$49,0),3)</f>
        <v>636.61200000000076</v>
      </c>
      <c r="M24" s="205">
        <f>INDEX([2]Energy!$AA$79:$AE$99,MATCH($B24,[2]Energy!$T$79:$T$99,0),1)</f>
        <v>2183.9111428571432</v>
      </c>
      <c r="N24" s="206">
        <f>INDEX([2]Energy!$AA$79:$AE$99,MATCH($B24,[2]Energy!$T$79:$T$99,0),4)</f>
        <v>67.310964285714462</v>
      </c>
      <c r="O24" s="206">
        <f>INDEX([2]Energy!$AA$79:$AE$99,MATCH($B24,[2]Energy!$T$79:$T$99,0),5)</f>
        <v>1179.6621785714283</v>
      </c>
      <c r="P24" s="206">
        <f>INDEX([2]Energy!$AA$79:$AE$99,MATCH($B24,[2]Energy!$T$79:$T$99,0),2)</f>
        <v>237.51699999999963</v>
      </c>
      <c r="Q24" s="207">
        <f>INDEX([2]Energy!$AA$79:$AE$99,MATCH($B24,[2]Energy!$T$79:$T$99,0),3)</f>
        <v>699.42100000000096</v>
      </c>
      <c r="R24" s="205">
        <f>INDEX([2]Energy!$AA$54:$AE$74,MATCH($B24,[2]Energy!$T$54:$T$74,0),1)</f>
        <v>2172.1054371859564</v>
      </c>
      <c r="S24" s="206">
        <f>INDEX([2]Energy!$AA$54:$AE$74,MATCH($B24,[2]Energy!$T$54:$T$74,0),4)</f>
        <v>120.33811927907573</v>
      </c>
      <c r="T24" s="206">
        <f>INDEX([2]Energy!$AA$54:$AE$74,MATCH($B24,[2]Energy!$T$54:$T$74,0),5)</f>
        <v>944.06276880127518</v>
      </c>
      <c r="U24" s="206">
        <f>INDEX([2]Energy!$AA$54:$AE$74,MATCH($B24,[2]Energy!$T$54:$T$74,0),2)</f>
        <v>293.88037833748706</v>
      </c>
      <c r="V24" s="207">
        <f>INDEX([2]Energy!$AA$54:$AE$74,MATCH($B24,[2]Energy!$T$54:$T$74,0),3)</f>
        <v>813.82417076811862</v>
      </c>
      <c r="Y24" s="185">
        <v>9</v>
      </c>
      <c r="Z24" s="214">
        <v>0</v>
      </c>
      <c r="AA24" s="339">
        <f t="shared" si="1"/>
        <v>8.3333333333333329E-2</v>
      </c>
      <c r="AB24" s="339">
        <f t="shared" si="2"/>
        <v>4.1666666666666664E-2</v>
      </c>
    </row>
    <row r="25" spans="2:28">
      <c r="B25" s="14">
        <f t="shared" si="0"/>
        <v>2033</v>
      </c>
      <c r="C25" s="205">
        <f>INDEX([2]Energy!$AA$4:$AE$24,MATCH($B25,[2]Energy!$T$4:$T$24,0),1)</f>
        <v>8760</v>
      </c>
      <c r="D25" s="206">
        <f>INDEX([2]Energy!$AA$4:$AE$24,MATCH($B25,[2]Energy!$T$4:$T$24,0),4)</f>
        <v>1944</v>
      </c>
      <c r="E25" s="206">
        <f>INDEX([2]Energy!$AA$4:$AE$24,MATCH($B25,[2]Energy!$T$4:$T$24,0),5)</f>
        <v>3888</v>
      </c>
      <c r="F25" s="206">
        <f>INDEX([2]Energy!$AA$4:$AE$24,MATCH($B25,[2]Energy!$T$4:$T$24,0),2)</f>
        <v>976</v>
      </c>
      <c r="G25" s="207">
        <f>INDEX([2]Energy!$AA$4:$AE$24,MATCH($B25,[2]Energy!$T$4:$T$24,0),3)</f>
        <v>1952</v>
      </c>
      <c r="H25" s="205">
        <f>INDEX([2]Energy!$AA$29:$AE$49,MATCH($B25,[2]Energy!$T$29:$T$49,0),1)</f>
        <v>3326.3940000000412</v>
      </c>
      <c r="I25" s="206">
        <f>INDEX([2]Energy!$AA$29:$AE$49,MATCH($B25,[2]Energy!$T$29:$T$49,0),4)</f>
        <v>785.32400000000553</v>
      </c>
      <c r="J25" s="206">
        <f>INDEX([2]Energy!$AA$29:$AE$49,MATCH($B25,[2]Energy!$T$29:$T$49,0),5)</f>
        <v>1577.4420000000348</v>
      </c>
      <c r="K25" s="206">
        <f>INDEX([2]Energy!$AA$29:$AE$49,MATCH($B25,[2]Energy!$T$29:$T$49,0),2)</f>
        <v>327.01600000000002</v>
      </c>
      <c r="L25" s="207">
        <f>INDEX([2]Energy!$AA$29:$AE$49,MATCH($B25,[2]Energy!$T$29:$T$49,0),3)</f>
        <v>636.61200000000076</v>
      </c>
      <c r="M25" s="205">
        <f>INDEX([2]Energy!$AA$79:$AE$99,MATCH($B25,[2]Energy!$T$79:$T$99,0),1)</f>
        <v>2179.578</v>
      </c>
      <c r="N25" s="206">
        <f>INDEX([2]Energy!$AA$79:$AE$99,MATCH($B25,[2]Energy!$T$79:$T$99,0),4)</f>
        <v>67.189000000000163</v>
      </c>
      <c r="O25" s="206">
        <f>INDEX([2]Energy!$AA$79:$AE$99,MATCH($B25,[2]Energy!$T$79:$T$99,0),5)</f>
        <v>1175.4509999999993</v>
      </c>
      <c r="P25" s="206">
        <f>INDEX([2]Energy!$AA$79:$AE$99,MATCH($B25,[2]Energy!$T$79:$T$99,0),2)</f>
        <v>237.51699999999963</v>
      </c>
      <c r="Q25" s="207">
        <f>INDEX([2]Energy!$AA$79:$AE$99,MATCH($B25,[2]Energy!$T$79:$T$99,0),3)</f>
        <v>699.42100000000096</v>
      </c>
      <c r="R25" s="205">
        <f>INDEX([2]Energy!$AA$54:$AE$74,MATCH($B25,[2]Energy!$T$54:$T$74,0),1)</f>
        <v>2169.6683308184001</v>
      </c>
      <c r="S25" s="206">
        <f>INDEX([2]Energy!$AA$54:$AE$74,MATCH($B25,[2]Energy!$T$54:$T$74,0),4)</f>
        <v>120.07051203950799</v>
      </c>
      <c r="T25" s="206">
        <f>INDEX([2]Energy!$AA$54:$AE$74,MATCH($B25,[2]Energy!$T$54:$T$74,0),5)</f>
        <v>941.89326967328657</v>
      </c>
      <c r="U25" s="206">
        <f>INDEX([2]Energy!$AA$54:$AE$74,MATCH($B25,[2]Energy!$T$54:$T$74,0),2)</f>
        <v>293.88037833748706</v>
      </c>
      <c r="V25" s="207">
        <f>INDEX([2]Energy!$AA$54:$AE$74,MATCH($B25,[2]Energy!$T$54:$T$74,0),3)</f>
        <v>813.82417076811862</v>
      </c>
      <c r="Y25" s="185">
        <v>10</v>
      </c>
      <c r="Z25" s="214">
        <v>2.1110036062978277E-3</v>
      </c>
      <c r="AA25" s="339">
        <f t="shared" si="1"/>
        <v>8.3333333333333329E-2</v>
      </c>
      <c r="AB25" s="339">
        <f t="shared" si="2"/>
        <v>4.272216846981558E-2</v>
      </c>
    </row>
    <row r="26" spans="2:28">
      <c r="B26" s="14">
        <f t="shared" si="0"/>
        <v>2034</v>
      </c>
      <c r="C26" s="205">
        <f>INDEX([2]Energy!$AA$4:$AE$24,MATCH($B26,[2]Energy!$T$4:$T$24,0),1)</f>
        <v>8760</v>
      </c>
      <c r="D26" s="206">
        <f>INDEX([2]Energy!$AA$4:$AE$24,MATCH($B26,[2]Energy!$T$4:$T$24,0),4)</f>
        <v>1944</v>
      </c>
      <c r="E26" s="206">
        <f>INDEX([2]Energy!$AA$4:$AE$24,MATCH($B26,[2]Energy!$T$4:$T$24,0),5)</f>
        <v>3888</v>
      </c>
      <c r="F26" s="206">
        <f>INDEX([2]Energy!$AA$4:$AE$24,MATCH($B26,[2]Energy!$T$4:$T$24,0),2)</f>
        <v>976</v>
      </c>
      <c r="G26" s="207">
        <f>INDEX([2]Energy!$AA$4:$AE$24,MATCH($B26,[2]Energy!$T$4:$T$24,0),3)</f>
        <v>1952</v>
      </c>
      <c r="H26" s="205">
        <f>INDEX([2]Energy!$AA$29:$AE$49,MATCH($B26,[2]Energy!$T$29:$T$49,0),1)</f>
        <v>3326.3940000000412</v>
      </c>
      <c r="I26" s="206">
        <f>INDEX([2]Energy!$AA$29:$AE$49,MATCH($B26,[2]Energy!$T$29:$T$49,0),4)</f>
        <v>785.32400000000553</v>
      </c>
      <c r="J26" s="206">
        <f>INDEX([2]Energy!$AA$29:$AE$49,MATCH($B26,[2]Energy!$T$29:$T$49,0),5)</f>
        <v>1577.4420000000348</v>
      </c>
      <c r="K26" s="206">
        <f>INDEX([2]Energy!$AA$29:$AE$49,MATCH($B26,[2]Energy!$T$29:$T$49,0),2)</f>
        <v>327.01600000000002</v>
      </c>
      <c r="L26" s="207">
        <f>INDEX([2]Energy!$AA$29:$AE$49,MATCH($B26,[2]Energy!$T$29:$T$49,0),3)</f>
        <v>636.61200000000076</v>
      </c>
      <c r="M26" s="205">
        <f>INDEX([2]Energy!$AA$79:$AE$99,MATCH($B26,[2]Energy!$T$79:$T$99,0),1)</f>
        <v>2179.578</v>
      </c>
      <c r="N26" s="206">
        <f>INDEX([2]Energy!$AA$79:$AE$99,MATCH($B26,[2]Energy!$T$79:$T$99,0),4)</f>
        <v>67.189000000000163</v>
      </c>
      <c r="O26" s="206">
        <f>INDEX([2]Energy!$AA$79:$AE$99,MATCH($B26,[2]Energy!$T$79:$T$99,0),5)</f>
        <v>1175.4509999999993</v>
      </c>
      <c r="P26" s="206">
        <f>INDEX([2]Energy!$AA$79:$AE$99,MATCH($B26,[2]Energy!$T$79:$T$99,0),2)</f>
        <v>237.51699999999963</v>
      </c>
      <c r="Q26" s="207">
        <f>INDEX([2]Energy!$AA$79:$AE$99,MATCH($B26,[2]Energy!$T$79:$T$99,0),3)</f>
        <v>699.42100000000096</v>
      </c>
      <c r="R26" s="205">
        <f>INDEX([2]Energy!$AA$54:$AE$74,MATCH($B26,[2]Energy!$T$54:$T$74,0),1)</f>
        <v>2169.6683308184001</v>
      </c>
      <c r="S26" s="206">
        <f>INDEX([2]Energy!$AA$54:$AE$74,MATCH($B26,[2]Energy!$T$54:$T$74,0),4)</f>
        <v>120.07051203950799</v>
      </c>
      <c r="T26" s="206">
        <f>INDEX([2]Energy!$AA$54:$AE$74,MATCH($B26,[2]Energy!$T$54:$T$74,0),5)</f>
        <v>941.89326967328657</v>
      </c>
      <c r="U26" s="206">
        <f>INDEX([2]Energy!$AA$54:$AE$74,MATCH($B26,[2]Energy!$T$54:$T$74,0),2)</f>
        <v>293.88037833748706</v>
      </c>
      <c r="V26" s="207">
        <f>INDEX([2]Energy!$AA$54:$AE$74,MATCH($B26,[2]Energy!$T$54:$T$74,0),3)</f>
        <v>813.82417076811862</v>
      </c>
      <c r="Y26" s="185">
        <v>11</v>
      </c>
      <c r="Z26" s="214">
        <v>0</v>
      </c>
      <c r="AA26" s="339">
        <f t="shared" si="1"/>
        <v>8.3333333333333329E-2</v>
      </c>
      <c r="AB26" s="339">
        <f t="shared" si="2"/>
        <v>4.1666666666666664E-2</v>
      </c>
    </row>
    <row r="27" spans="2:28">
      <c r="B27" s="14">
        <f t="shared" si="0"/>
        <v>2035</v>
      </c>
      <c r="C27" s="205">
        <f>INDEX([2]Energy!$AA$4:$AE$24,MATCH($B27,[2]Energy!$T$4:$T$24,0),1)</f>
        <v>8760</v>
      </c>
      <c r="D27" s="206">
        <f>INDEX([2]Energy!$AA$4:$AE$24,MATCH($B27,[2]Energy!$T$4:$T$24,0),4)</f>
        <v>1944</v>
      </c>
      <c r="E27" s="206">
        <f>INDEX([2]Energy!$AA$4:$AE$24,MATCH($B27,[2]Energy!$T$4:$T$24,0),5)</f>
        <v>3888</v>
      </c>
      <c r="F27" s="206">
        <f>INDEX([2]Energy!$AA$4:$AE$24,MATCH($B27,[2]Energy!$T$4:$T$24,0),2)</f>
        <v>976</v>
      </c>
      <c r="G27" s="207">
        <f>INDEX([2]Energy!$AA$4:$AE$24,MATCH($B27,[2]Energy!$T$4:$T$24,0),3)</f>
        <v>1952</v>
      </c>
      <c r="H27" s="205">
        <f>INDEX([2]Energy!$AA$29:$AE$49,MATCH($B27,[2]Energy!$T$29:$T$49,0),1)</f>
        <v>3326.3940000000412</v>
      </c>
      <c r="I27" s="206">
        <f>INDEX([2]Energy!$AA$29:$AE$49,MATCH($B27,[2]Energy!$T$29:$T$49,0),4)</f>
        <v>785.32400000000553</v>
      </c>
      <c r="J27" s="206">
        <f>INDEX([2]Energy!$AA$29:$AE$49,MATCH($B27,[2]Energy!$T$29:$T$49,0),5)</f>
        <v>1577.4420000000348</v>
      </c>
      <c r="K27" s="206">
        <f>INDEX([2]Energy!$AA$29:$AE$49,MATCH($B27,[2]Energy!$T$29:$T$49,0),2)</f>
        <v>327.01600000000002</v>
      </c>
      <c r="L27" s="207">
        <f>INDEX([2]Energy!$AA$29:$AE$49,MATCH($B27,[2]Energy!$T$29:$T$49,0),3)</f>
        <v>636.61200000000076</v>
      </c>
      <c r="M27" s="205">
        <f>INDEX([2]Energy!$AA$79:$AE$99,MATCH($B27,[2]Energy!$T$79:$T$99,0),1)</f>
        <v>2179.578</v>
      </c>
      <c r="N27" s="206">
        <f>INDEX([2]Energy!$AA$79:$AE$99,MATCH($B27,[2]Energy!$T$79:$T$99,0),4)</f>
        <v>67.189000000000163</v>
      </c>
      <c r="O27" s="206">
        <f>INDEX([2]Energy!$AA$79:$AE$99,MATCH($B27,[2]Energy!$T$79:$T$99,0),5)</f>
        <v>1175.4509999999993</v>
      </c>
      <c r="P27" s="206">
        <f>INDEX([2]Energy!$AA$79:$AE$99,MATCH($B27,[2]Energy!$T$79:$T$99,0),2)</f>
        <v>237.51699999999963</v>
      </c>
      <c r="Q27" s="207">
        <f>INDEX([2]Energy!$AA$79:$AE$99,MATCH($B27,[2]Energy!$T$79:$T$99,0),3)</f>
        <v>699.42100000000096</v>
      </c>
      <c r="R27" s="205">
        <f>INDEX([2]Energy!$AA$54:$AE$74,MATCH($B27,[2]Energy!$T$54:$T$74,0),1)</f>
        <v>2169.6683308184001</v>
      </c>
      <c r="S27" s="206">
        <f>INDEX([2]Energy!$AA$54:$AE$74,MATCH($B27,[2]Energy!$T$54:$T$74,0),4)</f>
        <v>120.07051203950799</v>
      </c>
      <c r="T27" s="206">
        <f>INDEX([2]Energy!$AA$54:$AE$74,MATCH($B27,[2]Energy!$T$54:$T$74,0),5)</f>
        <v>941.89326967328657</v>
      </c>
      <c r="U27" s="206">
        <f>INDEX([2]Energy!$AA$54:$AE$74,MATCH($B27,[2]Energy!$T$54:$T$74,0),2)</f>
        <v>293.88037833748706</v>
      </c>
      <c r="V27" s="207">
        <f>INDEX([2]Energy!$AA$54:$AE$74,MATCH($B27,[2]Energy!$T$54:$T$74,0),3)</f>
        <v>813.82417076811862</v>
      </c>
      <c r="Y27" s="186">
        <v>12</v>
      </c>
      <c r="Z27" s="215">
        <v>5.2775090157445692E-4</v>
      </c>
      <c r="AA27" s="339">
        <f t="shared" si="1"/>
        <v>8.3333333333333329E-2</v>
      </c>
      <c r="AB27" s="339">
        <f t="shared" si="2"/>
        <v>4.1930542117453895E-2</v>
      </c>
    </row>
    <row r="28" spans="2:28">
      <c r="B28" s="14">
        <f t="shared" si="0"/>
        <v>2036</v>
      </c>
      <c r="C28" s="205">
        <f>INDEX([2]Energy!$AA$4:$AE$24,MATCH($B28,[2]Energy!$T$4:$T$24,0),1)</f>
        <v>8784</v>
      </c>
      <c r="D28" s="206">
        <f>INDEX([2]Energy!$AA$4:$AE$24,MATCH($B28,[2]Energy!$T$4:$T$24,0),4)</f>
        <v>1952</v>
      </c>
      <c r="E28" s="206">
        <f>INDEX([2]Energy!$AA$4:$AE$24,MATCH($B28,[2]Energy!$T$4:$T$24,0),5)</f>
        <v>3904</v>
      </c>
      <c r="F28" s="206">
        <f>INDEX([2]Energy!$AA$4:$AE$24,MATCH($B28,[2]Energy!$T$4:$T$24,0),2)</f>
        <v>976</v>
      </c>
      <c r="G28" s="207">
        <f>INDEX([2]Energy!$AA$4:$AE$24,MATCH($B28,[2]Energy!$T$4:$T$24,0),3)</f>
        <v>1952</v>
      </c>
      <c r="H28" s="205">
        <f>INDEX([2]Energy!$AA$29:$AE$49,MATCH($B28,[2]Energy!$T$29:$T$49,0),1)</f>
        <v>3336.3686785714699</v>
      </c>
      <c r="I28" s="206">
        <f>INDEX([2]Energy!$AA$29:$AE$49,MATCH($B28,[2]Energy!$T$29:$T$49,0),4)</f>
        <v>788.84557142857716</v>
      </c>
      <c r="J28" s="206">
        <f>INDEX([2]Energy!$AA$29:$AE$49,MATCH($B28,[2]Energy!$T$29:$T$49,0),5)</f>
        <v>1583.8951071428919</v>
      </c>
      <c r="K28" s="206">
        <f>INDEX([2]Energy!$AA$29:$AE$49,MATCH($B28,[2]Energy!$T$29:$T$49,0),2)</f>
        <v>327.01600000000002</v>
      </c>
      <c r="L28" s="207">
        <f>INDEX([2]Energy!$AA$29:$AE$49,MATCH($B28,[2]Energy!$T$29:$T$49,0),3)</f>
        <v>636.61200000000076</v>
      </c>
      <c r="M28" s="205">
        <f>INDEX([2]Energy!$AA$79:$AE$99,MATCH($B28,[2]Energy!$T$79:$T$99,0),1)</f>
        <v>2183.9111428571432</v>
      </c>
      <c r="N28" s="206">
        <f>INDEX([2]Energy!$AA$79:$AE$99,MATCH($B28,[2]Energy!$T$79:$T$99,0),4)</f>
        <v>67.310964285714462</v>
      </c>
      <c r="O28" s="206">
        <f>INDEX([2]Energy!$AA$79:$AE$99,MATCH($B28,[2]Energy!$T$79:$T$99,0),5)</f>
        <v>1179.6621785714283</v>
      </c>
      <c r="P28" s="206">
        <f>INDEX([2]Energy!$AA$79:$AE$99,MATCH($B28,[2]Energy!$T$79:$T$99,0),2)</f>
        <v>237.51699999999963</v>
      </c>
      <c r="Q28" s="207">
        <f>INDEX([2]Energy!$AA$79:$AE$99,MATCH($B28,[2]Energy!$T$79:$T$99,0),3)</f>
        <v>699.42100000000096</v>
      </c>
      <c r="R28" s="205">
        <f>INDEX([2]Energy!$AA$54:$AE$74,MATCH($B28,[2]Energy!$T$54:$T$74,0),1)</f>
        <v>2172.1054371859564</v>
      </c>
      <c r="S28" s="206">
        <f>INDEX([2]Energy!$AA$54:$AE$74,MATCH($B28,[2]Energy!$T$54:$T$74,0),4)</f>
        <v>120.33811927907573</v>
      </c>
      <c r="T28" s="206">
        <f>INDEX([2]Energy!$AA$54:$AE$74,MATCH($B28,[2]Energy!$T$54:$T$74,0),5)</f>
        <v>944.06276880127518</v>
      </c>
      <c r="U28" s="206">
        <f>INDEX([2]Energy!$AA$54:$AE$74,MATCH($B28,[2]Energy!$T$54:$T$74,0),2)</f>
        <v>293.88037833748706</v>
      </c>
      <c r="V28" s="207">
        <f>INDEX([2]Energy!$AA$54:$AE$74,MATCH($B28,[2]Energy!$T$54:$T$74,0),3)</f>
        <v>813.82417076811862</v>
      </c>
      <c r="Y28" s="212"/>
      <c r="Z28" s="214">
        <v>0.99999999999999989</v>
      </c>
      <c r="AA28" s="339">
        <v>0.99999999999999989</v>
      </c>
      <c r="AB28" s="339">
        <v>0.99999999999999989</v>
      </c>
    </row>
    <row r="29" spans="2:28">
      <c r="B29" s="14">
        <f t="shared" si="0"/>
        <v>2037</v>
      </c>
      <c r="C29" s="205">
        <f>INDEX([2]Energy!$AA$4:$AE$24,MATCH($B29,[2]Energy!$T$4:$T$24,0),1)</f>
        <v>8760</v>
      </c>
      <c r="D29" s="206">
        <f>INDEX([2]Energy!$AA$4:$AE$24,MATCH($B29,[2]Energy!$T$4:$T$24,0),4)</f>
        <v>1944</v>
      </c>
      <c r="E29" s="206">
        <f>INDEX([2]Energy!$AA$4:$AE$24,MATCH($B29,[2]Energy!$T$4:$T$24,0),5)</f>
        <v>3888</v>
      </c>
      <c r="F29" s="206">
        <f>INDEX([2]Energy!$AA$4:$AE$24,MATCH($B29,[2]Energy!$T$4:$T$24,0),2)</f>
        <v>976</v>
      </c>
      <c r="G29" s="207">
        <f>INDEX([2]Energy!$AA$4:$AE$24,MATCH($B29,[2]Energy!$T$4:$T$24,0),3)</f>
        <v>1952</v>
      </c>
      <c r="H29" s="205">
        <f>INDEX([2]Energy!$AA$29:$AE$49,MATCH($B29,[2]Energy!$T$29:$T$49,0),1)</f>
        <v>3326.3940000000412</v>
      </c>
      <c r="I29" s="206">
        <f>INDEX([2]Energy!$AA$29:$AE$49,MATCH($B29,[2]Energy!$T$29:$T$49,0),4)</f>
        <v>785.32400000000553</v>
      </c>
      <c r="J29" s="206">
        <f>INDEX([2]Energy!$AA$29:$AE$49,MATCH($B29,[2]Energy!$T$29:$T$49,0),5)</f>
        <v>1577.4420000000348</v>
      </c>
      <c r="K29" s="206">
        <f>INDEX([2]Energy!$AA$29:$AE$49,MATCH($B29,[2]Energy!$T$29:$T$49,0),2)</f>
        <v>327.01600000000002</v>
      </c>
      <c r="L29" s="207">
        <f>INDEX([2]Energy!$AA$29:$AE$49,MATCH($B29,[2]Energy!$T$29:$T$49,0),3)</f>
        <v>636.61200000000076</v>
      </c>
      <c r="M29" s="205">
        <f>INDEX([2]Energy!$AA$79:$AE$99,MATCH($B29,[2]Energy!$T$79:$T$99,0),1)</f>
        <v>2179.578</v>
      </c>
      <c r="N29" s="206">
        <f>INDEX([2]Energy!$AA$79:$AE$99,MATCH($B29,[2]Energy!$T$79:$T$99,0),4)</f>
        <v>67.189000000000163</v>
      </c>
      <c r="O29" s="206">
        <f>INDEX([2]Energy!$AA$79:$AE$99,MATCH($B29,[2]Energy!$T$79:$T$99,0),5)</f>
        <v>1175.4509999999993</v>
      </c>
      <c r="P29" s="206">
        <f>INDEX([2]Energy!$AA$79:$AE$99,MATCH($B29,[2]Energy!$T$79:$T$99,0),2)</f>
        <v>237.51699999999963</v>
      </c>
      <c r="Q29" s="207">
        <f>INDEX([2]Energy!$AA$79:$AE$99,MATCH($B29,[2]Energy!$T$79:$T$99,0),3)</f>
        <v>699.42100000000096</v>
      </c>
      <c r="R29" s="205">
        <f>INDEX([2]Energy!$AA$54:$AE$74,MATCH($B29,[2]Energy!$T$54:$T$74,0),1)</f>
        <v>2169.6683308184001</v>
      </c>
      <c r="S29" s="206">
        <f>INDEX([2]Energy!$AA$54:$AE$74,MATCH($B29,[2]Energy!$T$54:$T$74,0),4)</f>
        <v>120.07051203950799</v>
      </c>
      <c r="T29" s="206">
        <f>INDEX([2]Energy!$AA$54:$AE$74,MATCH($B29,[2]Energy!$T$54:$T$74,0),5)</f>
        <v>941.89326967328657</v>
      </c>
      <c r="U29" s="206">
        <f>INDEX([2]Energy!$AA$54:$AE$74,MATCH($B29,[2]Energy!$T$54:$T$74,0),2)</f>
        <v>293.88037833748706</v>
      </c>
      <c r="V29" s="207">
        <f>INDEX([2]Energy!$AA$54:$AE$74,MATCH($B29,[2]Energy!$T$54:$T$74,0),3)</f>
        <v>813.82417076811862</v>
      </c>
    </row>
    <row r="30" spans="2:28">
      <c r="B30" s="14">
        <f t="shared" si="0"/>
        <v>2038</v>
      </c>
      <c r="C30" s="205">
        <f>INDEX([2]Energy!$AA$4:$AE$24,MATCH($B30,[2]Energy!$T$4:$T$24,0),1)</f>
        <v>8760</v>
      </c>
      <c r="D30" s="206">
        <f>INDEX([2]Energy!$AA$4:$AE$24,MATCH($B30,[2]Energy!$T$4:$T$24,0),4)</f>
        <v>1944</v>
      </c>
      <c r="E30" s="206">
        <f>INDEX([2]Energy!$AA$4:$AE$24,MATCH($B30,[2]Energy!$T$4:$T$24,0),5)</f>
        <v>3888</v>
      </c>
      <c r="F30" s="206">
        <f>INDEX([2]Energy!$AA$4:$AE$24,MATCH($B30,[2]Energy!$T$4:$T$24,0),2)</f>
        <v>976</v>
      </c>
      <c r="G30" s="207">
        <f>INDEX([2]Energy!$AA$4:$AE$24,MATCH($B30,[2]Energy!$T$4:$T$24,0),3)</f>
        <v>1952</v>
      </c>
      <c r="H30" s="205">
        <f>INDEX([2]Energy!$AA$29:$AE$49,MATCH($B30,[2]Energy!$T$29:$T$49,0),1)</f>
        <v>3326.3940000000412</v>
      </c>
      <c r="I30" s="206">
        <f>INDEX([2]Energy!$AA$29:$AE$49,MATCH($B30,[2]Energy!$T$29:$T$49,0),4)</f>
        <v>785.32400000000553</v>
      </c>
      <c r="J30" s="206">
        <f>INDEX([2]Energy!$AA$29:$AE$49,MATCH($B30,[2]Energy!$T$29:$T$49,0),5)</f>
        <v>1577.4420000000348</v>
      </c>
      <c r="K30" s="206">
        <f>INDEX([2]Energy!$AA$29:$AE$49,MATCH($B30,[2]Energy!$T$29:$T$49,0),2)</f>
        <v>327.01600000000002</v>
      </c>
      <c r="L30" s="207">
        <f>INDEX([2]Energy!$AA$29:$AE$49,MATCH($B30,[2]Energy!$T$29:$T$49,0),3)</f>
        <v>636.61200000000076</v>
      </c>
      <c r="M30" s="205">
        <f>INDEX([2]Energy!$AA$79:$AE$99,MATCH($B30,[2]Energy!$T$79:$T$99,0),1)</f>
        <v>2179.578</v>
      </c>
      <c r="N30" s="206">
        <f>INDEX([2]Energy!$AA$79:$AE$99,MATCH($B30,[2]Energy!$T$79:$T$99,0),4)</f>
        <v>67.189000000000163</v>
      </c>
      <c r="O30" s="206">
        <f>INDEX([2]Energy!$AA$79:$AE$99,MATCH($B30,[2]Energy!$T$79:$T$99,0),5)</f>
        <v>1175.4509999999993</v>
      </c>
      <c r="P30" s="206">
        <f>INDEX([2]Energy!$AA$79:$AE$99,MATCH($B30,[2]Energy!$T$79:$T$99,0),2)</f>
        <v>237.51699999999963</v>
      </c>
      <c r="Q30" s="207">
        <f>INDEX([2]Energy!$AA$79:$AE$99,MATCH($B30,[2]Energy!$T$79:$T$99,0),3)</f>
        <v>699.42100000000096</v>
      </c>
      <c r="R30" s="205">
        <f>INDEX([2]Energy!$AA$54:$AE$74,MATCH($B30,[2]Energy!$T$54:$T$74,0),1)</f>
        <v>2169.6683308184001</v>
      </c>
      <c r="S30" s="206">
        <f>INDEX([2]Energy!$AA$54:$AE$74,MATCH($B30,[2]Energy!$T$54:$T$74,0),4)</f>
        <v>120.07051203950799</v>
      </c>
      <c r="T30" s="206">
        <f>INDEX([2]Energy!$AA$54:$AE$74,MATCH($B30,[2]Energy!$T$54:$T$74,0),5)</f>
        <v>941.89326967328657</v>
      </c>
      <c r="U30" s="206">
        <f>INDEX([2]Energy!$AA$54:$AE$74,MATCH($B30,[2]Energy!$T$54:$T$74,0),2)</f>
        <v>293.88037833748706</v>
      </c>
      <c r="V30" s="207">
        <f>INDEX([2]Energy!$AA$54:$AE$74,MATCH($B30,[2]Energy!$T$54:$T$74,0),3)</f>
        <v>813.82417076811862</v>
      </c>
      <c r="Y30" t="s">
        <v>112</v>
      </c>
      <c r="Z30" s="328">
        <f>SUM(Z21:Z24)</f>
        <v>0.99359662239422986</v>
      </c>
      <c r="AA30" s="340">
        <f>SUM(AA21:AA24)</f>
        <v>0.33333333333333331</v>
      </c>
      <c r="AB30" s="340">
        <f>SUM(AB21:AB24)</f>
        <v>0.66346497786378167</v>
      </c>
    </row>
    <row r="31" spans="2:28">
      <c r="B31" s="14">
        <f t="shared" si="0"/>
        <v>2039</v>
      </c>
      <c r="C31" s="205">
        <f>INDEX([2]Energy!$AA$4:$AE$24,MATCH($B31,[2]Energy!$T$4:$T$24,0),1)</f>
        <v>8760</v>
      </c>
      <c r="D31" s="206">
        <f>INDEX([2]Energy!$AA$4:$AE$24,MATCH($B31,[2]Energy!$T$4:$T$24,0),4)</f>
        <v>1944</v>
      </c>
      <c r="E31" s="206">
        <f>INDEX([2]Energy!$AA$4:$AE$24,MATCH($B31,[2]Energy!$T$4:$T$24,0),5)</f>
        <v>3888</v>
      </c>
      <c r="F31" s="206">
        <f>INDEX([2]Energy!$AA$4:$AE$24,MATCH($B31,[2]Energy!$T$4:$T$24,0),2)</f>
        <v>976</v>
      </c>
      <c r="G31" s="207">
        <f>INDEX([2]Energy!$AA$4:$AE$24,MATCH($B31,[2]Energy!$T$4:$T$24,0),3)</f>
        <v>1952</v>
      </c>
      <c r="H31" s="205">
        <f>INDEX([2]Energy!$AA$29:$AE$49,MATCH($B31,[2]Energy!$T$29:$T$49,0),1)</f>
        <v>3326.3940000000412</v>
      </c>
      <c r="I31" s="206">
        <f>INDEX([2]Energy!$AA$29:$AE$49,MATCH($B31,[2]Energy!$T$29:$T$49,0),4)</f>
        <v>785.32400000000553</v>
      </c>
      <c r="J31" s="206">
        <f>INDEX([2]Energy!$AA$29:$AE$49,MATCH($B31,[2]Energy!$T$29:$T$49,0),5)</f>
        <v>1577.4420000000348</v>
      </c>
      <c r="K31" s="206">
        <f>INDEX([2]Energy!$AA$29:$AE$49,MATCH($B31,[2]Energy!$T$29:$T$49,0),2)</f>
        <v>327.01600000000002</v>
      </c>
      <c r="L31" s="207">
        <f>INDEX([2]Energy!$AA$29:$AE$49,MATCH($B31,[2]Energy!$T$29:$T$49,0),3)</f>
        <v>636.61200000000076</v>
      </c>
      <c r="M31" s="205">
        <f>INDEX([2]Energy!$AA$79:$AE$99,MATCH($B31,[2]Energy!$T$79:$T$99,0),1)</f>
        <v>2179.578</v>
      </c>
      <c r="N31" s="206">
        <f>INDEX([2]Energy!$AA$79:$AE$99,MATCH($B31,[2]Energy!$T$79:$T$99,0),4)</f>
        <v>67.189000000000163</v>
      </c>
      <c r="O31" s="206">
        <f>INDEX([2]Energy!$AA$79:$AE$99,MATCH($B31,[2]Energy!$T$79:$T$99,0),5)</f>
        <v>1175.4509999999993</v>
      </c>
      <c r="P31" s="206">
        <f>INDEX([2]Energy!$AA$79:$AE$99,MATCH($B31,[2]Energy!$T$79:$T$99,0),2)</f>
        <v>237.51699999999963</v>
      </c>
      <c r="Q31" s="207">
        <f>INDEX([2]Energy!$AA$79:$AE$99,MATCH($B31,[2]Energy!$T$79:$T$99,0),3)</f>
        <v>699.42100000000096</v>
      </c>
      <c r="R31" s="205">
        <f>INDEX([2]Energy!$AA$54:$AE$74,MATCH($B31,[2]Energy!$T$54:$T$74,0),1)</f>
        <v>2169.6683308184001</v>
      </c>
      <c r="S31" s="206">
        <f>INDEX([2]Energy!$AA$54:$AE$74,MATCH($B31,[2]Energy!$T$54:$T$74,0),4)</f>
        <v>120.07051203950799</v>
      </c>
      <c r="T31" s="206">
        <f>INDEX([2]Energy!$AA$54:$AE$74,MATCH($B31,[2]Energy!$T$54:$T$74,0),5)</f>
        <v>941.89326967328657</v>
      </c>
      <c r="U31" s="206">
        <f>INDEX([2]Energy!$AA$54:$AE$74,MATCH($B31,[2]Energy!$T$54:$T$74,0),2)</f>
        <v>293.88037833748706</v>
      </c>
      <c r="V31" s="207">
        <f>INDEX([2]Energy!$AA$54:$AE$74,MATCH($B31,[2]Energy!$T$54:$T$74,0),3)</f>
        <v>813.82417076811862</v>
      </c>
      <c r="Y31" t="s">
        <v>111</v>
      </c>
      <c r="Z31" s="328">
        <f>1-Z30</f>
        <v>6.4033776057701441E-3</v>
      </c>
      <c r="AA31" s="340">
        <f t="shared" ref="AA31:AB31" si="3">1-AA30</f>
        <v>0.66666666666666674</v>
      </c>
      <c r="AB31" s="340">
        <f t="shared" si="3"/>
        <v>0.33653502213621833</v>
      </c>
    </row>
    <row r="32" spans="2:28">
      <c r="B32" s="14"/>
      <c r="C32" s="14"/>
      <c r="D32" s="29"/>
      <c r="E32" s="29"/>
      <c r="F32" s="29"/>
      <c r="G32" s="80"/>
      <c r="H32" s="49"/>
      <c r="I32" s="188"/>
    </row>
    <row r="33" spans="2:7">
      <c r="B33" s="28" t="s">
        <v>160</v>
      </c>
    </row>
    <row r="34" spans="2:7">
      <c r="B34" s="7"/>
      <c r="F34" s="187"/>
      <c r="G34" s="7"/>
    </row>
    <row r="35" spans="2:7">
      <c r="B35" s="7"/>
      <c r="G35" s="7"/>
    </row>
    <row r="37" spans="2:7">
      <c r="B37" s="10"/>
    </row>
  </sheetData>
  <mergeCells count="10">
    <mergeCell ref="C5:G5"/>
    <mergeCell ref="H5:L5"/>
    <mergeCell ref="M5:Q5"/>
    <mergeCell ref="R5:V5"/>
    <mergeCell ref="B1:I1"/>
    <mergeCell ref="B2:I2"/>
    <mergeCell ref="C4:G4"/>
    <mergeCell ref="H4:L4"/>
    <mergeCell ref="M4:Q4"/>
    <mergeCell ref="R4:V4"/>
  </mergeCells>
  <printOptions horizontalCentered="1"/>
  <pageMargins left="0.8" right="0.3" top="0.4" bottom="0.4" header="0.5" footer="0.2"/>
  <pageSetup scale="5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X87"/>
  <sheetViews>
    <sheetView workbookViewId="0">
      <selection activeCell="B1" sqref="B1"/>
    </sheetView>
  </sheetViews>
  <sheetFormatPr defaultRowHeight="12.75"/>
  <cols>
    <col min="2" max="2" width="51.5" customWidth="1"/>
    <col min="3" max="3" width="9.33203125" customWidth="1"/>
    <col min="4" max="4" width="11" customWidth="1"/>
    <col min="5" max="5" width="10.5" customWidth="1"/>
    <col min="6" max="6" width="10.33203125" customWidth="1"/>
    <col min="7" max="7" width="10.83203125" customWidth="1"/>
    <col min="8" max="8" width="11" customWidth="1"/>
    <col min="9" max="10" width="11.33203125" customWidth="1"/>
    <col min="11" max="14" width="10.5" customWidth="1"/>
    <col min="15" max="16" width="11" customWidth="1"/>
    <col min="17" max="17" width="10.5" customWidth="1"/>
    <col min="18" max="18" width="12.83203125" customWidth="1"/>
    <col min="19" max="19" width="11.6640625" customWidth="1"/>
    <col min="20" max="20" width="11" customWidth="1"/>
    <col min="21" max="21" width="11.6640625" customWidth="1"/>
    <col min="22" max="22" width="11.1640625" customWidth="1"/>
    <col min="23" max="23" width="13" customWidth="1"/>
    <col min="24" max="24" width="13.6640625" customWidth="1"/>
    <col min="25" max="25" width="8.6640625" customWidth="1"/>
  </cols>
  <sheetData>
    <row r="1" spans="1:24" s="61" customFormat="1" ht="15.75"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  <c r="M1" s="98"/>
      <c r="N1" s="98"/>
      <c r="O1" s="98"/>
      <c r="P1" s="98"/>
      <c r="Q1" s="98"/>
      <c r="R1" s="98"/>
    </row>
    <row r="2" spans="1:24" s="61" customFormat="1" ht="15.75">
      <c r="B2" s="99" t="s">
        <v>66</v>
      </c>
      <c r="C2" s="97"/>
      <c r="D2" s="97"/>
      <c r="E2" s="97"/>
      <c r="F2" s="97"/>
      <c r="G2" s="97"/>
      <c r="H2" s="97"/>
      <c r="I2" s="97"/>
      <c r="J2" s="97"/>
      <c r="K2" s="97"/>
      <c r="L2" s="98"/>
      <c r="M2" s="98"/>
      <c r="N2" s="98"/>
      <c r="O2" s="98"/>
      <c r="P2" s="98"/>
      <c r="Q2" s="98"/>
      <c r="R2" s="98"/>
    </row>
    <row r="3" spans="1:24" s="61" customFormat="1" ht="15.75">
      <c r="B3" s="99" t="s">
        <v>67</v>
      </c>
      <c r="C3" s="97"/>
      <c r="D3" s="97"/>
      <c r="E3" s="97"/>
      <c r="F3" s="97"/>
      <c r="G3" s="97"/>
      <c r="H3" s="97"/>
      <c r="I3" s="97"/>
      <c r="J3" s="97"/>
      <c r="K3" s="97"/>
      <c r="L3" s="98"/>
      <c r="M3" s="98"/>
      <c r="N3" s="98"/>
      <c r="O3" s="98"/>
      <c r="P3" s="98"/>
      <c r="Q3" s="98"/>
      <c r="R3" s="98"/>
    </row>
    <row r="7" spans="1:24" ht="18.75">
      <c r="A7" s="100"/>
      <c r="B7" s="101"/>
      <c r="C7" s="102" t="s">
        <v>17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326" t="s">
        <v>33</v>
      </c>
      <c r="X7" s="325"/>
    </row>
    <row r="8" spans="1:24" ht="15.75">
      <c r="A8" s="104"/>
      <c r="B8" s="105" t="s">
        <v>18</v>
      </c>
      <c r="C8" s="106">
        <v>2017</v>
      </c>
      <c r="D8" s="107">
        <v>2018</v>
      </c>
      <c r="E8" s="107">
        <v>2019</v>
      </c>
      <c r="F8" s="107">
        <v>2020</v>
      </c>
      <c r="G8" s="107">
        <v>2021</v>
      </c>
      <c r="H8" s="107">
        <v>2022</v>
      </c>
      <c r="I8" s="107">
        <v>2023</v>
      </c>
      <c r="J8" s="107">
        <v>2024</v>
      </c>
      <c r="K8" s="107">
        <v>2025</v>
      </c>
      <c r="L8" s="107">
        <v>2026</v>
      </c>
      <c r="M8" s="107">
        <v>2027</v>
      </c>
      <c r="N8" s="107">
        <v>2028</v>
      </c>
      <c r="O8" s="107">
        <v>2029</v>
      </c>
      <c r="P8" s="107">
        <v>2030</v>
      </c>
      <c r="Q8" s="107">
        <v>2031</v>
      </c>
      <c r="R8" s="107">
        <v>2032</v>
      </c>
      <c r="S8" s="107">
        <v>2033</v>
      </c>
      <c r="T8" s="107">
        <v>2034</v>
      </c>
      <c r="U8" s="107">
        <v>2035</v>
      </c>
      <c r="V8" s="107">
        <v>2036</v>
      </c>
      <c r="W8" s="108" t="s">
        <v>34</v>
      </c>
      <c r="X8" s="108" t="s">
        <v>35</v>
      </c>
    </row>
    <row r="9" spans="1:24" hidden="1">
      <c r="A9" s="109" t="s">
        <v>19</v>
      </c>
      <c r="B9" s="323" t="s">
        <v>29</v>
      </c>
      <c r="C9" s="322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19"/>
      <c r="W9" s="322"/>
      <c r="X9" s="319"/>
    </row>
    <row r="10" spans="1:24" ht="15.75" hidden="1">
      <c r="A10" s="110"/>
      <c r="B10" s="324" t="s">
        <v>68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>
        <v>-82.3</v>
      </c>
      <c r="M10" s="62">
        <v>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62">
        <v>-82.3</v>
      </c>
      <c r="X10" s="62">
        <v>-82.3</v>
      </c>
    </row>
    <row r="11" spans="1:24" ht="15.75" hidden="1">
      <c r="A11" s="110"/>
      <c r="B11" s="324" t="s">
        <v>69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-81.540000000000006</v>
      </c>
      <c r="V11" s="62">
        <v>0</v>
      </c>
      <c r="W11" s="62">
        <v>0</v>
      </c>
      <c r="X11" s="62">
        <v>-81.540000000000006</v>
      </c>
    </row>
    <row r="12" spans="1:24" ht="15.75" hidden="1">
      <c r="A12" s="110"/>
      <c r="B12" s="324" t="s">
        <v>36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-45.1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-45.1</v>
      </c>
    </row>
    <row r="13" spans="1:24" ht="15.75" hidden="1">
      <c r="A13" s="110"/>
      <c r="B13" s="324" t="s">
        <v>37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-32.68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-32.68</v>
      </c>
    </row>
    <row r="14" spans="1:24" ht="15.75" hidden="1">
      <c r="A14" s="110"/>
      <c r="B14" s="324" t="s">
        <v>70</v>
      </c>
      <c r="C14" s="63">
        <v>0</v>
      </c>
      <c r="D14" s="63">
        <v>0</v>
      </c>
      <c r="E14" s="63">
        <v>-482.5</v>
      </c>
      <c r="F14" s="63">
        <v>-111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2">
        <v>-593.5</v>
      </c>
      <c r="X14" s="62">
        <v>-593.5</v>
      </c>
    </row>
    <row r="15" spans="1:24" ht="15.75" hidden="1">
      <c r="A15" s="110"/>
      <c r="B15" s="324" t="s">
        <v>71</v>
      </c>
      <c r="C15" s="63">
        <v>0</v>
      </c>
      <c r="D15" s="63">
        <v>0</v>
      </c>
      <c r="E15" s="63">
        <v>483</v>
      </c>
      <c r="F15" s="63">
        <v>111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2">
        <v>594</v>
      </c>
      <c r="X15" s="62">
        <v>594</v>
      </c>
    </row>
    <row r="16" spans="1:24" ht="15.75" hidden="1">
      <c r="A16" s="110"/>
      <c r="B16" s="324" t="s">
        <v>38</v>
      </c>
      <c r="C16" s="62">
        <v>0</v>
      </c>
      <c r="D16" s="62">
        <v>0</v>
      </c>
      <c r="E16" s="62">
        <v>0</v>
      </c>
      <c r="F16" s="62">
        <v>0</v>
      </c>
      <c r="G16" s="62">
        <v>-387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  <c r="U16" s="62">
        <v>0</v>
      </c>
      <c r="V16" s="62">
        <v>0</v>
      </c>
      <c r="W16" s="62">
        <v>-387</v>
      </c>
      <c r="X16" s="62">
        <v>-387</v>
      </c>
    </row>
    <row r="17" spans="1:24" ht="15.75" hidden="1">
      <c r="A17" s="110"/>
      <c r="B17" s="324" t="s">
        <v>39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-106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-106</v>
      </c>
    </row>
    <row r="18" spans="1:24" ht="15.75" hidden="1">
      <c r="A18" s="110"/>
      <c r="B18" s="324" t="s">
        <v>40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-106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-106</v>
      </c>
    </row>
    <row r="19" spans="1:24" ht="15.75" hidden="1">
      <c r="A19" s="110"/>
      <c r="B19" s="324" t="s">
        <v>41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-220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-220</v>
      </c>
    </row>
    <row r="20" spans="1:24" ht="15.75" hidden="1">
      <c r="A20" s="110"/>
      <c r="B20" s="324" t="s">
        <v>42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-330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-330</v>
      </c>
    </row>
    <row r="21" spans="1:24" ht="15.75" hidden="1">
      <c r="A21" s="110"/>
      <c r="B21" s="324" t="s">
        <v>43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-156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-156</v>
      </c>
    </row>
    <row r="22" spans="1:24" ht="15.75" hidden="1">
      <c r="A22" s="110"/>
      <c r="B22" s="324" t="s">
        <v>44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-201</v>
      </c>
      <c r="Q22" s="62">
        <v>0</v>
      </c>
      <c r="R22" s="62">
        <v>0</v>
      </c>
      <c r="S22" s="62">
        <v>0</v>
      </c>
      <c r="T22" s="62">
        <v>0</v>
      </c>
      <c r="U22" s="62">
        <v>0</v>
      </c>
      <c r="V22" s="62">
        <v>0</v>
      </c>
      <c r="W22" s="62">
        <v>0</v>
      </c>
      <c r="X22" s="62">
        <v>-201</v>
      </c>
    </row>
    <row r="23" spans="1:24" ht="15.75" hidden="1">
      <c r="A23" s="110"/>
      <c r="B23" s="324" t="s">
        <v>45</v>
      </c>
      <c r="C23" s="62">
        <v>0</v>
      </c>
      <c r="D23" s="62">
        <v>0</v>
      </c>
      <c r="E23" s="62">
        <v>-280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-280</v>
      </c>
      <c r="X23" s="62">
        <v>-280</v>
      </c>
    </row>
    <row r="24" spans="1:24" ht="15.75" hidden="1">
      <c r="A24" s="110"/>
      <c r="B24" s="324" t="s">
        <v>46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-357.5</v>
      </c>
      <c r="T24" s="63">
        <v>0</v>
      </c>
      <c r="U24" s="63">
        <v>0</v>
      </c>
      <c r="V24" s="63">
        <v>0</v>
      </c>
      <c r="W24" s="62">
        <v>0</v>
      </c>
      <c r="X24" s="62">
        <v>-357.5</v>
      </c>
    </row>
    <row r="25" spans="1:24">
      <c r="A25" s="110" t="s">
        <v>19</v>
      </c>
      <c r="B25" s="323" t="s">
        <v>30</v>
      </c>
      <c r="C25" s="322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19"/>
      <c r="W25" s="112"/>
      <c r="X25" s="113"/>
    </row>
    <row r="26" spans="1:24" ht="16.5" thickBot="1">
      <c r="A26" s="111"/>
      <c r="B26" s="114" t="s">
        <v>62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476.577</v>
      </c>
      <c r="T26" s="63">
        <v>0</v>
      </c>
      <c r="U26" s="63">
        <v>0</v>
      </c>
      <c r="V26" s="63">
        <v>0</v>
      </c>
      <c r="W26" s="62">
        <v>0</v>
      </c>
      <c r="X26" s="62">
        <v>476.577</v>
      </c>
    </row>
    <row r="27" spans="1:24" ht="16.5" thickBot="1">
      <c r="A27" s="111"/>
      <c r="B27" s="116" t="s">
        <v>47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64">
        <v>0</v>
      </c>
      <c r="S27" s="64">
        <v>476.577</v>
      </c>
      <c r="T27" s="64">
        <v>0</v>
      </c>
      <c r="U27" s="64">
        <v>0</v>
      </c>
      <c r="V27" s="64">
        <v>0</v>
      </c>
      <c r="W27" s="64">
        <v>0</v>
      </c>
      <c r="X27" s="64">
        <v>476.577</v>
      </c>
    </row>
    <row r="28" spans="1:24" ht="15.75">
      <c r="A28" s="111"/>
      <c r="B28" s="114" t="s">
        <v>72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115">
        <v>0</v>
      </c>
      <c r="R28" s="115">
        <v>0</v>
      </c>
      <c r="S28" s="115">
        <v>199.92400000000001</v>
      </c>
      <c r="T28" s="115">
        <v>0</v>
      </c>
      <c r="U28" s="115">
        <v>0</v>
      </c>
      <c r="V28" s="115">
        <v>0</v>
      </c>
      <c r="W28" s="128">
        <v>0</v>
      </c>
      <c r="X28" s="62">
        <v>199.92400000000001</v>
      </c>
    </row>
    <row r="29" spans="1:24" ht="15.75">
      <c r="A29" s="111"/>
      <c r="B29" s="114" t="s">
        <v>73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115">
        <v>199.92400000000001</v>
      </c>
      <c r="P29" s="63">
        <v>0</v>
      </c>
      <c r="Q29" s="115">
        <v>0</v>
      </c>
      <c r="R29" s="115">
        <v>0</v>
      </c>
      <c r="S29" s="115">
        <v>0</v>
      </c>
      <c r="T29" s="115">
        <v>0</v>
      </c>
      <c r="U29" s="115">
        <v>0</v>
      </c>
      <c r="V29" s="115">
        <v>0</v>
      </c>
      <c r="W29" s="128">
        <v>0</v>
      </c>
      <c r="X29" s="62">
        <v>199.92400000000001</v>
      </c>
    </row>
    <row r="30" spans="1:24" ht="15.75">
      <c r="A30" s="111"/>
      <c r="B30" s="114" t="s">
        <v>74</v>
      </c>
      <c r="C30" s="63">
        <v>0</v>
      </c>
      <c r="D30" s="63">
        <v>0</v>
      </c>
      <c r="E30" s="63">
        <v>0</v>
      </c>
      <c r="F30" s="63">
        <v>0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  <c r="L30" s="115">
        <v>0</v>
      </c>
      <c r="M30" s="115">
        <v>0</v>
      </c>
      <c r="N30" s="115">
        <v>0</v>
      </c>
      <c r="O30" s="115">
        <v>0</v>
      </c>
      <c r="P30" s="115">
        <v>0</v>
      </c>
      <c r="Q30" s="115">
        <v>85.498999999999995</v>
      </c>
      <c r="R30" s="115">
        <v>0</v>
      </c>
      <c r="S30" s="115">
        <v>0</v>
      </c>
      <c r="T30" s="115">
        <v>0</v>
      </c>
      <c r="U30" s="115">
        <v>0</v>
      </c>
      <c r="V30" s="115">
        <v>0</v>
      </c>
      <c r="W30" s="128">
        <v>0</v>
      </c>
      <c r="X30" s="62">
        <v>85.498999999999995</v>
      </c>
    </row>
    <row r="31" spans="1:24" ht="15.75">
      <c r="A31" s="111"/>
      <c r="B31" s="114" t="s">
        <v>75</v>
      </c>
      <c r="C31" s="63">
        <v>0</v>
      </c>
      <c r="D31" s="63">
        <v>0</v>
      </c>
      <c r="E31" s="63">
        <v>0</v>
      </c>
      <c r="F31" s="63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  <c r="M31" s="115">
        <v>0</v>
      </c>
      <c r="N31" s="115">
        <v>0</v>
      </c>
      <c r="O31" s="115">
        <v>0</v>
      </c>
      <c r="P31" s="115">
        <v>0</v>
      </c>
      <c r="Q31" s="115">
        <v>0</v>
      </c>
      <c r="R31" s="115">
        <v>0</v>
      </c>
      <c r="S31" s="115">
        <v>0</v>
      </c>
      <c r="T31" s="115">
        <v>0</v>
      </c>
      <c r="U31" s="115">
        <v>0</v>
      </c>
      <c r="V31" s="115">
        <v>773.98800000000006</v>
      </c>
      <c r="W31" s="128">
        <v>0</v>
      </c>
      <c r="X31" s="62">
        <v>773.98800000000006</v>
      </c>
    </row>
    <row r="32" spans="1:24" ht="16.5" thickBot="1">
      <c r="A32" s="111"/>
      <c r="B32" s="114" t="s">
        <v>76</v>
      </c>
      <c r="C32" s="63">
        <v>0</v>
      </c>
      <c r="D32" s="63">
        <v>0</v>
      </c>
      <c r="E32" s="63">
        <v>0</v>
      </c>
      <c r="F32" s="63">
        <v>0</v>
      </c>
      <c r="G32" s="115">
        <v>1100</v>
      </c>
      <c r="H32" s="115">
        <v>0</v>
      </c>
      <c r="I32" s="115">
        <v>0</v>
      </c>
      <c r="J32" s="115">
        <v>0</v>
      </c>
      <c r="K32" s="115">
        <v>0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5">
        <v>0</v>
      </c>
      <c r="R32" s="115">
        <v>0</v>
      </c>
      <c r="S32" s="115">
        <v>0</v>
      </c>
      <c r="T32" s="115">
        <v>0</v>
      </c>
      <c r="U32" s="115">
        <v>0</v>
      </c>
      <c r="V32" s="115">
        <v>0</v>
      </c>
      <c r="W32" s="128">
        <v>1100</v>
      </c>
      <c r="X32" s="62">
        <v>1100</v>
      </c>
    </row>
    <row r="33" spans="1:24" ht="16.5" thickBot="1">
      <c r="A33" s="111"/>
      <c r="B33" s="116" t="s">
        <v>77</v>
      </c>
      <c r="C33" s="64">
        <v>0</v>
      </c>
      <c r="D33" s="64">
        <v>0</v>
      </c>
      <c r="E33" s="64">
        <v>0</v>
      </c>
      <c r="F33" s="64">
        <v>0</v>
      </c>
      <c r="G33" s="129">
        <v>1100</v>
      </c>
      <c r="H33" s="129">
        <v>0</v>
      </c>
      <c r="I33" s="129">
        <v>0</v>
      </c>
      <c r="J33" s="129">
        <v>0</v>
      </c>
      <c r="K33" s="129">
        <v>0</v>
      </c>
      <c r="L33" s="129">
        <v>0</v>
      </c>
      <c r="M33" s="129">
        <v>0</v>
      </c>
      <c r="N33" s="129">
        <v>0</v>
      </c>
      <c r="O33" s="129">
        <v>0</v>
      </c>
      <c r="P33" s="129">
        <v>0</v>
      </c>
      <c r="Q33" s="129">
        <v>85.498999999999995</v>
      </c>
      <c r="R33" s="129">
        <v>0</v>
      </c>
      <c r="S33" s="129">
        <v>0</v>
      </c>
      <c r="T33" s="129">
        <v>0</v>
      </c>
      <c r="U33" s="129">
        <v>0</v>
      </c>
      <c r="V33" s="129">
        <v>773.98800000000006</v>
      </c>
      <c r="W33" s="129">
        <v>1100</v>
      </c>
      <c r="X33" s="64">
        <v>1959.4870000000001</v>
      </c>
    </row>
    <row r="34" spans="1:24" ht="16.5" thickBot="1">
      <c r="A34" s="111"/>
      <c r="B34" s="117" t="s">
        <v>78</v>
      </c>
      <c r="C34" s="130">
        <v>0</v>
      </c>
      <c r="D34" s="130">
        <v>0</v>
      </c>
      <c r="E34" s="130">
        <v>0</v>
      </c>
      <c r="F34" s="130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79.44</v>
      </c>
      <c r="R34" s="131">
        <v>166.625</v>
      </c>
      <c r="S34" s="131">
        <v>209.99100000000001</v>
      </c>
      <c r="T34" s="131">
        <v>40.779000000000003</v>
      </c>
      <c r="U34" s="131">
        <v>290.57600000000002</v>
      </c>
      <c r="V34" s="131">
        <v>12.589</v>
      </c>
      <c r="W34" s="115">
        <v>0</v>
      </c>
      <c r="X34" s="63">
        <v>800.00000000000011</v>
      </c>
    </row>
    <row r="35" spans="1:24" ht="16.5" hidden="1" thickBot="1">
      <c r="A35" s="111"/>
      <c r="B35" s="117" t="s">
        <v>79</v>
      </c>
      <c r="C35" s="65">
        <v>0</v>
      </c>
      <c r="D35" s="65">
        <v>0</v>
      </c>
      <c r="E35" s="65">
        <v>0</v>
      </c>
      <c r="F35" s="65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3.35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1.34</v>
      </c>
      <c r="W35" s="133">
        <v>0</v>
      </c>
      <c r="X35" s="66">
        <v>4.6900000000000004</v>
      </c>
    </row>
    <row r="36" spans="1:24" ht="16.5" hidden="1" thickBot="1">
      <c r="A36" s="111"/>
      <c r="B36" s="117" t="s">
        <v>80</v>
      </c>
      <c r="C36" s="65">
        <v>0</v>
      </c>
      <c r="D36" s="65">
        <v>0</v>
      </c>
      <c r="E36" s="65">
        <v>0</v>
      </c>
      <c r="F36" s="65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1.93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3">
        <v>0</v>
      </c>
      <c r="X36" s="66">
        <v>1.93</v>
      </c>
    </row>
    <row r="37" spans="1:24" ht="16.5" hidden="1" thickBot="1">
      <c r="A37" s="111"/>
      <c r="B37" s="117" t="s">
        <v>81</v>
      </c>
      <c r="C37" s="65">
        <v>0</v>
      </c>
      <c r="D37" s="65">
        <v>0</v>
      </c>
      <c r="E37" s="65">
        <v>0</v>
      </c>
      <c r="F37" s="65">
        <v>0</v>
      </c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0</v>
      </c>
      <c r="M37" s="132">
        <v>0</v>
      </c>
      <c r="N37" s="132">
        <v>10.93</v>
      </c>
      <c r="O37" s="132">
        <v>3.94</v>
      </c>
      <c r="P37" s="132">
        <v>0</v>
      </c>
      <c r="Q37" s="132">
        <v>0</v>
      </c>
      <c r="R37" s="132">
        <v>3.36</v>
      </c>
      <c r="S37" s="132">
        <v>0</v>
      </c>
      <c r="T37" s="132">
        <v>0</v>
      </c>
      <c r="U37" s="132">
        <v>3.05</v>
      </c>
      <c r="V37" s="132">
        <v>0</v>
      </c>
      <c r="W37" s="133">
        <v>0</v>
      </c>
      <c r="X37" s="66">
        <v>21.28</v>
      </c>
    </row>
    <row r="38" spans="1:24" ht="16.5" hidden="1" thickBot="1">
      <c r="A38" s="111"/>
      <c r="B38" s="117" t="s">
        <v>82</v>
      </c>
      <c r="C38" s="66">
        <v>0</v>
      </c>
      <c r="D38" s="66">
        <v>0</v>
      </c>
      <c r="E38" s="66">
        <v>0</v>
      </c>
      <c r="F38" s="66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68.37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66">
        <v>68.37</v>
      </c>
    </row>
    <row r="39" spans="1:24" ht="16.5" hidden="1" thickBot="1">
      <c r="A39" s="111"/>
      <c r="B39" s="117" t="s">
        <v>83</v>
      </c>
      <c r="C39" s="65">
        <v>0</v>
      </c>
      <c r="D39" s="65">
        <v>0</v>
      </c>
      <c r="E39" s="65">
        <v>0</v>
      </c>
      <c r="F39" s="65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34.75</v>
      </c>
      <c r="O39" s="132">
        <v>40.54</v>
      </c>
      <c r="P39" s="132">
        <v>4.75</v>
      </c>
      <c r="Q39" s="132">
        <v>0</v>
      </c>
      <c r="R39" s="132">
        <v>0</v>
      </c>
      <c r="S39" s="132">
        <v>0</v>
      </c>
      <c r="T39" s="132">
        <v>3.67</v>
      </c>
      <c r="U39" s="132">
        <v>0</v>
      </c>
      <c r="V39" s="132">
        <v>2.2200000000000002</v>
      </c>
      <c r="W39" s="133">
        <v>0</v>
      </c>
      <c r="X39" s="66">
        <v>85.929999999999993</v>
      </c>
    </row>
    <row r="40" spans="1:24" ht="16.5" hidden="1" thickBot="1">
      <c r="A40" s="111"/>
      <c r="B40" s="117" t="s">
        <v>84</v>
      </c>
      <c r="C40" s="65">
        <v>0</v>
      </c>
      <c r="D40" s="65">
        <v>0</v>
      </c>
      <c r="E40" s="65">
        <v>0</v>
      </c>
      <c r="F40" s="65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2">
        <v>0</v>
      </c>
      <c r="M40" s="132">
        <v>0</v>
      </c>
      <c r="N40" s="132">
        <v>3.05</v>
      </c>
      <c r="O40" s="132">
        <v>0</v>
      </c>
      <c r="P40" s="132">
        <v>0</v>
      </c>
      <c r="Q40" s="132">
        <v>0</v>
      </c>
      <c r="R40" s="132">
        <v>0</v>
      </c>
      <c r="S40" s="132">
        <v>0</v>
      </c>
      <c r="T40" s="132">
        <v>0</v>
      </c>
      <c r="U40" s="132">
        <v>0</v>
      </c>
      <c r="V40" s="132">
        <v>3.25</v>
      </c>
      <c r="W40" s="133">
        <v>0</v>
      </c>
      <c r="X40" s="66">
        <v>6.3</v>
      </c>
    </row>
    <row r="41" spans="1:24" ht="16.5" hidden="1" thickBot="1">
      <c r="A41" s="111"/>
      <c r="B41" s="117" t="s">
        <v>85</v>
      </c>
      <c r="C41" s="65">
        <v>0</v>
      </c>
      <c r="D41" s="65">
        <v>0</v>
      </c>
      <c r="E41" s="65">
        <v>0</v>
      </c>
      <c r="F41" s="65">
        <v>0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4.78</v>
      </c>
      <c r="O41" s="132">
        <v>0</v>
      </c>
      <c r="P41" s="132">
        <v>0</v>
      </c>
      <c r="Q41" s="132">
        <v>0</v>
      </c>
      <c r="R41" s="132">
        <v>0</v>
      </c>
      <c r="S41" s="132">
        <v>0</v>
      </c>
      <c r="T41" s="132">
        <v>0</v>
      </c>
      <c r="U41" s="132">
        <v>0</v>
      </c>
      <c r="V41" s="132">
        <v>2.87</v>
      </c>
      <c r="W41" s="133">
        <v>0</v>
      </c>
      <c r="X41" s="66">
        <v>7.65</v>
      </c>
    </row>
    <row r="42" spans="1:24" ht="16.5" hidden="1" thickBot="1">
      <c r="A42" s="111"/>
      <c r="B42" s="117" t="s">
        <v>86</v>
      </c>
      <c r="C42" s="65">
        <v>0</v>
      </c>
      <c r="D42" s="65">
        <v>0</v>
      </c>
      <c r="E42" s="65">
        <v>0</v>
      </c>
      <c r="F42" s="65">
        <v>0</v>
      </c>
      <c r="G42" s="132">
        <v>0</v>
      </c>
      <c r="H42" s="132">
        <v>0</v>
      </c>
      <c r="I42" s="132">
        <v>0</v>
      </c>
      <c r="J42" s="132">
        <v>0</v>
      </c>
      <c r="K42" s="132">
        <v>0</v>
      </c>
      <c r="L42" s="132">
        <v>0</v>
      </c>
      <c r="M42" s="132">
        <v>0</v>
      </c>
      <c r="N42" s="132">
        <v>0</v>
      </c>
      <c r="O42" s="132">
        <v>40.71</v>
      </c>
      <c r="P42" s="132">
        <v>0</v>
      </c>
      <c r="Q42" s="132">
        <v>0</v>
      </c>
      <c r="R42" s="132">
        <v>0</v>
      </c>
      <c r="S42" s="132">
        <v>3.11</v>
      </c>
      <c r="T42" s="132">
        <v>0</v>
      </c>
      <c r="U42" s="132">
        <v>0</v>
      </c>
      <c r="V42" s="132">
        <v>1.95</v>
      </c>
      <c r="W42" s="133">
        <v>0</v>
      </c>
      <c r="X42" s="66">
        <v>45.77</v>
      </c>
    </row>
    <row r="43" spans="1:24" ht="16.5" hidden="1" thickBot="1">
      <c r="A43" s="111"/>
      <c r="B43" s="117" t="s">
        <v>87</v>
      </c>
      <c r="C43" s="65">
        <v>0</v>
      </c>
      <c r="D43" s="65">
        <v>0</v>
      </c>
      <c r="E43" s="65">
        <v>0</v>
      </c>
      <c r="F43" s="65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1.88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32">
        <v>0</v>
      </c>
      <c r="U43" s="132">
        <v>0</v>
      </c>
      <c r="V43" s="132">
        <v>0</v>
      </c>
      <c r="W43" s="133">
        <v>0</v>
      </c>
      <c r="X43" s="66">
        <v>1.88</v>
      </c>
    </row>
    <row r="44" spans="1:24" ht="16.5" thickBot="1">
      <c r="A44" s="111"/>
      <c r="B44" s="116" t="s">
        <v>20</v>
      </c>
      <c r="C44" s="67">
        <v>0</v>
      </c>
      <c r="D44" s="67">
        <v>0</v>
      </c>
      <c r="E44" s="67">
        <v>0</v>
      </c>
      <c r="F44" s="67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123.76</v>
      </c>
      <c r="O44" s="134">
        <v>90.47</v>
      </c>
      <c r="P44" s="134">
        <v>4.75</v>
      </c>
      <c r="Q44" s="134">
        <v>0</v>
      </c>
      <c r="R44" s="134">
        <v>3.36</v>
      </c>
      <c r="S44" s="134">
        <v>3.11</v>
      </c>
      <c r="T44" s="134">
        <v>3.67</v>
      </c>
      <c r="U44" s="134">
        <v>3.05</v>
      </c>
      <c r="V44" s="134">
        <v>11.629999999999999</v>
      </c>
      <c r="W44" s="134">
        <v>0</v>
      </c>
      <c r="X44" s="67">
        <v>243.80000000000004</v>
      </c>
    </row>
    <row r="45" spans="1:24" ht="16.5" hidden="1" thickBot="1">
      <c r="A45" s="111"/>
      <c r="B45" s="318" t="s">
        <v>48</v>
      </c>
      <c r="C45" s="63">
        <v>4.57</v>
      </c>
      <c r="D45" s="63">
        <v>6.5</v>
      </c>
      <c r="E45" s="63">
        <v>6.5299999999999994</v>
      </c>
      <c r="F45" s="63">
        <v>5.59</v>
      </c>
      <c r="G45" s="115">
        <v>5.7900000000000009</v>
      </c>
      <c r="H45" s="115">
        <v>5.42</v>
      </c>
      <c r="I45" s="115">
        <v>5.24</v>
      </c>
      <c r="J45" s="115">
        <v>5.5400000000000009</v>
      </c>
      <c r="K45" s="115">
        <v>5.33</v>
      </c>
      <c r="L45" s="115">
        <v>5.58</v>
      </c>
      <c r="M45" s="115">
        <v>5.25</v>
      </c>
      <c r="N45" s="115">
        <v>4.93</v>
      </c>
      <c r="O45" s="115">
        <v>4.76</v>
      </c>
      <c r="P45" s="115">
        <v>4.57</v>
      </c>
      <c r="Q45" s="115">
        <v>4.43</v>
      </c>
      <c r="R45" s="63">
        <v>3.7300000000000004</v>
      </c>
      <c r="S45" s="63">
        <v>3.48</v>
      </c>
      <c r="T45" s="63">
        <v>2.86</v>
      </c>
      <c r="U45" s="63">
        <v>2.56</v>
      </c>
      <c r="V45" s="63">
        <v>2.64</v>
      </c>
      <c r="W45" s="63">
        <v>56.09</v>
      </c>
      <c r="X45" s="63">
        <v>95.30000000000004</v>
      </c>
    </row>
    <row r="46" spans="1:24" ht="16.5" hidden="1" thickBot="1">
      <c r="A46" s="111"/>
      <c r="B46" s="318" t="s">
        <v>49</v>
      </c>
      <c r="C46" s="63">
        <v>84.4</v>
      </c>
      <c r="D46" s="63">
        <v>57.6</v>
      </c>
      <c r="E46" s="63">
        <v>61.5</v>
      </c>
      <c r="F46" s="63">
        <v>59.4</v>
      </c>
      <c r="G46" s="115">
        <v>61.5</v>
      </c>
      <c r="H46" s="115">
        <v>58.400000000000006</v>
      </c>
      <c r="I46" s="115">
        <v>65.8</v>
      </c>
      <c r="J46" s="115">
        <v>65.7</v>
      </c>
      <c r="K46" s="115">
        <v>62.6</v>
      </c>
      <c r="L46" s="115">
        <v>64.700000000000017</v>
      </c>
      <c r="M46" s="115">
        <v>64.600000000000009</v>
      </c>
      <c r="N46" s="115">
        <v>60.70000000000001</v>
      </c>
      <c r="O46" s="115">
        <v>56.800000000000011</v>
      </c>
      <c r="P46" s="115">
        <v>56.999999999999993</v>
      </c>
      <c r="Q46" s="115">
        <v>59.000000000000007</v>
      </c>
      <c r="R46" s="63">
        <v>49.300000000000011</v>
      </c>
      <c r="S46" s="63">
        <v>43.900000000000006</v>
      </c>
      <c r="T46" s="63">
        <v>37.000000000000007</v>
      </c>
      <c r="U46" s="63">
        <v>34.200000000000003</v>
      </c>
      <c r="V46" s="63">
        <v>34.800000000000004</v>
      </c>
      <c r="W46" s="63">
        <v>641.6</v>
      </c>
      <c r="X46" s="63">
        <v>1138.9000000000001</v>
      </c>
    </row>
    <row r="47" spans="1:24" ht="16.5" hidden="1" thickBot="1">
      <c r="A47" s="111"/>
      <c r="B47" s="318" t="s">
        <v>50</v>
      </c>
      <c r="C47" s="63">
        <v>7.5449999999999999</v>
      </c>
      <c r="D47" s="63">
        <v>10.210000000000001</v>
      </c>
      <c r="E47" s="63">
        <v>10.809999999999999</v>
      </c>
      <c r="F47" s="63">
        <v>10.28</v>
      </c>
      <c r="G47" s="115">
        <v>13.26</v>
      </c>
      <c r="H47" s="115">
        <v>13.489999999999998</v>
      </c>
      <c r="I47" s="115">
        <v>13.71</v>
      </c>
      <c r="J47" s="115">
        <v>13.75</v>
      </c>
      <c r="K47" s="115">
        <v>14.48</v>
      </c>
      <c r="L47" s="115">
        <v>13.88</v>
      </c>
      <c r="M47" s="115">
        <v>12.49</v>
      </c>
      <c r="N47" s="115">
        <v>11.32</v>
      </c>
      <c r="O47" s="115">
        <v>11.48</v>
      </c>
      <c r="P47" s="115">
        <v>11.030000000000001</v>
      </c>
      <c r="Q47" s="115">
        <v>10.64</v>
      </c>
      <c r="R47" s="63">
        <v>8.92</v>
      </c>
      <c r="S47" s="63">
        <v>7.62</v>
      </c>
      <c r="T47" s="63">
        <v>6.8900000000000006</v>
      </c>
      <c r="U47" s="63">
        <v>6.96</v>
      </c>
      <c r="V47" s="63">
        <v>6.98</v>
      </c>
      <c r="W47" s="68">
        <v>121.41500000000001</v>
      </c>
      <c r="X47" s="68">
        <v>215.745</v>
      </c>
    </row>
    <row r="48" spans="1:24" ht="16.5" thickBot="1">
      <c r="A48" s="111"/>
      <c r="B48" s="116" t="s">
        <v>21</v>
      </c>
      <c r="C48" s="64">
        <v>96.515000000000001</v>
      </c>
      <c r="D48" s="64">
        <v>74.31</v>
      </c>
      <c r="E48" s="64">
        <v>78.84</v>
      </c>
      <c r="F48" s="64">
        <v>75.27</v>
      </c>
      <c r="G48" s="129">
        <v>80.550000000000011</v>
      </c>
      <c r="H48" s="129">
        <v>77.31</v>
      </c>
      <c r="I48" s="129">
        <v>84.75</v>
      </c>
      <c r="J48" s="129">
        <v>84.990000000000009</v>
      </c>
      <c r="K48" s="129">
        <v>82.410000000000011</v>
      </c>
      <c r="L48" s="129">
        <v>84.160000000000011</v>
      </c>
      <c r="M48" s="129">
        <v>82.34</v>
      </c>
      <c r="N48" s="129">
        <v>76.950000000000017</v>
      </c>
      <c r="O48" s="129">
        <v>73.040000000000006</v>
      </c>
      <c r="P48" s="129">
        <v>72.599999999999994</v>
      </c>
      <c r="Q48" s="129">
        <v>74.070000000000007</v>
      </c>
      <c r="R48" s="64">
        <v>61.950000000000017</v>
      </c>
      <c r="S48" s="64">
        <v>55</v>
      </c>
      <c r="T48" s="64">
        <v>46.750000000000007</v>
      </c>
      <c r="U48" s="64">
        <v>43.720000000000006</v>
      </c>
      <c r="V48" s="64">
        <v>44.42</v>
      </c>
      <c r="W48" s="64">
        <v>819.10500000000002</v>
      </c>
      <c r="X48" s="64">
        <v>1449.9450000000002</v>
      </c>
    </row>
    <row r="49" spans="1:24" ht="15.75">
      <c r="A49" s="111"/>
      <c r="B49" s="118" t="s">
        <v>88</v>
      </c>
      <c r="C49" s="63">
        <v>0</v>
      </c>
      <c r="D49" s="63">
        <v>0</v>
      </c>
      <c r="E49" s="63">
        <v>0</v>
      </c>
      <c r="F49" s="63">
        <v>0</v>
      </c>
      <c r="G49" s="115">
        <v>0</v>
      </c>
      <c r="H49" s="115">
        <v>0</v>
      </c>
      <c r="I49" s="115">
        <v>0</v>
      </c>
      <c r="J49" s="115">
        <v>0</v>
      </c>
      <c r="K49" s="115">
        <v>0</v>
      </c>
      <c r="L49" s="115">
        <v>27.126000000000001</v>
      </c>
      <c r="M49" s="115">
        <v>27.126000000000001</v>
      </c>
      <c r="N49" s="115">
        <v>300</v>
      </c>
      <c r="O49" s="115">
        <v>300</v>
      </c>
      <c r="P49" s="115">
        <v>290.67500000000001</v>
      </c>
      <c r="Q49" s="115">
        <v>300</v>
      </c>
      <c r="R49" s="63">
        <v>300</v>
      </c>
      <c r="S49" s="63">
        <v>300</v>
      </c>
      <c r="T49" s="63">
        <v>300</v>
      </c>
      <c r="U49" s="63">
        <v>300</v>
      </c>
      <c r="V49" s="63">
        <v>300</v>
      </c>
      <c r="W49" s="62">
        <v>2.7126000000000001</v>
      </c>
      <c r="X49" s="62">
        <v>137.24634999999998</v>
      </c>
    </row>
    <row r="50" spans="1:24" hidden="1">
      <c r="A50" s="109" t="s">
        <v>22</v>
      </c>
      <c r="B50" s="323" t="s">
        <v>29</v>
      </c>
      <c r="C50" s="322"/>
      <c r="D50" s="320"/>
      <c r="E50" s="320"/>
      <c r="F50" s="320"/>
      <c r="G50" s="321"/>
      <c r="H50" s="321"/>
      <c r="I50" s="321"/>
      <c r="J50" s="321"/>
      <c r="K50" s="321"/>
      <c r="L50" s="321"/>
      <c r="M50" s="321"/>
      <c r="N50" s="321"/>
      <c r="O50" s="321"/>
      <c r="P50" s="321"/>
      <c r="Q50" s="321"/>
      <c r="R50" s="320"/>
      <c r="S50" s="320"/>
      <c r="T50" s="320"/>
      <c r="U50" s="320"/>
      <c r="V50" s="319"/>
      <c r="W50" s="322"/>
      <c r="X50" s="113"/>
    </row>
    <row r="51" spans="1:24" ht="15.75" hidden="1">
      <c r="A51" s="110"/>
      <c r="B51" s="324" t="s">
        <v>89</v>
      </c>
      <c r="C51" s="62">
        <v>0</v>
      </c>
      <c r="D51" s="62">
        <v>0</v>
      </c>
      <c r="E51" s="62">
        <v>0</v>
      </c>
      <c r="F51" s="62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-354</v>
      </c>
      <c r="P51" s="128">
        <v>0</v>
      </c>
      <c r="Q51" s="128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-354</v>
      </c>
    </row>
    <row r="52" spans="1:24" ht="15.75" hidden="1">
      <c r="A52" s="110"/>
      <c r="B52" s="324" t="s">
        <v>90</v>
      </c>
      <c r="C52" s="62">
        <v>0</v>
      </c>
      <c r="D52" s="62">
        <v>0</v>
      </c>
      <c r="E52" s="62">
        <v>0</v>
      </c>
      <c r="F52" s="62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62">
        <v>0</v>
      </c>
      <c r="S52" s="62">
        <v>-359.3</v>
      </c>
      <c r="T52" s="62">
        <v>0</v>
      </c>
      <c r="U52" s="62">
        <v>0</v>
      </c>
      <c r="V52" s="62">
        <v>0</v>
      </c>
      <c r="W52" s="62">
        <v>0</v>
      </c>
      <c r="X52" s="62">
        <v>-359.3</v>
      </c>
    </row>
    <row r="53" spans="1:24" ht="15.75" hidden="1">
      <c r="A53" s="110"/>
      <c r="B53" s="324" t="s">
        <v>70</v>
      </c>
      <c r="C53" s="62">
        <v>0</v>
      </c>
      <c r="D53" s="62">
        <v>0</v>
      </c>
      <c r="E53" s="63">
        <v>-311.5</v>
      </c>
      <c r="F53" s="62">
        <v>0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128">
        <v>0</v>
      </c>
      <c r="O53" s="128">
        <v>0</v>
      </c>
      <c r="P53" s="128">
        <v>0</v>
      </c>
      <c r="Q53" s="128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-311.5</v>
      </c>
      <c r="X53" s="62">
        <v>-311.5</v>
      </c>
    </row>
    <row r="54" spans="1:24" ht="15.75" hidden="1">
      <c r="A54" s="110"/>
      <c r="B54" s="324" t="s">
        <v>91</v>
      </c>
      <c r="C54" s="63">
        <v>0</v>
      </c>
      <c r="D54" s="63">
        <v>0</v>
      </c>
      <c r="E54" s="63">
        <v>334.5</v>
      </c>
      <c r="F54" s="63">
        <v>0</v>
      </c>
      <c r="G54" s="115">
        <v>0</v>
      </c>
      <c r="H54" s="115">
        <v>0</v>
      </c>
      <c r="I54" s="115">
        <v>0</v>
      </c>
      <c r="J54" s="115">
        <v>0</v>
      </c>
      <c r="K54" s="115">
        <v>0</v>
      </c>
      <c r="L54" s="115">
        <v>0</v>
      </c>
      <c r="M54" s="115">
        <v>0</v>
      </c>
      <c r="N54" s="115">
        <v>0</v>
      </c>
      <c r="O54" s="115">
        <v>0</v>
      </c>
      <c r="P54" s="115">
        <v>0</v>
      </c>
      <c r="Q54" s="115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2">
        <v>334.5</v>
      </c>
      <c r="X54" s="62">
        <v>334.5</v>
      </c>
    </row>
    <row r="55" spans="1:24">
      <c r="A55" s="119" t="s">
        <v>22</v>
      </c>
      <c r="B55" s="323" t="s">
        <v>30</v>
      </c>
      <c r="C55" s="322"/>
      <c r="D55" s="320"/>
      <c r="E55" s="320"/>
      <c r="F55" s="320"/>
      <c r="G55" s="321"/>
      <c r="H55" s="321"/>
      <c r="I55" s="321"/>
      <c r="J55" s="321"/>
      <c r="K55" s="321"/>
      <c r="L55" s="321"/>
      <c r="M55" s="321"/>
      <c r="N55" s="321"/>
      <c r="O55" s="321"/>
      <c r="P55" s="321"/>
      <c r="Q55" s="321"/>
      <c r="R55" s="320"/>
      <c r="S55" s="320"/>
      <c r="T55" s="320"/>
      <c r="U55" s="320"/>
      <c r="V55" s="319"/>
      <c r="W55" s="112"/>
      <c r="X55" s="113"/>
    </row>
    <row r="56" spans="1:24" ht="16.5" thickBot="1">
      <c r="A56" s="135"/>
      <c r="B56" s="136" t="s">
        <v>92</v>
      </c>
      <c r="C56" s="63">
        <v>0</v>
      </c>
      <c r="D56" s="63">
        <v>0</v>
      </c>
      <c r="E56" s="63">
        <v>0</v>
      </c>
      <c r="F56" s="63">
        <v>0</v>
      </c>
      <c r="G56" s="115">
        <v>0</v>
      </c>
      <c r="H56" s="115">
        <v>0</v>
      </c>
      <c r="I56" s="115">
        <v>0</v>
      </c>
      <c r="J56" s="115">
        <v>0</v>
      </c>
      <c r="K56" s="115">
        <v>0</v>
      </c>
      <c r="L56" s="115">
        <v>0</v>
      </c>
      <c r="M56" s="115">
        <v>0</v>
      </c>
      <c r="N56" s="115">
        <v>0</v>
      </c>
      <c r="O56" s="115">
        <v>0</v>
      </c>
      <c r="P56" s="115">
        <v>436.35700000000003</v>
      </c>
      <c r="Q56" s="115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2">
        <v>0</v>
      </c>
      <c r="X56" s="62">
        <v>436.35700000000003</v>
      </c>
    </row>
    <row r="57" spans="1:24" ht="16.5" thickBot="1">
      <c r="A57" s="111"/>
      <c r="B57" s="116" t="s">
        <v>47</v>
      </c>
      <c r="C57" s="64">
        <v>0</v>
      </c>
      <c r="D57" s="64">
        <v>0</v>
      </c>
      <c r="E57" s="64">
        <v>0</v>
      </c>
      <c r="F57" s="64">
        <v>0</v>
      </c>
      <c r="G57" s="129">
        <v>0</v>
      </c>
      <c r="H57" s="129">
        <v>0</v>
      </c>
      <c r="I57" s="129">
        <v>0</v>
      </c>
      <c r="J57" s="129">
        <v>0</v>
      </c>
      <c r="K57" s="129">
        <v>0</v>
      </c>
      <c r="L57" s="129">
        <v>0</v>
      </c>
      <c r="M57" s="129">
        <v>0</v>
      </c>
      <c r="N57" s="129">
        <v>0</v>
      </c>
      <c r="O57" s="129">
        <v>0</v>
      </c>
      <c r="P57" s="129">
        <v>436.35700000000003</v>
      </c>
      <c r="Q57" s="129">
        <v>0</v>
      </c>
      <c r="R57" s="64">
        <v>0</v>
      </c>
      <c r="S57" s="64">
        <v>0</v>
      </c>
      <c r="T57" s="64">
        <v>0</v>
      </c>
      <c r="U57" s="64">
        <v>0</v>
      </c>
      <c r="V57" s="64">
        <v>0</v>
      </c>
      <c r="W57" s="64">
        <v>0</v>
      </c>
      <c r="X57" s="64">
        <v>436.35700000000003</v>
      </c>
    </row>
    <row r="58" spans="1:24" ht="16.5" thickBot="1">
      <c r="A58" s="120"/>
      <c r="B58" s="317" t="s">
        <v>93</v>
      </c>
      <c r="C58" s="63">
        <v>0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142">
        <v>11.44</v>
      </c>
      <c r="O58" s="63">
        <v>96.875</v>
      </c>
      <c r="P58" s="63">
        <v>0</v>
      </c>
      <c r="Q58" s="63">
        <v>38.485999999999997</v>
      </c>
      <c r="R58" s="63">
        <v>70.004999999999995</v>
      </c>
      <c r="S58" s="63">
        <v>15.853999999999999</v>
      </c>
      <c r="T58" s="63">
        <v>7.5119999999999996</v>
      </c>
      <c r="U58" s="63">
        <v>0</v>
      </c>
      <c r="V58" s="63">
        <v>0</v>
      </c>
      <c r="W58" s="62">
        <v>0</v>
      </c>
      <c r="X58" s="62">
        <v>240.17199999999997</v>
      </c>
    </row>
    <row r="59" spans="1:24" ht="16.5" hidden="1" thickBot="1">
      <c r="A59" s="120"/>
      <c r="B59" s="317" t="s">
        <v>94</v>
      </c>
      <c r="C59" s="65">
        <v>0</v>
      </c>
      <c r="D59" s="65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5">
        <v>2.41</v>
      </c>
      <c r="O59" s="65">
        <v>0</v>
      </c>
      <c r="P59" s="65">
        <v>0</v>
      </c>
      <c r="Q59" s="65">
        <v>0</v>
      </c>
      <c r="R59" s="65">
        <v>0</v>
      </c>
      <c r="S59" s="65">
        <v>0</v>
      </c>
      <c r="T59" s="65">
        <v>0</v>
      </c>
      <c r="U59" s="65">
        <v>0</v>
      </c>
      <c r="V59" s="65">
        <v>0</v>
      </c>
      <c r="W59" s="66">
        <v>0</v>
      </c>
      <c r="X59" s="66">
        <v>2.41</v>
      </c>
    </row>
    <row r="60" spans="1:24" ht="16.5" hidden="1" thickBot="1">
      <c r="A60" s="120"/>
      <c r="B60" s="317" t="s">
        <v>95</v>
      </c>
      <c r="C60" s="65">
        <v>0</v>
      </c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1.21</v>
      </c>
      <c r="O60" s="65">
        <v>0</v>
      </c>
      <c r="P60" s="65">
        <v>0</v>
      </c>
      <c r="Q60" s="65">
        <v>0</v>
      </c>
      <c r="R60" s="65">
        <v>0</v>
      </c>
      <c r="S60" s="65">
        <v>0</v>
      </c>
      <c r="T60" s="65">
        <v>0</v>
      </c>
      <c r="U60" s="65">
        <v>0</v>
      </c>
      <c r="V60" s="65">
        <v>0</v>
      </c>
      <c r="W60" s="66">
        <v>0</v>
      </c>
      <c r="X60" s="66">
        <v>1.21</v>
      </c>
    </row>
    <row r="61" spans="1:24" ht="16.5" hidden="1" thickBot="1">
      <c r="A61" s="111"/>
      <c r="B61" s="318" t="s">
        <v>96</v>
      </c>
      <c r="C61" s="65">
        <v>0</v>
      </c>
      <c r="D61" s="65">
        <v>0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5">
        <v>0</v>
      </c>
      <c r="K61" s="65">
        <v>0</v>
      </c>
      <c r="L61" s="65">
        <v>0</v>
      </c>
      <c r="M61" s="65">
        <v>0</v>
      </c>
      <c r="N61" s="65">
        <v>3.69</v>
      </c>
      <c r="O61" s="65">
        <v>0</v>
      </c>
      <c r="P61" s="65">
        <v>0</v>
      </c>
      <c r="Q61" s="65">
        <v>0</v>
      </c>
      <c r="R61" s="65">
        <v>0</v>
      </c>
      <c r="S61" s="65">
        <v>0</v>
      </c>
      <c r="T61" s="65">
        <v>0</v>
      </c>
      <c r="U61" s="65">
        <v>0</v>
      </c>
      <c r="V61" s="65">
        <v>0</v>
      </c>
      <c r="W61" s="66">
        <v>0</v>
      </c>
      <c r="X61" s="66">
        <v>3.69</v>
      </c>
    </row>
    <row r="62" spans="1:24" ht="16.5" hidden="1" thickBot="1">
      <c r="A62" s="111"/>
      <c r="B62" s="318" t="s">
        <v>97</v>
      </c>
      <c r="C62" s="65">
        <v>0</v>
      </c>
      <c r="D62" s="65">
        <v>0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36.06</v>
      </c>
      <c r="P62" s="65">
        <v>0</v>
      </c>
      <c r="Q62" s="65">
        <v>3.34</v>
      </c>
      <c r="R62" s="65">
        <v>0</v>
      </c>
      <c r="S62" s="65">
        <v>0</v>
      </c>
      <c r="T62" s="65">
        <v>0</v>
      </c>
      <c r="U62" s="65">
        <v>0</v>
      </c>
      <c r="V62" s="65">
        <v>0</v>
      </c>
      <c r="W62" s="66">
        <v>0</v>
      </c>
      <c r="X62" s="66">
        <v>39.400000000000006</v>
      </c>
    </row>
    <row r="63" spans="1:24" ht="16.5" hidden="1" thickBot="1">
      <c r="A63" s="111"/>
      <c r="B63" s="318" t="s">
        <v>51</v>
      </c>
      <c r="C63" s="65">
        <v>0</v>
      </c>
      <c r="D63" s="65">
        <v>0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5">
        <v>0</v>
      </c>
      <c r="N63" s="65">
        <v>35.04</v>
      </c>
      <c r="O63" s="65">
        <v>0</v>
      </c>
      <c r="P63" s="65">
        <v>0</v>
      </c>
      <c r="Q63" s="65">
        <v>0</v>
      </c>
      <c r="R63" s="65">
        <v>0</v>
      </c>
      <c r="S63" s="65">
        <v>0</v>
      </c>
      <c r="T63" s="65">
        <v>0</v>
      </c>
      <c r="U63" s="65">
        <v>0</v>
      </c>
      <c r="V63" s="65">
        <v>0</v>
      </c>
      <c r="W63" s="66">
        <v>0</v>
      </c>
      <c r="X63" s="66">
        <v>35.04</v>
      </c>
    </row>
    <row r="64" spans="1:24" ht="16.5" hidden="1" thickBot="1">
      <c r="A64" s="111"/>
      <c r="B64" s="318" t="s">
        <v>52</v>
      </c>
      <c r="C64" s="65">
        <v>0</v>
      </c>
      <c r="D64" s="65">
        <v>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12.829999999999998</v>
      </c>
      <c r="O64" s="65">
        <v>0</v>
      </c>
      <c r="P64" s="65">
        <v>0</v>
      </c>
      <c r="Q64" s="65">
        <v>0</v>
      </c>
      <c r="R64" s="65">
        <v>0</v>
      </c>
      <c r="S64" s="65">
        <v>0</v>
      </c>
      <c r="T64" s="65">
        <v>0</v>
      </c>
      <c r="U64" s="65">
        <v>0</v>
      </c>
      <c r="V64" s="65">
        <v>0</v>
      </c>
      <c r="W64" s="66">
        <v>0</v>
      </c>
      <c r="X64" s="66">
        <v>12.829999999999998</v>
      </c>
    </row>
    <row r="65" spans="1:24" ht="16.5" hidden="1" thickBot="1">
      <c r="A65" s="111"/>
      <c r="B65" s="318" t="s">
        <v>98</v>
      </c>
      <c r="C65" s="65">
        <v>0</v>
      </c>
      <c r="D65" s="65">
        <v>0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  <c r="O65" s="65">
        <v>13.009999999999998</v>
      </c>
      <c r="P65" s="65">
        <v>0</v>
      </c>
      <c r="Q65" s="65">
        <v>0</v>
      </c>
      <c r="R65" s="65">
        <v>0</v>
      </c>
      <c r="S65" s="65">
        <v>0</v>
      </c>
      <c r="T65" s="65">
        <v>0</v>
      </c>
      <c r="U65" s="65">
        <v>0</v>
      </c>
      <c r="V65" s="65">
        <v>0</v>
      </c>
      <c r="W65" s="66">
        <v>0</v>
      </c>
      <c r="X65" s="66">
        <v>13.009999999999998</v>
      </c>
    </row>
    <row r="66" spans="1:24" ht="16.5" hidden="1" thickBot="1">
      <c r="A66" s="111"/>
      <c r="B66" s="318" t="s">
        <v>99</v>
      </c>
      <c r="C66" s="65">
        <v>0</v>
      </c>
      <c r="D66" s="65">
        <v>0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  <c r="J66" s="65">
        <v>0</v>
      </c>
      <c r="K66" s="65">
        <v>0</v>
      </c>
      <c r="L66" s="65">
        <v>0</v>
      </c>
      <c r="M66" s="65">
        <v>0</v>
      </c>
      <c r="N66" s="65">
        <v>9.06</v>
      </c>
      <c r="O66" s="65">
        <v>0</v>
      </c>
      <c r="P66" s="65">
        <v>0</v>
      </c>
      <c r="Q66" s="65">
        <v>0</v>
      </c>
      <c r="R66" s="65">
        <v>0</v>
      </c>
      <c r="S66" s="65">
        <v>0</v>
      </c>
      <c r="T66" s="65">
        <v>0</v>
      </c>
      <c r="U66" s="65">
        <v>0</v>
      </c>
      <c r="V66" s="65">
        <v>0</v>
      </c>
      <c r="W66" s="66">
        <v>0</v>
      </c>
      <c r="X66" s="66">
        <v>9.06</v>
      </c>
    </row>
    <row r="67" spans="1:24" ht="16.5" hidden="1" thickBot="1">
      <c r="A67" s="111"/>
      <c r="B67" s="318" t="s">
        <v>100</v>
      </c>
      <c r="C67" s="65">
        <v>0</v>
      </c>
      <c r="D67" s="65">
        <v>0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5">
        <v>0</v>
      </c>
      <c r="K67" s="65">
        <v>0</v>
      </c>
      <c r="L67" s="65">
        <v>0</v>
      </c>
      <c r="M67" s="65">
        <v>0</v>
      </c>
      <c r="N67" s="65">
        <v>4.8099999999999996</v>
      </c>
      <c r="O67" s="65">
        <v>0</v>
      </c>
      <c r="P67" s="65">
        <v>0</v>
      </c>
      <c r="Q67" s="65">
        <v>0</v>
      </c>
      <c r="R67" s="65">
        <v>0</v>
      </c>
      <c r="S67" s="65">
        <v>0</v>
      </c>
      <c r="T67" s="65">
        <v>0</v>
      </c>
      <c r="U67" s="65">
        <v>0</v>
      </c>
      <c r="V67" s="65">
        <v>0</v>
      </c>
      <c r="W67" s="66">
        <v>0</v>
      </c>
      <c r="X67" s="66">
        <v>4.8099999999999996</v>
      </c>
    </row>
    <row r="68" spans="1:24" ht="16.5" thickBot="1">
      <c r="A68" s="111"/>
      <c r="B68" s="116" t="s">
        <v>31</v>
      </c>
      <c r="C68" s="67">
        <v>0</v>
      </c>
      <c r="D68" s="67">
        <v>0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69.05</v>
      </c>
      <c r="O68" s="67">
        <v>49.07</v>
      </c>
      <c r="P68" s="67">
        <v>0</v>
      </c>
      <c r="Q68" s="67">
        <v>3.34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121.46000000000001</v>
      </c>
    </row>
    <row r="69" spans="1:24" ht="16.5" hidden="1" thickBot="1">
      <c r="A69" s="120"/>
      <c r="B69" s="318" t="s">
        <v>53</v>
      </c>
      <c r="C69" s="63">
        <v>1.52</v>
      </c>
      <c r="D69" s="63">
        <v>1.74</v>
      </c>
      <c r="E69" s="63">
        <v>1.25</v>
      </c>
      <c r="F69" s="63">
        <v>1.28</v>
      </c>
      <c r="G69" s="63">
        <v>1.2800000000000002</v>
      </c>
      <c r="H69" s="63">
        <v>1.26</v>
      </c>
      <c r="I69" s="63">
        <v>1.2</v>
      </c>
      <c r="J69" s="63">
        <v>1.1299999999999999</v>
      </c>
      <c r="K69" s="63">
        <v>1.0900000000000001</v>
      </c>
      <c r="L69" s="63">
        <v>0.99</v>
      </c>
      <c r="M69" s="63">
        <v>1.25</v>
      </c>
      <c r="N69" s="63">
        <v>1.0999999999999999</v>
      </c>
      <c r="O69" s="63">
        <v>0.98</v>
      </c>
      <c r="P69" s="63">
        <v>1.07</v>
      </c>
      <c r="Q69" s="63">
        <v>0.98</v>
      </c>
      <c r="R69" s="63">
        <v>0.79</v>
      </c>
      <c r="S69" s="63">
        <v>0.7</v>
      </c>
      <c r="T69" s="63">
        <v>0.56999999999999995</v>
      </c>
      <c r="U69" s="63">
        <v>0.31</v>
      </c>
      <c r="V69" s="63">
        <v>0.25</v>
      </c>
      <c r="W69" s="63">
        <v>12.74</v>
      </c>
      <c r="X69" s="63">
        <v>20.74</v>
      </c>
    </row>
    <row r="70" spans="1:24" ht="16.5" hidden="1" thickBot="1">
      <c r="A70" s="111"/>
      <c r="B70" s="318" t="s">
        <v>54</v>
      </c>
      <c r="C70" s="63">
        <v>45.756999999999998</v>
      </c>
      <c r="D70" s="63">
        <v>43.5</v>
      </c>
      <c r="E70" s="63">
        <v>42.4</v>
      </c>
      <c r="F70" s="63">
        <v>36.800000000000004</v>
      </c>
      <c r="G70" s="63">
        <v>31.200000000000003</v>
      </c>
      <c r="H70" s="63">
        <v>26.2</v>
      </c>
      <c r="I70" s="63">
        <v>23.1</v>
      </c>
      <c r="J70" s="63">
        <v>22.500000000000004</v>
      </c>
      <c r="K70" s="63">
        <v>19.700000000000003</v>
      </c>
      <c r="L70" s="63">
        <v>18.5</v>
      </c>
      <c r="M70" s="63">
        <v>18.3</v>
      </c>
      <c r="N70" s="63">
        <v>17.100000000000001</v>
      </c>
      <c r="O70" s="63">
        <v>16.5</v>
      </c>
      <c r="P70" s="63">
        <v>16.400000000000002</v>
      </c>
      <c r="Q70" s="63">
        <v>16.100000000000001</v>
      </c>
      <c r="R70" s="63">
        <v>16.600000000000001</v>
      </c>
      <c r="S70" s="63">
        <v>15.4</v>
      </c>
      <c r="T70" s="63">
        <v>15.3</v>
      </c>
      <c r="U70" s="63">
        <v>16.3</v>
      </c>
      <c r="V70" s="63">
        <v>16.2</v>
      </c>
      <c r="W70" s="63">
        <v>309.65700000000004</v>
      </c>
      <c r="X70" s="63">
        <v>473.85700000000008</v>
      </c>
    </row>
    <row r="71" spans="1:24" ht="16.5" hidden="1" thickBot="1">
      <c r="A71" s="111"/>
      <c r="B71" s="318" t="s">
        <v>55</v>
      </c>
      <c r="C71" s="63">
        <v>9.98</v>
      </c>
      <c r="D71" s="63">
        <v>8.16</v>
      </c>
      <c r="E71" s="63">
        <v>8.7000000000000011</v>
      </c>
      <c r="F71" s="63">
        <v>8.23</v>
      </c>
      <c r="G71" s="63">
        <v>9.7200000000000006</v>
      </c>
      <c r="H71" s="63">
        <v>9.2900000000000009</v>
      </c>
      <c r="I71" s="63">
        <v>8.8100000000000023</v>
      </c>
      <c r="J71" s="63">
        <v>9.0300000000000011</v>
      </c>
      <c r="K71" s="63">
        <v>8.3800000000000008</v>
      </c>
      <c r="L71" s="63">
        <v>7.5699999999999994</v>
      </c>
      <c r="M71" s="63">
        <v>7.18</v>
      </c>
      <c r="N71" s="63">
        <v>6.5500000000000007</v>
      </c>
      <c r="O71" s="63">
        <v>5.8100000000000005</v>
      </c>
      <c r="P71" s="63">
        <v>5.2700000000000014</v>
      </c>
      <c r="Q71" s="63">
        <v>5.0500000000000016</v>
      </c>
      <c r="R71" s="63">
        <v>4.0200000000000005</v>
      </c>
      <c r="S71" s="63">
        <v>3.4499999999999997</v>
      </c>
      <c r="T71" s="63">
        <v>2.7100000000000004</v>
      </c>
      <c r="U71" s="63">
        <v>2.3999999999999995</v>
      </c>
      <c r="V71" s="63">
        <v>1.85</v>
      </c>
      <c r="W71" s="68">
        <v>87.87</v>
      </c>
      <c r="X71" s="68">
        <v>132.16</v>
      </c>
    </row>
    <row r="72" spans="1:24" ht="16.5" thickBot="1">
      <c r="A72" s="111"/>
      <c r="B72" s="116" t="s">
        <v>23</v>
      </c>
      <c r="C72" s="64">
        <v>57.257000000000005</v>
      </c>
      <c r="D72" s="64">
        <v>53.400000000000006</v>
      </c>
      <c r="E72" s="64">
        <v>52.35</v>
      </c>
      <c r="F72" s="64">
        <v>46.31</v>
      </c>
      <c r="G72" s="64">
        <v>42.2</v>
      </c>
      <c r="H72" s="64">
        <v>36.75</v>
      </c>
      <c r="I72" s="64">
        <v>33.11</v>
      </c>
      <c r="J72" s="64">
        <v>32.660000000000004</v>
      </c>
      <c r="K72" s="64">
        <v>29.17</v>
      </c>
      <c r="L72" s="64">
        <v>27.06</v>
      </c>
      <c r="M72" s="64">
        <v>26.73</v>
      </c>
      <c r="N72" s="64">
        <v>24.750000000000004</v>
      </c>
      <c r="O72" s="64">
        <v>23.29</v>
      </c>
      <c r="P72" s="64">
        <v>22.740000000000002</v>
      </c>
      <c r="Q72" s="64">
        <v>22.130000000000003</v>
      </c>
      <c r="R72" s="64">
        <v>21.41</v>
      </c>
      <c r="S72" s="64">
        <v>19.55</v>
      </c>
      <c r="T72" s="64">
        <v>18.580000000000002</v>
      </c>
      <c r="U72" s="64">
        <v>19.009999999999998</v>
      </c>
      <c r="V72" s="64">
        <v>18.3</v>
      </c>
      <c r="W72" s="64">
        <v>410.26700000000005</v>
      </c>
      <c r="X72" s="64">
        <v>626.75700000000006</v>
      </c>
    </row>
    <row r="73" spans="1:24" ht="15.75">
      <c r="A73" s="120"/>
      <c r="B73" s="317" t="s">
        <v>101</v>
      </c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30</v>
      </c>
      <c r="P73" s="63">
        <v>0</v>
      </c>
      <c r="Q73" s="63">
        <v>0</v>
      </c>
      <c r="R73" s="63">
        <v>0</v>
      </c>
      <c r="S73" s="63">
        <v>0</v>
      </c>
      <c r="T73" s="63">
        <v>0</v>
      </c>
      <c r="U73" s="63">
        <v>0</v>
      </c>
      <c r="V73" s="63">
        <v>0</v>
      </c>
      <c r="W73" s="62">
        <v>0</v>
      </c>
      <c r="X73" s="62">
        <v>30</v>
      </c>
    </row>
    <row r="74" spans="1:24" ht="15.75">
      <c r="A74" s="120"/>
      <c r="B74" s="317" t="s">
        <v>102</v>
      </c>
      <c r="C74" s="63">
        <v>0</v>
      </c>
      <c r="D74" s="63">
        <v>0</v>
      </c>
      <c r="E74" s="63">
        <v>2.8730000000000002</v>
      </c>
      <c r="F74" s="63">
        <v>0</v>
      </c>
      <c r="G74" s="63">
        <v>0</v>
      </c>
      <c r="H74" s="63">
        <v>40.639000000000003</v>
      </c>
      <c r="I74" s="63">
        <v>0</v>
      </c>
      <c r="J74" s="63">
        <v>9.8089999999999993</v>
      </c>
      <c r="K74" s="63">
        <v>167.12899999999999</v>
      </c>
      <c r="L74" s="63">
        <v>76.040000000000006</v>
      </c>
      <c r="M74" s="63">
        <v>137.44200000000001</v>
      </c>
      <c r="N74" s="63">
        <v>400</v>
      </c>
      <c r="O74" s="63">
        <v>400</v>
      </c>
      <c r="P74" s="63">
        <v>400</v>
      </c>
      <c r="Q74" s="63">
        <v>400</v>
      </c>
      <c r="R74" s="63">
        <v>400</v>
      </c>
      <c r="S74" s="63">
        <v>400</v>
      </c>
      <c r="T74" s="63">
        <v>400</v>
      </c>
      <c r="U74" s="63">
        <v>400</v>
      </c>
      <c r="V74" s="63">
        <v>363.60700000000003</v>
      </c>
      <c r="W74" s="62">
        <v>29.649000000000001</v>
      </c>
      <c r="X74" s="62">
        <v>199.87694999999999</v>
      </c>
    </row>
    <row r="75" spans="1:24" ht="15.75">
      <c r="A75" s="120"/>
      <c r="B75" s="317" t="s">
        <v>103</v>
      </c>
      <c r="C75" s="63">
        <v>400</v>
      </c>
      <c r="D75" s="63">
        <v>400</v>
      </c>
      <c r="E75" s="63">
        <v>400</v>
      </c>
      <c r="F75" s="63">
        <v>400</v>
      </c>
      <c r="G75" s="63">
        <v>400</v>
      </c>
      <c r="H75" s="63">
        <v>400</v>
      </c>
      <c r="I75" s="63">
        <v>400</v>
      </c>
      <c r="J75" s="63">
        <v>400</v>
      </c>
      <c r="K75" s="63">
        <v>400</v>
      </c>
      <c r="L75" s="63">
        <v>400</v>
      </c>
      <c r="M75" s="63">
        <v>400</v>
      </c>
      <c r="N75" s="63">
        <v>400</v>
      </c>
      <c r="O75" s="63">
        <v>400</v>
      </c>
      <c r="P75" s="63">
        <v>400</v>
      </c>
      <c r="Q75" s="63">
        <v>400</v>
      </c>
      <c r="R75" s="63">
        <v>400</v>
      </c>
      <c r="S75" s="63">
        <v>400</v>
      </c>
      <c r="T75" s="63">
        <v>400</v>
      </c>
      <c r="U75" s="63">
        <v>400</v>
      </c>
      <c r="V75" s="63">
        <v>400</v>
      </c>
      <c r="W75" s="62">
        <v>400</v>
      </c>
      <c r="X75" s="62">
        <v>400</v>
      </c>
    </row>
    <row r="76" spans="1:24" ht="15.75">
      <c r="A76" s="120"/>
      <c r="B76" s="317" t="s">
        <v>104</v>
      </c>
      <c r="C76" s="63">
        <v>0</v>
      </c>
      <c r="D76" s="63">
        <v>21.074999999999999</v>
      </c>
      <c r="E76" s="63">
        <v>375</v>
      </c>
      <c r="F76" s="63">
        <v>307.39</v>
      </c>
      <c r="G76" s="63">
        <v>299.14100000000002</v>
      </c>
      <c r="H76" s="63">
        <v>375</v>
      </c>
      <c r="I76" s="63">
        <v>344.20600000000002</v>
      </c>
      <c r="J76" s="63">
        <v>375</v>
      </c>
      <c r="K76" s="63">
        <v>375</v>
      </c>
      <c r="L76" s="63">
        <v>375</v>
      </c>
      <c r="M76" s="63">
        <v>375</v>
      </c>
      <c r="N76" s="63">
        <v>375</v>
      </c>
      <c r="O76" s="63">
        <v>375</v>
      </c>
      <c r="P76" s="63">
        <v>375</v>
      </c>
      <c r="Q76" s="63">
        <v>375</v>
      </c>
      <c r="R76" s="63">
        <v>375</v>
      </c>
      <c r="S76" s="63">
        <v>375</v>
      </c>
      <c r="T76" s="63">
        <v>375</v>
      </c>
      <c r="U76" s="63">
        <v>375</v>
      </c>
      <c r="V76" s="63">
        <v>375</v>
      </c>
      <c r="W76" s="62">
        <v>284.68119999999999</v>
      </c>
      <c r="X76" s="62">
        <v>329.84059999999999</v>
      </c>
    </row>
    <row r="77" spans="1:24" ht="15.75">
      <c r="A77" s="120"/>
      <c r="B77" s="317" t="s">
        <v>105</v>
      </c>
      <c r="C77" s="63">
        <v>100</v>
      </c>
      <c r="D77" s="63">
        <v>100</v>
      </c>
      <c r="E77" s="63">
        <v>100</v>
      </c>
      <c r="F77" s="63">
        <v>100</v>
      </c>
      <c r="G77" s="63">
        <v>100</v>
      </c>
      <c r="H77" s="63">
        <v>100</v>
      </c>
      <c r="I77" s="63">
        <v>100</v>
      </c>
      <c r="J77" s="63">
        <v>100</v>
      </c>
      <c r="K77" s="63">
        <v>100</v>
      </c>
      <c r="L77" s="63">
        <v>100</v>
      </c>
      <c r="M77" s="63">
        <v>100</v>
      </c>
      <c r="N77" s="63">
        <v>100</v>
      </c>
      <c r="O77" s="63">
        <v>100</v>
      </c>
      <c r="P77" s="63">
        <v>100</v>
      </c>
      <c r="Q77" s="63">
        <v>100</v>
      </c>
      <c r="R77" s="63">
        <v>100</v>
      </c>
      <c r="S77" s="63">
        <v>100</v>
      </c>
      <c r="T77" s="63">
        <v>100</v>
      </c>
      <c r="U77" s="63">
        <v>100</v>
      </c>
      <c r="V77" s="63">
        <v>100</v>
      </c>
      <c r="W77" s="62">
        <v>100</v>
      </c>
      <c r="X77" s="62">
        <v>100</v>
      </c>
    </row>
    <row r="78" spans="1:24" ht="15.75">
      <c r="A78" s="137"/>
      <c r="B78" s="316" t="s">
        <v>106</v>
      </c>
      <c r="C78" s="138">
        <v>281.012</v>
      </c>
      <c r="D78" s="138">
        <v>332.17</v>
      </c>
      <c r="E78" s="138">
        <v>272.65499999999997</v>
      </c>
      <c r="F78" s="138">
        <v>307.34800000000001</v>
      </c>
      <c r="G78" s="138">
        <v>0</v>
      </c>
      <c r="H78" s="138">
        <v>307.57900000000001</v>
      </c>
      <c r="I78" s="138">
        <v>0</v>
      </c>
      <c r="J78" s="138">
        <v>287.03100000000001</v>
      </c>
      <c r="K78" s="138">
        <v>294.80599999999998</v>
      </c>
      <c r="L78" s="138">
        <v>0</v>
      </c>
      <c r="M78" s="138">
        <v>0</v>
      </c>
      <c r="N78" s="138">
        <v>0</v>
      </c>
      <c r="O78" s="138">
        <v>400</v>
      </c>
      <c r="P78" s="138">
        <v>40.570999999999998</v>
      </c>
      <c r="Q78" s="138">
        <v>390.202</v>
      </c>
      <c r="R78" s="138">
        <v>350.65800000000002</v>
      </c>
      <c r="S78" s="138">
        <v>0</v>
      </c>
      <c r="T78" s="138">
        <v>377.03399999999999</v>
      </c>
      <c r="U78" s="138">
        <v>4.4119999999999999</v>
      </c>
      <c r="V78" s="138">
        <v>291.37799999999999</v>
      </c>
      <c r="W78" s="139">
        <v>208.26009999999997</v>
      </c>
      <c r="X78" s="139">
        <v>196.84279999999998</v>
      </c>
    </row>
    <row r="79" spans="1:24" ht="15.75">
      <c r="A79" s="137"/>
      <c r="B79" s="316" t="s">
        <v>107</v>
      </c>
      <c r="C79" s="138">
        <v>0</v>
      </c>
      <c r="D79" s="138">
        <v>0</v>
      </c>
      <c r="E79" s="138">
        <v>0</v>
      </c>
      <c r="F79" s="138">
        <v>0</v>
      </c>
      <c r="G79" s="138">
        <v>319.30799999999999</v>
      </c>
      <c r="H79" s="138">
        <v>0</v>
      </c>
      <c r="I79" s="138">
        <v>305.923</v>
      </c>
      <c r="J79" s="138">
        <v>0</v>
      </c>
      <c r="K79" s="138">
        <v>0</v>
      </c>
      <c r="L79" s="138">
        <v>297.07</v>
      </c>
      <c r="M79" s="138">
        <v>288.548</v>
      </c>
      <c r="N79" s="138">
        <v>312.488</v>
      </c>
      <c r="O79" s="138">
        <v>50.639000000000003</v>
      </c>
      <c r="P79" s="138">
        <v>375</v>
      </c>
      <c r="Q79" s="138">
        <v>0</v>
      </c>
      <c r="R79" s="138">
        <v>0</v>
      </c>
      <c r="S79" s="138">
        <v>336.584</v>
      </c>
      <c r="T79" s="138">
        <v>0</v>
      </c>
      <c r="U79" s="138">
        <v>375</v>
      </c>
      <c r="V79" s="138">
        <v>375</v>
      </c>
      <c r="W79" s="139">
        <v>92.230099999999993</v>
      </c>
      <c r="X79" s="139">
        <v>151.77799999999999</v>
      </c>
    </row>
    <row r="80" spans="1:24" ht="16.5" thickBot="1">
      <c r="A80" s="140"/>
      <c r="B80" s="315" t="s">
        <v>108</v>
      </c>
      <c r="C80" s="141">
        <v>0</v>
      </c>
      <c r="D80" s="141">
        <v>0</v>
      </c>
      <c r="E80" s="141">
        <v>0</v>
      </c>
      <c r="F80" s="141">
        <v>0</v>
      </c>
      <c r="G80" s="141">
        <v>0</v>
      </c>
      <c r="H80" s="141">
        <v>0</v>
      </c>
      <c r="I80" s="141">
        <v>0</v>
      </c>
      <c r="J80" s="141">
        <v>0</v>
      </c>
      <c r="K80" s="141">
        <v>52.73</v>
      </c>
      <c r="L80" s="141">
        <v>54.026000000000003</v>
      </c>
      <c r="M80" s="141">
        <v>8.2089999999999996</v>
      </c>
      <c r="N80" s="141">
        <v>100</v>
      </c>
      <c r="O80" s="141">
        <v>100</v>
      </c>
      <c r="P80" s="141">
        <v>100</v>
      </c>
      <c r="Q80" s="141">
        <v>100</v>
      </c>
      <c r="R80" s="141">
        <v>100</v>
      </c>
      <c r="S80" s="141">
        <v>100</v>
      </c>
      <c r="T80" s="141">
        <v>100</v>
      </c>
      <c r="U80" s="141">
        <v>100</v>
      </c>
      <c r="V80" s="141">
        <v>100</v>
      </c>
      <c r="W80" s="139">
        <v>10.675599999999999</v>
      </c>
      <c r="X80" s="139">
        <v>50.748249999999999</v>
      </c>
    </row>
    <row r="81" spans="1:24" ht="17.25" thickTop="1" thickBot="1">
      <c r="A81" s="121"/>
      <c r="B81" s="122" t="s">
        <v>29</v>
      </c>
      <c r="C81" s="69">
        <v>0</v>
      </c>
      <c r="D81" s="69">
        <v>0</v>
      </c>
      <c r="E81" s="69">
        <v>-256.5</v>
      </c>
      <c r="F81" s="69">
        <v>0</v>
      </c>
      <c r="G81" s="69">
        <v>-387</v>
      </c>
      <c r="H81" s="69">
        <v>0</v>
      </c>
      <c r="I81" s="69">
        <v>0</v>
      </c>
      <c r="J81" s="69">
        <v>0</v>
      </c>
      <c r="K81" s="69">
        <v>0</v>
      </c>
      <c r="L81" s="69">
        <v>-82.3</v>
      </c>
      <c r="M81" s="69">
        <v>0</v>
      </c>
      <c r="N81" s="69">
        <v>-762</v>
      </c>
      <c r="O81" s="69">
        <v>-354</v>
      </c>
      <c r="P81" s="69">
        <v>-357</v>
      </c>
      <c r="Q81" s="69">
        <v>-77.78</v>
      </c>
      <c r="R81" s="69">
        <v>0</v>
      </c>
      <c r="S81" s="69">
        <v>-716.8</v>
      </c>
      <c r="T81" s="69">
        <v>0</v>
      </c>
      <c r="U81" s="69">
        <v>-81.540000000000006</v>
      </c>
      <c r="V81" s="69">
        <v>0</v>
      </c>
      <c r="W81" s="96"/>
      <c r="X81" s="96"/>
    </row>
    <row r="82" spans="1:24" ht="16.5" thickTop="1">
      <c r="A82" s="123"/>
      <c r="B82" s="124" t="s">
        <v>24</v>
      </c>
      <c r="C82" s="70">
        <v>153.77200000000005</v>
      </c>
      <c r="D82" s="70">
        <v>127.71000000000004</v>
      </c>
      <c r="E82" s="70">
        <v>131.18999999999983</v>
      </c>
      <c r="F82" s="70">
        <v>121.57999999999993</v>
      </c>
      <c r="G82" s="70">
        <v>1222.75</v>
      </c>
      <c r="H82" s="70">
        <v>114.05999999999995</v>
      </c>
      <c r="I82" s="70">
        <v>117.86000000000013</v>
      </c>
      <c r="J82" s="70">
        <v>117.64999999999986</v>
      </c>
      <c r="K82" s="70">
        <v>111.57999999999993</v>
      </c>
      <c r="L82" s="70">
        <v>111.22000000000003</v>
      </c>
      <c r="M82" s="70">
        <v>109.07000000000016</v>
      </c>
      <c r="N82" s="70">
        <v>305.95000000000005</v>
      </c>
      <c r="O82" s="70">
        <v>562.66900000000032</v>
      </c>
      <c r="P82" s="70">
        <v>536.44700000000057</v>
      </c>
      <c r="Q82" s="70">
        <v>302.96500000000015</v>
      </c>
      <c r="R82" s="70">
        <v>323.35000000000036</v>
      </c>
      <c r="S82" s="70">
        <v>980.00600000000009</v>
      </c>
      <c r="T82" s="70">
        <v>117.29099999999971</v>
      </c>
      <c r="U82" s="70">
        <v>356.35599999999931</v>
      </c>
      <c r="V82" s="70">
        <v>860.92700000000059</v>
      </c>
      <c r="W82" s="71"/>
      <c r="X82" s="71"/>
    </row>
    <row r="83" spans="1:24" ht="15.75">
      <c r="A83" s="125"/>
      <c r="B83" s="314" t="s">
        <v>25</v>
      </c>
      <c r="C83" s="72">
        <v>781.01199999999994</v>
      </c>
      <c r="D83" s="72">
        <v>853.24500000000012</v>
      </c>
      <c r="E83" s="72">
        <v>1150.528</v>
      </c>
      <c r="F83" s="72">
        <v>1114.7380000000001</v>
      </c>
      <c r="G83" s="72">
        <v>1118.4490000000001</v>
      </c>
      <c r="H83" s="72">
        <v>1223.2180000000001</v>
      </c>
      <c r="I83" s="72">
        <v>1150.1289999999999</v>
      </c>
      <c r="J83" s="72">
        <v>1171.8399999999999</v>
      </c>
      <c r="K83" s="72">
        <v>1389.665</v>
      </c>
      <c r="L83" s="72">
        <v>1329.2619999999999</v>
      </c>
      <c r="M83" s="72">
        <v>1336.325</v>
      </c>
      <c r="N83" s="72">
        <v>1987.4880000000001</v>
      </c>
      <c r="O83" s="72">
        <v>2125.6390000000001</v>
      </c>
      <c r="P83" s="72">
        <v>2081.2460000000001</v>
      </c>
      <c r="Q83" s="72">
        <v>2065.2020000000002</v>
      </c>
      <c r="R83" s="72">
        <v>2025.6579999999999</v>
      </c>
      <c r="S83" s="72">
        <v>2011.5840000000001</v>
      </c>
      <c r="T83" s="72">
        <v>2052.0340000000001</v>
      </c>
      <c r="U83" s="72">
        <v>2054.4120000000003</v>
      </c>
      <c r="V83" s="72">
        <v>2304.9849999999997</v>
      </c>
      <c r="W83" s="71"/>
      <c r="X83" s="71"/>
    </row>
    <row r="84" spans="1:24" ht="15.75">
      <c r="A84" s="125"/>
      <c r="B84" s="314" t="s">
        <v>26</v>
      </c>
      <c r="C84" s="72">
        <v>934.78399999999999</v>
      </c>
      <c r="D84" s="72">
        <v>980.95500000000015</v>
      </c>
      <c r="E84" s="72">
        <v>1281.7179999999998</v>
      </c>
      <c r="F84" s="72">
        <v>1236.318</v>
      </c>
      <c r="G84" s="72">
        <v>2341.1990000000001</v>
      </c>
      <c r="H84" s="72">
        <v>1337.278</v>
      </c>
      <c r="I84" s="72">
        <v>1267.989</v>
      </c>
      <c r="J84" s="72">
        <v>1289.4899999999998</v>
      </c>
      <c r="K84" s="72">
        <v>1501.2449999999999</v>
      </c>
      <c r="L84" s="72">
        <v>1440.482</v>
      </c>
      <c r="M84" s="72">
        <v>1445.3950000000002</v>
      </c>
      <c r="N84" s="72">
        <v>2293.4380000000001</v>
      </c>
      <c r="O84" s="72">
        <v>2688.3080000000004</v>
      </c>
      <c r="P84" s="72">
        <v>2617.6930000000007</v>
      </c>
      <c r="Q84" s="72">
        <v>2368.1670000000004</v>
      </c>
      <c r="R84" s="72">
        <v>2349.0080000000003</v>
      </c>
      <c r="S84" s="72">
        <v>2991.59</v>
      </c>
      <c r="T84" s="72">
        <v>2169.3249999999998</v>
      </c>
      <c r="U84" s="72">
        <v>2410.7679999999996</v>
      </c>
      <c r="V84" s="72">
        <v>3165.9120000000003</v>
      </c>
      <c r="W84" s="71"/>
      <c r="X84" s="71"/>
    </row>
    <row r="87" spans="1:24">
      <c r="B87" t="s">
        <v>109</v>
      </c>
    </row>
  </sheetData>
  <conditionalFormatting sqref="A7:B7">
    <cfRule type="expression" dxfId="1" priority="2" stopIfTrue="1">
      <formula>ROUND($G$325,0)&lt;&gt;0</formula>
    </cfRule>
  </conditionalFormatting>
  <conditionalFormatting sqref="B24">
    <cfRule type="containsText" dxfId="0" priority="1" operator="containsText" text="Early">
      <formula>NOT(ISERROR(SEARCH("Early",B24)))</formula>
    </cfRule>
  </conditionalFormatting>
  <printOptions horizontalCentered="1"/>
  <pageMargins left="0.25" right="0.25" top="0.75" bottom="0.75" header="0.3" footer="0.3"/>
  <pageSetup scale="47" fitToHeight="0" orientation="landscape" r:id="rId1"/>
  <headerFooter alignWithMargins="0">
    <oddFooter>&amp;L&amp;8NPC Group - &amp;F   ( &amp;A )&amp;C &amp;R &amp;8&amp;D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workbookViewId="0"/>
  </sheetViews>
  <sheetFormatPr defaultColWidth="9.33203125" defaultRowHeight="12.75"/>
  <cols>
    <col min="1" max="1" width="1.5" style="3" customWidth="1"/>
    <col min="2" max="2" width="9.1640625" style="3" customWidth="1"/>
    <col min="3" max="3" width="10.5" style="3" customWidth="1"/>
    <col min="4" max="7" width="9.33203125" style="3" customWidth="1"/>
    <col min="8" max="8" width="10.5" style="3" customWidth="1"/>
    <col min="9" max="12" width="9.33203125" style="3" customWidth="1"/>
    <col min="13" max="13" width="1.5" style="3" customWidth="1"/>
    <col min="14" max="14" width="9.1640625" style="3" customWidth="1"/>
    <col min="15" max="15" width="10.5" style="3" customWidth="1"/>
    <col min="16" max="19" width="9.33203125" style="3" customWidth="1"/>
    <col min="20" max="20" width="10.5" style="3" customWidth="1"/>
    <col min="21" max="23" width="9.33203125" style="3" customWidth="1"/>
    <col min="24" max="24" width="9.5" style="3" customWidth="1"/>
    <col min="25" max="25" width="3.33203125" style="3" customWidth="1"/>
    <col min="26" max="16384" width="9.33203125" style="3"/>
  </cols>
  <sheetData>
    <row r="1" spans="2:24" ht="15.75" customHeight="1">
      <c r="B1" s="350" t="s">
        <v>183</v>
      </c>
      <c r="C1" s="350"/>
      <c r="D1" s="350"/>
      <c r="E1" s="350"/>
      <c r="F1" s="350"/>
      <c r="G1" s="350"/>
      <c r="H1" s="350"/>
      <c r="I1" s="350"/>
      <c r="N1" s="350" t="s">
        <v>184</v>
      </c>
      <c r="O1" s="350"/>
      <c r="P1" s="350"/>
      <c r="Q1" s="350"/>
      <c r="R1" s="350"/>
      <c r="S1" s="350"/>
      <c r="T1" s="350"/>
      <c r="U1" s="350"/>
    </row>
    <row r="2" spans="2:24" ht="18.75" customHeight="1">
      <c r="B2" s="350" t="s">
        <v>157</v>
      </c>
      <c r="C2" s="350"/>
      <c r="D2" s="350"/>
      <c r="E2" s="350"/>
      <c r="F2" s="350"/>
      <c r="G2" s="350"/>
      <c r="H2" s="350"/>
      <c r="I2" s="350"/>
      <c r="N2" s="350" t="s">
        <v>157</v>
      </c>
      <c r="O2" s="350"/>
      <c r="P2" s="350"/>
      <c r="Q2" s="350"/>
      <c r="R2" s="350"/>
      <c r="S2" s="350"/>
      <c r="T2" s="350"/>
      <c r="U2" s="350"/>
    </row>
    <row r="3" spans="2:24" ht="15" thickBot="1">
      <c r="B3" s="189"/>
      <c r="C3" s="189"/>
      <c r="D3" s="189"/>
      <c r="E3" s="189"/>
      <c r="F3" s="189"/>
      <c r="G3" s="189"/>
      <c r="H3" s="189"/>
      <c r="I3" s="74"/>
      <c r="J3" s="74"/>
      <c r="N3" s="189"/>
    </row>
    <row r="4" spans="2:24" ht="14.25" thickTop="1" thickBot="1">
      <c r="B4" s="222"/>
      <c r="C4" s="351" t="s">
        <v>126</v>
      </c>
      <c r="D4" s="352"/>
      <c r="E4" s="352"/>
      <c r="F4" s="352"/>
      <c r="G4" s="353"/>
      <c r="H4" s="351" t="s">
        <v>141</v>
      </c>
      <c r="I4" s="352"/>
      <c r="J4" s="352"/>
      <c r="K4" s="352"/>
      <c r="L4" s="353"/>
      <c r="N4" s="222"/>
      <c r="O4" s="351" t="s">
        <v>142</v>
      </c>
      <c r="P4" s="352"/>
      <c r="Q4" s="352"/>
      <c r="R4" s="352"/>
      <c r="S4" s="353"/>
      <c r="T4" s="351" t="s">
        <v>143</v>
      </c>
      <c r="U4" s="352"/>
      <c r="V4" s="352"/>
      <c r="W4" s="352"/>
      <c r="X4" s="353"/>
    </row>
    <row r="5" spans="2:24" ht="13.5" thickBot="1">
      <c r="B5" s="223"/>
      <c r="C5" s="347" t="s">
        <v>110</v>
      </c>
      <c r="D5" s="348"/>
      <c r="E5" s="348"/>
      <c r="F5" s="348"/>
      <c r="G5" s="349"/>
      <c r="H5" s="347" t="s">
        <v>150</v>
      </c>
      <c r="I5" s="348"/>
      <c r="J5" s="348"/>
      <c r="K5" s="348"/>
      <c r="L5" s="349"/>
      <c r="N5" s="223"/>
      <c r="O5" s="347" t="s">
        <v>150</v>
      </c>
      <c r="P5" s="348"/>
      <c r="Q5" s="348"/>
      <c r="R5" s="348"/>
      <c r="S5" s="349"/>
      <c r="T5" s="347" t="s">
        <v>150</v>
      </c>
      <c r="U5" s="348"/>
      <c r="V5" s="348"/>
      <c r="W5" s="348"/>
      <c r="X5" s="349"/>
    </row>
    <row r="6" spans="2:24">
      <c r="B6" s="344" t="s">
        <v>2</v>
      </c>
      <c r="C6" s="345" t="s">
        <v>190</v>
      </c>
      <c r="D6" s="224" t="s">
        <v>0</v>
      </c>
      <c r="E6" s="225" t="s">
        <v>1</v>
      </c>
      <c r="F6" s="234" t="s">
        <v>0</v>
      </c>
      <c r="G6" s="225" t="s">
        <v>1</v>
      </c>
      <c r="H6" s="345" t="s">
        <v>190</v>
      </c>
      <c r="I6" s="224" t="s">
        <v>0</v>
      </c>
      <c r="J6" s="225" t="s">
        <v>1</v>
      </c>
      <c r="K6" s="234" t="s">
        <v>0</v>
      </c>
      <c r="L6" s="235" t="s">
        <v>1</v>
      </c>
      <c r="N6" s="344"/>
      <c r="O6" s="345" t="s">
        <v>190</v>
      </c>
      <c r="P6" s="224" t="s">
        <v>0</v>
      </c>
      <c r="Q6" s="225" t="s">
        <v>1</v>
      </c>
      <c r="R6" s="234" t="s">
        <v>0</v>
      </c>
      <c r="S6" s="225" t="s">
        <v>1</v>
      </c>
      <c r="T6" s="345" t="s">
        <v>190</v>
      </c>
      <c r="U6" s="224" t="s">
        <v>0</v>
      </c>
      <c r="V6" s="225" t="s">
        <v>1</v>
      </c>
      <c r="W6" s="234" t="s">
        <v>0</v>
      </c>
      <c r="X6" s="235" t="s">
        <v>1</v>
      </c>
    </row>
    <row r="7" spans="2:24" ht="13.5" thickBot="1">
      <c r="B7" s="344" t="s">
        <v>2</v>
      </c>
      <c r="C7" s="346" t="s">
        <v>188</v>
      </c>
      <c r="D7" s="226" t="s">
        <v>111</v>
      </c>
      <c r="E7" s="227" t="s">
        <v>111</v>
      </c>
      <c r="F7" s="227" t="s">
        <v>112</v>
      </c>
      <c r="G7" s="227" t="s">
        <v>112</v>
      </c>
      <c r="H7" s="346" t="s">
        <v>188</v>
      </c>
      <c r="I7" s="226" t="s">
        <v>111</v>
      </c>
      <c r="J7" s="227" t="s">
        <v>111</v>
      </c>
      <c r="K7" s="227" t="s">
        <v>112</v>
      </c>
      <c r="L7" s="248" t="s">
        <v>112</v>
      </c>
      <c r="N7" s="344" t="s">
        <v>2</v>
      </c>
      <c r="O7" s="346" t="s">
        <v>188</v>
      </c>
      <c r="P7" s="226" t="s">
        <v>111</v>
      </c>
      <c r="Q7" s="227" t="s">
        <v>111</v>
      </c>
      <c r="R7" s="227" t="s">
        <v>112</v>
      </c>
      <c r="S7" s="227" t="s">
        <v>112</v>
      </c>
      <c r="T7" s="346" t="s">
        <v>188</v>
      </c>
      <c r="U7" s="226" t="s">
        <v>111</v>
      </c>
      <c r="V7" s="227" t="s">
        <v>111</v>
      </c>
      <c r="W7" s="227" t="s">
        <v>112</v>
      </c>
      <c r="X7" s="248" t="s">
        <v>112</v>
      </c>
    </row>
    <row r="8" spans="2:24" ht="13.5" thickBot="1">
      <c r="B8" s="228"/>
      <c r="C8" s="341" t="s">
        <v>14</v>
      </c>
      <c r="D8" s="342"/>
      <c r="E8" s="342"/>
      <c r="F8" s="342"/>
      <c r="G8" s="343"/>
      <c r="H8" s="341" t="s">
        <v>14</v>
      </c>
      <c r="I8" s="342"/>
      <c r="J8" s="342"/>
      <c r="K8" s="342"/>
      <c r="L8" s="343"/>
      <c r="N8" s="228"/>
      <c r="O8" s="341" t="s">
        <v>14</v>
      </c>
      <c r="P8" s="342"/>
      <c r="Q8" s="342"/>
      <c r="R8" s="342"/>
      <c r="S8" s="343"/>
      <c r="T8" s="341" t="s">
        <v>14</v>
      </c>
      <c r="U8" s="342"/>
      <c r="V8" s="342"/>
      <c r="W8" s="342"/>
      <c r="X8" s="343"/>
    </row>
    <row r="9" spans="2:24" ht="13.5" thickBot="1">
      <c r="B9" s="229"/>
      <c r="C9" s="225" t="s">
        <v>4</v>
      </c>
      <c r="D9" s="225" t="s">
        <v>5</v>
      </c>
      <c r="E9" s="225" t="s">
        <v>6</v>
      </c>
      <c r="F9" s="225" t="s">
        <v>7</v>
      </c>
      <c r="G9" s="230" t="s">
        <v>8</v>
      </c>
      <c r="H9" s="225" t="s">
        <v>4</v>
      </c>
      <c r="I9" s="225" t="s">
        <v>5</v>
      </c>
      <c r="J9" s="225" t="s">
        <v>6</v>
      </c>
      <c r="K9" s="225" t="s">
        <v>7</v>
      </c>
      <c r="L9" s="230" t="s">
        <v>8</v>
      </c>
      <c r="N9" s="229"/>
      <c r="O9" s="225" t="s">
        <v>4</v>
      </c>
      <c r="P9" s="225" t="s">
        <v>5</v>
      </c>
      <c r="Q9" s="225" t="s">
        <v>6</v>
      </c>
      <c r="R9" s="225" t="s">
        <v>7</v>
      </c>
      <c r="S9" s="230" t="s">
        <v>8</v>
      </c>
      <c r="T9" s="225" t="s">
        <v>4</v>
      </c>
      <c r="U9" s="225" t="s">
        <v>5</v>
      </c>
      <c r="V9" s="225" t="s">
        <v>6</v>
      </c>
      <c r="W9" s="225" t="s">
        <v>7</v>
      </c>
      <c r="X9" s="230" t="s">
        <v>8</v>
      </c>
    </row>
    <row r="10" spans="2:24" ht="5.25" customHeight="1">
      <c r="B10" s="244"/>
      <c r="C10" s="231"/>
      <c r="D10" s="232"/>
      <c r="E10" s="233"/>
      <c r="F10" s="234"/>
      <c r="G10" s="235"/>
      <c r="H10" s="231"/>
      <c r="I10" s="232"/>
      <c r="J10" s="233"/>
      <c r="K10" s="234"/>
      <c r="L10" s="235"/>
      <c r="N10" s="244"/>
      <c r="O10" s="231"/>
      <c r="P10" s="232"/>
      <c r="Q10" s="233"/>
      <c r="R10" s="234"/>
      <c r="S10" s="235"/>
      <c r="T10" s="231"/>
      <c r="U10" s="232"/>
      <c r="V10" s="233"/>
      <c r="W10" s="234"/>
      <c r="X10" s="235"/>
    </row>
    <row r="11" spans="2:24">
      <c r="B11" s="245">
        <v>2020</v>
      </c>
      <c r="C11" s="236">
        <f>INDEX([2]Energy!$U$4:$Y$24,MATCH($B11,[2]Energy!$T$4:$T$24,0),1)</f>
        <v>29.826538023679483</v>
      </c>
      <c r="D11" s="237">
        <f>INDEX([2]Energy!$U$4:$Y$24,MATCH($B11,[2]Energy!$T$4:$T$24,0),4)</f>
        <v>38.593919057377093</v>
      </c>
      <c r="E11" s="238">
        <f>INDEX([2]Energy!$U$4:$Y$24,MATCH($B11,[2]Energy!$T$4:$T$24,0),5)</f>
        <v>23.625522540983603</v>
      </c>
      <c r="F11" s="238">
        <f>INDEX([2]Energy!$U$4:$Y$24,MATCH($B11,[2]Energy!$T$4:$T$24,0),2)</f>
        <v>47.856506147541133</v>
      </c>
      <c r="G11" s="239">
        <f>INDEX([2]Energy!$U$4:$Y$24,MATCH($B11,[2]Energy!$T$4:$T$24,0),3)</f>
        <v>24.446203893442654</v>
      </c>
      <c r="H11" s="236">
        <f>INDEX([2]Energy!$U$29:$Y$49,MATCH($B11,[2]Energy!$T$29:$T$49,0),1)</f>
        <v>28.309064139263381</v>
      </c>
      <c r="I11" s="237">
        <f>INDEX([2]Energy!$U$29:$Y$49,MATCH($B11,[2]Energy!$T$29:$T$49,0),4)</f>
        <v>38.095197693281754</v>
      </c>
      <c r="J11" s="238">
        <f>INDEX([2]Energy!$U$29:$Y$49,MATCH($B11,[2]Energy!$T$29:$T$49,0),5)</f>
        <v>22.291276810450405</v>
      </c>
      <c r="K11" s="238">
        <f>INDEX([2]Energy!$U$29:$Y$49,MATCH($B11,[2]Energy!$T$29:$T$49,0),2)</f>
        <v>43.610782036674991</v>
      </c>
      <c r="L11" s="239">
        <f>INDEX([2]Energy!$U$29:$Y$49,MATCH($B11,[2]Energy!$T$29:$T$49,0),3)</f>
        <v>23.294847018784679</v>
      </c>
      <c r="N11" s="245">
        <v>2020</v>
      </c>
      <c r="O11" s="236">
        <f>INDEX([2]Energy!$U$79:$Y$99,MATCH($B11,[2]Energy!$T$79:$T$99,0),1)</f>
        <v>23.183035103476382</v>
      </c>
      <c r="P11" s="237">
        <f>INDEX([2]Energy!$U$79:$Y$99,MATCH($B11,[2]Energy!$T$79:$T$99,0),4)</f>
        <v>25.550879233268905</v>
      </c>
      <c r="Q11" s="238">
        <f>INDEX([2]Energy!$U$79:$Y$99,MATCH($B11,[2]Energy!$T$79:$T$99,0),5)</f>
        <v>19.128970128906527</v>
      </c>
      <c r="R11" s="238">
        <f>INDEX([2]Energy!$U$79:$Y$99,MATCH($B11,[2]Energy!$T$79:$T$99,0),2)</f>
        <v>36.221505682196558</v>
      </c>
      <c r="S11" s="239">
        <f>INDEX([2]Energy!$U$79:$Y$99,MATCH($B11,[2]Energy!$T$79:$T$99,0),3)</f>
        <v>25.365106891240643</v>
      </c>
      <c r="T11" s="236">
        <f>INDEX([2]Energy!$U$54:$Y$74,MATCH($B11,[2]Energy!$T$54:$T$74,0),1)</f>
        <v>23.600539083632718</v>
      </c>
      <c r="U11" s="237">
        <f>INDEX([2]Energy!$U$54:$Y$74,MATCH($B11,[2]Energy!$T$54:$T$74,0),4)</f>
        <v>25.523531198550288</v>
      </c>
      <c r="V11" s="238">
        <f>INDEX([2]Energy!$U$54:$Y$74,MATCH($B11,[2]Energy!$T$54:$T$74,0),5)</f>
        <v>17.1210874307613</v>
      </c>
      <c r="W11" s="238">
        <f>INDEX([2]Energy!$U$54:$Y$74,MATCH($B11,[2]Energy!$T$54:$T$74,0),2)</f>
        <v>38.763927772993242</v>
      </c>
      <c r="X11" s="239">
        <f>INDEX([2]Energy!$U$54:$Y$74,MATCH($B11,[2]Energy!$T$54:$T$74,0),3)</f>
        <v>25.356910373232168</v>
      </c>
    </row>
    <row r="12" spans="2:24">
      <c r="B12" s="245">
        <v>2021</v>
      </c>
      <c r="C12" s="236">
        <f>INDEX([2]Energy!$U$4:$Y$24,MATCH($B12,[2]Energy!$T$4:$T$24,0),1)</f>
        <v>35.312568493150586</v>
      </c>
      <c r="D12" s="237">
        <f>INDEX([2]Energy!$U$4:$Y$24,MATCH($B12,[2]Energy!$T$4:$T$24,0),4)</f>
        <v>46.03383230452674</v>
      </c>
      <c r="E12" s="238">
        <f>INDEX([2]Energy!$U$4:$Y$24,MATCH($B12,[2]Energy!$T$4:$T$24,0),5)</f>
        <v>26.835282921810862</v>
      </c>
      <c r="F12" s="238">
        <f>INDEX([2]Energy!$U$4:$Y$24,MATCH($B12,[2]Energy!$T$4:$T$24,0),2)</f>
        <v>57.38462090163943</v>
      </c>
      <c r="G12" s="239">
        <f>INDEX([2]Energy!$U$4:$Y$24,MATCH($B12,[2]Energy!$T$4:$T$24,0),3)</f>
        <v>30.484303278688518</v>
      </c>
      <c r="H12" s="236">
        <f>INDEX([2]Energy!$U$29:$Y$49,MATCH($B12,[2]Energy!$T$29:$T$49,0),1)</f>
        <v>33.85002998134496</v>
      </c>
      <c r="I12" s="237">
        <f>INDEX([2]Energy!$U$29:$Y$49,MATCH($B12,[2]Energy!$T$29:$T$49,0),4)</f>
        <v>45.78519597770088</v>
      </c>
      <c r="J12" s="238">
        <f>INDEX([2]Energy!$U$29:$Y$49,MATCH($B12,[2]Energy!$T$29:$T$49,0),5)</f>
        <v>25.675146166123138</v>
      </c>
      <c r="K12" s="238">
        <f>INDEX([2]Energy!$U$29:$Y$49,MATCH($B12,[2]Energy!$T$29:$T$49,0),2)</f>
        <v>53.415441583897959</v>
      </c>
      <c r="L12" s="239">
        <f>INDEX([2]Energy!$U$29:$Y$49,MATCH($B12,[2]Energy!$T$29:$T$49,0),3)</f>
        <v>29.332726087779513</v>
      </c>
      <c r="N12" s="245">
        <v>2021</v>
      </c>
      <c r="O12" s="236">
        <f>INDEX([2]Energy!$U$79:$Y$99,MATCH($B12,[2]Energy!$T$79:$T$99,0),1)</f>
        <v>28.206895375998087</v>
      </c>
      <c r="P12" s="237">
        <f>INDEX([2]Energy!$U$79:$Y$99,MATCH($B12,[2]Energy!$T$79:$T$99,0),4)</f>
        <v>32.604493235751178</v>
      </c>
      <c r="Q12" s="238">
        <f>INDEX([2]Energy!$U$79:$Y$99,MATCH($B12,[2]Energy!$T$79:$T$99,0),5)</f>
        <v>23.209461364633196</v>
      </c>
      <c r="R12" s="238">
        <f>INDEX([2]Energy!$U$79:$Y$99,MATCH($B12,[2]Energy!$T$79:$T$99,0),2)</f>
        <v>43.388604287747583</v>
      </c>
      <c r="S12" s="239">
        <f>INDEX([2]Energy!$U$79:$Y$99,MATCH($B12,[2]Energy!$T$79:$T$99,0),3)</f>
        <v>31.027592278008996</v>
      </c>
      <c r="T12" s="236">
        <f>INDEX([2]Energy!$U$54:$Y$74,MATCH($B12,[2]Energy!$T$54:$T$74,0),1)</f>
        <v>28.724118490817659</v>
      </c>
      <c r="U12" s="237">
        <f>INDEX([2]Energy!$U$54:$Y$74,MATCH($B12,[2]Energy!$T$54:$T$74,0),4)</f>
        <v>32.426205351649379</v>
      </c>
      <c r="V12" s="238">
        <f>INDEX([2]Energy!$U$54:$Y$74,MATCH($B12,[2]Energy!$T$54:$T$74,0),5)</f>
        <v>21.112869104542654</v>
      </c>
      <c r="W12" s="238">
        <f>INDEX([2]Energy!$U$54:$Y$74,MATCH($B12,[2]Energy!$T$54:$T$74,0),2)</f>
        <v>46.003490763419059</v>
      </c>
      <c r="X12" s="239">
        <f>INDEX([2]Energy!$U$54:$Y$74,MATCH($B12,[2]Energy!$T$54:$T$74,0),3)</f>
        <v>30.747165610790645</v>
      </c>
    </row>
    <row r="13" spans="2:24">
      <c r="B13" s="245">
        <v>2022</v>
      </c>
      <c r="C13" s="236">
        <f>INDEX([2]Energy!$U$4:$Y$24,MATCH($B13,[2]Energy!$T$4:$T$24,0),1)</f>
        <v>34.511433789954083</v>
      </c>
      <c r="D13" s="237">
        <f>INDEX([2]Energy!$U$4:$Y$24,MATCH($B13,[2]Energy!$T$4:$T$24,0),4)</f>
        <v>43.988117283950444</v>
      </c>
      <c r="E13" s="238">
        <f>INDEX([2]Energy!$U$4:$Y$24,MATCH($B13,[2]Energy!$T$4:$T$24,0),5)</f>
        <v>25.126854423868249</v>
      </c>
      <c r="F13" s="238">
        <f>INDEX([2]Energy!$U$4:$Y$24,MATCH($B13,[2]Energy!$T$4:$T$24,0),2)</f>
        <v>59.247971311475496</v>
      </c>
      <c r="G13" s="239">
        <f>INDEX([2]Energy!$U$4:$Y$24,MATCH($B13,[2]Energy!$T$4:$T$24,0),3)</f>
        <v>31.39755635245908</v>
      </c>
      <c r="H13" s="236">
        <f>INDEX([2]Energy!$U$29:$Y$49,MATCH($B13,[2]Energy!$T$29:$T$49,0),1)</f>
        <v>32.851198785456667</v>
      </c>
      <c r="I13" s="237">
        <f>INDEX([2]Energy!$U$29:$Y$49,MATCH($B13,[2]Energy!$T$29:$T$49,0),4)</f>
        <v>43.539065075847404</v>
      </c>
      <c r="J13" s="238">
        <f>INDEX([2]Energy!$U$29:$Y$49,MATCH($B13,[2]Energy!$T$29:$T$49,0),5)</f>
        <v>24.028062661156568</v>
      </c>
      <c r="K13" s="238">
        <f>INDEX([2]Energy!$U$29:$Y$49,MATCH($B13,[2]Energy!$T$29:$T$49,0),2)</f>
        <v>54.856309604988411</v>
      </c>
      <c r="L13" s="239">
        <f>INDEX([2]Energy!$U$29:$Y$49,MATCH($B13,[2]Energy!$T$29:$T$49,0),3)</f>
        <v>30.225618789780867</v>
      </c>
      <c r="N13" s="245">
        <v>2022</v>
      </c>
      <c r="O13" s="236">
        <f>INDEX([2]Energy!$U$79:$Y$99,MATCH($B13,[2]Energy!$T$79:$T$99,0),1)</f>
        <v>28.048045263904761</v>
      </c>
      <c r="P13" s="237">
        <f>INDEX([2]Energy!$U$79:$Y$99,MATCH($B13,[2]Energy!$T$79:$T$99,0),4)</f>
        <v>34.331660866968903</v>
      </c>
      <c r="Q13" s="238">
        <f>INDEX([2]Energy!$U$79:$Y$99,MATCH($B13,[2]Energy!$T$79:$T$99,0),5)</f>
        <v>21.947316887048608</v>
      </c>
      <c r="R13" s="238">
        <f>INDEX([2]Energy!$U$79:$Y$99,MATCH($B13,[2]Energy!$T$79:$T$99,0),2)</f>
        <v>45.089629039750406</v>
      </c>
      <c r="S13" s="239">
        <f>INDEX([2]Energy!$U$79:$Y$99,MATCH($B13,[2]Energy!$T$79:$T$99,0),3)</f>
        <v>31.910170605954075</v>
      </c>
      <c r="T13" s="236">
        <f>INDEX([2]Energy!$U$54:$Y$74,MATCH($B13,[2]Energy!$T$54:$T$74,0),1)</f>
        <v>29.545463703443829</v>
      </c>
      <c r="U13" s="237">
        <f>INDEX([2]Energy!$U$54:$Y$74,MATCH($B13,[2]Energy!$T$54:$T$74,0),4)</f>
        <v>35.28561792096778</v>
      </c>
      <c r="V13" s="238">
        <f>INDEX([2]Energy!$U$54:$Y$74,MATCH($B13,[2]Energy!$T$54:$T$74,0),5)</f>
        <v>20.620172544169247</v>
      </c>
      <c r="W13" s="238">
        <f>INDEX([2]Energy!$U$54:$Y$74,MATCH($B13,[2]Energy!$T$54:$T$74,0),2)</f>
        <v>48.658012384654775</v>
      </c>
      <c r="X13" s="239">
        <f>INDEX([2]Energy!$U$54:$Y$74,MATCH($B13,[2]Energy!$T$54:$T$74,0),3)</f>
        <v>32.126666688976087</v>
      </c>
    </row>
    <row r="14" spans="2:24">
      <c r="B14" s="245">
        <v>2023</v>
      </c>
      <c r="C14" s="236">
        <f>INDEX([2]Energy!$U$4:$Y$24,MATCH($B14,[2]Energy!$T$4:$T$24,0),1)</f>
        <v>31.873659817351726</v>
      </c>
      <c r="D14" s="237">
        <f>INDEX([2]Energy!$U$4:$Y$24,MATCH($B14,[2]Energy!$T$4:$T$24,0),4)</f>
        <v>37.532608024691562</v>
      </c>
      <c r="E14" s="238">
        <f>INDEX([2]Energy!$U$4:$Y$24,MATCH($B14,[2]Energy!$T$4:$T$24,0),5)</f>
        <v>21.680707304526592</v>
      </c>
      <c r="F14" s="238">
        <f>INDEX([2]Energy!$U$4:$Y$24,MATCH($B14,[2]Energy!$T$4:$T$24,0),2)</f>
        <v>61.444764344262296</v>
      </c>
      <c r="G14" s="239">
        <f>INDEX([2]Energy!$U$4:$Y$24,MATCH($B14,[2]Energy!$T$4:$T$24,0),3)</f>
        <v>31.754707991803429</v>
      </c>
      <c r="H14" s="236">
        <f>INDEX([2]Energy!$U$29:$Y$49,MATCH($B14,[2]Energy!$T$29:$T$49,0),1)</f>
        <v>29.954249138152719</v>
      </c>
      <c r="I14" s="237">
        <f>INDEX([2]Energy!$U$29:$Y$49,MATCH($B14,[2]Energy!$T$29:$T$49,0),4)</f>
        <v>37.089707202420527</v>
      </c>
      <c r="J14" s="238">
        <f>INDEX([2]Energy!$U$29:$Y$49,MATCH($B14,[2]Energy!$T$29:$T$49,0),5)</f>
        <v>20.639221553996812</v>
      </c>
      <c r="K14" s="238">
        <f>INDEX([2]Energy!$U$29:$Y$49,MATCH($B14,[2]Energy!$T$29:$T$49,0),2)</f>
        <v>56.559833305647373</v>
      </c>
      <c r="L14" s="239">
        <f>INDEX([2]Energy!$U$29:$Y$49,MATCH($B14,[2]Energy!$T$29:$T$49,0),3)</f>
        <v>30.566580607596634</v>
      </c>
      <c r="N14" s="245">
        <v>2023</v>
      </c>
      <c r="O14" s="236">
        <f>INDEX([2]Energy!$U$79:$Y$99,MATCH($B14,[2]Energy!$T$79:$T$99,0),1)</f>
        <v>26.541091145838045</v>
      </c>
      <c r="P14" s="237">
        <f>INDEX([2]Energy!$U$79:$Y$99,MATCH($B14,[2]Energy!$T$79:$T$99,0),4)</f>
        <v>29.879691511363252</v>
      </c>
      <c r="Q14" s="238">
        <f>INDEX([2]Energy!$U$79:$Y$99,MATCH($B14,[2]Energy!$T$79:$T$99,0),5)</f>
        <v>18.498403175443762</v>
      </c>
      <c r="R14" s="238">
        <f>INDEX([2]Energy!$U$79:$Y$99,MATCH($B14,[2]Energy!$T$79:$T$99,0),2)</f>
        <v>47.170508726868491</v>
      </c>
      <c r="S14" s="239">
        <f>INDEX([2]Energy!$U$79:$Y$99,MATCH($B14,[2]Energy!$T$79:$T$99,0),3)</f>
        <v>32.731398588614532</v>
      </c>
      <c r="T14" s="236">
        <f>INDEX([2]Energy!$U$54:$Y$74,MATCH($B14,[2]Energy!$T$54:$T$74,0),1)</f>
        <v>28.852679462714448</v>
      </c>
      <c r="U14" s="237">
        <f>INDEX([2]Energy!$U$54:$Y$74,MATCH($B14,[2]Energy!$T$54:$T$74,0),4)</f>
        <v>30.682329797620117</v>
      </c>
      <c r="V14" s="238">
        <f>INDEX([2]Energy!$U$54:$Y$74,MATCH($B14,[2]Energy!$T$54:$T$74,0),5)</f>
        <v>17.494367827551073</v>
      </c>
      <c r="W14" s="238">
        <f>INDEX([2]Energy!$U$54:$Y$74,MATCH($B14,[2]Energy!$T$54:$T$74,0),2)</f>
        <v>52.110224224089436</v>
      </c>
      <c r="X14" s="239">
        <f>INDEX([2]Energy!$U$54:$Y$74,MATCH($B14,[2]Energy!$T$54:$T$74,0),3)</f>
        <v>33.329929351145104</v>
      </c>
    </row>
    <row r="15" spans="2:24">
      <c r="B15" s="245">
        <v>2024</v>
      </c>
      <c r="C15" s="236">
        <f>INDEX([2]Energy!$U$4:$Y$24,MATCH($B15,[2]Energy!$T$4:$T$24,0),1)</f>
        <v>32.772197176685211</v>
      </c>
      <c r="D15" s="237">
        <f>INDEX([2]Energy!$U$4:$Y$24,MATCH($B15,[2]Energy!$T$4:$T$24,0),4)</f>
        <v>35.115835040983512</v>
      </c>
      <c r="E15" s="238">
        <f>INDEX([2]Energy!$U$4:$Y$24,MATCH($B15,[2]Energy!$T$4:$T$24,0),5)</f>
        <v>20.808729508196823</v>
      </c>
      <c r="F15" s="238">
        <f>INDEX([2]Energy!$U$4:$Y$24,MATCH($B15,[2]Energy!$T$4:$T$24,0),2)</f>
        <v>69.929385245901614</v>
      </c>
      <c r="G15" s="239">
        <f>INDEX([2]Energy!$U$4:$Y$24,MATCH($B15,[2]Energy!$T$4:$T$24,0),3)</f>
        <v>35.776900614754005</v>
      </c>
      <c r="H15" s="236">
        <f>INDEX([2]Energy!$U$29:$Y$49,MATCH($B15,[2]Energy!$T$29:$T$49,0),1)</f>
        <v>30.540301202575105</v>
      </c>
      <c r="I15" s="237">
        <f>INDEX([2]Energy!$U$29:$Y$49,MATCH($B15,[2]Energy!$T$29:$T$49,0),4)</f>
        <v>34.740231765990607</v>
      </c>
      <c r="J15" s="238">
        <f>INDEX([2]Energy!$U$29:$Y$49,MATCH($B15,[2]Energy!$T$29:$T$49,0),5)</f>
        <v>19.794994000280354</v>
      </c>
      <c r="K15" s="238">
        <f>INDEX([2]Energy!$U$29:$Y$49,MATCH($B15,[2]Energy!$T$29:$T$49,0),2)</f>
        <v>64.453744602414773</v>
      </c>
      <c r="L15" s="239">
        <f>INDEX([2]Energy!$U$29:$Y$49,MATCH($B15,[2]Energy!$T$29:$T$49,0),3)</f>
        <v>34.64971835205364</v>
      </c>
      <c r="N15" s="245">
        <v>2024</v>
      </c>
      <c r="O15" s="236">
        <f>INDEX([2]Energy!$U$79:$Y$99,MATCH($B15,[2]Energy!$T$79:$T$99,0),1)</f>
        <v>28.004467083174614</v>
      </c>
      <c r="P15" s="237">
        <f>INDEX([2]Energy!$U$79:$Y$99,MATCH($B15,[2]Energy!$T$79:$T$99,0),4)</f>
        <v>27.432196049103748</v>
      </c>
      <c r="Q15" s="238">
        <f>INDEX([2]Energy!$U$79:$Y$99,MATCH($B15,[2]Energy!$T$79:$T$99,0),5)</f>
        <v>17.474453661093605</v>
      </c>
      <c r="R15" s="238">
        <f>INDEX([2]Energy!$U$79:$Y$99,MATCH($B15,[2]Energy!$T$79:$T$99,0),2)</f>
        <v>53.72236554630782</v>
      </c>
      <c r="S15" s="239">
        <f>INDEX([2]Energy!$U$79:$Y$99,MATCH($B15,[2]Energy!$T$79:$T$99,0),3)</f>
        <v>37.086179813770002</v>
      </c>
      <c r="T15" s="236">
        <f>INDEX([2]Energy!$U$54:$Y$74,MATCH($B15,[2]Energy!$T$54:$T$74,0),1)</f>
        <v>30.748060966244029</v>
      </c>
      <c r="U15" s="237">
        <f>INDEX([2]Energy!$U$54:$Y$74,MATCH($B15,[2]Energy!$T$54:$T$74,0),4)</f>
        <v>27.46267589532966</v>
      </c>
      <c r="V15" s="238">
        <f>INDEX([2]Energy!$U$54:$Y$74,MATCH($B15,[2]Energy!$T$54:$T$74,0),5)</f>
        <v>16.388982698651446</v>
      </c>
      <c r="W15" s="238">
        <f>INDEX([2]Energy!$U$54:$Y$74,MATCH($B15,[2]Energy!$T$54:$T$74,0),2)</f>
        <v>59.282614080707624</v>
      </c>
      <c r="X15" s="239">
        <f>INDEX([2]Energy!$U$54:$Y$74,MATCH($B15,[2]Energy!$T$54:$T$74,0),3)</f>
        <v>37.586740846024064</v>
      </c>
    </row>
    <row r="16" spans="2:24">
      <c r="B16" s="245">
        <v>2025</v>
      </c>
      <c r="C16" s="236">
        <f>INDEX([2]Energy!$U$4:$Y$24,MATCH($B16,[2]Energy!$T$4:$T$24,0),1)</f>
        <v>35.916794520547889</v>
      </c>
      <c r="D16" s="237">
        <f>INDEX([2]Energy!$U$4:$Y$24,MATCH($B16,[2]Energy!$T$4:$T$24,0),4)</f>
        <v>38.113544238683048</v>
      </c>
      <c r="E16" s="238">
        <f>INDEX([2]Energy!$U$4:$Y$24,MATCH($B16,[2]Energy!$T$4:$T$24,0),5)</f>
        <v>22.530972222222236</v>
      </c>
      <c r="F16" s="238">
        <f>INDEX([2]Energy!$U$4:$Y$24,MATCH($B16,[2]Energy!$T$4:$T$24,0),2)</f>
        <v>77.399354508196865</v>
      </c>
      <c r="G16" s="239">
        <f>INDEX([2]Energy!$U$4:$Y$24,MATCH($B16,[2]Energy!$T$4:$T$24,0),3)</f>
        <v>39.649692622950809</v>
      </c>
      <c r="H16" s="236">
        <f>INDEX([2]Energy!$U$29:$Y$49,MATCH($B16,[2]Energy!$T$29:$T$49,0),1)</f>
        <v>33.483027689973888</v>
      </c>
      <c r="I16" s="237">
        <f>INDEX([2]Energy!$U$29:$Y$49,MATCH($B16,[2]Energy!$T$29:$T$49,0),4)</f>
        <v>37.828314968510107</v>
      </c>
      <c r="J16" s="238">
        <f>INDEX([2]Energy!$U$29:$Y$49,MATCH($B16,[2]Energy!$T$29:$T$49,0),5)</f>
        <v>21.507252470672409</v>
      </c>
      <c r="K16" s="238">
        <f>INDEX([2]Energy!$U$29:$Y$49,MATCH($B16,[2]Energy!$T$29:$T$49,0),2)</f>
        <v>71.094743690091988</v>
      </c>
      <c r="L16" s="239">
        <f>INDEX([2]Energy!$U$29:$Y$49,MATCH($B16,[2]Energy!$T$29:$T$49,0),3)</f>
        <v>38.476649405025867</v>
      </c>
      <c r="N16" s="245">
        <v>2025</v>
      </c>
      <c r="O16" s="236">
        <f>INDEX([2]Energy!$U$79:$Y$99,MATCH($B16,[2]Energy!$T$79:$T$99,0),1)</f>
        <v>30.819530108532188</v>
      </c>
      <c r="P16" s="237">
        <f>INDEX([2]Energy!$U$79:$Y$99,MATCH($B16,[2]Energy!$T$79:$T$99,0),4)</f>
        <v>29.581582472205888</v>
      </c>
      <c r="Q16" s="238">
        <f>INDEX([2]Energy!$U$79:$Y$99,MATCH($B16,[2]Energy!$T$79:$T$99,0),5)</f>
        <v>18.94864487707715</v>
      </c>
      <c r="R16" s="238">
        <f>INDEX([2]Energy!$U$79:$Y$99,MATCH($B16,[2]Energy!$T$79:$T$99,0),2)</f>
        <v>59.471757843071728</v>
      </c>
      <c r="S16" s="239">
        <f>INDEX([2]Energy!$U$79:$Y$99,MATCH($B16,[2]Energy!$T$79:$T$99,0),3)</f>
        <v>41.158695225265681</v>
      </c>
      <c r="T16" s="236">
        <f>INDEX([2]Energy!$U$54:$Y$74,MATCH($B16,[2]Energy!$T$54:$T$74,0),1)</f>
        <v>33.778462112335454</v>
      </c>
      <c r="U16" s="237">
        <f>INDEX([2]Energy!$U$54:$Y$74,MATCH($B16,[2]Energy!$T$54:$T$74,0),4)</f>
        <v>29.554290944165633</v>
      </c>
      <c r="V16" s="238">
        <f>INDEX([2]Energy!$U$54:$Y$74,MATCH($B16,[2]Energy!$T$54:$T$74,0),5)</f>
        <v>17.739110570705368</v>
      </c>
      <c r="W16" s="238">
        <f>INDEX([2]Energy!$U$54:$Y$74,MATCH($B16,[2]Energy!$T$54:$T$74,0),2)</f>
        <v>65.188751518942652</v>
      </c>
      <c r="X16" s="239">
        <f>INDEX([2]Energy!$U$54:$Y$74,MATCH($B16,[2]Energy!$T$54:$T$74,0),3)</f>
        <v>41.622524941732337</v>
      </c>
    </row>
    <row r="17" spans="2:24">
      <c r="B17" s="245">
        <v>2026</v>
      </c>
      <c r="C17" s="236">
        <f>INDEX([2]Energy!$U$4:$Y$24,MATCH($B17,[2]Energy!$T$4:$T$24,0),1)</f>
        <v>38.106804794520357</v>
      </c>
      <c r="D17" s="237">
        <f>INDEX([2]Energy!$U$4:$Y$24,MATCH($B17,[2]Energy!$T$4:$T$24,0),4)</f>
        <v>41.053791152263649</v>
      </c>
      <c r="E17" s="238">
        <f>INDEX([2]Energy!$U$4:$Y$24,MATCH($B17,[2]Energy!$T$4:$T$24,0),5)</f>
        <v>24.267844650205614</v>
      </c>
      <c r="F17" s="238">
        <f>INDEX([2]Energy!$U$4:$Y$24,MATCH($B17,[2]Energy!$T$4:$T$24,0),2)</f>
        <v>80.524590163934292</v>
      </c>
      <c r="G17" s="239">
        <f>INDEX([2]Energy!$U$4:$Y$24,MATCH($B17,[2]Energy!$T$4:$T$24,0),3)</f>
        <v>41.527489754098262</v>
      </c>
      <c r="H17" s="236">
        <f>INDEX([2]Energy!$U$29:$Y$49,MATCH($B17,[2]Energy!$T$29:$T$49,0),1)</f>
        <v>35.725179718795047</v>
      </c>
      <c r="I17" s="237">
        <f>INDEX([2]Energy!$U$29:$Y$49,MATCH($B17,[2]Energy!$T$29:$T$49,0),4)</f>
        <v>40.847874466851856</v>
      </c>
      <c r="J17" s="238">
        <f>INDEX([2]Energy!$U$29:$Y$49,MATCH($B17,[2]Energy!$T$29:$T$49,0),5)</f>
        <v>23.233630960264708</v>
      </c>
      <c r="K17" s="238">
        <f>INDEX([2]Energy!$U$29:$Y$49,MATCH($B17,[2]Energy!$T$29:$T$49,0),2)</f>
        <v>74.715735634716665</v>
      </c>
      <c r="L17" s="239">
        <f>INDEX([2]Energy!$U$29:$Y$49,MATCH($B17,[2]Energy!$T$29:$T$49,0),3)</f>
        <v>40.329527253919451</v>
      </c>
      <c r="N17" s="245">
        <v>2026</v>
      </c>
      <c r="O17" s="236">
        <f>INDEX([2]Energy!$U$79:$Y$99,MATCH($B17,[2]Energy!$T$79:$T$99,0),1)</f>
        <v>32.538541079585961</v>
      </c>
      <c r="P17" s="237">
        <f>INDEX([2]Energy!$U$79:$Y$99,MATCH($B17,[2]Energy!$T$79:$T$99,0),4)</f>
        <v>31.800782494089667</v>
      </c>
      <c r="Q17" s="238">
        <f>INDEX([2]Energy!$U$79:$Y$99,MATCH($B17,[2]Energy!$T$79:$T$99,0),5)</f>
        <v>20.407660328476528</v>
      </c>
      <c r="R17" s="238">
        <f>INDEX([2]Energy!$U$79:$Y$99,MATCH($B17,[2]Energy!$T$79:$T$99,0),2)</f>
        <v>62.188475320227361</v>
      </c>
      <c r="S17" s="239">
        <f>INDEX([2]Energy!$U$79:$Y$99,MATCH($B17,[2]Energy!$T$79:$T$99,0),3)</f>
        <v>42.927794105071897</v>
      </c>
      <c r="T17" s="236">
        <f>INDEX([2]Energy!$U$54:$Y$74,MATCH($B17,[2]Energy!$T$54:$T$74,0),1)</f>
        <v>35.716753450026673</v>
      </c>
      <c r="U17" s="237">
        <f>INDEX([2]Energy!$U$54:$Y$74,MATCH($B17,[2]Energy!$T$54:$T$74,0),4)</f>
        <v>31.763459703376974</v>
      </c>
      <c r="V17" s="238">
        <f>INDEX([2]Energy!$U$54:$Y$74,MATCH($B17,[2]Energy!$T$54:$T$74,0),5)</f>
        <v>19.09881611360602</v>
      </c>
      <c r="W17" s="238">
        <f>INDEX([2]Energy!$U$54:$Y$74,MATCH($B17,[2]Energy!$T$54:$T$74,0),2)</f>
        <v>68.91295486476632</v>
      </c>
      <c r="X17" s="239">
        <f>INDEX([2]Energy!$U$54:$Y$74,MATCH($B17,[2]Energy!$T$54:$T$74,0),3)</f>
        <v>43.54557610625956</v>
      </c>
    </row>
    <row r="18" spans="2:24">
      <c r="B18" s="245">
        <v>2027</v>
      </c>
      <c r="C18" s="236">
        <f>INDEX([2]Energy!$U$4:$Y$24,MATCH($B18,[2]Energy!$T$4:$T$24,0),1)</f>
        <v>38.946640410958729</v>
      </c>
      <c r="D18" s="237">
        <f>INDEX([2]Energy!$U$4:$Y$24,MATCH($B18,[2]Energy!$T$4:$T$24,0),4)</f>
        <v>42.016826131687559</v>
      </c>
      <c r="E18" s="238">
        <f>INDEX([2]Energy!$U$4:$Y$24,MATCH($B18,[2]Energy!$T$4:$T$24,0),5)</f>
        <v>24.998423353909406</v>
      </c>
      <c r="F18" s="238">
        <f>INDEX([2]Energy!$U$4:$Y$24,MATCH($B18,[2]Energy!$T$4:$T$24,0),2)</f>
        <v>81.365758196721245</v>
      </c>
      <c r="G18" s="239">
        <f>INDEX([2]Energy!$U$4:$Y$24,MATCH($B18,[2]Energy!$T$4:$T$24,0),3)</f>
        <v>42.461582991803333</v>
      </c>
      <c r="H18" s="236">
        <f>INDEX([2]Energy!$U$29:$Y$49,MATCH($B18,[2]Energy!$T$29:$T$49,0),1)</f>
        <v>36.538949033109297</v>
      </c>
      <c r="I18" s="237">
        <f>INDEX([2]Energy!$U$29:$Y$49,MATCH($B18,[2]Energy!$T$29:$T$49,0),4)</f>
        <v>41.805983891534872</v>
      </c>
      <c r="J18" s="238">
        <f>INDEX([2]Energy!$U$29:$Y$49,MATCH($B18,[2]Energy!$T$29:$T$49,0),5)</f>
        <v>23.920893335018711</v>
      </c>
      <c r="K18" s="238">
        <f>INDEX([2]Energy!$U$29:$Y$49,MATCH($B18,[2]Energy!$T$29:$T$49,0),2)</f>
        <v>75.527568781153434</v>
      </c>
      <c r="L18" s="239">
        <f>INDEX([2]Energy!$U$29:$Y$49,MATCH($B18,[2]Energy!$T$29:$T$49,0),3)</f>
        <v>41.279701104736191</v>
      </c>
      <c r="N18" s="245">
        <v>2027</v>
      </c>
      <c r="O18" s="236">
        <f>INDEX([2]Energy!$U$79:$Y$99,MATCH($B18,[2]Energy!$T$79:$T$99,0),1)</f>
        <v>33.131860021777769</v>
      </c>
      <c r="P18" s="237">
        <f>INDEX([2]Energy!$U$79:$Y$99,MATCH($B18,[2]Energy!$T$79:$T$99,0),4)</f>
        <v>32.122920603774389</v>
      </c>
      <c r="Q18" s="238">
        <f>INDEX([2]Energy!$U$79:$Y$99,MATCH($B18,[2]Energy!$T$79:$T$99,0),5)</f>
        <v>20.970982299241072</v>
      </c>
      <c r="R18" s="238">
        <f>INDEX([2]Energy!$U$79:$Y$99,MATCH($B18,[2]Energy!$T$79:$T$99,0),2)</f>
        <v>62.68779709364123</v>
      </c>
      <c r="S18" s="239">
        <f>INDEX([2]Energy!$U$79:$Y$99,MATCH($B18,[2]Energy!$T$79:$T$99,0),3)</f>
        <v>43.629497360220419</v>
      </c>
      <c r="T18" s="236">
        <f>INDEX([2]Energy!$U$54:$Y$74,MATCH($B18,[2]Energy!$T$54:$T$74,0),1)</f>
        <v>36.215002783570306</v>
      </c>
      <c r="U18" s="237">
        <f>INDEX([2]Energy!$U$54:$Y$74,MATCH($B18,[2]Energy!$T$54:$T$74,0),4)</f>
        <v>31.92506541605551</v>
      </c>
      <c r="V18" s="238">
        <f>INDEX([2]Energy!$U$54:$Y$74,MATCH($B18,[2]Energy!$T$54:$T$74,0),5)</f>
        <v>19.525851377623571</v>
      </c>
      <c r="W18" s="238">
        <f>INDEX([2]Energy!$U$54:$Y$74,MATCH($B18,[2]Energy!$T$54:$T$74,0),2)</f>
        <v>69.137317667400325</v>
      </c>
      <c r="X18" s="239">
        <f>INDEX([2]Energy!$U$54:$Y$74,MATCH($B18,[2]Energy!$T$54:$T$74,0),3)</f>
        <v>44.27481747567866</v>
      </c>
    </row>
    <row r="19" spans="2:24">
      <c r="B19" s="245">
        <v>2028</v>
      </c>
      <c r="C19" s="236">
        <f>INDEX([2]Energy!$U$4:$Y$24,MATCH($B19,[2]Energy!$T$4:$T$24,0),1)</f>
        <v>40.974369307832141</v>
      </c>
      <c r="D19" s="237">
        <f>INDEX([2]Energy!$U$4:$Y$24,MATCH($B19,[2]Energy!$T$4:$T$24,0),4)</f>
        <v>44.057889344262378</v>
      </c>
      <c r="E19" s="238">
        <f>INDEX([2]Energy!$U$4:$Y$24,MATCH($B19,[2]Energy!$T$4:$T$24,0),5)</f>
        <v>26.221603483606572</v>
      </c>
      <c r="F19" s="238">
        <f>INDEX([2]Energy!$U$4:$Y$24,MATCH($B19,[2]Energy!$T$4:$T$24,0),2)</f>
        <v>85.837274590163574</v>
      </c>
      <c r="G19" s="239">
        <f>INDEX([2]Energy!$U$4:$Y$24,MATCH($B19,[2]Energy!$T$4:$T$24,0),3)</f>
        <v>44.964928278688298</v>
      </c>
      <c r="H19" s="236">
        <f>INDEX([2]Energy!$U$29:$Y$49,MATCH($B19,[2]Energy!$T$29:$T$49,0),1)</f>
        <v>38.455591547698191</v>
      </c>
      <c r="I19" s="237">
        <f>INDEX([2]Energy!$U$29:$Y$49,MATCH($B19,[2]Energy!$T$29:$T$49,0),4)</f>
        <v>43.829579248579229</v>
      </c>
      <c r="J19" s="238">
        <f>INDEX([2]Energy!$U$29:$Y$49,MATCH($B19,[2]Energy!$T$29:$T$49,0),5)</f>
        <v>25.108681368079679</v>
      </c>
      <c r="K19" s="238">
        <f>INDEX([2]Energy!$U$29:$Y$49,MATCH($B19,[2]Energy!$T$29:$T$49,0),2)</f>
        <v>79.835774122557609</v>
      </c>
      <c r="L19" s="239">
        <f>INDEX([2]Energy!$U$29:$Y$49,MATCH($B19,[2]Energy!$T$29:$T$49,0),3)</f>
        <v>43.747476628917433</v>
      </c>
      <c r="N19" s="245">
        <v>2028</v>
      </c>
      <c r="O19" s="236">
        <f>INDEX([2]Energy!$U$79:$Y$99,MATCH($B19,[2]Energy!$T$79:$T$99,0),1)</f>
        <v>34.877923717315497</v>
      </c>
      <c r="P19" s="237">
        <f>INDEX([2]Energy!$U$79:$Y$99,MATCH($B19,[2]Energy!$T$79:$T$99,0),4)</f>
        <v>33.624579813098897</v>
      </c>
      <c r="Q19" s="238">
        <f>INDEX([2]Energy!$U$79:$Y$99,MATCH($B19,[2]Energy!$T$79:$T$99,0),5)</f>
        <v>21.968843532568048</v>
      </c>
      <c r="R19" s="238">
        <f>INDEX([2]Energy!$U$79:$Y$99,MATCH($B19,[2]Energy!$T$79:$T$99,0),2)</f>
        <v>66.146518198154126</v>
      </c>
      <c r="S19" s="239">
        <f>INDEX([2]Energy!$U$79:$Y$99,MATCH($B19,[2]Energy!$T$79:$T$99,0),3)</f>
        <v>46.152813498378634</v>
      </c>
      <c r="T19" s="236">
        <f>INDEX([2]Energy!$U$54:$Y$74,MATCH($B19,[2]Energy!$T$54:$T$74,0),1)</f>
        <v>38.195367075968853</v>
      </c>
      <c r="U19" s="237">
        <f>INDEX([2]Energy!$U$54:$Y$74,MATCH($B19,[2]Energy!$T$54:$T$74,0),4)</f>
        <v>33.473394313463217</v>
      </c>
      <c r="V19" s="238">
        <f>INDEX([2]Energy!$U$54:$Y$74,MATCH($B19,[2]Energy!$T$54:$T$74,0),5)</f>
        <v>20.440894481060596</v>
      </c>
      <c r="W19" s="238">
        <f>INDEX([2]Energy!$U$54:$Y$74,MATCH($B19,[2]Energy!$T$54:$T$74,0),2)</f>
        <v>73.025636386215012</v>
      </c>
      <c r="X19" s="239">
        <f>INDEX([2]Energy!$U$54:$Y$74,MATCH($B19,[2]Energy!$T$54:$T$74,0),3)</f>
        <v>46.911791839928696</v>
      </c>
    </row>
    <row r="20" spans="2:24">
      <c r="B20" s="245">
        <v>2029</v>
      </c>
      <c r="C20" s="236">
        <f>INDEX([2]Energy!$U$4:$Y$24,MATCH($B20,[2]Energy!$T$4:$T$24,0),1)</f>
        <v>43.004966894977457</v>
      </c>
      <c r="D20" s="237">
        <f>INDEX([2]Energy!$U$4:$Y$24,MATCH($B20,[2]Energy!$T$4:$T$24,0),4)</f>
        <v>46.083101851851907</v>
      </c>
      <c r="E20" s="238">
        <f>INDEX([2]Energy!$U$4:$Y$24,MATCH($B20,[2]Energy!$T$4:$T$24,0),5)</f>
        <v>27.339907407407694</v>
      </c>
      <c r="F20" s="238">
        <f>INDEX([2]Energy!$U$4:$Y$24,MATCH($B20,[2]Energy!$T$4:$T$24,0),2)</f>
        <v>90.513114754098609</v>
      </c>
      <c r="G20" s="239">
        <f>INDEX([2]Energy!$U$4:$Y$24,MATCH($B20,[2]Energy!$T$4:$T$24,0),3)</f>
        <v>47.387090163934616</v>
      </c>
      <c r="H20" s="236">
        <f>INDEX([2]Energy!$U$29:$Y$49,MATCH($B20,[2]Energy!$T$29:$T$49,0),1)</f>
        <v>40.233246283948858</v>
      </c>
      <c r="I20" s="237">
        <f>INDEX([2]Energy!$U$29:$Y$49,MATCH($B20,[2]Energy!$T$29:$T$49,0),4)</f>
        <v>45.896952346344278</v>
      </c>
      <c r="J20" s="238">
        <f>INDEX([2]Energy!$U$29:$Y$49,MATCH($B20,[2]Energy!$T$29:$T$49,0),5)</f>
        <v>26.196046915869783</v>
      </c>
      <c r="K20" s="238">
        <f>INDEX([2]Energy!$U$29:$Y$49,MATCH($B20,[2]Energy!$T$29:$T$49,0),2)</f>
        <v>83.191317254707954</v>
      </c>
      <c r="L20" s="239">
        <f>INDEX([2]Energy!$U$29:$Y$49,MATCH($B20,[2]Energy!$T$29:$T$49,0),3)</f>
        <v>45.96208427202221</v>
      </c>
      <c r="N20" s="245">
        <v>2029</v>
      </c>
      <c r="O20" s="236">
        <f>INDEX([2]Energy!$U$79:$Y$99,MATCH($B20,[2]Energy!$T$79:$T$99,0),1)</f>
        <v>36.485094823664966</v>
      </c>
      <c r="P20" s="237">
        <f>INDEX([2]Energy!$U$79:$Y$99,MATCH($B20,[2]Energy!$T$79:$T$99,0),4)</f>
        <v>35.242707050901224</v>
      </c>
      <c r="Q20" s="238">
        <f>INDEX([2]Energy!$U$79:$Y$99,MATCH($B20,[2]Energy!$T$79:$T$99,0),5)</f>
        <v>22.902083036243315</v>
      </c>
      <c r="R20" s="238">
        <f>INDEX([2]Energy!$U$79:$Y$99,MATCH($B20,[2]Energy!$T$79:$T$99,0),2)</f>
        <v>69.522164008951165</v>
      </c>
      <c r="S20" s="239">
        <f>INDEX([2]Energy!$U$79:$Y$99,MATCH($B20,[2]Energy!$T$79:$T$99,0),3)</f>
        <v>48.213044111601732</v>
      </c>
      <c r="T20" s="236">
        <f>INDEX([2]Energy!$U$54:$Y$74,MATCH($B20,[2]Energy!$T$54:$T$74,0),1)</f>
        <v>39.911033958454468</v>
      </c>
      <c r="U20" s="237">
        <f>INDEX([2]Energy!$U$54:$Y$74,MATCH($B20,[2]Energy!$T$54:$T$74,0),4)</f>
        <v>35.077787777798186</v>
      </c>
      <c r="V20" s="238">
        <f>INDEX([2]Energy!$U$54:$Y$74,MATCH($B20,[2]Energy!$T$54:$T$74,0),5)</f>
        <v>21.315025643132682</v>
      </c>
      <c r="W20" s="238">
        <f>INDEX([2]Energy!$U$54:$Y$74,MATCH($B20,[2]Energy!$T$54:$T$74,0),2)</f>
        <v>76.309330786264937</v>
      </c>
      <c r="X20" s="239">
        <f>INDEX([2]Energy!$U$54:$Y$74,MATCH($B20,[2]Energy!$T$54:$T$74,0),3)</f>
        <v>49.002727768844025</v>
      </c>
    </row>
    <row r="21" spans="2:24">
      <c r="B21" s="245">
        <v>2030</v>
      </c>
      <c r="C21" s="236">
        <f>INDEX([2]Energy!$U$4:$Y$24,MATCH($B21,[2]Energy!$T$4:$T$24,0),1)</f>
        <v>44.53353196347021</v>
      </c>
      <c r="D21" s="237">
        <f>INDEX([2]Energy!$U$4:$Y$24,MATCH($B21,[2]Energy!$T$4:$T$24,0),4)</f>
        <v>47.165257201645922</v>
      </c>
      <c r="E21" s="238">
        <f>INDEX([2]Energy!$U$4:$Y$24,MATCH($B21,[2]Energy!$T$4:$T$24,0),5)</f>
        <v>28.168446502057627</v>
      </c>
      <c r="F21" s="238">
        <f>INDEX([2]Energy!$U$4:$Y$24,MATCH($B21,[2]Energy!$T$4:$T$24,0),2)</f>
        <v>94.664436475410142</v>
      </c>
      <c r="G21" s="239">
        <f>INDEX([2]Energy!$U$4:$Y$24,MATCH($B21,[2]Energy!$T$4:$T$24,0),3)</f>
        <v>49.443171106557244</v>
      </c>
      <c r="H21" s="236">
        <f>INDEX([2]Energy!$U$29:$Y$49,MATCH($B21,[2]Energy!$T$29:$T$49,0),1)</f>
        <v>41.60872926336932</v>
      </c>
      <c r="I21" s="237">
        <f>INDEX([2]Energy!$U$29:$Y$49,MATCH($B21,[2]Energy!$T$29:$T$49,0),4)</f>
        <v>46.929861967102688</v>
      </c>
      <c r="J21" s="238">
        <f>INDEX([2]Energy!$U$29:$Y$49,MATCH($B21,[2]Energy!$T$29:$T$49,0),5)</f>
        <v>26.933777187053359</v>
      </c>
      <c r="K21" s="238">
        <f>INDEX([2]Energy!$U$29:$Y$49,MATCH($B21,[2]Energy!$T$29:$T$49,0),2)</f>
        <v>87.314671477322108</v>
      </c>
      <c r="L21" s="239">
        <f>INDEX([2]Energy!$U$29:$Y$49,MATCH($B21,[2]Energy!$T$29:$T$49,0),3)</f>
        <v>47.928902516000505</v>
      </c>
      <c r="N21" s="245">
        <v>2030</v>
      </c>
      <c r="O21" s="236">
        <f>INDEX([2]Energy!$U$79:$Y$99,MATCH($B21,[2]Energy!$T$79:$T$99,0),1)</f>
        <v>37.896589325329685</v>
      </c>
      <c r="P21" s="237">
        <f>INDEX([2]Energy!$U$79:$Y$99,MATCH($B21,[2]Energy!$T$79:$T$99,0),4)</f>
        <v>35.182960215170255</v>
      </c>
      <c r="Q21" s="238">
        <f>INDEX([2]Energy!$U$79:$Y$99,MATCH($B21,[2]Energy!$T$79:$T$99,0),5)</f>
        <v>23.573689915881953</v>
      </c>
      <c r="R21" s="238">
        <f>INDEX([2]Energy!$U$79:$Y$99,MATCH($B21,[2]Energy!$T$79:$T$99,0),2)</f>
        <v>72.899220592473156</v>
      </c>
      <c r="S21" s="239">
        <f>INDEX([2]Energy!$U$79:$Y$99,MATCH($B21,[2]Energy!$T$79:$T$99,0),3)</f>
        <v>50.341844027916615</v>
      </c>
      <c r="T21" s="236">
        <f>INDEX([2]Energy!$U$54:$Y$74,MATCH($B21,[2]Energy!$T$54:$T$74,0),1)</f>
        <v>41.454876669983214</v>
      </c>
      <c r="U21" s="237">
        <f>INDEX([2]Energy!$U$54:$Y$74,MATCH($B21,[2]Energy!$T$54:$T$74,0),4)</f>
        <v>34.750238001725663</v>
      </c>
      <c r="V21" s="238">
        <f>INDEX([2]Energy!$U$54:$Y$74,MATCH($B21,[2]Energy!$T$54:$T$74,0),5)</f>
        <v>21.75006521554397</v>
      </c>
      <c r="W21" s="238">
        <f>INDEX([2]Energy!$U$54:$Y$74,MATCH($B21,[2]Energy!$T$54:$T$74,0),2)</f>
        <v>80.448593931735218</v>
      </c>
      <c r="X21" s="239">
        <f>INDEX([2]Energy!$U$54:$Y$74,MATCH($B21,[2]Energy!$T$54:$T$74,0),3)</f>
        <v>51.168732057107675</v>
      </c>
    </row>
    <row r="22" spans="2:24">
      <c r="B22" s="245">
        <v>2031</v>
      </c>
      <c r="C22" s="236">
        <f>INDEX([2]Energy!$U$4:$Y$24,MATCH($B22,[2]Energy!$T$4:$T$24,0),1)</f>
        <v>46.595027397260615</v>
      </c>
      <c r="D22" s="237">
        <f>INDEX([2]Energy!$U$4:$Y$24,MATCH($B22,[2]Energy!$T$4:$T$24,0),4)</f>
        <v>49.30701646090548</v>
      </c>
      <c r="E22" s="238">
        <f>INDEX([2]Energy!$U$4:$Y$24,MATCH($B22,[2]Energy!$T$4:$T$24,0),5)</f>
        <v>29.471579218107046</v>
      </c>
      <c r="F22" s="238">
        <f>INDEX([2]Energy!$U$4:$Y$24,MATCH($B22,[2]Energy!$T$4:$T$24,0),2)</f>
        <v>98.688975409836189</v>
      </c>
      <c r="G22" s="239">
        <f>INDEX([2]Energy!$U$4:$Y$24,MATCH($B22,[2]Energy!$T$4:$T$24,0),3)</f>
        <v>51.953719262295245</v>
      </c>
      <c r="H22" s="236">
        <f>INDEX([2]Energy!$U$29:$Y$49,MATCH($B22,[2]Energy!$T$29:$T$49,0),1)</f>
        <v>43.608289439485816</v>
      </c>
      <c r="I22" s="237">
        <f>INDEX([2]Energy!$U$29:$Y$49,MATCH($B22,[2]Energy!$T$29:$T$49,0),4)</f>
        <v>49.105132765406189</v>
      </c>
      <c r="J22" s="238">
        <f>INDEX([2]Energy!$U$29:$Y$49,MATCH($B22,[2]Energy!$T$29:$T$49,0),5)</f>
        <v>28.202800482348476</v>
      </c>
      <c r="K22" s="238">
        <f>INDEX([2]Energy!$U$29:$Y$49,MATCH($B22,[2]Energy!$T$29:$T$49,0),2)</f>
        <v>91.530298665107438</v>
      </c>
      <c r="L22" s="239">
        <f>INDEX([2]Energy!$U$29:$Y$49,MATCH($B22,[2]Energy!$T$29:$T$49,0),3)</f>
        <v>50.383528603232548</v>
      </c>
      <c r="N22" s="245">
        <v>2031</v>
      </c>
      <c r="O22" s="236">
        <f>INDEX([2]Energy!$U$79:$Y$99,MATCH($B22,[2]Energy!$T$79:$T$99,0),1)</f>
        <v>39.609009278404116</v>
      </c>
      <c r="P22" s="237">
        <f>INDEX([2]Energy!$U$79:$Y$99,MATCH($B22,[2]Energy!$T$79:$T$99,0),4)</f>
        <v>36.642640729698329</v>
      </c>
      <c r="Q22" s="238">
        <f>INDEX([2]Energy!$U$79:$Y$99,MATCH($B22,[2]Energy!$T$79:$T$99,0),5)</f>
        <v>24.608220376026953</v>
      </c>
      <c r="R22" s="238">
        <f>INDEX([2]Energy!$U$79:$Y$99,MATCH($B22,[2]Energy!$T$79:$T$99,0),2)</f>
        <v>76.228719785807598</v>
      </c>
      <c r="S22" s="239">
        <f>INDEX([2]Energy!$U$79:$Y$99,MATCH($B22,[2]Energy!$T$79:$T$99,0),3)</f>
        <v>52.668662723066767</v>
      </c>
      <c r="T22" s="236">
        <f>INDEX([2]Energy!$U$54:$Y$74,MATCH($B22,[2]Energy!$T$54:$T$74,0),1)</f>
        <v>43.389184765921989</v>
      </c>
      <c r="U22" s="237">
        <f>INDEX([2]Energy!$U$54:$Y$74,MATCH($B22,[2]Energy!$T$54:$T$74,0),4)</f>
        <v>36.19255253947842</v>
      </c>
      <c r="V22" s="238">
        <f>INDEX([2]Energy!$U$54:$Y$74,MATCH($B22,[2]Energy!$T$54:$T$74,0),5)</f>
        <v>22.688834768851848</v>
      </c>
      <c r="W22" s="238">
        <f>INDEX([2]Energy!$U$54:$Y$74,MATCH($B22,[2]Energy!$T$54:$T$74,0),2)</f>
        <v>84.459932375217662</v>
      </c>
      <c r="X22" s="239">
        <f>INDEX([2]Energy!$U$54:$Y$74,MATCH($B22,[2]Energy!$T$54:$T$74,0),3)</f>
        <v>53.577794431648002</v>
      </c>
    </row>
    <row r="23" spans="2:24">
      <c r="B23" s="245">
        <v>2032</v>
      </c>
      <c r="C23" s="236">
        <f>INDEX([2]Energy!$U$4:$Y$24,MATCH($B23,[2]Energy!$T$4:$T$24,0),1)</f>
        <v>48.635439435337247</v>
      </c>
      <c r="D23" s="237">
        <f>INDEX([2]Energy!$U$4:$Y$24,MATCH($B23,[2]Energy!$T$4:$T$24,0),4)</f>
        <v>51.883309426229346</v>
      </c>
      <c r="E23" s="238">
        <f>INDEX([2]Energy!$U$4:$Y$24,MATCH($B23,[2]Energy!$T$4:$T$24,0),5)</f>
        <v>31.098071209016368</v>
      </c>
      <c r="F23" s="238">
        <f>INDEX([2]Energy!$U$4:$Y$24,MATCH($B23,[2]Energy!$T$4:$T$24,0),2)</f>
        <v>101.70907786885205</v>
      </c>
      <c r="G23" s="239">
        <f>INDEX([2]Energy!$U$4:$Y$24,MATCH($B23,[2]Energy!$T$4:$T$24,0),3)</f>
        <v>53.925486680327865</v>
      </c>
      <c r="H23" s="236">
        <f>INDEX([2]Energy!$U$29:$Y$49,MATCH($B23,[2]Energy!$T$29:$T$49,0),1)</f>
        <v>45.745018449459479</v>
      </c>
      <c r="I23" s="237">
        <f>INDEX([2]Energy!$U$29:$Y$49,MATCH($B23,[2]Energy!$T$29:$T$49,0),4)</f>
        <v>51.833652632005894</v>
      </c>
      <c r="J23" s="238">
        <f>INDEX([2]Energy!$U$29:$Y$49,MATCH($B23,[2]Energy!$T$29:$T$49,0),5)</f>
        <v>29.881776513778068</v>
      </c>
      <c r="K23" s="238">
        <f>INDEX([2]Energy!$U$29:$Y$49,MATCH($B23,[2]Energy!$T$29:$T$49,0),2)</f>
        <v>94.816971954087478</v>
      </c>
      <c r="L23" s="239">
        <f>INDEX([2]Energy!$U$29:$Y$49,MATCH($B23,[2]Energy!$T$29:$T$49,0),3)</f>
        <v>52.460891268590096</v>
      </c>
      <c r="N23" s="245">
        <v>2032</v>
      </c>
      <c r="O23" s="236">
        <f>INDEX([2]Energy!$U$79:$Y$99,MATCH($B23,[2]Energy!$T$79:$T$99,0),1)</f>
        <v>41.277305391770824</v>
      </c>
      <c r="P23" s="237">
        <f>INDEX([2]Energy!$U$79:$Y$99,MATCH($B23,[2]Energy!$T$79:$T$99,0),4)</f>
        <v>38.795426129526163</v>
      </c>
      <c r="Q23" s="238">
        <f>INDEX([2]Energy!$U$79:$Y$99,MATCH($B23,[2]Energy!$T$79:$T$99,0),5)</f>
        <v>25.947764871441773</v>
      </c>
      <c r="R23" s="238">
        <f>INDEX([2]Energy!$U$79:$Y$99,MATCH($B23,[2]Energy!$T$79:$T$99,0),2)</f>
        <v>78.546080755193131</v>
      </c>
      <c r="S23" s="239">
        <f>INDEX([2]Energy!$U$79:$Y$99,MATCH($B23,[2]Energy!$T$79:$T$99,0),3)</f>
        <v>54.715233528184228</v>
      </c>
      <c r="T23" s="236">
        <f>INDEX([2]Energy!$U$54:$Y$74,MATCH($B23,[2]Energy!$T$54:$T$74,0),1)</f>
        <v>45.151383067970507</v>
      </c>
      <c r="U23" s="237">
        <f>INDEX([2]Energy!$U$54:$Y$74,MATCH($B23,[2]Energy!$T$54:$T$74,0),4)</f>
        <v>38.206839521347007</v>
      </c>
      <c r="V23" s="238">
        <f>INDEX([2]Energy!$U$54:$Y$74,MATCH($B23,[2]Energy!$T$54:$T$74,0),5)</f>
        <v>24.002653578113375</v>
      </c>
      <c r="W23" s="238">
        <f>INDEX([2]Energy!$U$54:$Y$74,MATCH($B23,[2]Energy!$T$54:$T$74,0),2)</f>
        <v>86.838610403000672</v>
      </c>
      <c r="X23" s="239">
        <f>INDEX([2]Energy!$U$54:$Y$74,MATCH($B23,[2]Energy!$T$54:$T$74,0),3)</f>
        <v>55.657784320895381</v>
      </c>
    </row>
    <row r="24" spans="2:24">
      <c r="B24" s="245">
        <v>2033</v>
      </c>
      <c r="C24" s="236">
        <f>INDEX([2]Energy!$U$4:$Y$24,MATCH($B24,[2]Energy!$T$4:$T$24,0),1)</f>
        <v>52.52776027397222</v>
      </c>
      <c r="D24" s="237">
        <f>INDEX([2]Energy!$U$4:$Y$24,MATCH($B24,[2]Energy!$T$4:$T$24,0),4)</f>
        <v>54.865020576131634</v>
      </c>
      <c r="E24" s="238">
        <f>INDEX([2]Energy!$U$4:$Y$24,MATCH($B24,[2]Energy!$T$4:$T$24,0),5)</f>
        <v>33.115398662551264</v>
      </c>
      <c r="F24" s="238">
        <f>INDEX([2]Energy!$U$4:$Y$24,MATCH($B24,[2]Energy!$T$4:$T$24,0),2)</f>
        <v>111.89489754098302</v>
      </c>
      <c r="G24" s="239">
        <f>INDEX([2]Energy!$U$4:$Y$24,MATCH($B24,[2]Energy!$T$4:$T$24,0),3)</f>
        <v>59.182115778688441</v>
      </c>
      <c r="H24" s="236">
        <f>INDEX([2]Energy!$U$29:$Y$49,MATCH($B24,[2]Energy!$T$29:$T$49,0),1)</f>
        <v>49.270603245019252</v>
      </c>
      <c r="I24" s="237">
        <f>INDEX([2]Energy!$U$29:$Y$49,MATCH($B24,[2]Energy!$T$29:$T$49,0),4)</f>
        <v>54.718796343008016</v>
      </c>
      <c r="J24" s="238">
        <f>INDEX([2]Energy!$U$29:$Y$49,MATCH($B24,[2]Energy!$T$29:$T$49,0),5)</f>
        <v>31.78140510572841</v>
      </c>
      <c r="K24" s="238">
        <f>INDEX([2]Energy!$U$29:$Y$49,MATCH($B24,[2]Energy!$T$29:$T$49,0),2)</f>
        <v>104.25766480414242</v>
      </c>
      <c r="L24" s="239">
        <f>INDEX([2]Energy!$U$29:$Y$49,MATCH($B24,[2]Energy!$T$29:$T$49,0),3)</f>
        <v>57.639829668553027</v>
      </c>
      <c r="N24" s="245">
        <v>2033</v>
      </c>
      <c r="O24" s="236">
        <f>INDEX([2]Energy!$U$79:$Y$99,MATCH($B24,[2]Energy!$T$79:$T$99,0),1)</f>
        <v>44.90263406161835</v>
      </c>
      <c r="P24" s="237">
        <f>INDEX([2]Energy!$U$79:$Y$99,MATCH($B24,[2]Energy!$T$79:$T$99,0),4)</f>
        <v>40.633504152705413</v>
      </c>
      <c r="Q24" s="238">
        <f>INDEX([2]Energy!$U$79:$Y$99,MATCH($B24,[2]Energy!$T$79:$T$99,0),5)</f>
        <v>27.552163302490094</v>
      </c>
      <c r="R24" s="238">
        <f>INDEX([2]Energy!$U$79:$Y$99,MATCH($B24,[2]Energy!$T$79:$T$99,0),2)</f>
        <v>86.412743761182412</v>
      </c>
      <c r="S24" s="239">
        <f>INDEX([2]Energy!$U$79:$Y$99,MATCH($B24,[2]Energy!$T$79:$T$99,0),3)</f>
        <v>60.375589618036138</v>
      </c>
      <c r="T24" s="236">
        <f>INDEX([2]Energy!$U$54:$Y$74,MATCH($B24,[2]Energy!$T$54:$T$74,0),1)</f>
        <v>49.22365523365373</v>
      </c>
      <c r="U24" s="237">
        <f>INDEX([2]Energy!$U$54:$Y$74,MATCH($B24,[2]Energy!$T$54:$T$74,0),4)</f>
        <v>39.975193490249765</v>
      </c>
      <c r="V24" s="238">
        <f>INDEX([2]Energy!$U$54:$Y$74,MATCH($B24,[2]Energy!$T$54:$T$74,0),5)</f>
        <v>25.365558888867614</v>
      </c>
      <c r="W24" s="238">
        <f>INDEX([2]Energy!$U$54:$Y$74,MATCH($B24,[2]Energy!$T$54:$T$74,0),2)</f>
        <v>95.466689068341978</v>
      </c>
      <c r="X24" s="239">
        <f>INDEX([2]Energy!$U$54:$Y$74,MATCH($B24,[2]Energy!$T$54:$T$74,0),3)</f>
        <v>61.50189418450389</v>
      </c>
    </row>
    <row r="25" spans="2:24">
      <c r="B25" s="245">
        <v>2034</v>
      </c>
      <c r="C25" s="236">
        <f>INDEX([2]Energy!$U$4:$Y$24,MATCH($B25,[2]Energy!$T$4:$T$24,0),1)</f>
        <v>55.035762557076922</v>
      </c>
      <c r="D25" s="237">
        <f>INDEX([2]Energy!$U$4:$Y$24,MATCH($B25,[2]Energy!$T$4:$T$24,0),4)</f>
        <v>56.824485596708421</v>
      </c>
      <c r="E25" s="238">
        <f>INDEX([2]Energy!$U$4:$Y$24,MATCH($B25,[2]Energy!$T$4:$T$24,0),5)</f>
        <v>34.221669238683077</v>
      </c>
      <c r="F25" s="238">
        <f>INDEX([2]Energy!$U$4:$Y$24,MATCH($B25,[2]Energy!$T$4:$T$24,0),2)</f>
        <v>119.28968237704939</v>
      </c>
      <c r="G25" s="239">
        <f>INDEX([2]Energy!$U$4:$Y$24,MATCH($B25,[2]Energy!$T$4:$T$24,0),3)</f>
        <v>62.58498975409799</v>
      </c>
      <c r="H25" s="236">
        <f>INDEX([2]Energy!$U$29:$Y$49,MATCH($B25,[2]Energy!$T$29:$T$49,0),1)</f>
        <v>51.548605501728609</v>
      </c>
      <c r="I25" s="237">
        <f>INDEX([2]Energy!$U$29:$Y$49,MATCH($B25,[2]Energy!$T$29:$T$49,0),4)</f>
        <v>56.679313422116266</v>
      </c>
      <c r="J25" s="238">
        <f>INDEX([2]Energy!$U$29:$Y$49,MATCH($B25,[2]Energy!$T$29:$T$49,0),5)</f>
        <v>32.848058941952758</v>
      </c>
      <c r="K25" s="238">
        <f>INDEX([2]Energy!$U$29:$Y$49,MATCH($B25,[2]Energy!$T$29:$T$49,0),2)</f>
        <v>111.2438139714511</v>
      </c>
      <c r="L25" s="239">
        <f>INDEX([2]Energy!$U$29:$Y$49,MATCH($B25,[2]Energy!$T$29:$T$49,0),3)</f>
        <v>60.892556301490188</v>
      </c>
      <c r="N25" s="245">
        <v>2034</v>
      </c>
      <c r="O25" s="236">
        <f>INDEX([2]Energy!$U$79:$Y$99,MATCH($B25,[2]Energy!$T$79:$T$99,0),1)</f>
        <v>47.327205159361164</v>
      </c>
      <c r="P25" s="237">
        <f>INDEX([2]Energy!$U$79:$Y$99,MATCH($B25,[2]Energy!$T$79:$T$99,0),4)</f>
        <v>42.235081899218038</v>
      </c>
      <c r="Q25" s="238">
        <f>INDEX([2]Energy!$U$79:$Y$99,MATCH($B25,[2]Energy!$T$79:$T$99,0),5)</f>
        <v>28.443447430966511</v>
      </c>
      <c r="R25" s="238">
        <f>INDEX([2]Energy!$U$79:$Y$99,MATCH($B25,[2]Energy!$T$79:$T$99,0),2)</f>
        <v>92.373256911050461</v>
      </c>
      <c r="S25" s="239">
        <f>INDEX([2]Energy!$U$79:$Y$99,MATCH($B25,[2]Energy!$T$79:$T$99,0),3)</f>
        <v>64.255297826606082</v>
      </c>
      <c r="T25" s="236">
        <f>INDEX([2]Energy!$U$54:$Y$74,MATCH($B25,[2]Energy!$T$54:$T$74,0),1)</f>
        <v>52.184997240279131</v>
      </c>
      <c r="U25" s="237">
        <f>INDEX([2]Energy!$U$54:$Y$74,MATCH($B25,[2]Energy!$T$54:$T$74,0),4)</f>
        <v>41.653913730278205</v>
      </c>
      <c r="V25" s="238">
        <f>INDEX([2]Energy!$U$54:$Y$74,MATCH($B25,[2]Energy!$T$54:$T$74,0),5)</f>
        <v>26.211027889971241</v>
      </c>
      <c r="W25" s="238">
        <f>INDEX([2]Energy!$U$54:$Y$74,MATCH($B25,[2]Energy!$T$54:$T$74,0),2)</f>
        <v>102.71040973949688</v>
      </c>
      <c r="X25" s="239">
        <f>INDEX([2]Energy!$U$54:$Y$74,MATCH($B25,[2]Energy!$T$54:$T$74,0),3)</f>
        <v>65.55490262897851</v>
      </c>
    </row>
    <row r="26" spans="2:24">
      <c r="B26" s="245">
        <v>2035</v>
      </c>
      <c r="C26" s="236">
        <f>INDEX([2]Energy!$U$4:$Y$24,MATCH($B26,[2]Energy!$T$4:$T$24,0),1)</f>
        <v>57.886619863014012</v>
      </c>
      <c r="D26" s="237">
        <f>INDEX([2]Energy!$U$4:$Y$24,MATCH($B26,[2]Energy!$T$4:$T$24,0),4)</f>
        <v>58.762973251029038</v>
      </c>
      <c r="E26" s="238">
        <f>INDEX([2]Energy!$U$4:$Y$24,MATCH($B26,[2]Energy!$T$4:$T$24,0),5)</f>
        <v>35.15436985596682</v>
      </c>
      <c r="F26" s="238">
        <f>INDEX([2]Energy!$U$4:$Y$24,MATCH($B26,[2]Energy!$T$4:$T$24,0),2)</f>
        <v>129.99946721311511</v>
      </c>
      <c r="G26" s="239">
        <f>INDEX([2]Energy!$U$4:$Y$24,MATCH($B26,[2]Energy!$T$4:$T$24,0),3)</f>
        <v>66.235604508196673</v>
      </c>
      <c r="H26" s="236">
        <f>INDEX([2]Energy!$U$29:$Y$49,MATCH($B26,[2]Energy!$T$29:$T$49,0),1)</f>
        <v>53.8346033042817</v>
      </c>
      <c r="I26" s="237">
        <f>INDEX([2]Energy!$U$29:$Y$49,MATCH($B26,[2]Energy!$T$29:$T$49,0),4)</f>
        <v>58.666713438507188</v>
      </c>
      <c r="J26" s="238">
        <f>INDEX([2]Energy!$U$29:$Y$49,MATCH($B26,[2]Energy!$T$29:$T$49,0),5)</f>
        <v>33.768599511838985</v>
      </c>
      <c r="K26" s="238">
        <f>INDEX([2]Energy!$U$29:$Y$49,MATCH($B26,[2]Energy!$T$29:$T$49,0),2)</f>
        <v>118.61966859261854</v>
      </c>
      <c r="L26" s="239">
        <f>INDEX([2]Energy!$U$29:$Y$49,MATCH($B26,[2]Energy!$T$29:$T$49,0),3)</f>
        <v>64.315763233681608</v>
      </c>
      <c r="N26" s="245">
        <v>2035</v>
      </c>
      <c r="O26" s="236">
        <f>INDEX([2]Energy!$U$79:$Y$99,MATCH($B26,[2]Energy!$T$79:$T$99,0),1)</f>
        <v>50.278837068467531</v>
      </c>
      <c r="P26" s="237">
        <f>INDEX([2]Energy!$U$79:$Y$99,MATCH($B26,[2]Energy!$T$79:$T$99,0),4)</f>
        <v>44.332043621474476</v>
      </c>
      <c r="Q26" s="238">
        <f>INDEX([2]Energy!$U$79:$Y$99,MATCH($B26,[2]Energy!$T$79:$T$99,0),5)</f>
        <v>29.319302682945295</v>
      </c>
      <c r="R26" s="238">
        <f>INDEX([2]Energy!$U$79:$Y$99,MATCH($B26,[2]Energy!$T$79:$T$99,0),2)</f>
        <v>100.0584253224027</v>
      </c>
      <c r="S26" s="239">
        <f>INDEX([2]Energy!$U$79:$Y$99,MATCH($B26,[2]Energy!$T$79:$T$99,0),3)</f>
        <v>69.170129000787981</v>
      </c>
      <c r="T26" s="236">
        <f>INDEX([2]Energy!$U$54:$Y$74,MATCH($B26,[2]Energy!$T$54:$T$74,0),1)</f>
        <v>55.47509621843259</v>
      </c>
      <c r="U26" s="237">
        <f>INDEX([2]Energy!$U$54:$Y$74,MATCH($B26,[2]Energy!$T$54:$T$74,0),4)</f>
        <v>43.874095732428131</v>
      </c>
      <c r="V26" s="238">
        <f>INDEX([2]Energy!$U$54:$Y$74,MATCH($B26,[2]Energy!$T$54:$T$74,0),5)</f>
        <v>27.13417615363112</v>
      </c>
      <c r="W26" s="238">
        <f>INDEX([2]Energy!$U$54:$Y$74,MATCH($B26,[2]Energy!$T$54:$T$74,0),2)</f>
        <v>109.73994109761149</v>
      </c>
      <c r="X26" s="239">
        <f>INDEX([2]Energy!$U$54:$Y$74,MATCH($B26,[2]Energy!$T$54:$T$74,0),3)</f>
        <v>70.391938487859122</v>
      </c>
    </row>
    <row r="27" spans="2:24">
      <c r="B27" s="245">
        <v>2036</v>
      </c>
      <c r="C27" s="236">
        <f>INDEX([2]Energy!$U$4:$Y$24,MATCH($B27,[2]Energy!$T$4:$T$24,0),1)</f>
        <v>58.635906193077659</v>
      </c>
      <c r="D27" s="237">
        <f>INDEX([2]Energy!$U$4:$Y$24,MATCH($B27,[2]Energy!$T$4:$T$24,0),4)</f>
        <v>59.59627561475466</v>
      </c>
      <c r="E27" s="238">
        <f>INDEX([2]Energy!$U$4:$Y$24,MATCH($B27,[2]Energy!$T$4:$T$24,0),5)</f>
        <v>35.967807377048821</v>
      </c>
      <c r="F27" s="238">
        <f>INDEX([2]Energy!$U$4:$Y$24,MATCH($B27,[2]Energy!$T$4:$T$24,0),2)</f>
        <v>130.33590163934417</v>
      </c>
      <c r="G27" s="239">
        <f>INDEX([2]Energy!$U$4:$Y$24,MATCH($B27,[2]Energy!$T$4:$T$24,0),3)</f>
        <v>67.16173668032765</v>
      </c>
      <c r="H27" s="236">
        <f>INDEX([2]Energy!$U$29:$Y$49,MATCH($B27,[2]Energy!$T$29:$T$49,0),1)</f>
        <v>54.633596907998701</v>
      </c>
      <c r="I27" s="237">
        <f>INDEX([2]Energy!$U$29:$Y$49,MATCH($B27,[2]Energy!$T$29:$T$49,0),4)</f>
        <v>59.40124107010908</v>
      </c>
      <c r="J27" s="238">
        <f>INDEX([2]Energy!$U$29:$Y$49,MATCH($B27,[2]Energy!$T$29:$T$49,0),5)</f>
        <v>34.457822563521219</v>
      </c>
      <c r="K27" s="238">
        <f>INDEX([2]Energy!$U$29:$Y$49,MATCH($B27,[2]Energy!$T$29:$T$49,0),2)</f>
        <v>120.51800304638017</v>
      </c>
      <c r="L27" s="239">
        <f>INDEX([2]Energy!$U$29:$Y$49,MATCH($B27,[2]Energy!$T$29:$T$49,0),3)</f>
        <v>65.079709023165677</v>
      </c>
      <c r="N27" s="245">
        <v>2036</v>
      </c>
      <c r="O27" s="236">
        <f>INDEX([2]Energy!$U$79:$Y$99,MATCH($B27,[2]Energy!$T$79:$T$99,0),1)</f>
        <v>50.711277431773006</v>
      </c>
      <c r="P27" s="237">
        <f>INDEX([2]Energy!$U$79:$Y$99,MATCH($B27,[2]Energy!$T$79:$T$99,0),4)</f>
        <v>43.941931327165314</v>
      </c>
      <c r="Q27" s="238">
        <f>INDEX([2]Energy!$U$79:$Y$99,MATCH($B27,[2]Energy!$T$79:$T$99,0),5)</f>
        <v>29.907034110742238</v>
      </c>
      <c r="R27" s="238">
        <f>INDEX([2]Energy!$U$79:$Y$99,MATCH($B27,[2]Energy!$T$79:$T$99,0),2)</f>
        <v>101.08404978726843</v>
      </c>
      <c r="S27" s="239">
        <f>INDEX([2]Energy!$U$79:$Y$99,MATCH($B27,[2]Energy!$T$79:$T$99,0),3)</f>
        <v>69.345605600272975</v>
      </c>
      <c r="T27" s="236">
        <f>INDEX([2]Energy!$U$54:$Y$74,MATCH($B27,[2]Energy!$T$54:$T$74,0),1)</f>
        <v>56.074713095424045</v>
      </c>
      <c r="U27" s="237">
        <f>INDEX([2]Energy!$U$54:$Y$74,MATCH($B27,[2]Energy!$T$54:$T$74,0),4)</f>
        <v>43.20072038226737</v>
      </c>
      <c r="V27" s="238">
        <f>INDEX([2]Energy!$U$54:$Y$74,MATCH($B27,[2]Energy!$T$54:$T$74,0),5)</f>
        <v>27.471827225384768</v>
      </c>
      <c r="W27" s="238">
        <f>INDEX([2]Energy!$U$54:$Y$74,MATCH($B27,[2]Energy!$T$54:$T$74,0),2)</f>
        <v>112.80549245258344</v>
      </c>
      <c r="X27" s="239">
        <f>INDEX([2]Energy!$U$54:$Y$74,MATCH($B27,[2]Energy!$T$54:$T$74,0),3)</f>
        <v>70.672570011885611</v>
      </c>
    </row>
    <row r="28" spans="2:24">
      <c r="B28" s="245">
        <v>2037</v>
      </c>
      <c r="C28" s="236">
        <f>INDEX([2]Energy!$U$4:$Y$24,MATCH($B28,[2]Energy!$T$4:$T$24,0),1)</f>
        <v>66.186974885844222</v>
      </c>
      <c r="D28" s="237">
        <f>INDEX([2]Energy!$U$4:$Y$24,MATCH($B28,[2]Energy!$T$4:$T$24,0),4)</f>
        <v>64.327448559670955</v>
      </c>
      <c r="E28" s="238">
        <f>INDEX([2]Energy!$U$4:$Y$24,MATCH($B28,[2]Energy!$T$4:$T$24,0),5)</f>
        <v>38.717821502057973</v>
      </c>
      <c r="F28" s="238">
        <f>INDEX([2]Energy!$U$4:$Y$24,MATCH($B28,[2]Energy!$T$4:$T$24,0),2)</f>
        <v>155.91707991803284</v>
      </c>
      <c r="G28" s="239">
        <f>INDEX([2]Energy!$U$4:$Y$24,MATCH($B28,[2]Energy!$T$4:$T$24,0),3)</f>
        <v>77.886977459015995</v>
      </c>
      <c r="H28" s="236">
        <f>INDEX([2]Energy!$U$29:$Y$49,MATCH($B28,[2]Energy!$T$29:$T$49,0),1)</f>
        <v>61.451547082929181</v>
      </c>
      <c r="I28" s="237">
        <f>INDEX([2]Energy!$U$29:$Y$49,MATCH($B28,[2]Energy!$T$29:$T$49,0),4)</f>
        <v>64.296100404528104</v>
      </c>
      <c r="J28" s="238">
        <f>INDEX([2]Energy!$U$29:$Y$49,MATCH($B28,[2]Energy!$T$29:$T$49,0),5)</f>
        <v>37.214920605431061</v>
      </c>
      <c r="K28" s="238">
        <f>INDEX([2]Energy!$U$29:$Y$49,MATCH($B28,[2]Energy!$T$29:$T$49,0),2)</f>
        <v>143.84671643125668</v>
      </c>
      <c r="L28" s="239">
        <f>INDEX([2]Energy!$U$29:$Y$49,MATCH($B28,[2]Energy!$T$29:$T$49,0),3)</f>
        <v>75.672827629904234</v>
      </c>
      <c r="N28" s="245">
        <v>2037</v>
      </c>
      <c r="O28" s="236">
        <f>INDEX([2]Energy!$U$79:$Y$99,MATCH($B28,[2]Energy!$T$79:$T$99,0),1)</f>
        <v>58.650726588616131</v>
      </c>
      <c r="P28" s="237">
        <f>INDEX([2]Energy!$U$79:$Y$99,MATCH($B28,[2]Energy!$T$79:$T$99,0),4)</f>
        <v>47.531469846288751</v>
      </c>
      <c r="Q28" s="238">
        <f>INDEX([2]Energy!$U$79:$Y$99,MATCH($B28,[2]Energy!$T$79:$T$99,0),5)</f>
        <v>32.239789336529668</v>
      </c>
      <c r="R28" s="238">
        <f>INDEX([2]Energy!$U$79:$Y$99,MATCH($B28,[2]Energy!$T$79:$T$99,0),2)</f>
        <v>121.31422176526939</v>
      </c>
      <c r="S28" s="239">
        <f>INDEX([2]Energy!$U$79:$Y$99,MATCH($B28,[2]Energy!$T$79:$T$99,0),3)</f>
        <v>82.825306650248578</v>
      </c>
      <c r="T28" s="236">
        <f>INDEX([2]Energy!$U$54:$Y$74,MATCH($B28,[2]Energy!$T$54:$T$74,0),1)</f>
        <v>65.508927562704329</v>
      </c>
      <c r="U28" s="237">
        <f>INDEX([2]Energy!$U$54:$Y$74,MATCH($B28,[2]Energy!$T$54:$T$74,0),4)</f>
        <v>46.756314943299685</v>
      </c>
      <c r="V28" s="238">
        <f>INDEX([2]Energy!$U$54:$Y$74,MATCH($B28,[2]Energy!$T$54:$T$74,0),5)</f>
        <v>29.667402699808591</v>
      </c>
      <c r="W28" s="238">
        <f>INDEX([2]Energy!$U$54:$Y$74,MATCH($B28,[2]Energy!$T$54:$T$74,0),2)</f>
        <v>135.79949624274434</v>
      </c>
      <c r="X28" s="239">
        <f>INDEX([2]Energy!$U$54:$Y$74,MATCH($B28,[2]Energy!$T$54:$T$74,0),3)</f>
        <v>84.37480606167054</v>
      </c>
    </row>
    <row r="29" spans="2:24">
      <c r="B29" s="245">
        <v>2038</v>
      </c>
      <c r="C29" s="236">
        <f>INDEX([2]Energy!$U$4:$Y$24,MATCH($B29,[2]Energy!$T$4:$T$24,0),1)</f>
        <v>69.565555936073565</v>
      </c>
      <c r="D29" s="237">
        <f>INDEX([2]Energy!$U$4:$Y$24,MATCH($B29,[2]Energy!$T$4:$T$24,0),4)</f>
        <v>68.178786008230176</v>
      </c>
      <c r="E29" s="238">
        <f>INDEX([2]Energy!$U$4:$Y$24,MATCH($B29,[2]Energy!$T$4:$T$24,0),5)</f>
        <v>40.98093621399218</v>
      </c>
      <c r="F29" s="238">
        <f>INDEX([2]Energy!$U$4:$Y$24,MATCH($B29,[2]Energy!$T$4:$T$24,0),2)</f>
        <v>162.28003073770458</v>
      </c>
      <c r="G29" s="239">
        <f>INDEX([2]Energy!$U$4:$Y$24,MATCH($B29,[2]Energy!$T$4:$T$24,0),3)</f>
        <v>81.524344262295628</v>
      </c>
      <c r="H29" s="236">
        <f>INDEX([2]Energy!$U$29:$Y$49,MATCH($B29,[2]Energy!$T$29:$T$49,0),1)</f>
        <v>64.7246379912809</v>
      </c>
      <c r="I29" s="237">
        <f>INDEX([2]Energy!$U$29:$Y$49,MATCH($B29,[2]Energy!$T$29:$T$49,0),4)</f>
        <v>68.227306897656632</v>
      </c>
      <c r="J29" s="238">
        <f>INDEX([2]Energy!$U$29:$Y$49,MATCH($B29,[2]Energy!$T$29:$T$49,0),5)</f>
        <v>39.485401267769447</v>
      </c>
      <c r="K29" s="238">
        <f>INDEX([2]Energy!$U$29:$Y$49,MATCH($B29,[2]Energy!$T$29:$T$49,0),2)</f>
        <v>149.62312021548541</v>
      </c>
      <c r="L29" s="239">
        <f>INDEX([2]Energy!$U$29:$Y$49,MATCH($B29,[2]Energy!$T$29:$T$49,0),3)</f>
        <v>79.332499665821871</v>
      </c>
      <c r="N29" s="245">
        <v>2038</v>
      </c>
      <c r="O29" s="236">
        <f>INDEX([2]Energy!$U$79:$Y$99,MATCH($B29,[2]Energy!$T$79:$T$99,0),1)</f>
        <v>61.558739670386608</v>
      </c>
      <c r="P29" s="237">
        <f>INDEX([2]Energy!$U$79:$Y$99,MATCH($B29,[2]Energy!$T$79:$T$99,0),4)</f>
        <v>51.083049169480404</v>
      </c>
      <c r="Q29" s="238">
        <f>INDEX([2]Energy!$U$79:$Y$99,MATCH($B29,[2]Energy!$T$79:$T$99,0),5)</f>
        <v>34.166755224664136</v>
      </c>
      <c r="R29" s="238">
        <f>INDEX([2]Energy!$U$79:$Y$99,MATCH($B29,[2]Energy!$T$79:$T$99,0),2)</f>
        <v>125.92884872512344</v>
      </c>
      <c r="S29" s="239">
        <f>INDEX([2]Energy!$U$79:$Y$99,MATCH($B29,[2]Energy!$T$79:$T$99,0),3)</f>
        <v>86.740699441994479</v>
      </c>
      <c r="T29" s="236">
        <f>INDEX([2]Energy!$U$54:$Y$74,MATCH($B29,[2]Energy!$T$54:$T$74,0),1)</f>
        <v>68.62500195682432</v>
      </c>
      <c r="U29" s="237">
        <f>INDEX([2]Energy!$U$54:$Y$74,MATCH($B29,[2]Energy!$T$54:$T$74,0),4)</f>
        <v>50.425346314724017</v>
      </c>
      <c r="V29" s="238">
        <f>INDEX([2]Energy!$U$54:$Y$74,MATCH($B29,[2]Energy!$T$54:$T$74,0),5)</f>
        <v>31.58420908129359</v>
      </c>
      <c r="W29" s="238">
        <f>INDEX([2]Energy!$U$54:$Y$74,MATCH($B29,[2]Energy!$T$54:$T$74,0),2)</f>
        <v>140.12291832278214</v>
      </c>
      <c r="X29" s="239">
        <f>INDEX([2]Energy!$U$54:$Y$74,MATCH($B29,[2]Energy!$T$54:$T$74,0),3)</f>
        <v>88.361305386579033</v>
      </c>
    </row>
    <row r="30" spans="2:24" ht="13.5" thickBot="1">
      <c r="B30" s="247">
        <v>2039</v>
      </c>
      <c r="C30" s="240">
        <f>INDEX([2]Energy!$U$4:$Y$24,MATCH($B30,[2]Energy!$T$4:$T$24,0),1)</f>
        <v>71.688907534246795</v>
      </c>
      <c r="D30" s="241">
        <f>INDEX([2]Energy!$U$4:$Y$24,MATCH($B30,[2]Energy!$T$4:$T$24,0),4)</f>
        <v>70.336466049382707</v>
      </c>
      <c r="E30" s="242">
        <f>INDEX([2]Energy!$U$4:$Y$24,MATCH($B30,[2]Energy!$T$4:$T$24,0),5)</f>
        <v>42.484526748970971</v>
      </c>
      <c r="F30" s="242">
        <f>INDEX([2]Energy!$U$4:$Y$24,MATCH($B30,[2]Energy!$T$4:$T$24,0),2)</f>
        <v>165.87982581967259</v>
      </c>
      <c r="G30" s="243">
        <f>INDEX([2]Energy!$U$4:$Y$24,MATCH($B30,[2]Energy!$T$4:$T$24,0),3)</f>
        <v>84.1097284836071</v>
      </c>
      <c r="H30" s="240">
        <f>INDEX([2]Energy!$U$29:$Y$49,MATCH($B30,[2]Energy!$T$29:$T$49,0),1)</f>
        <v>66.718837624245765</v>
      </c>
      <c r="I30" s="241">
        <f>INDEX([2]Energy!$U$29:$Y$49,MATCH($B30,[2]Energy!$T$29:$T$49,0),4)</f>
        <v>70.234547201356008</v>
      </c>
      <c r="J30" s="242">
        <f>INDEX([2]Energy!$U$29:$Y$49,MATCH($B30,[2]Energy!$T$29:$T$49,0),5)</f>
        <v>40.864728669407448</v>
      </c>
      <c r="K30" s="242">
        <f>INDEX([2]Energy!$U$29:$Y$49,MATCH($B30,[2]Energy!$T$29:$T$49,0),2)</f>
        <v>153.53191450906644</v>
      </c>
      <c r="L30" s="243">
        <f>INDEX([2]Energy!$U$29:$Y$49,MATCH($B30,[2]Energy!$T$29:$T$49,0),3)</f>
        <v>81.850693573300845</v>
      </c>
      <c r="N30" s="247">
        <v>2039</v>
      </c>
      <c r="O30" s="240">
        <f>INDEX([2]Energy!$U$79:$Y$99,MATCH($B30,[2]Energy!$T$79:$T$99,0),1)</f>
        <v>63.314319157889848</v>
      </c>
      <c r="P30" s="241">
        <f>INDEX([2]Energy!$U$79:$Y$99,MATCH($B30,[2]Energy!$T$79:$T$99,0),4)</f>
        <v>52.328854973837352</v>
      </c>
      <c r="Q30" s="242">
        <f>INDEX([2]Energy!$U$79:$Y$99,MATCH($B30,[2]Energy!$T$79:$T$99,0),5)</f>
        <v>35.461966791669518</v>
      </c>
      <c r="R30" s="242">
        <f>INDEX([2]Energy!$U$79:$Y$99,MATCH($B30,[2]Energy!$T$79:$T$99,0),2)</f>
        <v>128.74881909183989</v>
      </c>
      <c r="S30" s="243">
        <f>INDEX([2]Energy!$U$79:$Y$99,MATCH($B30,[2]Energy!$T$79:$T$99,0),3)</f>
        <v>88.95748925640541</v>
      </c>
      <c r="T30" s="240">
        <f>INDEX([2]Energy!$U$54:$Y$74,MATCH($B30,[2]Energy!$T$54:$T$74,0),1)</f>
        <v>70.517764028060299</v>
      </c>
      <c r="U30" s="241">
        <f>INDEX([2]Energy!$U$54:$Y$74,MATCH($B30,[2]Energy!$T$54:$T$74,0),4)</f>
        <v>51.481798526615378</v>
      </c>
      <c r="V30" s="242">
        <f>INDEX([2]Energy!$U$54:$Y$74,MATCH($B30,[2]Energy!$T$54:$T$74,0),5)</f>
        <v>32.657858833827071</v>
      </c>
      <c r="W30" s="242">
        <f>INDEX([2]Energy!$U$54:$Y$74,MATCH($B30,[2]Energy!$T$54:$T$74,0),2)</f>
        <v>143.58642480316377</v>
      </c>
      <c r="X30" s="243">
        <f>INDEX([2]Energy!$U$54:$Y$74,MATCH($B30,[2]Energy!$T$54:$T$74,0),3)</f>
        <v>90.758256921134617</v>
      </c>
    </row>
    <row r="31" spans="2:24" ht="5.25" customHeight="1" thickTop="1">
      <c r="B31" s="210"/>
      <c r="C31"/>
      <c r="D31"/>
      <c r="E31"/>
      <c r="F31"/>
      <c r="G31"/>
      <c r="H31"/>
      <c r="I31"/>
      <c r="J31"/>
      <c r="K31"/>
      <c r="N31" s="210"/>
    </row>
    <row r="32" spans="2:24">
      <c r="B32" s="48" t="s">
        <v>152</v>
      </c>
      <c r="F32" s="187"/>
      <c r="G32" s="7"/>
      <c r="N32" s="48" t="str">
        <f t="shared" ref="N32:N37" si="0">B32</f>
        <v>(1) Avoided cost prices have been reduced by wind and solar integration charges.</v>
      </c>
    </row>
    <row r="33" spans="2:15">
      <c r="B33" s="1" t="str">
        <f>"      If the QF resource is not in PacifiCorp's BAA, prices will be increased by the applicable integration charges."</f>
        <v xml:space="preserve">      If the QF resource is not in PacifiCorp's BAA, prices will be increased by the applicable integration charges.</v>
      </c>
      <c r="G33" s="7"/>
      <c r="N33" s="1" t="str">
        <f t="shared" si="0"/>
        <v xml:space="preserve">      If the QF resource is not in PacifiCorp's BAA, prices will be increased by the applicable integration charges.</v>
      </c>
    </row>
    <row r="34" spans="2:15">
      <c r="B34" s="7" t="str">
        <f>C9</f>
        <v>(a)</v>
      </c>
      <c r="C34" s="3" t="s">
        <v>195</v>
      </c>
      <c r="N34" s="7" t="str">
        <f t="shared" si="0"/>
        <v>(a)</v>
      </c>
      <c r="O34" s="3" t="str">
        <f t="shared" ref="O34:O38" si="1">C34</f>
        <v>Illustrative price for all hours</v>
      </c>
    </row>
    <row r="35" spans="2:15">
      <c r="B35" s="7" t="s">
        <v>5</v>
      </c>
      <c r="C35" s="3" t="s">
        <v>171</v>
      </c>
      <c r="N35" s="7" t="str">
        <f t="shared" si="0"/>
        <v>(b)</v>
      </c>
      <c r="O35" s="3" t="str">
        <f t="shared" si="1"/>
        <v>On-peak Winter hours:  6:00a - 8:00a and 5:00p - 11:00p Pacific Prevailing Time (PPT), Oct. through May</v>
      </c>
    </row>
    <row r="36" spans="2:15">
      <c r="B36" s="7" t="s">
        <v>6</v>
      </c>
      <c r="C36" s="3" t="s">
        <v>172</v>
      </c>
      <c r="N36" s="7" t="str">
        <f t="shared" si="0"/>
        <v>(c)</v>
      </c>
      <c r="O36" s="3" t="str">
        <f t="shared" si="1"/>
        <v>Off-peak Winter hours:  All other hours, Oct. through May</v>
      </c>
    </row>
    <row r="37" spans="2:15">
      <c r="B37" s="7" t="s">
        <v>7</v>
      </c>
      <c r="C37" s="3" t="s">
        <v>164</v>
      </c>
      <c r="N37" s="7" t="str">
        <f t="shared" si="0"/>
        <v>(d)</v>
      </c>
      <c r="O37" s="3" t="str">
        <f t="shared" si="1"/>
        <v>On-peak Summer hours:  2:00p - 10:00p PPT, June through September</v>
      </c>
    </row>
    <row r="38" spans="2:15">
      <c r="B38" s="7" t="s">
        <v>8</v>
      </c>
      <c r="C38" s="3" t="s">
        <v>163</v>
      </c>
      <c r="N38" s="7" t="str">
        <f>B38</f>
        <v>(e)</v>
      </c>
      <c r="O38" s="3" t="str">
        <f t="shared" si="1"/>
        <v>Off-peak Summer hours:  All other hours, June through September</v>
      </c>
    </row>
  </sheetData>
  <mergeCells count="22">
    <mergeCell ref="C5:G5"/>
    <mergeCell ref="B2:I2"/>
    <mergeCell ref="B1:I1"/>
    <mergeCell ref="C4:G4"/>
    <mergeCell ref="H4:L4"/>
    <mergeCell ref="H5:L5"/>
    <mergeCell ref="N1:U1"/>
    <mergeCell ref="N2:U2"/>
    <mergeCell ref="O4:S4"/>
    <mergeCell ref="O5:S5"/>
    <mergeCell ref="T4:X4"/>
    <mergeCell ref="T5:X5"/>
    <mergeCell ref="O8:S8"/>
    <mergeCell ref="T8:X8"/>
    <mergeCell ref="C8:G8"/>
    <mergeCell ref="H8:L8"/>
    <mergeCell ref="B6:B7"/>
    <mergeCell ref="C6:C7"/>
    <mergeCell ref="H6:H7"/>
    <mergeCell ref="N6:N7"/>
    <mergeCell ref="O6:O7"/>
    <mergeCell ref="T6:T7"/>
  </mergeCells>
  <printOptions horizontalCentered="1"/>
  <pageMargins left="0.8" right="0.3" top="0.4" bottom="0.4" header="0.5" footer="0.2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topLeftCell="J1" workbookViewId="0">
      <selection activeCell="N10" sqref="N10:O10"/>
    </sheetView>
  </sheetViews>
  <sheetFormatPr defaultColWidth="9.33203125" defaultRowHeight="12.75"/>
  <cols>
    <col min="1" max="1" width="1.5" style="3" customWidth="1"/>
    <col min="2" max="2" width="9.33203125" style="3" customWidth="1"/>
    <col min="3" max="3" width="23.1640625" style="3" bestFit="1" customWidth="1"/>
    <col min="4" max="7" width="12" style="3" customWidth="1"/>
    <col min="8" max="8" width="1.5" style="3" customWidth="1"/>
    <col min="9" max="9" width="22.83203125" style="3" customWidth="1"/>
    <col min="10" max="11" width="11.5" style="3" customWidth="1"/>
    <col min="12" max="12" width="10" style="3" customWidth="1"/>
    <col min="13" max="13" width="11.6640625" style="3" customWidth="1"/>
    <col min="14" max="14" width="10.1640625" style="3" customWidth="1"/>
    <col min="15" max="15" width="9.6640625" style="3" customWidth="1"/>
    <col min="16" max="17" width="11.6640625" style="3" customWidth="1"/>
    <col min="18" max="18" width="1.5" style="3" customWidth="1"/>
    <col min="19" max="19" width="22.33203125" style="3" customWidth="1"/>
    <col min="20" max="23" width="18.1640625" style="3" customWidth="1"/>
    <col min="24" max="24" width="29.6640625" style="3" customWidth="1"/>
    <col min="25" max="16384" width="9.33203125" style="3"/>
  </cols>
  <sheetData>
    <row r="1" spans="2:23" ht="15.75" customHeight="1">
      <c r="B1" s="354" t="s">
        <v>178</v>
      </c>
      <c r="C1" s="355"/>
      <c r="D1" s="355"/>
      <c r="E1" s="355"/>
      <c r="F1" s="355"/>
      <c r="G1" s="355"/>
      <c r="H1" s="219"/>
      <c r="I1" s="354" t="s">
        <v>179</v>
      </c>
      <c r="J1" s="355"/>
      <c r="K1" s="355"/>
      <c r="L1" s="355"/>
      <c r="M1" s="355"/>
      <c r="N1" s="355"/>
      <c r="O1" s="355"/>
      <c r="P1" s="355"/>
      <c r="Q1" s="355"/>
      <c r="R1" s="219"/>
      <c r="S1" s="354" t="s">
        <v>180</v>
      </c>
      <c r="T1" s="355"/>
      <c r="U1" s="355"/>
      <c r="V1" s="355"/>
      <c r="W1" s="355"/>
    </row>
    <row r="2" spans="2:23" ht="15.75" customHeight="1">
      <c r="B2" s="354" t="s">
        <v>156</v>
      </c>
      <c r="C2" s="355"/>
      <c r="D2" s="355"/>
      <c r="E2" s="355"/>
      <c r="F2" s="355"/>
      <c r="G2" s="355"/>
      <c r="H2" s="219"/>
      <c r="I2" s="354" t="s">
        <v>156</v>
      </c>
      <c r="J2" s="355"/>
      <c r="K2" s="355"/>
      <c r="L2" s="355"/>
      <c r="M2" s="355"/>
      <c r="N2" s="355"/>
      <c r="O2" s="355"/>
      <c r="P2" s="355"/>
      <c r="Q2" s="355"/>
      <c r="R2" s="219"/>
      <c r="S2" s="354" t="s">
        <v>156</v>
      </c>
      <c r="T2" s="355"/>
      <c r="U2" s="355"/>
      <c r="V2" s="355"/>
      <c r="W2" s="355"/>
    </row>
    <row r="3" spans="2:23" ht="15" thickBot="1">
      <c r="B3" s="4"/>
      <c r="C3" s="4"/>
      <c r="E3" s="19"/>
      <c r="I3" s="4"/>
      <c r="J3" s="183"/>
      <c r="K3" s="4"/>
      <c r="N3" s="183"/>
      <c r="O3" s="4"/>
      <c r="S3" s="4"/>
      <c r="T3" s="183"/>
      <c r="U3" s="4"/>
    </row>
    <row r="4" spans="2:23" ht="14.25" thickTop="1" thickBot="1">
      <c r="B4" s="249"/>
      <c r="C4" s="250"/>
      <c r="D4" s="361" t="s">
        <v>126</v>
      </c>
      <c r="E4" s="362"/>
      <c r="F4" s="362"/>
      <c r="G4" s="363"/>
      <c r="I4" s="274"/>
      <c r="J4" s="358" t="s">
        <v>141</v>
      </c>
      <c r="K4" s="359"/>
      <c r="L4" s="359"/>
      <c r="M4" s="360"/>
      <c r="N4" s="358" t="s">
        <v>142</v>
      </c>
      <c r="O4" s="359"/>
      <c r="P4" s="359"/>
      <c r="Q4" s="360"/>
      <c r="S4" s="274"/>
      <c r="T4" s="358" t="s">
        <v>143</v>
      </c>
      <c r="U4" s="359"/>
      <c r="V4" s="359"/>
      <c r="W4" s="360"/>
    </row>
    <row r="5" spans="2:23" ht="69" customHeight="1" thickTop="1" thickBot="1">
      <c r="B5" s="251"/>
      <c r="C5" s="252" t="s">
        <v>207</v>
      </c>
      <c r="D5" s="253" t="s">
        <v>209</v>
      </c>
      <c r="E5" s="253" t="s">
        <v>127</v>
      </c>
      <c r="F5" s="253" t="s">
        <v>209</v>
      </c>
      <c r="G5" s="254" t="s">
        <v>127</v>
      </c>
      <c r="I5" s="275"/>
      <c r="J5" s="253" t="s">
        <v>124</v>
      </c>
      <c r="K5" s="276" t="s">
        <v>127</v>
      </c>
      <c r="L5" s="276" t="s">
        <v>124</v>
      </c>
      <c r="M5" s="277" t="s">
        <v>127</v>
      </c>
      <c r="N5" s="253" t="s">
        <v>124</v>
      </c>
      <c r="O5" s="253" t="s">
        <v>127</v>
      </c>
      <c r="P5" s="253" t="s">
        <v>124</v>
      </c>
      <c r="Q5" s="254" t="s">
        <v>127</v>
      </c>
      <c r="S5" s="275"/>
      <c r="T5" s="253" t="s">
        <v>124</v>
      </c>
      <c r="U5" s="276" t="s">
        <v>127</v>
      </c>
      <c r="V5" s="276" t="s">
        <v>124</v>
      </c>
      <c r="W5" s="277" t="s">
        <v>127</v>
      </c>
    </row>
    <row r="6" spans="2:23" ht="13.5" thickBot="1">
      <c r="B6" s="251"/>
      <c r="C6" s="255" t="s">
        <v>3</v>
      </c>
      <c r="D6" s="256" t="s">
        <v>3</v>
      </c>
      <c r="E6" s="256" t="s">
        <v>3</v>
      </c>
      <c r="F6" s="256" t="s">
        <v>3</v>
      </c>
      <c r="G6" s="257" t="s">
        <v>3</v>
      </c>
      <c r="I6" s="275"/>
      <c r="J6" s="256" t="s">
        <v>3</v>
      </c>
      <c r="K6" s="256" t="s">
        <v>3</v>
      </c>
      <c r="L6" s="256" t="s">
        <v>3</v>
      </c>
      <c r="M6" s="257" t="s">
        <v>3</v>
      </c>
      <c r="N6" s="256" t="s">
        <v>3</v>
      </c>
      <c r="O6" s="256" t="s">
        <v>3</v>
      </c>
      <c r="P6" s="256" t="s">
        <v>3</v>
      </c>
      <c r="Q6" s="257" t="s">
        <v>3</v>
      </c>
      <c r="S6" s="275"/>
      <c r="T6" s="256" t="s">
        <v>3</v>
      </c>
      <c r="U6" s="256" t="s">
        <v>3</v>
      </c>
      <c r="V6" s="256" t="s">
        <v>3</v>
      </c>
      <c r="W6" s="257" t="s">
        <v>3</v>
      </c>
    </row>
    <row r="7" spans="2:23" ht="13.5" thickBot="1">
      <c r="B7" s="251"/>
      <c r="C7" s="258"/>
      <c r="D7" s="256"/>
      <c r="E7" s="259"/>
      <c r="F7" s="256" t="s">
        <v>140</v>
      </c>
      <c r="G7" s="257" t="s">
        <v>140</v>
      </c>
      <c r="I7" s="275"/>
      <c r="J7" s="256"/>
      <c r="K7" s="259"/>
      <c r="L7" s="256" t="s">
        <v>140</v>
      </c>
      <c r="M7" s="257" t="s">
        <v>140</v>
      </c>
      <c r="N7" s="256"/>
      <c r="O7" s="259"/>
      <c r="P7" s="256" t="s">
        <v>140</v>
      </c>
      <c r="Q7" s="257" t="s">
        <v>140</v>
      </c>
      <c r="S7" s="275"/>
      <c r="T7" s="256"/>
      <c r="U7" s="259"/>
      <c r="V7" s="256" t="s">
        <v>140</v>
      </c>
      <c r="W7" s="257" t="s">
        <v>140</v>
      </c>
    </row>
    <row r="8" spans="2:23" ht="13.5" thickBot="1">
      <c r="B8" s="251" t="s">
        <v>2</v>
      </c>
      <c r="C8" s="255" t="s">
        <v>120</v>
      </c>
      <c r="D8" s="256" t="s">
        <v>120</v>
      </c>
      <c r="E8" s="256" t="s">
        <v>120</v>
      </c>
      <c r="F8" s="256" t="s">
        <v>125</v>
      </c>
      <c r="G8" s="257" t="s">
        <v>125</v>
      </c>
      <c r="I8" s="275" t="s">
        <v>2</v>
      </c>
      <c r="J8" s="256" t="s">
        <v>120</v>
      </c>
      <c r="K8" s="256" t="s">
        <v>120</v>
      </c>
      <c r="L8" s="278" t="s">
        <v>125</v>
      </c>
      <c r="M8" s="257" t="s">
        <v>125</v>
      </c>
      <c r="N8" s="256" t="s">
        <v>120</v>
      </c>
      <c r="O8" s="256" t="s">
        <v>120</v>
      </c>
      <c r="P8" s="256" t="s">
        <v>125</v>
      </c>
      <c r="Q8" s="257" t="s">
        <v>125</v>
      </c>
      <c r="S8" s="275" t="s">
        <v>2</v>
      </c>
      <c r="T8" s="256" t="s">
        <v>120</v>
      </c>
      <c r="U8" s="256" t="s">
        <v>120</v>
      </c>
      <c r="V8" s="278" t="s">
        <v>125</v>
      </c>
      <c r="W8" s="257" t="s">
        <v>125</v>
      </c>
    </row>
    <row r="9" spans="2:23" ht="13.5" thickBot="1">
      <c r="B9" s="251"/>
      <c r="C9" s="255" t="s">
        <v>4</v>
      </c>
      <c r="D9" s="256" t="s">
        <v>5</v>
      </c>
      <c r="E9" s="256" t="s">
        <v>6</v>
      </c>
      <c r="F9" s="256" t="s">
        <v>7</v>
      </c>
      <c r="G9" s="257" t="s">
        <v>8</v>
      </c>
      <c r="I9" s="279"/>
      <c r="J9" s="256" t="s">
        <v>5</v>
      </c>
      <c r="K9" s="256" t="s">
        <v>6</v>
      </c>
      <c r="L9" s="256" t="s">
        <v>7</v>
      </c>
      <c r="M9" s="257" t="s">
        <v>8</v>
      </c>
      <c r="N9" s="256" t="s">
        <v>5</v>
      </c>
      <c r="O9" s="256" t="s">
        <v>6</v>
      </c>
      <c r="P9" s="256" t="s">
        <v>7</v>
      </c>
      <c r="Q9" s="257" t="s">
        <v>8</v>
      </c>
      <c r="S9" s="279"/>
      <c r="T9" s="256" t="s">
        <v>5</v>
      </c>
      <c r="U9" s="256" t="s">
        <v>6</v>
      </c>
      <c r="V9" s="256" t="s">
        <v>7</v>
      </c>
      <c r="W9" s="257" t="s">
        <v>8</v>
      </c>
    </row>
    <row r="10" spans="2:23" ht="13.5" thickBot="1">
      <c r="B10" s="251"/>
      <c r="C10" s="327" t="s">
        <v>128</v>
      </c>
      <c r="D10" s="260">
        <v>1</v>
      </c>
      <c r="E10" s="260">
        <v>1</v>
      </c>
      <c r="F10" s="261"/>
      <c r="G10" s="257"/>
      <c r="I10" s="280" t="s">
        <v>128</v>
      </c>
      <c r="J10" s="260">
        <v>0.11776428835036618</v>
      </c>
      <c r="K10" s="260">
        <v>0.11776428835036618</v>
      </c>
      <c r="L10" s="261"/>
      <c r="M10" s="257"/>
      <c r="N10" s="260">
        <v>0.02</v>
      </c>
      <c r="O10" s="260">
        <v>0.02</v>
      </c>
      <c r="P10" s="261"/>
      <c r="Q10" s="257"/>
      <c r="S10" s="280" t="s">
        <v>128</v>
      </c>
      <c r="T10" s="260">
        <v>0.02</v>
      </c>
      <c r="U10" s="260">
        <v>0.02</v>
      </c>
      <c r="V10" s="261"/>
      <c r="W10" s="257"/>
    </row>
    <row r="11" spans="2:23" ht="13.5" thickBot="1">
      <c r="B11" s="251"/>
      <c r="C11" s="330" t="s">
        <v>176</v>
      </c>
      <c r="D11" s="262"/>
      <c r="E11" s="263"/>
      <c r="F11" s="264">
        <f>AVERAGE(Profiles!$D$12:$E$31)*2/8760</f>
        <v>0.66643835616438352</v>
      </c>
      <c r="G11" s="265">
        <f>AVERAGE(Profiles!$F$12:$G$31)*2/8760</f>
        <v>0.33424657534246577</v>
      </c>
      <c r="I11" s="281" t="s">
        <v>176</v>
      </c>
      <c r="J11" s="262"/>
      <c r="K11" s="263"/>
      <c r="L11" s="264">
        <f>AVERAGE(Profiles!$I$12:$J$31)*2/8760</f>
        <v>0.27000681160307044</v>
      </c>
      <c r="M11" s="265">
        <f>AVERAGE(Profiles!$K$12:$L$31)*2/8760</f>
        <v>0.11000319634703204</v>
      </c>
      <c r="N11" s="262"/>
      <c r="O11" s="263"/>
      <c r="P11" s="264">
        <f>AVERAGE(Profiles!$N$12:$O$31)*2/8760</f>
        <v>0.1419775440313111</v>
      </c>
      <c r="Q11" s="265">
        <f>AVERAGE(Profiles!$P$12:$Q$31)*2/8760</f>
        <v>0.106956392694064</v>
      </c>
      <c r="S11" s="281" t="s">
        <v>176</v>
      </c>
      <c r="T11" s="262"/>
      <c r="U11" s="263"/>
      <c r="V11" s="264">
        <f>AVERAGE(Profiles!$S$12:$T$31)*2/8760</f>
        <v>0.1212982943270187</v>
      </c>
      <c r="W11" s="265">
        <f>AVERAGE(Profiles!$U$12:$V$31)*2/8760</f>
        <v>0.12645029099379063</v>
      </c>
    </row>
    <row r="12" spans="2:23" ht="5.25" customHeight="1" thickBot="1">
      <c r="B12" s="244"/>
      <c r="C12" s="255"/>
      <c r="D12" s="266"/>
      <c r="E12" s="256"/>
      <c r="F12" s="267"/>
      <c r="G12" s="268"/>
      <c r="I12" s="244"/>
      <c r="J12" s="266"/>
      <c r="K12" s="256"/>
      <c r="L12" s="267"/>
      <c r="M12" s="268"/>
      <c r="N12" s="266"/>
      <c r="O12" s="256"/>
      <c r="P12" s="267"/>
      <c r="Q12" s="268"/>
      <c r="S12" s="244"/>
      <c r="T12" s="266"/>
      <c r="U12" s="256"/>
      <c r="V12" s="267"/>
      <c r="W12" s="268"/>
    </row>
    <row r="13" spans="2:23" ht="13.5" thickBot="1">
      <c r="B13" s="245">
        <v>2020</v>
      </c>
      <c r="C13" s="269">
        <f>INDEX('Exhibit 3 - Levelized Capacity'!$F$9:$F$29,MATCH($B13,'Exhibit 3 - Levelized Capacity'!$B$9:$B$29,0),1)</f>
        <v>115313.20366836186</v>
      </c>
      <c r="D13" s="266">
        <f>$C13*IF(LEFT(D$5,6)="Winter",Profiles!$AB$31,Profiles!$AB$30)*D$10</f>
        <v>38806.931549130415</v>
      </c>
      <c r="E13" s="266">
        <f>$C13*IF(LEFT(E$5,6)="Winter",Profiles!$AB$31,Profiles!$AB$30)*E$10</f>
        <v>76506.272119231449</v>
      </c>
      <c r="F13" s="267">
        <f t="shared" ref="F13:F32" si="0">D13/(F$11*8760)</f>
        <v>6.6472989977955494</v>
      </c>
      <c r="G13" s="268">
        <f t="shared" ref="G13:G32" si="1">E13/(G$11*8760)</f>
        <v>26.129191297551724</v>
      </c>
      <c r="I13" s="245">
        <v>2020</v>
      </c>
      <c r="J13" s="266">
        <f>$C13*IF(LEFT(J$5,6)="Winter",Profiles!$AB$31,Profiles!$AB$30)*J$10</f>
        <v>4570.070676944717</v>
      </c>
      <c r="K13" s="266">
        <f>$C13*IF(LEFT(K$5,6)="Winter",Profiles!$AB$31,Profiles!$AB$30)*K$10</f>
        <v>9009.7066904607527</v>
      </c>
      <c r="L13" s="267">
        <f t="shared" ref="L13:L32" si="2">J13/(L$11*8760)</f>
        <v>1.932164461940324</v>
      </c>
      <c r="M13" s="268">
        <f t="shared" ref="M13:M32" si="3">K13/(M$11*8760)</f>
        <v>9.3497767711821851</v>
      </c>
      <c r="N13" s="266">
        <f>$C13*IF(LEFT(N$5,6)="Winter",Profiles!$AB$31,Profiles!$AB$30)*N$10</f>
        <v>776.13863098260833</v>
      </c>
      <c r="O13" s="266">
        <f>$C13*IF(LEFT(O$5,6)="Winter",Profiles!$AB$31,Profiles!$AB$30)*O$10</f>
        <v>1530.125442384629</v>
      </c>
      <c r="P13" s="267">
        <f t="shared" ref="P13:P32" si="4">N13/(P$11*8760)</f>
        <v>0.62404446382690548</v>
      </c>
      <c r="Q13" s="268">
        <f t="shared" ref="Q13:Q32" si="5">O13/(Q$11*8760)</f>
        <v>1.6331128018979142</v>
      </c>
      <c r="S13" s="245">
        <v>2020</v>
      </c>
      <c r="T13" s="266">
        <f>$C13*IF(LEFT(T$5,6)="Winter",Profiles!$AB$31,Profiles!$AB$30)*T$10</f>
        <v>776.13863098260833</v>
      </c>
      <c r="U13" s="266">
        <f>$C13*IF(LEFT(U$5,6)="Winter",Profiles!$AB$31,Profiles!$AB$30)*U$10</f>
        <v>1530.125442384629</v>
      </c>
      <c r="V13" s="267">
        <f t="shared" ref="V13:V32" si="6">T13/(V$11*8760)</f>
        <v>0.73043319225590331</v>
      </c>
      <c r="W13" s="268">
        <f t="shared" ref="W13:W32" si="7">U13/(W$11*8760)</f>
        <v>1.3813479809395914</v>
      </c>
    </row>
    <row r="14" spans="2:23" ht="13.5" thickBot="1">
      <c r="B14" s="245">
        <f t="shared" ref="B14:B32" si="8">B13+1</f>
        <v>2021</v>
      </c>
      <c r="C14" s="269">
        <f>INDEX('Exhibit 3 - Levelized Capacity'!$F$9:$F$29,MATCH($B14,'Exhibit 3 - Levelized Capacity'!$B$9:$B$29,0),1)</f>
        <v>117850.09414906583</v>
      </c>
      <c r="D14" s="266">
        <f>$C14*IF(LEFT(D$5,6)="Winter",Profiles!$AB$31,Profiles!$AB$30)*D$10</f>
        <v>39660.68404321128</v>
      </c>
      <c r="E14" s="266">
        <f>$C14*IF(LEFT(E$5,6)="Winter",Profiles!$AB$31,Profiles!$AB$30)*E$10</f>
        <v>78189.410105854549</v>
      </c>
      <c r="F14" s="267">
        <f t="shared" si="0"/>
        <v>6.79353957574705</v>
      </c>
      <c r="G14" s="268">
        <f t="shared" si="1"/>
        <v>26.704033506097865</v>
      </c>
      <c r="I14" s="245">
        <f t="shared" ref="I14:I32" si="9">I13+1</f>
        <v>2021</v>
      </c>
      <c r="J14" s="266">
        <f>$C14*IF(LEFT(J$5,6)="Winter",Profiles!$AB$31,Profiles!$AB$30)*J$10</f>
        <v>4670.6122318375001</v>
      </c>
      <c r="K14" s="266">
        <f>$C14*IF(LEFT(K$5,6)="Winter",Profiles!$AB$31,Profiles!$AB$30)*K$10</f>
        <v>9207.9202376508911</v>
      </c>
      <c r="L14" s="267">
        <f t="shared" si="2"/>
        <v>1.9746720801030109</v>
      </c>
      <c r="M14" s="268">
        <f t="shared" si="3"/>
        <v>9.5554718601481952</v>
      </c>
      <c r="N14" s="266">
        <f>$C14*IF(LEFT(N$5,6)="Winter",Profiles!$AB$31,Profiles!$AB$30)*N$10</f>
        <v>793.21368086422558</v>
      </c>
      <c r="O14" s="266">
        <f>$C14*IF(LEFT(O$5,6)="Winter",Profiles!$AB$31,Profiles!$AB$30)*O$10</f>
        <v>1563.788202117091</v>
      </c>
      <c r="P14" s="267">
        <f t="shared" si="4"/>
        <v>0.63777344203109732</v>
      </c>
      <c r="Q14" s="268">
        <f t="shared" si="5"/>
        <v>1.6690412835396684</v>
      </c>
      <c r="S14" s="245">
        <f t="shared" ref="S14:S32" si="10">S13+1</f>
        <v>2021</v>
      </c>
      <c r="T14" s="266">
        <f>$C14*IF(LEFT(T$5,6)="Winter",Profiles!$AB$31,Profiles!$AB$30)*T$10</f>
        <v>793.21368086422558</v>
      </c>
      <c r="U14" s="266">
        <f>$C14*IF(LEFT(U$5,6)="Winter",Profiles!$AB$31,Profiles!$AB$30)*U$10</f>
        <v>1563.788202117091</v>
      </c>
      <c r="V14" s="267">
        <f t="shared" si="6"/>
        <v>0.74650272248553307</v>
      </c>
      <c r="W14" s="268">
        <f t="shared" si="7"/>
        <v>1.4117376365202625</v>
      </c>
    </row>
    <row r="15" spans="2:23" ht="13.5" thickBot="1">
      <c r="B15" s="245">
        <f t="shared" si="8"/>
        <v>2022</v>
      </c>
      <c r="C15" s="269">
        <f>INDEX('Exhibit 3 - Levelized Capacity'!$F$9:$F$29,MATCH($B15,'Exhibit 3 - Levelized Capacity'!$B$9:$B$29,0),1)</f>
        <v>120560.64631449433</v>
      </c>
      <c r="D15" s="266">
        <f>$C15*IF(LEFT(D$5,6)="Winter",Profiles!$AB$31,Profiles!$AB$30)*D$10</f>
        <v>40572.87977620514</v>
      </c>
      <c r="E15" s="266">
        <f>$C15*IF(LEFT(E$5,6)="Winter",Profiles!$AB$31,Profiles!$AB$30)*E$10</f>
        <v>79987.766538289186</v>
      </c>
      <c r="F15" s="267">
        <f t="shared" si="0"/>
        <v>6.9497909859892326</v>
      </c>
      <c r="G15" s="268">
        <f t="shared" si="1"/>
        <v>27.318226276738109</v>
      </c>
      <c r="I15" s="245">
        <f t="shared" si="9"/>
        <v>2022</v>
      </c>
      <c r="J15" s="266">
        <f>$C15*IF(LEFT(J$5,6)="Winter",Profiles!$AB$31,Profiles!$AB$30)*J$10</f>
        <v>4778.0363131697623</v>
      </c>
      <c r="K15" s="266">
        <f>$C15*IF(LEFT(K$5,6)="Winter",Profiles!$AB$31,Profiles!$AB$30)*K$10</f>
        <v>9419.7024031168585</v>
      </c>
      <c r="L15" s="267">
        <f t="shared" si="2"/>
        <v>2.0200895379453798</v>
      </c>
      <c r="M15" s="268">
        <f t="shared" si="3"/>
        <v>9.7752477129316002</v>
      </c>
      <c r="N15" s="266">
        <f>$C15*IF(LEFT(N$5,6)="Winter",Profiles!$AB$31,Profiles!$AB$30)*N$10</f>
        <v>811.45759552410277</v>
      </c>
      <c r="O15" s="266">
        <f>$C15*IF(LEFT(O$5,6)="Winter",Profiles!$AB$31,Profiles!$AB$30)*O$10</f>
        <v>1599.7553307657838</v>
      </c>
      <c r="P15" s="267">
        <f t="shared" si="4"/>
        <v>0.65244223119781253</v>
      </c>
      <c r="Q15" s="268">
        <f t="shared" si="5"/>
        <v>1.7074292330610805</v>
      </c>
      <c r="S15" s="245">
        <f t="shared" si="10"/>
        <v>2022</v>
      </c>
      <c r="T15" s="266">
        <f>$C15*IF(LEFT(T$5,6)="Winter",Profiles!$AB$31,Profiles!$AB$30)*T$10</f>
        <v>811.45759552410277</v>
      </c>
      <c r="U15" s="266">
        <f>$C15*IF(LEFT(U$5,6)="Winter",Profiles!$AB$31,Profiles!$AB$30)*U$10</f>
        <v>1599.7553307657838</v>
      </c>
      <c r="V15" s="267">
        <f t="shared" si="6"/>
        <v>0.76367228510270035</v>
      </c>
      <c r="W15" s="268">
        <f t="shared" si="7"/>
        <v>1.4442076021602284</v>
      </c>
    </row>
    <row r="16" spans="2:23" ht="13.5" thickBot="1">
      <c r="B16" s="245">
        <f t="shared" si="8"/>
        <v>2023</v>
      </c>
      <c r="C16" s="269">
        <f>INDEX('Exhibit 3 - Levelized Capacity'!$F$9:$F$29,MATCH($B16,'Exhibit 3 - Levelized Capacity'!$B$9:$B$29,0),1)</f>
        <v>123212.98053341321</v>
      </c>
      <c r="D16" s="266">
        <f>$C16*IF(LEFT(D$5,6)="Winter",Profiles!$AB$31,Profiles!$AB$30)*D$10</f>
        <v>41465.483131281653</v>
      </c>
      <c r="E16" s="266">
        <f>$C16*IF(LEFT(E$5,6)="Winter",Profiles!$AB$31,Profiles!$AB$30)*E$10</f>
        <v>81747.497402131557</v>
      </c>
      <c r="F16" s="267">
        <f t="shared" si="0"/>
        <v>7.102686387680996</v>
      </c>
      <c r="G16" s="268">
        <f t="shared" si="1"/>
        <v>27.919227254826353</v>
      </c>
      <c r="I16" s="245">
        <f t="shared" si="9"/>
        <v>2023</v>
      </c>
      <c r="J16" s="266">
        <f>$C16*IF(LEFT(J$5,6)="Winter",Profiles!$AB$31,Profiles!$AB$30)*J$10</f>
        <v>4883.1531120594973</v>
      </c>
      <c r="K16" s="266">
        <f>$C16*IF(LEFT(K$5,6)="Winter",Profiles!$AB$31,Profiles!$AB$30)*K$10</f>
        <v>9626.93585598543</v>
      </c>
      <c r="L16" s="267">
        <f t="shared" si="2"/>
        <v>2.0645315077801785</v>
      </c>
      <c r="M16" s="268">
        <f t="shared" si="3"/>
        <v>9.9903031626160956</v>
      </c>
      <c r="N16" s="266">
        <f>$C16*IF(LEFT(N$5,6)="Winter",Profiles!$AB$31,Profiles!$AB$30)*N$10</f>
        <v>829.30966262563311</v>
      </c>
      <c r="O16" s="266">
        <f>$C16*IF(LEFT(O$5,6)="Winter",Profiles!$AB$31,Profiles!$AB$30)*O$10</f>
        <v>1634.9499480426311</v>
      </c>
      <c r="P16" s="267">
        <f t="shared" si="4"/>
        <v>0.66679596028416444</v>
      </c>
      <c r="Q16" s="268">
        <f t="shared" si="5"/>
        <v>1.7449926761884245</v>
      </c>
      <c r="S16" s="245">
        <f t="shared" si="10"/>
        <v>2023</v>
      </c>
      <c r="T16" s="266">
        <f>$C16*IF(LEFT(T$5,6)="Winter",Profiles!$AB$31,Profiles!$AB$30)*T$10</f>
        <v>829.30966262563311</v>
      </c>
      <c r="U16" s="266">
        <f>$C16*IF(LEFT(U$5,6)="Winter",Profiles!$AB$31,Profiles!$AB$30)*U$10</f>
        <v>1634.9499480426311</v>
      </c>
      <c r="V16" s="267">
        <f t="shared" si="6"/>
        <v>0.7804730753749598</v>
      </c>
      <c r="W16" s="268">
        <f t="shared" si="7"/>
        <v>1.4759801694077535</v>
      </c>
    </row>
    <row r="17" spans="2:23" ht="13.5" thickBot="1">
      <c r="B17" s="245">
        <f t="shared" si="8"/>
        <v>2024</v>
      </c>
      <c r="C17" s="269">
        <f>INDEX('Exhibit 3 - Levelized Capacity'!$F$9:$F$29,MATCH($B17,'Exhibit 3 - Levelized Capacity'!$B$9:$B$29,0),1)</f>
        <v>125923.66610514831</v>
      </c>
      <c r="D17" s="266">
        <f>$C17*IF(LEFT(D$5,6)="Winter",Profiles!$AB$31,Profiles!$AB$30)*D$10</f>
        <v>42377.723760169851</v>
      </c>
      <c r="E17" s="266">
        <f>$C17*IF(LEFT(E$5,6)="Winter",Profiles!$AB$31,Profiles!$AB$30)*E$10</f>
        <v>83545.942344978452</v>
      </c>
      <c r="F17" s="267">
        <f t="shared" si="0"/>
        <v>7.258945488209978</v>
      </c>
      <c r="G17" s="268">
        <f t="shared" si="1"/>
        <v>28.53345025443253</v>
      </c>
      <c r="I17" s="245">
        <f t="shared" si="9"/>
        <v>2024</v>
      </c>
      <c r="J17" s="266">
        <f>$C17*IF(LEFT(J$5,6)="Winter",Profiles!$AB$31,Profiles!$AB$30)*J$10</f>
        <v>4990.5824805248067</v>
      </c>
      <c r="K17" s="266">
        <f>$C17*IF(LEFT(K$5,6)="Winter",Profiles!$AB$31,Profiles!$AB$30)*K$10</f>
        <v>9838.7284448171104</v>
      </c>
      <c r="L17" s="267">
        <f t="shared" si="2"/>
        <v>2.1099512009513424</v>
      </c>
      <c r="M17" s="268">
        <f t="shared" si="3"/>
        <v>10.210089832193651</v>
      </c>
      <c r="N17" s="266">
        <f>$C17*IF(LEFT(N$5,6)="Winter",Profiles!$AB$31,Profiles!$AB$30)*N$10</f>
        <v>847.55447520339703</v>
      </c>
      <c r="O17" s="266">
        <f>$C17*IF(LEFT(O$5,6)="Winter",Profiles!$AB$31,Profiles!$AB$30)*O$10</f>
        <v>1670.918846899569</v>
      </c>
      <c r="P17" s="267">
        <f t="shared" si="4"/>
        <v>0.68146547141041602</v>
      </c>
      <c r="Q17" s="268">
        <f t="shared" si="5"/>
        <v>1.7833825150645697</v>
      </c>
      <c r="S17" s="245">
        <f t="shared" si="10"/>
        <v>2024</v>
      </c>
      <c r="T17" s="266">
        <f>$C17*IF(LEFT(T$5,6)="Winter",Profiles!$AB$31,Profiles!$AB$30)*T$10</f>
        <v>847.55447520339703</v>
      </c>
      <c r="U17" s="266">
        <f>$C17*IF(LEFT(U$5,6)="Winter",Profiles!$AB$31,Profiles!$AB$30)*U$10</f>
        <v>1670.918846899569</v>
      </c>
      <c r="V17" s="267">
        <f t="shared" si="6"/>
        <v>0.79764348303320898</v>
      </c>
      <c r="W17" s="268">
        <f t="shared" si="7"/>
        <v>1.508451733134724</v>
      </c>
    </row>
    <row r="18" spans="2:23" ht="13.5" thickBot="1">
      <c r="B18" s="245">
        <f t="shared" si="8"/>
        <v>2025</v>
      </c>
      <c r="C18" s="269">
        <f>INDEX('Exhibit 3 - Levelized Capacity'!$F$9:$F$29,MATCH($B18,'Exhibit 3 - Levelized Capacity'!$B$9:$B$29,0),1)</f>
        <v>128693.98675946158</v>
      </c>
      <c r="D18" s="266">
        <f>$C18*IF(LEFT(D$5,6)="Winter",Profiles!$AB$31,Profiles!$AB$30)*D$10</f>
        <v>43310.033682893591</v>
      </c>
      <c r="E18" s="266">
        <f>$C18*IF(LEFT(E$5,6)="Winter",Profiles!$AB$31,Profiles!$AB$30)*E$10</f>
        <v>85383.953076567981</v>
      </c>
      <c r="F18" s="267">
        <f t="shared" si="0"/>
        <v>7.4186422889505979</v>
      </c>
      <c r="G18" s="268">
        <f t="shared" si="1"/>
        <v>29.161186160030049</v>
      </c>
      <c r="I18" s="245">
        <f t="shared" si="9"/>
        <v>2025</v>
      </c>
      <c r="J18" s="266">
        <f>$C18*IF(LEFT(J$5,6)="Winter",Profiles!$AB$31,Profiles!$AB$30)*J$10</f>
        <v>5100.3752950963526</v>
      </c>
      <c r="K18" s="266">
        <f>$C18*IF(LEFT(K$5,6)="Winter",Profiles!$AB$31,Profiles!$AB$30)*K$10</f>
        <v>10055.180470603087</v>
      </c>
      <c r="L18" s="267">
        <f t="shared" si="2"/>
        <v>2.1563701273722722</v>
      </c>
      <c r="M18" s="268">
        <f t="shared" si="3"/>
        <v>10.434711808501913</v>
      </c>
      <c r="N18" s="266">
        <f>$C18*IF(LEFT(N$5,6)="Winter",Profiles!$AB$31,Profiles!$AB$30)*N$10</f>
        <v>866.20067365787179</v>
      </c>
      <c r="O18" s="266">
        <f>$C18*IF(LEFT(O$5,6)="Winter",Profiles!$AB$31,Profiles!$AB$30)*O$10</f>
        <v>1707.6790615313596</v>
      </c>
      <c r="P18" s="267">
        <f t="shared" si="4"/>
        <v>0.69645771178144522</v>
      </c>
      <c r="Q18" s="268">
        <f t="shared" si="5"/>
        <v>1.8226169303959903</v>
      </c>
      <c r="S18" s="245">
        <f t="shared" si="10"/>
        <v>2025</v>
      </c>
      <c r="T18" s="266">
        <f>$C18*IF(LEFT(T$5,6)="Winter",Profiles!$AB$31,Profiles!$AB$30)*T$10</f>
        <v>866.20067365787179</v>
      </c>
      <c r="U18" s="266">
        <f>$C18*IF(LEFT(U$5,6)="Winter",Profiles!$AB$31,Profiles!$AB$30)*U$10</f>
        <v>1707.6790615313596</v>
      </c>
      <c r="V18" s="267">
        <f t="shared" si="6"/>
        <v>0.81519163965993957</v>
      </c>
      <c r="W18" s="268">
        <f t="shared" si="7"/>
        <v>1.5416376712636879</v>
      </c>
    </row>
    <row r="19" spans="2:23" ht="13.5" thickBot="1">
      <c r="B19" s="245">
        <f t="shared" si="8"/>
        <v>2026</v>
      </c>
      <c r="C19" s="269">
        <f>INDEX('Exhibit 3 - Levelized Capacity'!$F$9:$F$29,MATCH($B19,'Exhibit 3 - Levelized Capacity'!$B$9:$B$29,0),1)</f>
        <v>131525.25446816973</v>
      </c>
      <c r="D19" s="266">
        <f>$C19*IF(LEFT(D$5,6)="Winter",Profiles!$AB$31,Profiles!$AB$30)*D$10</f>
        <v>44262.854423917248</v>
      </c>
      <c r="E19" s="266">
        <f>$C19*IF(LEFT(E$5,6)="Winter",Profiles!$AB$31,Profiles!$AB$30)*E$10</f>
        <v>87262.400044252485</v>
      </c>
      <c r="F19" s="267">
        <f t="shared" si="0"/>
        <v>7.581852419307511</v>
      </c>
      <c r="G19" s="268">
        <f t="shared" si="1"/>
        <v>29.802732255550712</v>
      </c>
      <c r="I19" s="245">
        <f t="shared" si="9"/>
        <v>2026</v>
      </c>
      <c r="J19" s="266">
        <f>$C19*IF(LEFT(J$5,6)="Winter",Profiles!$AB$31,Profiles!$AB$30)*J$10</f>
        <v>5212.5835515884719</v>
      </c>
      <c r="K19" s="266">
        <f>$C19*IF(LEFT(K$5,6)="Winter",Profiles!$AB$31,Profiles!$AB$30)*K$10</f>
        <v>10276.394440956356</v>
      </c>
      <c r="L19" s="267">
        <f t="shared" si="2"/>
        <v>2.2038102701744617</v>
      </c>
      <c r="M19" s="268">
        <f t="shared" si="3"/>
        <v>10.664275468288954</v>
      </c>
      <c r="N19" s="266">
        <f>$C19*IF(LEFT(N$5,6)="Winter",Profiles!$AB$31,Profiles!$AB$30)*N$10</f>
        <v>885.25708847834494</v>
      </c>
      <c r="O19" s="266">
        <f>$C19*IF(LEFT(O$5,6)="Winter",Profiles!$AB$31,Profiles!$AB$30)*O$10</f>
        <v>1745.2480008850498</v>
      </c>
      <c r="P19" s="267">
        <f t="shared" si="4"/>
        <v>0.71177978144063703</v>
      </c>
      <c r="Q19" s="268">
        <f t="shared" si="5"/>
        <v>1.8627145028647025</v>
      </c>
      <c r="S19" s="245">
        <f t="shared" si="10"/>
        <v>2026</v>
      </c>
      <c r="T19" s="266">
        <f>$C19*IF(LEFT(T$5,6)="Winter",Profiles!$AB$31,Profiles!$AB$30)*T$10</f>
        <v>885.25708847834494</v>
      </c>
      <c r="U19" s="266">
        <f>$C19*IF(LEFT(U$5,6)="Winter",Profiles!$AB$31,Profiles!$AB$30)*U$10</f>
        <v>1745.2480008850498</v>
      </c>
      <c r="V19" s="267">
        <f t="shared" si="6"/>
        <v>0.83312585573245823</v>
      </c>
      <c r="W19" s="268">
        <f t="shared" si="7"/>
        <v>1.5755537000314894</v>
      </c>
    </row>
    <row r="20" spans="2:23" ht="13.5" thickBot="1">
      <c r="B20" s="245">
        <f t="shared" si="8"/>
        <v>2027</v>
      </c>
      <c r="C20" s="269">
        <f>INDEX('Exhibit 3 - Levelized Capacity'!$F$9:$F$29,MATCH($B20,'Exhibit 3 - Levelized Capacity'!$B$9:$B$29,0),1)</f>
        <v>134418.81006646948</v>
      </c>
      <c r="D20" s="266">
        <f>$C20*IF(LEFT(D$5,6)="Winter",Profiles!$AB$31,Profiles!$AB$30)*D$10</f>
        <v>45236.637221243436</v>
      </c>
      <c r="E20" s="266">
        <f>$C20*IF(LEFT(E$5,6)="Winter",Profiles!$AB$31,Profiles!$AB$30)*E$10</f>
        <v>89182.172845226043</v>
      </c>
      <c r="F20" s="267">
        <f t="shared" si="0"/>
        <v>7.7486531725322774</v>
      </c>
      <c r="G20" s="268">
        <f t="shared" si="1"/>
        <v>30.458392365172831</v>
      </c>
      <c r="I20" s="245">
        <f t="shared" si="9"/>
        <v>2027</v>
      </c>
      <c r="J20" s="266">
        <f>$C20*IF(LEFT(J$5,6)="Winter",Profiles!$AB$31,Profiles!$AB$30)*J$10</f>
        <v>5327.2603897234194</v>
      </c>
      <c r="K20" s="266">
        <f>$C20*IF(LEFT(K$5,6)="Winter",Profiles!$AB$31,Profiles!$AB$30)*K$10</f>
        <v>10502.475118657396</v>
      </c>
      <c r="L20" s="267">
        <f t="shared" si="2"/>
        <v>2.2522940961183004</v>
      </c>
      <c r="M20" s="268">
        <f t="shared" si="3"/>
        <v>10.898889528591312</v>
      </c>
      <c r="N20" s="266">
        <f>$C20*IF(LEFT(N$5,6)="Winter",Profiles!$AB$31,Profiles!$AB$30)*N$10</f>
        <v>904.73274442486877</v>
      </c>
      <c r="O20" s="266">
        <f>$C20*IF(LEFT(O$5,6)="Winter",Profiles!$AB$31,Profiles!$AB$30)*O$10</f>
        <v>1783.6434569045209</v>
      </c>
      <c r="P20" s="267">
        <f t="shared" si="4"/>
        <v>0.72743893663233117</v>
      </c>
      <c r="Q20" s="268">
        <f t="shared" si="5"/>
        <v>1.903694221927726</v>
      </c>
      <c r="S20" s="245">
        <f t="shared" si="10"/>
        <v>2027</v>
      </c>
      <c r="T20" s="266">
        <f>$C20*IF(LEFT(T$5,6)="Winter",Profiles!$AB$31,Profiles!$AB$30)*T$10</f>
        <v>904.73274442486877</v>
      </c>
      <c r="U20" s="266">
        <f>$C20*IF(LEFT(U$5,6)="Winter",Profiles!$AB$31,Profiles!$AB$30)*U$10</f>
        <v>1783.6434569045209</v>
      </c>
      <c r="V20" s="267">
        <f t="shared" si="6"/>
        <v>0.85145462455857246</v>
      </c>
      <c r="W20" s="268">
        <f t="shared" si="7"/>
        <v>1.6102158814321821</v>
      </c>
    </row>
    <row r="21" spans="2:23" ht="13.5" thickBot="1">
      <c r="B21" s="245">
        <f t="shared" si="8"/>
        <v>2028</v>
      </c>
      <c r="C21" s="269">
        <f>INDEX('Exhibit 3 - Levelized Capacity'!$F$9:$F$29,MATCH($B21,'Exhibit 3 - Levelized Capacity'!$B$9:$B$29,0),1)</f>
        <v>137510.44269799825</v>
      </c>
      <c r="D21" s="266">
        <f>$C21*IF(LEFT(D$5,6)="Winter",Profiles!$AB$31,Profiles!$AB$30)*D$10</f>
        <v>46277.079877332028</v>
      </c>
      <c r="E21" s="266">
        <f>$C21*IF(LEFT(E$5,6)="Winter",Profiles!$AB$31,Profiles!$AB$30)*E$10</f>
        <v>91233.362820666225</v>
      </c>
      <c r="F21" s="267">
        <f t="shared" si="0"/>
        <v>7.9268721955005184</v>
      </c>
      <c r="G21" s="268">
        <f t="shared" si="1"/>
        <v>31.158935389571798</v>
      </c>
      <c r="I21" s="245">
        <f t="shared" si="9"/>
        <v>2028</v>
      </c>
      <c r="J21" s="266">
        <f>$C21*IF(LEFT(J$5,6)="Winter",Profiles!$AB$31,Profiles!$AB$30)*J$10</f>
        <v>5449.7873786870568</v>
      </c>
      <c r="K21" s="266">
        <f>$C21*IF(LEFT(K$5,6)="Winter",Profiles!$AB$31,Profiles!$AB$30)*K$10</f>
        <v>10744.032046386514</v>
      </c>
      <c r="L21" s="267">
        <f t="shared" si="2"/>
        <v>2.3040968603290208</v>
      </c>
      <c r="M21" s="268">
        <f t="shared" si="3"/>
        <v>11.149563987748911</v>
      </c>
      <c r="N21" s="266">
        <f>$C21*IF(LEFT(N$5,6)="Winter",Profiles!$AB$31,Profiles!$AB$30)*N$10</f>
        <v>925.54159754664056</v>
      </c>
      <c r="O21" s="266">
        <f>$C21*IF(LEFT(O$5,6)="Winter",Profiles!$AB$31,Profiles!$AB$30)*O$10</f>
        <v>1824.6672564133246</v>
      </c>
      <c r="P21" s="267">
        <f t="shared" si="4"/>
        <v>0.74417003217487465</v>
      </c>
      <c r="Q21" s="268">
        <f t="shared" si="5"/>
        <v>1.9474791890320633</v>
      </c>
      <c r="S21" s="245">
        <f t="shared" si="10"/>
        <v>2028</v>
      </c>
      <c r="T21" s="266">
        <f>$C21*IF(LEFT(T$5,6)="Winter",Profiles!$AB$31,Profiles!$AB$30)*T$10</f>
        <v>925.54159754664056</v>
      </c>
      <c r="U21" s="266">
        <f>$C21*IF(LEFT(U$5,6)="Winter",Profiles!$AB$31,Profiles!$AB$30)*U$10</f>
        <v>1824.6672564133246</v>
      </c>
      <c r="V21" s="267">
        <f t="shared" si="6"/>
        <v>0.8710380809234195</v>
      </c>
      <c r="W21" s="268">
        <f t="shared" si="7"/>
        <v>1.6472508467051221</v>
      </c>
    </row>
    <row r="22" spans="2:23" ht="13.5" thickBot="1">
      <c r="B22" s="245">
        <f t="shared" si="8"/>
        <v>2029</v>
      </c>
      <c r="C22" s="269">
        <f>INDEX('Exhibit 3 - Levelized Capacity'!$F$9:$F$29,MATCH($B22,'Exhibit 3 - Levelized Capacity'!$B$9:$B$29,0),1)</f>
        <v>140673.18288005219</v>
      </c>
      <c r="D22" s="266">
        <f>$C22*IF(LEFT(D$5,6)="Winter",Profiles!$AB$31,Profiles!$AB$30)*D$10</f>
        <v>47341.452714510655</v>
      </c>
      <c r="E22" s="266">
        <f>$C22*IF(LEFT(E$5,6)="Winter",Profiles!$AB$31,Profiles!$AB$30)*E$10</f>
        <v>93331.730165541536</v>
      </c>
      <c r="F22" s="267">
        <f t="shared" si="0"/>
        <v>8.1091902559970297</v>
      </c>
      <c r="G22" s="268">
        <f t="shared" si="1"/>
        <v>31.875590903531947</v>
      </c>
      <c r="I22" s="245">
        <f t="shared" si="9"/>
        <v>2029</v>
      </c>
      <c r="J22" s="266">
        <f>$C22*IF(LEFT(J$5,6)="Winter",Profiles!$AB$31,Profiles!$AB$30)*J$10</f>
        <v>5575.1324883968582</v>
      </c>
      <c r="K22" s="266">
        <f>$C22*IF(LEFT(K$5,6)="Winter",Profiles!$AB$31,Profiles!$AB$30)*K$10</f>
        <v>10991.144783453403</v>
      </c>
      <c r="L22" s="267">
        <f t="shared" si="2"/>
        <v>2.3570910881165879</v>
      </c>
      <c r="M22" s="268">
        <f t="shared" si="3"/>
        <v>11.406003959467135</v>
      </c>
      <c r="N22" s="266">
        <f>$C22*IF(LEFT(N$5,6)="Winter",Profiles!$AB$31,Profiles!$AB$30)*N$10</f>
        <v>946.82905429021309</v>
      </c>
      <c r="O22" s="266">
        <f>$C22*IF(LEFT(O$5,6)="Winter",Profiles!$AB$31,Profiles!$AB$30)*O$10</f>
        <v>1866.6346033108307</v>
      </c>
      <c r="P22" s="267">
        <f t="shared" si="4"/>
        <v>0.7612859429148966</v>
      </c>
      <c r="Q22" s="268">
        <f t="shared" si="5"/>
        <v>1.9922712103798004</v>
      </c>
      <c r="S22" s="245">
        <f t="shared" si="10"/>
        <v>2029</v>
      </c>
      <c r="T22" s="266">
        <f>$C22*IF(LEFT(T$5,6)="Winter",Profiles!$AB$31,Profiles!$AB$30)*T$10</f>
        <v>946.82905429021309</v>
      </c>
      <c r="U22" s="266">
        <f>$C22*IF(LEFT(U$5,6)="Winter",Profiles!$AB$31,Profiles!$AB$30)*U$10</f>
        <v>1866.6346033108307</v>
      </c>
      <c r="V22" s="267">
        <f t="shared" si="6"/>
        <v>0.891071956784658</v>
      </c>
      <c r="W22" s="268">
        <f t="shared" si="7"/>
        <v>1.6851376161793394</v>
      </c>
    </row>
    <row r="23" spans="2:23" ht="13.5" thickBot="1">
      <c r="B23" s="245">
        <f t="shared" si="8"/>
        <v>2030</v>
      </c>
      <c r="C23" s="269">
        <f>INDEX('Exhibit 3 - Levelized Capacity'!$F$9:$F$29,MATCH($B23,'Exhibit 3 - Levelized Capacity'!$B$9:$B$29,0),1)</f>
        <v>143908.66608629338</v>
      </c>
      <c r="D23" s="266">
        <f>$C23*IF(LEFT(D$5,6)="Winter",Profiles!$AB$31,Profiles!$AB$30)*D$10</f>
        <v>48430.306126944393</v>
      </c>
      <c r="E23" s="266">
        <f>$C23*IF(LEFT(E$5,6)="Winter",Profiles!$AB$31,Profiles!$AB$30)*E$10</f>
        <v>95478.359959348978</v>
      </c>
      <c r="F23" s="267">
        <f t="shared" si="0"/>
        <v>8.2957016318849597</v>
      </c>
      <c r="G23" s="268">
        <f t="shared" si="1"/>
        <v>32.608729494313174</v>
      </c>
      <c r="I23" s="245">
        <f t="shared" si="9"/>
        <v>2030</v>
      </c>
      <c r="J23" s="266">
        <f>$C23*IF(LEFT(J$5,6)="Winter",Profiles!$AB$31,Profiles!$AB$30)*J$10</f>
        <v>5703.360535629985</v>
      </c>
      <c r="K23" s="266">
        <f>$C23*IF(LEFT(K$5,6)="Winter",Profiles!$AB$31,Profiles!$AB$30)*K$10</f>
        <v>11243.941113472829</v>
      </c>
      <c r="L23" s="267">
        <f t="shared" si="2"/>
        <v>2.4113041831432689</v>
      </c>
      <c r="M23" s="268">
        <f t="shared" si="3"/>
        <v>11.668342050534877</v>
      </c>
      <c r="N23" s="266">
        <f>$C23*IF(LEFT(N$5,6)="Winter",Profiles!$AB$31,Profiles!$AB$30)*N$10</f>
        <v>968.60612253888792</v>
      </c>
      <c r="O23" s="266">
        <f>$C23*IF(LEFT(O$5,6)="Winter",Profiles!$AB$31,Profiles!$AB$30)*O$10</f>
        <v>1909.5671991869797</v>
      </c>
      <c r="P23" s="267">
        <f t="shared" si="4"/>
        <v>0.77879551960193916</v>
      </c>
      <c r="Q23" s="268">
        <f t="shared" si="5"/>
        <v>2.0380934482185356</v>
      </c>
      <c r="S23" s="245">
        <f t="shared" si="10"/>
        <v>2030</v>
      </c>
      <c r="T23" s="266">
        <f>$C23*IF(LEFT(T$5,6)="Winter",Profiles!$AB$31,Profiles!$AB$30)*T$10</f>
        <v>968.60612253888792</v>
      </c>
      <c r="U23" s="266">
        <f>$C23*IF(LEFT(U$5,6)="Winter",Profiles!$AB$31,Profiles!$AB$30)*U$10</f>
        <v>1909.5671991869797</v>
      </c>
      <c r="V23" s="267">
        <f t="shared" si="6"/>
        <v>0.91156661179070497</v>
      </c>
      <c r="W23" s="268">
        <f t="shared" si="7"/>
        <v>1.7238957813514642</v>
      </c>
    </row>
    <row r="24" spans="2:23" ht="13.5" thickBot="1">
      <c r="B24" s="245">
        <f t="shared" si="8"/>
        <v>2031</v>
      </c>
      <c r="C24" s="269">
        <f>INDEX('Exhibit 3 - Levelized Capacity'!$F$9:$F$29,MATCH($B24,'Exhibit 3 - Levelized Capacity'!$B$9:$B$29,0),1)</f>
        <v>147218.56540627813</v>
      </c>
      <c r="D24" s="266">
        <f>$C24*IF(LEFT(D$5,6)="Winter",Profiles!$AB$31,Profiles!$AB$30)*D$10</f>
        <v>49544.203167864114</v>
      </c>
      <c r="E24" s="266">
        <f>$C24*IF(LEFT(E$5,6)="Winter",Profiles!$AB$31,Profiles!$AB$30)*E$10</f>
        <v>97674.362238414004</v>
      </c>
      <c r="F24" s="267">
        <f t="shared" si="0"/>
        <v>8.4865027694183137</v>
      </c>
      <c r="G24" s="268">
        <f t="shared" si="1"/>
        <v>33.358730272682379</v>
      </c>
      <c r="I24" s="245">
        <f t="shared" si="9"/>
        <v>2031</v>
      </c>
      <c r="J24" s="266">
        <f>$C24*IF(LEFT(J$5,6)="Winter",Profiles!$AB$31,Profiles!$AB$30)*J$10</f>
        <v>5834.5378279494753</v>
      </c>
      <c r="K24" s="266">
        <f>$C24*IF(LEFT(K$5,6)="Winter",Profiles!$AB$31,Profiles!$AB$30)*K$10</f>
        <v>11502.551759082704</v>
      </c>
      <c r="L24" s="267">
        <f t="shared" si="2"/>
        <v>2.4667641793555646</v>
      </c>
      <c r="M24" s="268">
        <f t="shared" si="3"/>
        <v>11.936713917697178</v>
      </c>
      <c r="N24" s="266">
        <f>$C24*IF(LEFT(N$5,6)="Winter",Profiles!$AB$31,Profiles!$AB$30)*N$10</f>
        <v>990.88406335728234</v>
      </c>
      <c r="O24" s="266">
        <f>$C24*IF(LEFT(O$5,6)="Winter",Profiles!$AB$31,Profiles!$AB$30)*O$10</f>
        <v>1953.4872447682801</v>
      </c>
      <c r="P24" s="267">
        <f t="shared" si="4"/>
        <v>0.79670781655278378</v>
      </c>
      <c r="Q24" s="268">
        <f t="shared" si="5"/>
        <v>2.0849695975275617</v>
      </c>
      <c r="S24" s="245">
        <f t="shared" si="10"/>
        <v>2031</v>
      </c>
      <c r="T24" s="266">
        <f>$C24*IF(LEFT(T$5,6)="Winter",Profiles!$AB$31,Profiles!$AB$30)*T$10</f>
        <v>990.88406335728234</v>
      </c>
      <c r="U24" s="266">
        <f>$C24*IF(LEFT(U$5,6)="Winter",Profiles!$AB$31,Profiles!$AB$30)*U$10</f>
        <v>1953.4872447682801</v>
      </c>
      <c r="V24" s="267">
        <f t="shared" si="6"/>
        <v>0.93253264386189127</v>
      </c>
      <c r="W24" s="268">
        <f t="shared" si="7"/>
        <v>1.7635453843225479</v>
      </c>
    </row>
    <row r="25" spans="2:23" ht="13.5" thickBot="1">
      <c r="B25" s="245">
        <f t="shared" si="8"/>
        <v>2032</v>
      </c>
      <c r="C25" s="269">
        <f>INDEX('Exhibit 3 - Levelized Capacity'!$F$9:$F$29,MATCH($B25,'Exhibit 3 - Levelized Capacity'!$B$9:$B$29,0),1)</f>
        <v>150604.59241062251</v>
      </c>
      <c r="D25" s="266">
        <f>$C25*IF(LEFT(D$5,6)="Winter",Profiles!$AB$31,Profiles!$AB$30)*D$10</f>
        <v>50683.719840724989</v>
      </c>
      <c r="E25" s="266">
        <f>$C25*IF(LEFT(E$5,6)="Winter",Profiles!$AB$31,Profiles!$AB$30)*E$10</f>
        <v>99920.872569897532</v>
      </c>
      <c r="F25" s="267">
        <f t="shared" si="0"/>
        <v>8.6816923331149347</v>
      </c>
      <c r="G25" s="268">
        <f t="shared" si="1"/>
        <v>34.125981068954076</v>
      </c>
      <c r="I25" s="245">
        <f t="shared" si="9"/>
        <v>2032</v>
      </c>
      <c r="J25" s="266">
        <f>$C25*IF(LEFT(J$5,6)="Winter",Profiles!$AB$31,Profiles!$AB$30)*J$10</f>
        <v>5968.7321979923126</v>
      </c>
      <c r="K25" s="266">
        <f>$C25*IF(LEFT(K$5,6)="Winter",Profiles!$AB$31,Profiles!$AB$30)*K$10</f>
        <v>11767.110449541608</v>
      </c>
      <c r="L25" s="267">
        <f t="shared" si="2"/>
        <v>2.5234997554807421</v>
      </c>
      <c r="M25" s="268">
        <f t="shared" si="3"/>
        <v>12.211258337804216</v>
      </c>
      <c r="N25" s="266">
        <f>$C25*IF(LEFT(N$5,6)="Winter",Profiles!$AB$31,Profiles!$AB$30)*N$10</f>
        <v>1013.6743968144998</v>
      </c>
      <c r="O25" s="266">
        <f>$C25*IF(LEFT(O$5,6)="Winter",Profiles!$AB$31,Profiles!$AB$30)*O$10</f>
        <v>1998.4174513979508</v>
      </c>
      <c r="P25" s="267">
        <f t="shared" si="4"/>
        <v>0.81503209633349782</v>
      </c>
      <c r="Q25" s="268">
        <f t="shared" si="5"/>
        <v>2.132923898270696</v>
      </c>
      <c r="S25" s="245">
        <f t="shared" si="10"/>
        <v>2032</v>
      </c>
      <c r="T25" s="266">
        <f>$C25*IF(LEFT(T$5,6)="Winter",Profiles!$AB$31,Profiles!$AB$30)*T$10</f>
        <v>1013.6743968144998</v>
      </c>
      <c r="U25" s="266">
        <f>$C25*IF(LEFT(U$5,6)="Winter",Profiles!$AB$31,Profiles!$AB$30)*U$10</f>
        <v>1998.4174513979508</v>
      </c>
      <c r="V25" s="267">
        <f t="shared" si="6"/>
        <v>0.95398089467071467</v>
      </c>
      <c r="W25" s="268">
        <f t="shared" si="7"/>
        <v>1.8041069281619666</v>
      </c>
    </row>
    <row r="26" spans="2:23" ht="13.5" thickBot="1">
      <c r="B26" s="245">
        <f t="shared" si="8"/>
        <v>2033</v>
      </c>
      <c r="C26" s="269">
        <f>INDEX('Exhibit 3 - Levelized Capacity'!$F$9:$F$29,MATCH($B26,'Exhibit 3 - Levelized Capacity'!$B$9:$B$29,0),1)</f>
        <v>153917.89344365621</v>
      </c>
      <c r="D26" s="266">
        <f>$C26*IF(LEFT(D$5,6)="Winter",Profiles!$AB$31,Profiles!$AB$30)*D$10</f>
        <v>51798.761677220937</v>
      </c>
      <c r="E26" s="266">
        <f>$C26*IF(LEFT(E$5,6)="Winter",Profiles!$AB$31,Profiles!$AB$30)*E$10</f>
        <v>102119.13176643527</v>
      </c>
      <c r="F26" s="267">
        <f t="shared" si="0"/>
        <v>8.8726895644434638</v>
      </c>
      <c r="G26" s="268">
        <f t="shared" si="1"/>
        <v>34.876752652471062</v>
      </c>
      <c r="I26" s="245">
        <f t="shared" si="9"/>
        <v>2033</v>
      </c>
      <c r="J26" s="266">
        <f>$C26*IF(LEFT(J$5,6)="Winter",Profiles!$AB$31,Profiles!$AB$30)*J$10</f>
        <v>6100.0443063481434</v>
      </c>
      <c r="K26" s="266">
        <f>$C26*IF(LEFT(K$5,6)="Winter",Profiles!$AB$31,Profiles!$AB$30)*K$10</f>
        <v>12025.986879431521</v>
      </c>
      <c r="L26" s="267">
        <f t="shared" si="2"/>
        <v>2.5790167501013186</v>
      </c>
      <c r="M26" s="268">
        <f t="shared" si="3"/>
        <v>12.479906021235905</v>
      </c>
      <c r="N26" s="266">
        <f>$C26*IF(LEFT(N$5,6)="Winter",Profiles!$AB$31,Profiles!$AB$30)*N$10</f>
        <v>1035.9752335444186</v>
      </c>
      <c r="O26" s="266">
        <f>$C26*IF(LEFT(O$5,6)="Winter",Profiles!$AB$31,Profiles!$AB$30)*O$10</f>
        <v>2042.3826353287054</v>
      </c>
      <c r="P26" s="267">
        <f t="shared" si="4"/>
        <v>0.83296280245283461</v>
      </c>
      <c r="Q26" s="268">
        <f t="shared" si="5"/>
        <v>2.1798482240326509</v>
      </c>
      <c r="S26" s="245">
        <f t="shared" si="10"/>
        <v>2033</v>
      </c>
      <c r="T26" s="266">
        <f>$C26*IF(LEFT(T$5,6)="Winter",Profiles!$AB$31,Profiles!$AB$30)*T$10</f>
        <v>1035.9752335444186</v>
      </c>
      <c r="U26" s="266">
        <f>$C26*IF(LEFT(U$5,6)="Winter",Profiles!$AB$31,Profiles!$AB$30)*U$10</f>
        <v>2042.3826353287054</v>
      </c>
      <c r="V26" s="267">
        <f t="shared" si="6"/>
        <v>0.97496847435347023</v>
      </c>
      <c r="W26" s="268">
        <f t="shared" si="7"/>
        <v>1.8437972805815297</v>
      </c>
    </row>
    <row r="27" spans="2:23" ht="13.5" thickBot="1">
      <c r="B27" s="245">
        <f t="shared" si="8"/>
        <v>2034</v>
      </c>
      <c r="C27" s="269">
        <f>INDEX('Exhibit 3 - Levelized Capacity'!$F$9:$F$29,MATCH($B27,'Exhibit 3 - Levelized Capacity'!$B$9:$B$29,0),1)</f>
        <v>157304.08709941665</v>
      </c>
      <c r="D27" s="266">
        <f>$C27*IF(LEFT(D$5,6)="Winter",Profiles!$AB$31,Profiles!$AB$30)*D$10</f>
        <v>52938.334434119795</v>
      </c>
      <c r="E27" s="266">
        <f>$C27*IF(LEFT(E$5,6)="Winter",Profiles!$AB$31,Profiles!$AB$30)*E$10</f>
        <v>104365.75266529685</v>
      </c>
      <c r="F27" s="267">
        <f t="shared" si="0"/>
        <v>9.0678887348612189</v>
      </c>
      <c r="G27" s="268">
        <f t="shared" si="1"/>
        <v>35.644041210825428</v>
      </c>
      <c r="I27" s="245">
        <f t="shared" si="9"/>
        <v>2034</v>
      </c>
      <c r="J27" s="266">
        <f>$C27*IF(LEFT(J$5,6)="Winter",Profiles!$AB$31,Profiles!$AB$30)*J$10</f>
        <v>6234.2452810878021</v>
      </c>
      <c r="K27" s="266">
        <f>$C27*IF(LEFT(K$5,6)="Winter",Profiles!$AB$31,Profiles!$AB$30)*K$10</f>
        <v>12290.558590779016</v>
      </c>
      <c r="L27" s="267">
        <f t="shared" si="2"/>
        <v>2.6357551186035475</v>
      </c>
      <c r="M27" s="268">
        <f t="shared" si="3"/>
        <v>12.754463953703096</v>
      </c>
      <c r="N27" s="266">
        <f>$C27*IF(LEFT(N$5,6)="Winter",Profiles!$AB$31,Profiles!$AB$30)*N$10</f>
        <v>1058.7666886823959</v>
      </c>
      <c r="O27" s="266">
        <f>$C27*IF(LEFT(O$5,6)="Winter",Profiles!$AB$31,Profiles!$AB$30)*O$10</f>
        <v>2087.315053305937</v>
      </c>
      <c r="P27" s="267">
        <f t="shared" si="4"/>
        <v>0.85128798410679696</v>
      </c>
      <c r="Q27" s="268">
        <f t="shared" si="5"/>
        <v>2.2278048849613694</v>
      </c>
      <c r="S27" s="245">
        <f t="shared" si="10"/>
        <v>2034</v>
      </c>
      <c r="T27" s="266">
        <f>$C27*IF(LEFT(T$5,6)="Winter",Profiles!$AB$31,Profiles!$AB$30)*T$10</f>
        <v>1058.7666886823959</v>
      </c>
      <c r="U27" s="266">
        <f>$C27*IF(LEFT(U$5,6)="Winter",Profiles!$AB$31,Profiles!$AB$30)*U$10</f>
        <v>2087.315053305937</v>
      </c>
      <c r="V27" s="267">
        <f t="shared" si="6"/>
        <v>0.99641778078924659</v>
      </c>
      <c r="W27" s="268">
        <f t="shared" si="7"/>
        <v>1.8843608207543234</v>
      </c>
    </row>
    <row r="28" spans="2:23" ht="13.5" thickBot="1">
      <c r="B28" s="245">
        <f t="shared" si="8"/>
        <v>2035</v>
      </c>
      <c r="C28" s="269">
        <f>INDEX('Exhibit 3 - Levelized Capacity'!$F$9:$F$29,MATCH($B28,'Exhibit 3 - Levelized Capacity'!$B$9:$B$29,0),1)</f>
        <v>160764.77701560382</v>
      </c>
      <c r="D28" s="266">
        <f>$C28*IF(LEFT(D$5,6)="Winter",Profiles!$AB$31,Profiles!$AB$30)*D$10</f>
        <v>54102.977791670433</v>
      </c>
      <c r="E28" s="266">
        <f>$C28*IF(LEFT(E$5,6)="Winter",Profiles!$AB$31,Profiles!$AB$30)*E$10</f>
        <v>106661.79922393338</v>
      </c>
      <c r="F28" s="267">
        <f t="shared" si="0"/>
        <v>9.2673822870281661</v>
      </c>
      <c r="G28" s="268">
        <f t="shared" si="1"/>
        <v>36.428210117463586</v>
      </c>
      <c r="I28" s="245">
        <f t="shared" si="9"/>
        <v>2035</v>
      </c>
      <c r="J28" s="266">
        <f>$C28*IF(LEFT(J$5,6)="Winter",Profiles!$AB$31,Profiles!$AB$30)*J$10</f>
        <v>6371.3986772717344</v>
      </c>
      <c r="K28" s="266">
        <f>$C28*IF(LEFT(K$5,6)="Winter",Profiles!$AB$31,Profiles!$AB$30)*K$10</f>
        <v>12560.950879776154</v>
      </c>
      <c r="L28" s="267">
        <f t="shared" si="2"/>
        <v>2.6937417312128256</v>
      </c>
      <c r="M28" s="268">
        <f t="shared" si="3"/>
        <v>13.035062160684564</v>
      </c>
      <c r="N28" s="266">
        <f>$C28*IF(LEFT(N$5,6)="Winter",Profiles!$AB$31,Profiles!$AB$30)*N$10</f>
        <v>1082.0595558334087</v>
      </c>
      <c r="O28" s="266">
        <f>$C28*IF(LEFT(O$5,6)="Winter",Profiles!$AB$31,Profiles!$AB$30)*O$10</f>
        <v>2133.2359844786679</v>
      </c>
      <c r="P28" s="267">
        <f t="shared" si="4"/>
        <v>0.87001631975714666</v>
      </c>
      <c r="Q28" s="268">
        <f t="shared" si="5"/>
        <v>2.2768165924305199</v>
      </c>
      <c r="S28" s="245">
        <f t="shared" si="10"/>
        <v>2035</v>
      </c>
      <c r="T28" s="266">
        <f>$C28*IF(LEFT(T$5,6)="Winter",Profiles!$AB$31,Profiles!$AB$30)*T$10</f>
        <v>1082.0595558334087</v>
      </c>
      <c r="U28" s="266">
        <f>$C28*IF(LEFT(U$5,6)="Winter",Profiles!$AB$31,Profiles!$AB$30)*U$10</f>
        <v>2133.2359844786679</v>
      </c>
      <c r="V28" s="267">
        <f t="shared" si="6"/>
        <v>1.0183389719666103</v>
      </c>
      <c r="W28" s="268">
        <f t="shared" si="7"/>
        <v>1.9258167588109187</v>
      </c>
    </row>
    <row r="29" spans="2:23" ht="13.5" thickBot="1">
      <c r="B29" s="245">
        <f t="shared" si="8"/>
        <v>2036</v>
      </c>
      <c r="C29" s="269">
        <f>INDEX('Exhibit 3 - Levelized Capacity'!$F$9:$F$29,MATCH($B29,'Exhibit 3 - Levelized Capacity'!$B$9:$B$29,0),1)</f>
        <v>164301.6021099471</v>
      </c>
      <c r="D29" s="266">
        <f>$C29*IF(LEFT(D$5,6)="Winter",Profiles!$AB$31,Profiles!$AB$30)*D$10</f>
        <v>55293.243303087183</v>
      </c>
      <c r="E29" s="266">
        <f>$C29*IF(LEFT(E$5,6)="Winter",Profiles!$AB$31,Profiles!$AB$30)*E$10</f>
        <v>109008.35880685992</v>
      </c>
      <c r="F29" s="267">
        <f t="shared" si="0"/>
        <v>9.4712646973427859</v>
      </c>
      <c r="G29" s="268">
        <f t="shared" si="1"/>
        <v>37.229630740047789</v>
      </c>
      <c r="I29" s="245">
        <f t="shared" si="9"/>
        <v>2036</v>
      </c>
      <c r="J29" s="266">
        <f>$C29*IF(LEFT(J$5,6)="Winter",Profiles!$AB$31,Profiles!$AB$30)*J$10</f>
        <v>6511.5694481717128</v>
      </c>
      <c r="K29" s="266">
        <f>$C29*IF(LEFT(K$5,6)="Winter",Profiles!$AB$31,Profiles!$AB$30)*K$10</f>
        <v>12837.29179913123</v>
      </c>
      <c r="L29" s="267">
        <f t="shared" si="2"/>
        <v>2.7530040492995078</v>
      </c>
      <c r="M29" s="268">
        <f t="shared" si="3"/>
        <v>13.321833528219626</v>
      </c>
      <c r="N29" s="266">
        <f>$C29*IF(LEFT(N$5,6)="Winter",Profiles!$AB$31,Profiles!$AB$30)*N$10</f>
        <v>1105.8648660617437</v>
      </c>
      <c r="O29" s="266">
        <f>$C29*IF(LEFT(O$5,6)="Winter",Profiles!$AB$31,Profiles!$AB$30)*O$10</f>
        <v>2180.1671761371986</v>
      </c>
      <c r="P29" s="267">
        <f t="shared" si="4"/>
        <v>0.88915667879180382</v>
      </c>
      <c r="Q29" s="268">
        <f t="shared" si="5"/>
        <v>2.3269065574639911</v>
      </c>
      <c r="S29" s="245">
        <f t="shared" si="10"/>
        <v>2036</v>
      </c>
      <c r="T29" s="266">
        <f>$C29*IF(LEFT(T$5,6)="Winter",Profiles!$AB$31,Profiles!$AB$30)*T$10</f>
        <v>1105.8648660617437</v>
      </c>
      <c r="U29" s="266">
        <f>$C29*IF(LEFT(U$5,6)="Winter",Profiles!$AB$31,Profiles!$AB$30)*U$10</f>
        <v>2180.1671761371986</v>
      </c>
      <c r="V29" s="267">
        <f t="shared" si="6"/>
        <v>1.0407424293498755</v>
      </c>
      <c r="W29" s="268">
        <f t="shared" si="7"/>
        <v>1.9681847275047588</v>
      </c>
    </row>
    <row r="30" spans="2:23" ht="13.5" thickBot="1">
      <c r="B30" s="245">
        <f t="shared" si="8"/>
        <v>2037</v>
      </c>
      <c r="C30" s="269">
        <f>INDEX('Exhibit 3 - Levelized Capacity'!$F$9:$F$29,MATCH($B30,'Exhibit 3 - Levelized Capacity'!$B$9:$B$29,0),1)</f>
        <v>167916.23735636595</v>
      </c>
      <c r="D30" s="266">
        <f>$C30*IF(LEFT(D$5,6)="Winter",Profiles!$AB$31,Profiles!$AB$30)*D$10</f>
        <v>56509.694655755105</v>
      </c>
      <c r="E30" s="266">
        <f>$C30*IF(LEFT(E$5,6)="Winter",Profiles!$AB$31,Profiles!$AB$30)*E$10</f>
        <v>111406.54270061084</v>
      </c>
      <c r="F30" s="267">
        <f t="shared" si="0"/>
        <v>9.6796325206843274</v>
      </c>
      <c r="G30" s="268">
        <f t="shared" si="1"/>
        <v>38.04868261632884</v>
      </c>
      <c r="I30" s="245">
        <f t="shared" si="9"/>
        <v>2037</v>
      </c>
      <c r="J30" s="266">
        <f>$C30*IF(LEFT(J$5,6)="Winter",Profiles!$AB$31,Profiles!$AB$30)*J$10</f>
        <v>6654.8239760314909</v>
      </c>
      <c r="K30" s="266">
        <f>$C30*IF(LEFT(K$5,6)="Winter",Profiles!$AB$31,Profiles!$AB$30)*K$10</f>
        <v>13119.712218712117</v>
      </c>
      <c r="L30" s="267">
        <f t="shared" si="2"/>
        <v>2.8135701383840974</v>
      </c>
      <c r="M30" s="268">
        <f t="shared" si="3"/>
        <v>13.614913865840457</v>
      </c>
      <c r="N30" s="266">
        <f>$C30*IF(LEFT(N$5,6)="Winter",Profiles!$AB$31,Profiles!$AB$30)*N$10</f>
        <v>1130.1938931151021</v>
      </c>
      <c r="O30" s="266">
        <f>$C30*IF(LEFT(O$5,6)="Winter",Profiles!$AB$31,Profiles!$AB$30)*O$10</f>
        <v>2228.1308540122168</v>
      </c>
      <c r="P30" s="267">
        <f t="shared" si="4"/>
        <v>0.90871812572522359</v>
      </c>
      <c r="Q30" s="268">
        <f t="shared" si="5"/>
        <v>2.378098501728199</v>
      </c>
      <c r="S30" s="245">
        <f t="shared" si="10"/>
        <v>2037</v>
      </c>
      <c r="T30" s="266">
        <f>$C30*IF(LEFT(T$5,6)="Winter",Profiles!$AB$31,Profiles!$AB$30)*T$10</f>
        <v>1130.1938931151021</v>
      </c>
      <c r="U30" s="266">
        <f>$C30*IF(LEFT(U$5,6)="Winter",Profiles!$AB$31,Profiles!$AB$30)*U$10</f>
        <v>2228.1308540122168</v>
      </c>
      <c r="V30" s="267">
        <f t="shared" si="6"/>
        <v>1.063638762795573</v>
      </c>
      <c r="W30" s="268">
        <f t="shared" si="7"/>
        <v>2.0114847915098633</v>
      </c>
    </row>
    <row r="31" spans="2:23" ht="13.5" thickBot="1">
      <c r="B31" s="245">
        <f t="shared" si="8"/>
        <v>2038</v>
      </c>
      <c r="C31" s="269">
        <f>INDEX('Exhibit 3 - Levelized Capacity'!$F$9:$F$29,MATCH($B31,'Exhibit 3 - Levelized Capacity'!$B$9:$B$29,0),1)</f>
        <v>171610.394578206</v>
      </c>
      <c r="D31" s="266">
        <f>$C31*IF(LEFT(D$5,6)="Winter",Profiles!$AB$31,Profiles!$AB$30)*D$10</f>
        <v>57752.907938181721</v>
      </c>
      <c r="E31" s="266">
        <f>$C31*IF(LEFT(E$5,6)="Winter",Profiles!$AB$31,Profiles!$AB$30)*E$10</f>
        <v>113857.48664002429</v>
      </c>
      <c r="F31" s="267">
        <f t="shared" si="0"/>
        <v>9.8925844361393835</v>
      </c>
      <c r="G31" s="268">
        <f t="shared" si="1"/>
        <v>38.885753633888079</v>
      </c>
      <c r="I31" s="245">
        <f t="shared" si="9"/>
        <v>2038</v>
      </c>
      <c r="J31" s="266">
        <f>$C31*IF(LEFT(J$5,6)="Winter",Profiles!$AB$31,Profiles!$AB$30)*J$10</f>
        <v>6801.2301035041837</v>
      </c>
      <c r="K31" s="266">
        <f>$C31*IF(LEFT(K$5,6)="Winter",Profiles!$AB$31,Profiles!$AB$30)*K$10</f>
        <v>13408.345887523785</v>
      </c>
      <c r="L31" s="267">
        <f t="shared" si="2"/>
        <v>2.8754686814285475</v>
      </c>
      <c r="M31" s="268">
        <f t="shared" si="3"/>
        <v>13.91444197088895</v>
      </c>
      <c r="N31" s="266">
        <f>$C31*IF(LEFT(N$5,6)="Winter",Profiles!$AB$31,Profiles!$AB$30)*N$10</f>
        <v>1155.0581587636345</v>
      </c>
      <c r="O31" s="266">
        <f>$C31*IF(LEFT(O$5,6)="Winter",Profiles!$AB$31,Profiles!$AB$30)*O$10</f>
        <v>2277.1497328004857</v>
      </c>
      <c r="P31" s="267">
        <f t="shared" si="4"/>
        <v>0.92870992449117862</v>
      </c>
      <c r="Q31" s="268">
        <f t="shared" si="5"/>
        <v>2.4304166687662194</v>
      </c>
      <c r="S31" s="245">
        <f t="shared" si="10"/>
        <v>2038</v>
      </c>
      <c r="T31" s="266">
        <f>$C31*IF(LEFT(T$5,6)="Winter",Profiles!$AB$31,Profiles!$AB$30)*T$10</f>
        <v>1155.0581587636345</v>
      </c>
      <c r="U31" s="266">
        <f>$C31*IF(LEFT(U$5,6)="Winter",Profiles!$AB$31,Profiles!$AB$30)*U$10</f>
        <v>2277.1497328004857</v>
      </c>
      <c r="V31" s="267">
        <f t="shared" si="6"/>
        <v>1.0870388155770756</v>
      </c>
      <c r="W31" s="268">
        <f t="shared" si="7"/>
        <v>2.0557374569230804</v>
      </c>
    </row>
    <row r="32" spans="2:23" ht="13.5" thickBot="1">
      <c r="B32" s="247">
        <f t="shared" si="8"/>
        <v>2039</v>
      </c>
      <c r="C32" s="270">
        <f>INDEX('Exhibit 3 - Levelized Capacity'!$F$9:$F$29,MATCH($B32,'Exhibit 3 - Levelized Capacity'!$B$9:$B$29,0),1)</f>
        <v>175385.82325892654</v>
      </c>
      <c r="D32" s="271">
        <f>$C32*IF(LEFT(D$5,6)="Winter",Profiles!$AB$31,Profiles!$AB$30)*D$10</f>
        <v>59023.471912821718</v>
      </c>
      <c r="E32" s="271">
        <f>$C32*IF(LEFT(E$5,6)="Winter",Profiles!$AB$31,Profiles!$AB$30)*E$10</f>
        <v>116362.35134610481</v>
      </c>
      <c r="F32" s="272">
        <f t="shared" si="0"/>
        <v>10.110221293734449</v>
      </c>
      <c r="G32" s="273">
        <f t="shared" si="1"/>
        <v>39.741240213833613</v>
      </c>
      <c r="I32" s="247">
        <f t="shared" si="9"/>
        <v>2039</v>
      </c>
      <c r="J32" s="271">
        <f>$C32*IF(LEFT(J$5,6)="Winter",Profiles!$AB$31,Profiles!$AB$30)*J$10</f>
        <v>6950.8571657812754</v>
      </c>
      <c r="K32" s="271">
        <f>$C32*IF(LEFT(K$5,6)="Winter",Profiles!$AB$31,Profiles!$AB$30)*K$10</f>
        <v>13703.329497049306</v>
      </c>
      <c r="L32" s="272">
        <f t="shared" si="2"/>
        <v>2.9387289924199753</v>
      </c>
      <c r="M32" s="273">
        <f t="shared" si="3"/>
        <v>14.220559694248504</v>
      </c>
      <c r="N32" s="271">
        <f>$C32*IF(LEFT(N$5,6)="Winter",Profiles!$AB$31,Profiles!$AB$30)*N$10</f>
        <v>1180.4694382564344</v>
      </c>
      <c r="O32" s="271">
        <f>$C32*IF(LEFT(O$5,6)="Winter",Profiles!$AB$31,Profiles!$AB$30)*O$10</f>
        <v>2327.2470269220962</v>
      </c>
      <c r="P32" s="272">
        <f t="shared" si="4"/>
        <v>0.94914154282998453</v>
      </c>
      <c r="Q32" s="273">
        <f t="shared" si="5"/>
        <v>2.483885835479076</v>
      </c>
      <c r="S32" s="247">
        <f t="shared" si="10"/>
        <v>2039</v>
      </c>
      <c r="T32" s="271">
        <f>$C32*IF(LEFT(T$5,6)="Winter",Profiles!$AB$31,Profiles!$AB$30)*T$10</f>
        <v>1180.4694382564344</v>
      </c>
      <c r="U32" s="271">
        <f>$C32*IF(LEFT(U$5,6)="Winter",Profiles!$AB$31,Profiles!$AB$30)*U$10</f>
        <v>2327.2470269220962</v>
      </c>
      <c r="V32" s="272">
        <f t="shared" si="6"/>
        <v>1.1109536695197713</v>
      </c>
      <c r="W32" s="273">
        <f t="shared" si="7"/>
        <v>2.1009636809753882</v>
      </c>
    </row>
    <row r="33" spans="2:24" ht="6.75" customHeight="1" thickTop="1">
      <c r="B33" s="28"/>
      <c r="D33" s="5"/>
      <c r="F33" s="127"/>
      <c r="I33" s="217"/>
      <c r="K33" s="29"/>
      <c r="M33" s="13"/>
      <c r="O33" s="29"/>
      <c r="Q33" s="13"/>
      <c r="S33" s="217"/>
      <c r="U33" s="29"/>
      <c r="W33" s="13"/>
    </row>
    <row r="34" spans="2:24">
      <c r="B34" s="217" t="s">
        <v>166</v>
      </c>
      <c r="C34" s="329"/>
      <c r="D34" s="329"/>
      <c r="E34" s="329"/>
      <c r="F34" s="329"/>
      <c r="G34" s="329"/>
      <c r="I34" s="217" t="str">
        <f t="shared" ref="I34:I39" si="11">B34</f>
        <v>Capacity Contribution: 2017 IRP, Appendix N</v>
      </c>
      <c r="J34" s="10"/>
      <c r="K34" s="10"/>
      <c r="N34" s="10"/>
      <c r="O34" s="10"/>
      <c r="S34" s="217" t="str">
        <f t="shared" ref="S34:S39" si="12">I34</f>
        <v>Capacity Contribution: 2017 IRP, Appendix N</v>
      </c>
      <c r="T34" s="10"/>
      <c r="U34" s="10"/>
    </row>
    <row r="35" spans="2:24">
      <c r="B35" s="217" t="s">
        <v>173</v>
      </c>
      <c r="C35" s="329"/>
      <c r="D35" s="329"/>
      <c r="E35" s="329"/>
      <c r="F35" s="329"/>
      <c r="G35" s="329"/>
      <c r="I35" s="217" t="str">
        <f t="shared" si="11"/>
        <v>Capacity Factor Weighting: The resource's annual capacity factor divided by season.</v>
      </c>
      <c r="S35" s="217" t="str">
        <f t="shared" si="12"/>
        <v>Capacity Factor Weighting: The resource's annual capacity factor divided by season.</v>
      </c>
    </row>
    <row r="36" spans="2:24">
      <c r="B36" s="144" t="s">
        <v>4</v>
      </c>
      <c r="C36" s="356" t="s">
        <v>189</v>
      </c>
      <c r="D36" s="357"/>
      <c r="E36" s="357"/>
      <c r="F36" s="357"/>
      <c r="G36" s="357"/>
      <c r="H36" s="218"/>
      <c r="I36" s="220" t="str">
        <f t="shared" si="11"/>
        <v>(a)</v>
      </c>
      <c r="J36" s="357" t="str">
        <f t="shared" ref="J36:J39" si="13">C36</f>
        <v>Levelized capacity cost at 100% capacity contribution</v>
      </c>
      <c r="K36" s="357"/>
      <c r="L36" s="357"/>
      <c r="M36" s="357"/>
      <c r="N36" s="357"/>
      <c r="O36" s="357"/>
      <c r="P36" s="357"/>
      <c r="Q36" s="357"/>
      <c r="R36" s="10"/>
      <c r="S36" s="221" t="str">
        <f t="shared" si="12"/>
        <v>(a)</v>
      </c>
      <c r="T36" s="364" t="str">
        <f t="shared" ref="T36:T39" si="14">J36</f>
        <v>Levelized capacity cost at 100% capacity contribution</v>
      </c>
      <c r="U36" s="357"/>
      <c r="V36" s="357"/>
      <c r="W36" s="357"/>
      <c r="X36" s="357"/>
    </row>
    <row r="37" spans="2:24">
      <c r="B37" s="144" t="s">
        <v>213</v>
      </c>
      <c r="C37" s="356" t="s">
        <v>212</v>
      </c>
      <c r="D37" s="357"/>
      <c r="E37" s="357"/>
      <c r="F37" s="357"/>
      <c r="G37" s="357"/>
      <c r="H37" s="218"/>
      <c r="I37" s="220" t="str">
        <f t="shared" si="11"/>
        <v>(b),(c)</v>
      </c>
      <c r="J37" s="357" t="str">
        <f t="shared" si="13"/>
        <v>Summer-winter split based on months and 2017 IRP loss of load probability</v>
      </c>
      <c r="K37" s="357"/>
      <c r="L37" s="357"/>
      <c r="M37" s="357"/>
      <c r="N37" s="357"/>
      <c r="O37" s="357"/>
      <c r="P37" s="357"/>
      <c r="Q37" s="357"/>
      <c r="R37" s="10"/>
      <c r="S37" s="221" t="str">
        <f t="shared" si="12"/>
        <v>(b),(c)</v>
      </c>
      <c r="T37" s="364" t="str">
        <f t="shared" si="14"/>
        <v>Summer-winter split based on months and 2017 IRP loss of load probability</v>
      </c>
      <c r="U37" s="357"/>
      <c r="V37" s="357"/>
      <c r="W37" s="357"/>
      <c r="X37" s="357"/>
    </row>
    <row r="38" spans="2:24">
      <c r="B38" s="144" t="s">
        <v>7</v>
      </c>
      <c r="C38" s="356" t="s">
        <v>210</v>
      </c>
      <c r="D38" s="357"/>
      <c r="E38" s="357"/>
      <c r="F38" s="357"/>
      <c r="G38" s="357"/>
      <c r="H38" s="218"/>
      <c r="I38" s="220" t="str">
        <f t="shared" si="11"/>
        <v>(d)</v>
      </c>
      <c r="J38" s="357" t="str">
        <f t="shared" si="13"/>
        <v>Winter Capacity Cost (b) divided by seasonal capacity factor weighting</v>
      </c>
      <c r="K38" s="357"/>
      <c r="L38" s="357"/>
      <c r="M38" s="357"/>
      <c r="N38" s="357"/>
      <c r="O38" s="357"/>
      <c r="P38" s="357"/>
      <c r="Q38" s="357"/>
      <c r="R38" s="10"/>
      <c r="S38" s="221" t="str">
        <f t="shared" si="12"/>
        <v>(d)</v>
      </c>
      <c r="T38" s="364" t="str">
        <f t="shared" si="14"/>
        <v>Winter Capacity Cost (b) divided by seasonal capacity factor weighting</v>
      </c>
      <c r="U38" s="357"/>
      <c r="V38" s="357"/>
      <c r="W38" s="357"/>
      <c r="X38" s="357"/>
    </row>
    <row r="39" spans="2:24">
      <c r="B39" s="144" t="s">
        <v>8</v>
      </c>
      <c r="C39" s="356" t="s">
        <v>211</v>
      </c>
      <c r="D39" s="357"/>
      <c r="E39" s="357"/>
      <c r="F39" s="357"/>
      <c r="G39" s="357"/>
      <c r="H39" s="218"/>
      <c r="I39" s="220" t="str">
        <f t="shared" si="11"/>
        <v>(e)</v>
      </c>
      <c r="J39" s="357" t="str">
        <f t="shared" si="13"/>
        <v>Summer Capacity Cost (c) divided by seasonal capacity factor weighting</v>
      </c>
      <c r="K39" s="357"/>
      <c r="L39" s="357"/>
      <c r="M39" s="357"/>
      <c r="N39" s="357"/>
      <c r="O39" s="357"/>
      <c r="P39" s="357"/>
      <c r="Q39" s="357"/>
      <c r="R39" s="10"/>
      <c r="S39" s="221" t="str">
        <f t="shared" si="12"/>
        <v>(e)</v>
      </c>
      <c r="T39" s="364" t="str">
        <f t="shared" si="14"/>
        <v>Summer Capacity Cost (c) divided by seasonal capacity factor weighting</v>
      </c>
      <c r="U39" s="357"/>
      <c r="V39" s="357"/>
      <c r="W39" s="357"/>
      <c r="X39" s="357"/>
    </row>
    <row r="40" spans="2:24">
      <c r="B40" s="48"/>
      <c r="C40" s="27"/>
      <c r="I40" s="48"/>
      <c r="S40" s="48"/>
    </row>
  </sheetData>
  <mergeCells count="22">
    <mergeCell ref="C37:G37"/>
    <mergeCell ref="C38:G38"/>
    <mergeCell ref="C39:G39"/>
    <mergeCell ref="T36:X36"/>
    <mergeCell ref="T37:X37"/>
    <mergeCell ref="T38:X38"/>
    <mergeCell ref="J37:Q37"/>
    <mergeCell ref="T39:X39"/>
    <mergeCell ref="J39:Q39"/>
    <mergeCell ref="J38:Q38"/>
    <mergeCell ref="B1:G1"/>
    <mergeCell ref="B2:G2"/>
    <mergeCell ref="C36:G36"/>
    <mergeCell ref="T4:W4"/>
    <mergeCell ref="D4:G4"/>
    <mergeCell ref="J4:M4"/>
    <mergeCell ref="N4:Q4"/>
    <mergeCell ref="S1:W1"/>
    <mergeCell ref="S2:W2"/>
    <mergeCell ref="I2:Q2"/>
    <mergeCell ref="I1:Q1"/>
    <mergeCell ref="J36:Q36"/>
  </mergeCells>
  <printOptions horizontalCentered="1"/>
  <pageMargins left="0.8" right="0.3" top="0.4" bottom="0.4" header="0.5" footer="0.2"/>
  <pageSetup scale="6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1"/>
  <sheetViews>
    <sheetView workbookViewId="0">
      <selection activeCell="B2" sqref="B2"/>
    </sheetView>
  </sheetViews>
  <sheetFormatPr defaultColWidth="9.33203125" defaultRowHeight="12.75"/>
  <cols>
    <col min="1" max="1" width="1.5" style="34" customWidth="1"/>
    <col min="2" max="2" width="10.83203125" style="34" customWidth="1"/>
    <col min="3" max="3" width="15" style="34" customWidth="1"/>
    <col min="4" max="4" width="12.33203125" style="34" customWidth="1"/>
    <col min="5" max="5" width="9.1640625" style="34" customWidth="1"/>
    <col min="6" max="6" width="9.83203125" style="34" bestFit="1" customWidth="1"/>
    <col min="7" max="7" width="9.83203125" style="34" customWidth="1"/>
    <col min="8" max="8" width="10.5" style="34" customWidth="1"/>
    <col min="9" max="10" width="12.5" style="34" customWidth="1"/>
    <col min="11" max="11" width="11.6640625" style="34" customWidth="1"/>
    <col min="12" max="16384" width="9.33203125" style="34"/>
  </cols>
  <sheetData>
    <row r="1" spans="2:10" ht="15.75">
      <c r="B1" s="82" t="s">
        <v>177</v>
      </c>
      <c r="C1" s="82"/>
      <c r="D1" s="82"/>
      <c r="E1" s="33"/>
      <c r="F1" s="33"/>
      <c r="G1" s="33"/>
    </row>
    <row r="2" spans="2:10" ht="15.75">
      <c r="B2" s="83" t="s">
        <v>63</v>
      </c>
      <c r="C2" s="83"/>
      <c r="D2" s="83"/>
      <c r="E2" s="84"/>
      <c r="F2" s="84"/>
      <c r="G2" s="33"/>
    </row>
    <row r="3" spans="2:10" ht="15.75">
      <c r="B3" s="32"/>
      <c r="C3" s="33"/>
      <c r="D3" s="33"/>
      <c r="E3" s="33"/>
      <c r="F3" s="33"/>
    </row>
    <row r="4" spans="2:10">
      <c r="B4" s="36"/>
    </row>
    <row r="5" spans="2:10" ht="51.75" customHeight="1">
      <c r="B5" s="37" t="s">
        <v>2</v>
      </c>
      <c r="C5" s="38" t="s">
        <v>32</v>
      </c>
      <c r="D5" s="38" t="s">
        <v>65</v>
      </c>
    </row>
    <row r="6" spans="2:10" ht="24" customHeight="1">
      <c r="B6" s="39"/>
      <c r="C6" s="40" t="s">
        <v>15</v>
      </c>
      <c r="D6" s="40" t="s">
        <v>15</v>
      </c>
    </row>
    <row r="7" spans="2:10">
      <c r="C7" s="41"/>
    </row>
    <row r="8" spans="2:10" ht="6" customHeight="1"/>
    <row r="9" spans="2:10">
      <c r="B9" s="43">
        <v>2016</v>
      </c>
      <c r="C9" s="52">
        <v>0.57299999999999995</v>
      </c>
      <c r="D9" s="52">
        <v>0.60299999999999998</v>
      </c>
    </row>
    <row r="10" spans="2:10">
      <c r="B10" s="43">
        <f t="shared" ref="B10:B32" si="0">B9+1</f>
        <v>2017</v>
      </c>
      <c r="C10" s="52">
        <f>ROUND(C9*(1+(IFERROR(INDEX($C$39:$C$47,MATCH($B10,$B$39:$B$47,0),1),0)+IFERROR(INDEX($F$39:$F$47,MATCH($B10,$E$39:$E$47,0),1),0)+IFERROR(INDEX($I$39:$I$47,MATCH($B10,$H$39:$H$47,0),1),0))),2)</f>
        <v>0.57999999999999996</v>
      </c>
      <c r="D10" s="52">
        <f t="shared" ref="D10:D32" si="1">ROUND(D9*(1+(IFERROR(INDEX($C$39:$C$47,MATCH($B10,$B$39:$B$47,0),1),0)+IFERROR(INDEX($F$39:$F$47,MATCH($B10,$E$39:$E$47,0),1),0)+IFERROR(INDEX($I$39:$I$47,MATCH($B10,$H$39:$H$47,0),1),0))),2)</f>
        <v>0.62</v>
      </c>
    </row>
    <row r="11" spans="2:10">
      <c r="B11" s="43">
        <f t="shared" si="0"/>
        <v>2018</v>
      </c>
      <c r="C11" s="52">
        <f t="shared" ref="C11:C32" si="2">ROUND(C10*(1+(IFERROR(INDEX($C$39:$C$47,MATCH($B11,$B$39:$B$47,0),1),0)+IFERROR(INDEX($F$39:$F$47,MATCH($B11,$E$39:$E$47,0),1),0)+IFERROR(INDEX($I$39:$I$47,MATCH($B11,$H$39:$H$47,0),1),0))),2)</f>
        <v>0.59</v>
      </c>
      <c r="D11" s="52">
        <f t="shared" si="1"/>
        <v>0.63</v>
      </c>
    </row>
    <row r="12" spans="2:10">
      <c r="B12" s="43">
        <f>B11+1</f>
        <v>2019</v>
      </c>
      <c r="C12" s="52">
        <f t="shared" si="2"/>
        <v>0.6</v>
      </c>
      <c r="D12" s="52">
        <f t="shared" si="1"/>
        <v>0.64</v>
      </c>
      <c r="E12" s="46"/>
      <c r="F12" s="46"/>
      <c r="G12" s="46"/>
      <c r="H12" s="46"/>
      <c r="I12" s="46"/>
      <c r="J12" s="47"/>
    </row>
    <row r="13" spans="2:10">
      <c r="B13" s="43">
        <f t="shared" si="0"/>
        <v>2020</v>
      </c>
      <c r="C13" s="52">
        <f t="shared" si="2"/>
        <v>0.61</v>
      </c>
      <c r="D13" s="52">
        <f t="shared" si="1"/>
        <v>0.65</v>
      </c>
      <c r="E13" s="46"/>
      <c r="F13" s="46"/>
      <c r="G13" s="46"/>
      <c r="H13" s="46"/>
      <c r="I13" s="46"/>
      <c r="J13" s="47"/>
    </row>
    <row r="14" spans="2:10">
      <c r="B14" s="43">
        <f t="shared" si="0"/>
        <v>2021</v>
      </c>
      <c r="C14" s="52">
        <f t="shared" si="2"/>
        <v>0.62</v>
      </c>
      <c r="D14" s="52">
        <f t="shared" si="1"/>
        <v>0.66</v>
      </c>
    </row>
    <row r="15" spans="2:10">
      <c r="B15" s="43">
        <f t="shared" si="0"/>
        <v>2022</v>
      </c>
      <c r="C15" s="52">
        <f t="shared" si="2"/>
        <v>0.63</v>
      </c>
      <c r="D15" s="52">
        <f t="shared" si="1"/>
        <v>0.68</v>
      </c>
    </row>
    <row r="16" spans="2:10">
      <c r="B16" s="43">
        <f t="shared" si="0"/>
        <v>2023</v>
      </c>
      <c r="C16" s="52">
        <f t="shared" si="2"/>
        <v>0.64</v>
      </c>
      <c r="D16" s="52">
        <f t="shared" si="1"/>
        <v>0.69</v>
      </c>
    </row>
    <row r="17" spans="2:4">
      <c r="B17" s="43">
        <f t="shared" si="0"/>
        <v>2024</v>
      </c>
      <c r="C17" s="52">
        <f t="shared" si="2"/>
        <v>0.65</v>
      </c>
      <c r="D17" s="52">
        <f t="shared" si="1"/>
        <v>0.71</v>
      </c>
    </row>
    <row r="18" spans="2:4">
      <c r="B18" s="43">
        <f t="shared" si="0"/>
        <v>2025</v>
      </c>
      <c r="C18" s="52">
        <f t="shared" si="2"/>
        <v>0.66</v>
      </c>
      <c r="D18" s="52">
        <f t="shared" si="1"/>
        <v>0.73</v>
      </c>
    </row>
    <row r="19" spans="2:4">
      <c r="B19" s="60">
        <f t="shared" si="0"/>
        <v>2026</v>
      </c>
      <c r="C19" s="52">
        <f t="shared" si="2"/>
        <v>0.67</v>
      </c>
      <c r="D19" s="52">
        <f t="shared" si="1"/>
        <v>0.75</v>
      </c>
    </row>
    <row r="20" spans="2:4">
      <c r="B20" s="60">
        <f t="shared" si="0"/>
        <v>2027</v>
      </c>
      <c r="C20" s="52">
        <f t="shared" si="2"/>
        <v>0.68</v>
      </c>
      <c r="D20" s="52">
        <f t="shared" si="1"/>
        <v>0.77</v>
      </c>
    </row>
    <row r="21" spans="2:4">
      <c r="B21" s="60">
        <f t="shared" si="0"/>
        <v>2028</v>
      </c>
      <c r="C21" s="52">
        <f t="shared" si="2"/>
        <v>0.7</v>
      </c>
      <c r="D21" s="52">
        <f t="shared" si="1"/>
        <v>0.79</v>
      </c>
    </row>
    <row r="22" spans="2:4">
      <c r="B22" s="60">
        <f t="shared" si="0"/>
        <v>2029</v>
      </c>
      <c r="C22" s="52">
        <f t="shared" si="2"/>
        <v>0.72</v>
      </c>
      <c r="D22" s="52">
        <f t="shared" si="1"/>
        <v>0.81</v>
      </c>
    </row>
    <row r="23" spans="2:4">
      <c r="B23" s="43">
        <f t="shared" si="0"/>
        <v>2030</v>
      </c>
      <c r="C23" s="52">
        <f t="shared" si="2"/>
        <v>0.74</v>
      </c>
      <c r="D23" s="52">
        <f t="shared" si="1"/>
        <v>0.83</v>
      </c>
    </row>
    <row r="24" spans="2:4">
      <c r="B24" s="43">
        <f t="shared" si="0"/>
        <v>2031</v>
      </c>
      <c r="C24" s="52">
        <f t="shared" si="2"/>
        <v>0.76</v>
      </c>
      <c r="D24" s="52">
        <f t="shared" si="1"/>
        <v>0.85</v>
      </c>
    </row>
    <row r="25" spans="2:4">
      <c r="B25" s="43">
        <f t="shared" si="0"/>
        <v>2032</v>
      </c>
      <c r="C25" s="52">
        <f t="shared" si="2"/>
        <v>0.78</v>
      </c>
      <c r="D25" s="52">
        <f t="shared" si="1"/>
        <v>0.87</v>
      </c>
    </row>
    <row r="26" spans="2:4">
      <c r="B26" s="43">
        <f t="shared" si="0"/>
        <v>2033</v>
      </c>
      <c r="C26" s="52">
        <f t="shared" si="2"/>
        <v>0.8</v>
      </c>
      <c r="D26" s="52">
        <f t="shared" si="1"/>
        <v>0.89</v>
      </c>
    </row>
    <row r="27" spans="2:4">
      <c r="B27" s="43">
        <f t="shared" si="0"/>
        <v>2034</v>
      </c>
      <c r="C27" s="52">
        <f t="shared" si="2"/>
        <v>0.82</v>
      </c>
      <c r="D27" s="52">
        <f t="shared" si="1"/>
        <v>0.91</v>
      </c>
    </row>
    <row r="28" spans="2:4">
      <c r="B28" s="43">
        <f t="shared" si="0"/>
        <v>2035</v>
      </c>
      <c r="C28" s="52">
        <f t="shared" si="2"/>
        <v>0.84</v>
      </c>
      <c r="D28" s="52">
        <f t="shared" si="1"/>
        <v>0.93</v>
      </c>
    </row>
    <row r="29" spans="2:4">
      <c r="B29" s="43">
        <f t="shared" si="0"/>
        <v>2036</v>
      </c>
      <c r="C29" s="52">
        <f t="shared" si="2"/>
        <v>0.86</v>
      </c>
      <c r="D29" s="52">
        <f t="shared" si="1"/>
        <v>0.95</v>
      </c>
    </row>
    <row r="30" spans="2:4">
      <c r="B30" s="43">
        <f t="shared" si="0"/>
        <v>2037</v>
      </c>
      <c r="C30" s="52">
        <f t="shared" si="2"/>
        <v>0.88</v>
      </c>
      <c r="D30" s="52">
        <f t="shared" si="1"/>
        <v>0.97</v>
      </c>
    </row>
    <row r="31" spans="2:4">
      <c r="B31" s="43">
        <f t="shared" si="0"/>
        <v>2038</v>
      </c>
      <c r="C31" s="52">
        <f t="shared" si="2"/>
        <v>0.9</v>
      </c>
      <c r="D31" s="52">
        <f t="shared" si="1"/>
        <v>0.99</v>
      </c>
    </row>
    <row r="32" spans="2:4">
      <c r="B32" s="43">
        <f t="shared" si="0"/>
        <v>2039</v>
      </c>
      <c r="C32" s="52">
        <f t="shared" si="2"/>
        <v>0.92</v>
      </c>
      <c r="D32" s="52">
        <f t="shared" si="1"/>
        <v>1.01</v>
      </c>
    </row>
    <row r="33" spans="2:11">
      <c r="B33" s="43"/>
      <c r="C33" s="52"/>
    </row>
    <row r="34" spans="2:11">
      <c r="B34" s="43"/>
      <c r="C34" s="52"/>
    </row>
    <row r="35" spans="2:11">
      <c r="B35" s="10" t="s">
        <v>59</v>
      </c>
      <c r="C35" s="48" t="s">
        <v>64</v>
      </c>
      <c r="D35" s="3"/>
      <c r="E35" s="51"/>
      <c r="F35" s="3"/>
      <c r="H35" s="3"/>
      <c r="I35" s="3"/>
    </row>
    <row r="36" spans="2:11">
      <c r="B36" s="10"/>
      <c r="C36" s="48"/>
      <c r="D36" s="3"/>
      <c r="E36" s="51"/>
      <c r="F36" s="3"/>
      <c r="H36" s="3"/>
      <c r="I36" s="3"/>
    </row>
    <row r="37" spans="2:11" ht="13.5" thickBot="1">
      <c r="B37" s="43"/>
      <c r="C37" s="3"/>
    </row>
    <row r="38" spans="2:11" ht="13.5" thickBot="1">
      <c r="B38" s="20" t="s">
        <v>198</v>
      </c>
      <c r="C38" s="21"/>
      <c r="D38" s="21"/>
      <c r="E38" s="21"/>
      <c r="F38" s="21"/>
      <c r="G38" s="21"/>
      <c r="H38" s="21"/>
      <c r="I38" s="21"/>
      <c r="J38" s="26"/>
      <c r="K38" s="149"/>
    </row>
    <row r="39" spans="2:11">
      <c r="B39" s="148">
        <v>2016</v>
      </c>
      <c r="C39" s="145">
        <v>1.2E-2</v>
      </c>
      <c r="D39" s="48"/>
      <c r="E39" s="148">
        <v>2024</v>
      </c>
      <c r="F39" s="145">
        <v>2.1999999999999999E-2</v>
      </c>
      <c r="G39" s="145"/>
      <c r="H39" s="148">
        <v>2032</v>
      </c>
      <c r="I39" s="145">
        <v>2.3E-2</v>
      </c>
      <c r="J39" s="146"/>
      <c r="K39" s="48"/>
    </row>
    <row r="40" spans="2:11">
      <c r="B40" s="148">
        <f t="shared" ref="B40:B46" si="3">B39+1</f>
        <v>2017</v>
      </c>
      <c r="C40" s="145">
        <v>0.02</v>
      </c>
      <c r="D40" s="48"/>
      <c r="E40" s="148">
        <f t="shared" ref="E40:E46" si="4">E39+1</f>
        <v>2025</v>
      </c>
      <c r="F40" s="145">
        <v>2.1999999999999999E-2</v>
      </c>
      <c r="G40" s="145"/>
      <c r="H40" s="148">
        <f t="shared" ref="H40:H47" si="5">H39+1</f>
        <v>2033</v>
      </c>
      <c r="I40" s="145">
        <v>2.1999999999999999E-2</v>
      </c>
      <c r="J40" s="146"/>
      <c r="K40" s="48"/>
    </row>
    <row r="41" spans="2:11">
      <c r="B41" s="148">
        <f t="shared" si="3"/>
        <v>2018</v>
      </c>
      <c r="C41" s="145">
        <v>2.3E-2</v>
      </c>
      <c r="D41" s="48"/>
      <c r="E41" s="148">
        <f t="shared" si="4"/>
        <v>2026</v>
      </c>
      <c r="F41" s="145">
        <v>2.1999999999999999E-2</v>
      </c>
      <c r="G41" s="145"/>
      <c r="H41" s="148">
        <f t="shared" si="5"/>
        <v>2034</v>
      </c>
      <c r="I41" s="145">
        <v>2.1999999999999999E-2</v>
      </c>
      <c r="J41" s="146"/>
      <c r="K41" s="48"/>
    </row>
    <row r="42" spans="2:11">
      <c r="B42" s="148">
        <f t="shared" si="3"/>
        <v>2019</v>
      </c>
      <c r="C42" s="145">
        <v>1.9E-2</v>
      </c>
      <c r="D42" s="48"/>
      <c r="E42" s="148">
        <f t="shared" si="4"/>
        <v>2027</v>
      </c>
      <c r="F42" s="145">
        <v>2.1999999999999999E-2</v>
      </c>
      <c r="G42" s="145"/>
      <c r="H42" s="148">
        <f t="shared" si="5"/>
        <v>2035</v>
      </c>
      <c r="I42" s="145">
        <v>2.1999999999999999E-2</v>
      </c>
      <c r="J42" s="146"/>
      <c r="K42" s="48"/>
    </row>
    <row r="43" spans="2:11">
      <c r="B43" s="148">
        <f t="shared" si="3"/>
        <v>2020</v>
      </c>
      <c r="C43" s="145">
        <v>2.1999999999999999E-2</v>
      </c>
      <c r="D43" s="48"/>
      <c r="E43" s="148">
        <f t="shared" si="4"/>
        <v>2028</v>
      </c>
      <c r="F43" s="145">
        <v>2.3E-2</v>
      </c>
      <c r="G43" s="145"/>
      <c r="H43" s="148">
        <f t="shared" si="5"/>
        <v>2036</v>
      </c>
      <c r="I43" s="145">
        <v>2.1999999999999999E-2</v>
      </c>
      <c r="J43" s="146"/>
      <c r="K43" s="48"/>
    </row>
    <row r="44" spans="2:11">
      <c r="B44" s="148">
        <f t="shared" si="3"/>
        <v>2021</v>
      </c>
      <c r="C44" s="145">
        <v>2.1999999999999999E-2</v>
      </c>
      <c r="D44" s="48"/>
      <c r="E44" s="148">
        <f t="shared" si="4"/>
        <v>2029</v>
      </c>
      <c r="F44" s="145">
        <v>2.3E-2</v>
      </c>
      <c r="G44" s="145"/>
      <c r="H44" s="148">
        <f t="shared" si="5"/>
        <v>2037</v>
      </c>
      <c r="I44" s="145">
        <v>2.1999999999999999E-2</v>
      </c>
      <c r="J44" s="146"/>
      <c r="K44" s="48"/>
    </row>
    <row r="45" spans="2:11">
      <c r="B45" s="148">
        <f t="shared" si="3"/>
        <v>2022</v>
      </c>
      <c r="C45" s="145">
        <v>2.3E-2</v>
      </c>
      <c r="D45" s="55"/>
      <c r="E45" s="148">
        <f t="shared" si="4"/>
        <v>2030</v>
      </c>
      <c r="F45" s="145">
        <v>2.3E-2</v>
      </c>
      <c r="G45" s="145"/>
      <c r="H45" s="148">
        <f t="shared" si="5"/>
        <v>2038</v>
      </c>
      <c r="I45" s="145">
        <v>2.1999999999999999E-2</v>
      </c>
      <c r="J45" s="147"/>
      <c r="K45" s="55"/>
    </row>
    <row r="46" spans="2:11">
      <c r="B46" s="148">
        <f t="shared" si="3"/>
        <v>2023</v>
      </c>
      <c r="C46" s="145">
        <v>2.1999999999999999E-2</v>
      </c>
      <c r="D46" s="55"/>
      <c r="E46" s="148">
        <f t="shared" si="4"/>
        <v>2031</v>
      </c>
      <c r="F46" s="145">
        <v>2.3E-2</v>
      </c>
      <c r="G46" s="145"/>
      <c r="H46" s="148">
        <f t="shared" si="5"/>
        <v>2039</v>
      </c>
      <c r="I46" s="145">
        <v>2.1999999999999999E-2</v>
      </c>
      <c r="J46" s="147"/>
      <c r="K46" s="55"/>
    </row>
    <row r="47" spans="2:11">
      <c r="B47" s="147"/>
      <c r="C47" s="147"/>
      <c r="D47" s="55"/>
      <c r="E47" s="148"/>
      <c r="F47" s="145"/>
      <c r="G47" s="145"/>
      <c r="H47" s="148">
        <f t="shared" si="5"/>
        <v>2040</v>
      </c>
      <c r="I47" s="145">
        <v>2.1999999999999999E-2</v>
      </c>
      <c r="J47" s="147"/>
      <c r="K47" s="55"/>
    </row>
    <row r="51" spans="8:10" s="35" customFormat="1"/>
    <row r="52" spans="8:10" s="35" customFormat="1"/>
    <row r="53" spans="8:10" s="35" customFormat="1">
      <c r="H53" s="45"/>
      <c r="I53" s="27"/>
      <c r="J53" s="27"/>
    </row>
    <row r="54" spans="8:10" s="35" customFormat="1">
      <c r="H54" s="45"/>
      <c r="I54" s="27"/>
      <c r="J54" s="27"/>
    </row>
    <row r="55" spans="8:10" s="35" customFormat="1">
      <c r="H55" s="45"/>
      <c r="I55" s="27"/>
      <c r="J55" s="27"/>
    </row>
    <row r="72" spans="3:4">
      <c r="C72" s="45"/>
      <c r="D72" s="27"/>
    </row>
    <row r="73" spans="3:4">
      <c r="C73" s="45"/>
      <c r="D73" s="27"/>
    </row>
    <row r="74" spans="3:4">
      <c r="C74" s="45"/>
      <c r="D74" s="27"/>
    </row>
    <row r="75" spans="3:4">
      <c r="C75" s="45"/>
      <c r="D75" s="27"/>
    </row>
    <row r="76" spans="3:4">
      <c r="C76" s="45"/>
      <c r="D76" s="27"/>
    </row>
    <row r="77" spans="3:4">
      <c r="C77" s="45"/>
      <c r="D77" s="27"/>
    </row>
    <row r="78" spans="3:4">
      <c r="C78" s="45"/>
      <c r="D78" s="27"/>
    </row>
    <row r="79" spans="3:4">
      <c r="C79" s="45"/>
      <c r="D79" s="27"/>
    </row>
    <row r="80" spans="3:4">
      <c r="C80" s="45"/>
      <c r="D80" s="27"/>
    </row>
    <row r="81" spans="3:4">
      <c r="C81" s="45"/>
      <c r="D81" s="27"/>
    </row>
  </sheetData>
  <printOptions horizontalCentered="1"/>
  <pageMargins left="0.8" right="0.3" top="0.4" bottom="0.4" header="0.5" footer="0.2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activeCell="H13" sqref="H13"/>
    </sheetView>
  </sheetViews>
  <sheetFormatPr defaultColWidth="9.33203125" defaultRowHeight="12.75"/>
  <cols>
    <col min="1" max="1" width="1.33203125" style="146" customWidth="1"/>
    <col min="2" max="2" width="13.6640625" style="146" customWidth="1"/>
    <col min="3" max="3" width="9.83203125" style="146" customWidth="1"/>
    <col min="4" max="4" width="12.1640625" style="146" customWidth="1"/>
    <col min="5" max="5" width="9.1640625" style="146" customWidth="1"/>
    <col min="6" max="6" width="11.33203125" style="146" customWidth="1"/>
    <col min="7" max="8" width="10.1640625" style="146" customWidth="1"/>
    <col min="9" max="9" width="11.5" style="146" customWidth="1"/>
    <col min="10" max="10" width="9" style="146" customWidth="1"/>
    <col min="11" max="11" width="3.5" style="146" customWidth="1"/>
    <col min="12" max="13" width="9.33203125" style="146"/>
    <col min="14" max="15" width="9.33203125" style="146" customWidth="1"/>
    <col min="16" max="16384" width="9.33203125" style="146"/>
  </cols>
  <sheetData>
    <row r="1" spans="1:17" ht="15.75">
      <c r="B1" s="160" t="s">
        <v>185</v>
      </c>
      <c r="C1" s="159"/>
      <c r="D1" s="159"/>
      <c r="E1" s="159"/>
      <c r="F1" s="159"/>
      <c r="G1" s="159"/>
      <c r="H1" s="159"/>
      <c r="I1" s="159"/>
      <c r="J1" s="160"/>
    </row>
    <row r="2" spans="1:17" ht="15.75">
      <c r="B2" s="160" t="s">
        <v>138</v>
      </c>
      <c r="C2" s="159"/>
      <c r="D2" s="159"/>
      <c r="E2" s="159"/>
      <c r="F2" s="159"/>
      <c r="G2" s="159"/>
      <c r="H2" s="159"/>
      <c r="I2" s="159"/>
      <c r="J2" s="159"/>
    </row>
    <row r="3" spans="1:17" ht="15.75">
      <c r="B3" s="32" t="str">
        <f>"2017 IRP: "&amp;B9</f>
        <v>2017 IRP: SCCT Frame "F"x1 - West Side Options (1500')</v>
      </c>
      <c r="C3" s="159"/>
      <c r="D3" s="159"/>
      <c r="E3" s="159"/>
      <c r="F3" s="159"/>
      <c r="G3" s="159"/>
      <c r="H3" s="159"/>
      <c r="I3" s="159"/>
      <c r="J3" s="159"/>
    </row>
    <row r="4" spans="1:17"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47"/>
    </row>
    <row r="5" spans="1:17" ht="51.75" customHeight="1">
      <c r="A5" s="182"/>
      <c r="B5" s="173" t="s">
        <v>2</v>
      </c>
      <c r="C5" s="172" t="s">
        <v>10</v>
      </c>
      <c r="D5" s="172" t="s">
        <v>11</v>
      </c>
      <c r="E5" s="172" t="s">
        <v>12</v>
      </c>
      <c r="F5"/>
      <c r="G5" s="153" t="s">
        <v>115</v>
      </c>
      <c r="H5" s="153" t="s">
        <v>121</v>
      </c>
      <c r="I5" s="172" t="s">
        <v>137</v>
      </c>
      <c r="J5" s="158"/>
      <c r="O5"/>
      <c r="P5"/>
      <c r="Q5"/>
    </row>
    <row r="6" spans="1:17" ht="24.75" customHeight="1">
      <c r="B6" s="171"/>
      <c r="C6" s="170" t="s">
        <v>129</v>
      </c>
      <c r="D6" s="169" t="s">
        <v>120</v>
      </c>
      <c r="E6" s="169" t="s">
        <v>120</v>
      </c>
      <c r="F6"/>
      <c r="G6" s="169" t="s">
        <v>120</v>
      </c>
      <c r="H6" s="40" t="s">
        <v>119</v>
      </c>
      <c r="I6" s="169" t="s">
        <v>120</v>
      </c>
      <c r="J6" s="158"/>
      <c r="O6"/>
      <c r="P6"/>
      <c r="Q6"/>
    </row>
    <row r="7" spans="1:17">
      <c r="C7" s="168" t="s">
        <v>4</v>
      </c>
      <c r="D7" s="168" t="s">
        <v>5</v>
      </c>
      <c r="E7" s="168" t="s">
        <v>6</v>
      </c>
      <c r="F7"/>
      <c r="G7" s="168" t="s">
        <v>7</v>
      </c>
      <c r="H7" s="168" t="s">
        <v>8</v>
      </c>
      <c r="I7" s="168" t="s">
        <v>9</v>
      </c>
      <c r="J7" s="158"/>
      <c r="O7"/>
      <c r="P7"/>
      <c r="Q7"/>
    </row>
    <row r="8" spans="1:17" ht="6" customHeight="1">
      <c r="F8"/>
      <c r="J8" s="158"/>
      <c r="O8"/>
      <c r="P8"/>
      <c r="Q8"/>
    </row>
    <row r="9" spans="1:17" ht="15.75">
      <c r="B9" s="42" t="str">
        <f>C42</f>
        <v>SCCT Frame "F"x1 - West Side Options (1500')</v>
      </c>
      <c r="C9" s="147"/>
      <c r="E9" s="147"/>
      <c r="F9"/>
      <c r="G9" s="147"/>
      <c r="H9" s="147"/>
      <c r="I9" s="147"/>
      <c r="J9" s="158"/>
      <c r="O9"/>
      <c r="P9"/>
      <c r="Q9"/>
    </row>
    <row r="10" spans="1:17">
      <c r="B10" s="157">
        <v>2016</v>
      </c>
      <c r="C10" s="167">
        <f>C44*1000</f>
        <v>616137.73555279954</v>
      </c>
      <c r="D10" s="167">
        <f>ROUND(C10*C49,0)</f>
        <v>43863</v>
      </c>
      <c r="E10" s="167">
        <f>C47*1000</f>
        <v>48461.415653539763</v>
      </c>
      <c r="F10"/>
      <c r="G10" s="166"/>
      <c r="H10" s="166"/>
      <c r="I10" s="166"/>
      <c r="J10" s="158"/>
      <c r="O10"/>
      <c r="P10"/>
      <c r="Q10"/>
    </row>
    <row r="11" spans="1:17">
      <c r="B11" s="157">
        <f t="shared" ref="B11:B34" si="0">B10+1</f>
        <v>2017</v>
      </c>
      <c r="C11" s="163"/>
      <c r="D11" s="167">
        <f t="shared" ref="D11:D34" si="1">ROUND(D10*(1+(IFERROR(INDEX($D$52:$D$60,MATCH($B11,$C$52:$C$60,0),1),0)+IFERROR(INDEX($G$52:$G$60,MATCH($B11,$F$52:$F$60,0),1),0)+IFERROR(INDEX($J$52:$J$60,MATCH($B11,$I$52:$I$60,0),1),0))),2)</f>
        <v>44740.26</v>
      </c>
      <c r="E11" s="167">
        <f t="shared" ref="E11:E34" si="2">ROUND(E10*(1+(IFERROR(INDEX($D$52:$D$60,MATCH($B11,$C$52:$C$60,0),1),0)+IFERROR(INDEX($G$52:$G$60,MATCH($B11,$F$52:$F$60,0),1),0)+IFERROR(INDEX($J$52:$J$60,MATCH($B11,$I$52:$I$60,0),1),0))),2)</f>
        <v>49430.64</v>
      </c>
      <c r="F11"/>
      <c r="G11" s="166"/>
      <c r="H11" s="166"/>
      <c r="I11" s="166"/>
      <c r="J11" s="158"/>
      <c r="O11"/>
      <c r="P11"/>
      <c r="Q11"/>
    </row>
    <row r="12" spans="1:17">
      <c r="B12" s="157">
        <f t="shared" si="0"/>
        <v>2018</v>
      </c>
      <c r="C12" s="163"/>
      <c r="D12" s="167">
        <f t="shared" si="1"/>
        <v>45769.29</v>
      </c>
      <c r="E12" s="167">
        <f t="shared" si="2"/>
        <v>50567.54</v>
      </c>
      <c r="F12"/>
      <c r="G12" s="166"/>
      <c r="H12" s="166"/>
      <c r="I12" s="166"/>
      <c r="J12" s="180"/>
      <c r="O12"/>
      <c r="P12"/>
      <c r="Q12"/>
    </row>
    <row r="13" spans="1:17">
      <c r="B13" s="157">
        <f t="shared" si="0"/>
        <v>2019</v>
      </c>
      <c r="C13" s="163"/>
      <c r="D13" s="167">
        <f t="shared" si="1"/>
        <v>46638.91</v>
      </c>
      <c r="E13" s="167">
        <f t="shared" si="2"/>
        <v>51528.32</v>
      </c>
      <c r="F13"/>
      <c r="G13" s="167">
        <f>D13+E13</f>
        <v>98167.23000000001</v>
      </c>
      <c r="H13" s="148">
        <v>12</v>
      </c>
      <c r="I13" s="167">
        <f t="shared" ref="I13:I34" si="3">G13*H13/12</f>
        <v>98167.230000000025</v>
      </c>
      <c r="J13" s="180"/>
      <c r="O13"/>
      <c r="P13"/>
      <c r="Q13"/>
    </row>
    <row r="14" spans="1:17">
      <c r="B14" s="157">
        <f t="shared" si="0"/>
        <v>2020</v>
      </c>
      <c r="C14" s="163"/>
      <c r="D14" s="167">
        <f t="shared" si="1"/>
        <v>47664.97</v>
      </c>
      <c r="E14" s="167">
        <f t="shared" si="2"/>
        <v>52661.94</v>
      </c>
      <c r="F14"/>
      <c r="G14" s="167">
        <f t="shared" ref="G14:G34" si="4">D14+E14</f>
        <v>100326.91</v>
      </c>
      <c r="H14" s="148">
        <v>12</v>
      </c>
      <c r="I14" s="167">
        <f t="shared" si="3"/>
        <v>100326.90999999999</v>
      </c>
      <c r="J14" s="180"/>
      <c r="O14"/>
      <c r="P14"/>
      <c r="Q14"/>
    </row>
    <row r="15" spans="1:17">
      <c r="B15" s="157">
        <f t="shared" si="0"/>
        <v>2021</v>
      </c>
      <c r="C15" s="163"/>
      <c r="D15" s="167">
        <f t="shared" si="1"/>
        <v>48713.599999999999</v>
      </c>
      <c r="E15" s="167">
        <f t="shared" si="2"/>
        <v>53820.5</v>
      </c>
      <c r="F15"/>
      <c r="G15" s="167">
        <f t="shared" si="4"/>
        <v>102534.1</v>
      </c>
      <c r="H15" s="148">
        <v>12</v>
      </c>
      <c r="I15" s="167">
        <f t="shared" si="3"/>
        <v>102534.10000000002</v>
      </c>
      <c r="J15" s="180"/>
      <c r="O15"/>
      <c r="P15"/>
      <c r="Q15"/>
    </row>
    <row r="16" spans="1:17">
      <c r="B16" s="157">
        <f t="shared" si="0"/>
        <v>2022</v>
      </c>
      <c r="C16" s="163"/>
      <c r="D16" s="167">
        <f t="shared" si="1"/>
        <v>49834.01</v>
      </c>
      <c r="E16" s="167">
        <f t="shared" si="2"/>
        <v>55058.37</v>
      </c>
      <c r="F16"/>
      <c r="G16" s="167">
        <f t="shared" si="4"/>
        <v>104892.38</v>
      </c>
      <c r="H16" s="148">
        <v>12</v>
      </c>
      <c r="I16" s="167">
        <f t="shared" si="3"/>
        <v>104892.38</v>
      </c>
      <c r="J16" s="180"/>
      <c r="O16"/>
      <c r="P16"/>
      <c r="Q16"/>
    </row>
    <row r="17" spans="2:17">
      <c r="B17" s="157">
        <f t="shared" si="0"/>
        <v>2023</v>
      </c>
      <c r="C17" s="163"/>
      <c r="D17" s="167">
        <f t="shared" si="1"/>
        <v>50930.36</v>
      </c>
      <c r="E17" s="167">
        <f t="shared" si="2"/>
        <v>56269.65</v>
      </c>
      <c r="F17"/>
      <c r="G17" s="167">
        <f t="shared" si="4"/>
        <v>107200.01000000001</v>
      </c>
      <c r="H17" s="148">
        <v>12</v>
      </c>
      <c r="I17" s="167">
        <f t="shared" si="3"/>
        <v>107200.01000000001</v>
      </c>
      <c r="J17" s="180"/>
      <c r="O17"/>
      <c r="P17"/>
      <c r="Q17"/>
    </row>
    <row r="18" spans="2:17">
      <c r="B18" s="157">
        <f t="shared" si="0"/>
        <v>2024</v>
      </c>
      <c r="C18" s="163"/>
      <c r="D18" s="167">
        <f t="shared" si="1"/>
        <v>52050.83</v>
      </c>
      <c r="E18" s="167">
        <f t="shared" si="2"/>
        <v>57507.58</v>
      </c>
      <c r="F18"/>
      <c r="G18" s="167">
        <f t="shared" si="4"/>
        <v>109558.41</v>
      </c>
      <c r="H18" s="148">
        <v>12</v>
      </c>
      <c r="I18" s="167">
        <f t="shared" si="3"/>
        <v>109558.40999999999</v>
      </c>
      <c r="J18" s="180"/>
      <c r="O18"/>
      <c r="P18"/>
      <c r="Q18"/>
    </row>
    <row r="19" spans="2:17">
      <c r="B19" s="157">
        <f t="shared" si="0"/>
        <v>2025</v>
      </c>
      <c r="C19" s="163"/>
      <c r="D19" s="167">
        <f t="shared" si="1"/>
        <v>53195.95</v>
      </c>
      <c r="E19" s="167">
        <f t="shared" si="2"/>
        <v>58772.75</v>
      </c>
      <c r="F19"/>
      <c r="G19" s="167">
        <f t="shared" si="4"/>
        <v>111968.7</v>
      </c>
      <c r="H19" s="148">
        <v>12</v>
      </c>
      <c r="I19" s="167">
        <f t="shared" si="3"/>
        <v>111968.7</v>
      </c>
      <c r="J19" s="180"/>
      <c r="O19"/>
      <c r="P19"/>
      <c r="Q19"/>
    </row>
    <row r="20" spans="2:17">
      <c r="B20" s="157">
        <f t="shared" si="0"/>
        <v>2026</v>
      </c>
      <c r="C20" s="163"/>
      <c r="D20" s="167">
        <f t="shared" si="1"/>
        <v>54366.26</v>
      </c>
      <c r="E20" s="167">
        <f t="shared" si="2"/>
        <v>60065.75</v>
      </c>
      <c r="F20"/>
      <c r="G20" s="167">
        <f t="shared" si="4"/>
        <v>114432.01000000001</v>
      </c>
      <c r="H20" s="148">
        <v>12</v>
      </c>
      <c r="I20" s="167">
        <f t="shared" si="3"/>
        <v>114432.01000000001</v>
      </c>
      <c r="J20" s="180"/>
      <c r="O20"/>
      <c r="P20"/>
      <c r="Q20"/>
    </row>
    <row r="21" spans="2:17">
      <c r="B21" s="157">
        <f t="shared" si="0"/>
        <v>2027</v>
      </c>
      <c r="C21" s="163"/>
      <c r="D21" s="167">
        <f t="shared" si="1"/>
        <v>55562.32</v>
      </c>
      <c r="E21" s="167">
        <f t="shared" si="2"/>
        <v>61387.199999999997</v>
      </c>
      <c r="F21"/>
      <c r="G21" s="167">
        <f t="shared" si="4"/>
        <v>116949.51999999999</v>
      </c>
      <c r="H21" s="148">
        <v>12</v>
      </c>
      <c r="I21" s="167">
        <f t="shared" si="3"/>
        <v>116949.51999999997</v>
      </c>
      <c r="J21" s="180"/>
      <c r="O21"/>
      <c r="P21"/>
      <c r="Q21"/>
    </row>
    <row r="22" spans="2:17">
      <c r="B22" s="157">
        <f t="shared" si="0"/>
        <v>2028</v>
      </c>
      <c r="C22" s="163"/>
      <c r="D22" s="167">
        <f t="shared" si="1"/>
        <v>56840.25</v>
      </c>
      <c r="E22" s="167">
        <f t="shared" si="2"/>
        <v>62799.11</v>
      </c>
      <c r="F22"/>
      <c r="G22" s="167">
        <f t="shared" si="4"/>
        <v>119639.36</v>
      </c>
      <c r="H22" s="148">
        <v>12</v>
      </c>
      <c r="I22" s="167">
        <f t="shared" si="3"/>
        <v>119639.36</v>
      </c>
      <c r="J22" s="180"/>
      <c r="O22"/>
      <c r="P22"/>
      <c r="Q22"/>
    </row>
    <row r="23" spans="2:17">
      <c r="B23" s="157">
        <f t="shared" si="0"/>
        <v>2029</v>
      </c>
      <c r="C23" s="163"/>
      <c r="D23" s="167">
        <f t="shared" si="1"/>
        <v>58147.58</v>
      </c>
      <c r="E23" s="167">
        <f t="shared" si="2"/>
        <v>64243.49</v>
      </c>
      <c r="F23"/>
      <c r="G23" s="167">
        <f t="shared" si="4"/>
        <v>122391.07</v>
      </c>
      <c r="H23" s="148">
        <v>12</v>
      </c>
      <c r="I23" s="167">
        <f t="shared" si="3"/>
        <v>122391.07</v>
      </c>
      <c r="J23" s="180"/>
      <c r="O23"/>
      <c r="P23"/>
      <c r="Q23"/>
    </row>
    <row r="24" spans="2:17">
      <c r="B24" s="157">
        <f t="shared" si="0"/>
        <v>2030</v>
      </c>
      <c r="C24" s="163"/>
      <c r="D24" s="167">
        <f t="shared" si="1"/>
        <v>59484.97</v>
      </c>
      <c r="E24" s="167">
        <f t="shared" si="2"/>
        <v>65721.09</v>
      </c>
      <c r="F24"/>
      <c r="G24" s="167">
        <f t="shared" si="4"/>
        <v>125206.06</v>
      </c>
      <c r="H24" s="148">
        <v>12</v>
      </c>
      <c r="I24" s="167">
        <f t="shared" si="3"/>
        <v>125206.06</v>
      </c>
      <c r="J24" s="180"/>
      <c r="O24"/>
      <c r="P24"/>
      <c r="Q24"/>
    </row>
    <row r="25" spans="2:17">
      <c r="B25" s="157">
        <f t="shared" si="0"/>
        <v>2031</v>
      </c>
      <c r="C25" s="163"/>
      <c r="D25" s="167">
        <f t="shared" si="1"/>
        <v>60853.120000000003</v>
      </c>
      <c r="E25" s="167">
        <f t="shared" si="2"/>
        <v>67232.679999999993</v>
      </c>
      <c r="F25"/>
      <c r="G25" s="167">
        <f t="shared" si="4"/>
        <v>128085.79999999999</v>
      </c>
      <c r="H25" s="148">
        <v>12</v>
      </c>
      <c r="I25" s="167">
        <f t="shared" si="3"/>
        <v>128085.79999999999</v>
      </c>
      <c r="J25" s="180"/>
      <c r="O25"/>
      <c r="P25"/>
      <c r="Q25"/>
    </row>
    <row r="26" spans="2:17">
      <c r="B26" s="157">
        <f t="shared" si="0"/>
        <v>2032</v>
      </c>
      <c r="C26" s="163"/>
      <c r="D26" s="167">
        <f t="shared" si="1"/>
        <v>62252.74</v>
      </c>
      <c r="E26" s="167">
        <f t="shared" si="2"/>
        <v>68779.03</v>
      </c>
      <c r="F26"/>
      <c r="G26" s="167">
        <f t="shared" si="4"/>
        <v>131031.76999999999</v>
      </c>
      <c r="H26" s="148">
        <v>12</v>
      </c>
      <c r="I26" s="167">
        <f t="shared" si="3"/>
        <v>131031.76999999997</v>
      </c>
      <c r="J26" s="180"/>
      <c r="O26"/>
      <c r="P26"/>
      <c r="Q26"/>
    </row>
    <row r="27" spans="2:17">
      <c r="B27" s="157">
        <f t="shared" si="0"/>
        <v>2033</v>
      </c>
      <c r="C27" s="163"/>
      <c r="D27" s="167">
        <f t="shared" si="1"/>
        <v>63622.3</v>
      </c>
      <c r="E27" s="167">
        <f t="shared" si="2"/>
        <v>70292.17</v>
      </c>
      <c r="F27"/>
      <c r="G27" s="167">
        <f t="shared" si="4"/>
        <v>133914.47</v>
      </c>
      <c r="H27" s="148">
        <v>12</v>
      </c>
      <c r="I27" s="167">
        <f t="shared" si="3"/>
        <v>133914.47</v>
      </c>
      <c r="J27" s="180"/>
      <c r="O27"/>
      <c r="P27"/>
      <c r="Q27"/>
    </row>
    <row r="28" spans="2:17">
      <c r="B28" s="157">
        <f t="shared" si="0"/>
        <v>2034</v>
      </c>
      <c r="C28" s="163"/>
      <c r="D28" s="167">
        <f t="shared" si="1"/>
        <v>65021.99</v>
      </c>
      <c r="E28" s="167">
        <f t="shared" si="2"/>
        <v>71838.600000000006</v>
      </c>
      <c r="F28"/>
      <c r="G28" s="167">
        <f t="shared" si="4"/>
        <v>136860.59</v>
      </c>
      <c r="H28" s="148">
        <v>12</v>
      </c>
      <c r="I28" s="167">
        <f t="shared" si="3"/>
        <v>136860.59</v>
      </c>
      <c r="J28" s="180"/>
      <c r="O28"/>
      <c r="P28"/>
      <c r="Q28"/>
    </row>
    <row r="29" spans="2:17">
      <c r="B29" s="157">
        <f t="shared" si="0"/>
        <v>2035</v>
      </c>
      <c r="C29" s="163"/>
      <c r="D29" s="167">
        <f t="shared" si="1"/>
        <v>66452.47</v>
      </c>
      <c r="E29" s="167">
        <f t="shared" si="2"/>
        <v>73419.05</v>
      </c>
      <c r="F29"/>
      <c r="G29" s="167">
        <f t="shared" si="4"/>
        <v>139871.52000000002</v>
      </c>
      <c r="H29" s="148">
        <v>12</v>
      </c>
      <c r="I29" s="167">
        <f t="shared" si="3"/>
        <v>139871.52000000002</v>
      </c>
      <c r="J29" s="180"/>
      <c r="O29"/>
      <c r="P29"/>
      <c r="Q29"/>
    </row>
    <row r="30" spans="2:17">
      <c r="B30" s="157">
        <f t="shared" si="0"/>
        <v>2036</v>
      </c>
      <c r="C30" s="163"/>
      <c r="D30" s="167">
        <f t="shared" si="1"/>
        <v>67914.42</v>
      </c>
      <c r="E30" s="167">
        <f t="shared" si="2"/>
        <v>75034.27</v>
      </c>
      <c r="F30"/>
      <c r="G30" s="167">
        <f t="shared" si="4"/>
        <v>142948.69</v>
      </c>
      <c r="H30" s="148">
        <v>12</v>
      </c>
      <c r="I30" s="167">
        <f t="shared" si="3"/>
        <v>142948.69</v>
      </c>
      <c r="J30" s="180"/>
      <c r="O30"/>
      <c r="P30"/>
      <c r="Q30"/>
    </row>
    <row r="31" spans="2:17">
      <c r="B31" s="157">
        <f t="shared" si="0"/>
        <v>2037</v>
      </c>
      <c r="C31" s="163"/>
      <c r="D31" s="167">
        <f t="shared" si="1"/>
        <v>69408.539999999994</v>
      </c>
      <c r="E31" s="167">
        <f t="shared" si="2"/>
        <v>76685.02</v>
      </c>
      <c r="F31"/>
      <c r="G31" s="167">
        <f t="shared" si="4"/>
        <v>146093.56</v>
      </c>
      <c r="H31" s="148">
        <v>12</v>
      </c>
      <c r="I31" s="167">
        <f t="shared" si="3"/>
        <v>146093.56</v>
      </c>
      <c r="J31" s="180"/>
      <c r="O31"/>
      <c r="P31"/>
      <c r="Q31"/>
    </row>
    <row r="32" spans="2:17">
      <c r="B32" s="157">
        <f t="shared" si="0"/>
        <v>2038</v>
      </c>
      <c r="C32" s="163"/>
      <c r="D32" s="167">
        <f t="shared" si="1"/>
        <v>70935.53</v>
      </c>
      <c r="E32" s="167">
        <f t="shared" si="2"/>
        <v>78372.09</v>
      </c>
      <c r="F32"/>
      <c r="G32" s="167">
        <f t="shared" si="4"/>
        <v>149307.62</v>
      </c>
      <c r="H32" s="148">
        <v>12</v>
      </c>
      <c r="I32" s="167">
        <f t="shared" si="3"/>
        <v>149307.62</v>
      </c>
      <c r="J32" s="180"/>
      <c r="O32"/>
      <c r="P32"/>
      <c r="Q32"/>
    </row>
    <row r="33" spans="2:17">
      <c r="B33" s="157">
        <f t="shared" si="0"/>
        <v>2039</v>
      </c>
      <c r="C33" s="163"/>
      <c r="D33" s="167">
        <f t="shared" si="1"/>
        <v>72496.11</v>
      </c>
      <c r="E33" s="167">
        <f t="shared" si="2"/>
        <v>80096.28</v>
      </c>
      <c r="F33"/>
      <c r="G33" s="167">
        <f t="shared" si="4"/>
        <v>152592.39000000001</v>
      </c>
      <c r="H33" s="148">
        <v>12</v>
      </c>
      <c r="I33" s="167">
        <f t="shared" si="3"/>
        <v>152592.39000000001</v>
      </c>
      <c r="J33" s="180"/>
      <c r="O33"/>
      <c r="P33"/>
      <c r="Q33"/>
    </row>
    <row r="34" spans="2:17">
      <c r="B34" s="157">
        <f t="shared" si="0"/>
        <v>2040</v>
      </c>
      <c r="C34" s="163"/>
      <c r="D34" s="167">
        <f t="shared" si="1"/>
        <v>74091.02</v>
      </c>
      <c r="E34" s="167">
        <f t="shared" si="2"/>
        <v>81858.399999999994</v>
      </c>
      <c r="F34"/>
      <c r="G34" s="167">
        <f t="shared" si="4"/>
        <v>155949.41999999998</v>
      </c>
      <c r="H34" s="148">
        <v>12</v>
      </c>
      <c r="I34" s="167">
        <f t="shared" si="3"/>
        <v>155949.41999999998</v>
      </c>
      <c r="J34" s="180"/>
      <c r="O34"/>
      <c r="P34"/>
      <c r="Q34"/>
    </row>
    <row r="35" spans="2:17" ht="10.5" customHeight="1">
      <c r="B35" s="165"/>
      <c r="C35" s="164"/>
      <c r="D35" s="181"/>
      <c r="E35" s="161"/>
      <c r="F35" s="161"/>
      <c r="G35" s="161"/>
      <c r="H35" s="161"/>
      <c r="I35" s="161"/>
      <c r="J35" s="180"/>
      <c r="K35" s="179"/>
      <c r="O35"/>
      <c r="P35"/>
      <c r="Q35"/>
    </row>
    <row r="36" spans="2:17">
      <c r="B36" s="34"/>
      <c r="C36" s="22"/>
      <c r="D36" s="162"/>
      <c r="E36" s="162"/>
      <c r="F36" s="162"/>
      <c r="G36" s="162"/>
      <c r="H36" s="162"/>
      <c r="I36" s="162"/>
      <c r="J36" s="162"/>
      <c r="K36" s="162"/>
      <c r="L36" s="162"/>
    </row>
    <row r="37" spans="2:17">
      <c r="B37" s="162"/>
      <c r="C37" s="178" t="str">
        <f>D7</f>
        <v>(b)</v>
      </c>
      <c r="D37" s="177" t="str">
        <f>"= "&amp;C7&amp;" x "&amp;TEXT(C49,"0.000% ")&amp;"Payment Factor"</f>
        <v>= (a) x 7.119% Payment Factor</v>
      </c>
      <c r="E37" s="162"/>
      <c r="F37" s="162"/>
      <c r="G37" s="162"/>
      <c r="H37" s="162"/>
      <c r="I37" s="162"/>
      <c r="J37" s="162"/>
      <c r="K37" s="162"/>
      <c r="L37" s="162"/>
    </row>
    <row r="38" spans="2:17">
      <c r="B38" s="162"/>
      <c r="C38" s="178" t="s">
        <v>7</v>
      </c>
      <c r="D38" s="177" t="str">
        <f>"= "&amp;D7&amp;" + "&amp;E7</f>
        <v>= (b) + (c)</v>
      </c>
      <c r="E38" s="162"/>
      <c r="F38" s="162"/>
      <c r="G38" s="162"/>
      <c r="H38" s="162"/>
      <c r="I38" s="162"/>
      <c r="J38" s="162"/>
      <c r="K38" s="162"/>
      <c r="L38" s="162"/>
    </row>
    <row r="39" spans="2:17">
      <c r="B39" s="162"/>
      <c r="C39" s="178" t="str">
        <f>G7</f>
        <v>(d)</v>
      </c>
      <c r="D39" s="177" t="s">
        <v>159</v>
      </c>
      <c r="E39" s="162"/>
      <c r="F39" s="162"/>
      <c r="G39" s="162"/>
      <c r="H39" s="162"/>
      <c r="I39" s="162"/>
      <c r="J39" s="162"/>
      <c r="K39" s="162"/>
      <c r="L39" s="162"/>
    </row>
    <row r="40" spans="2:17">
      <c r="B40" s="162"/>
      <c r="C40" s="178" t="str">
        <f>I7</f>
        <v>(f)</v>
      </c>
      <c r="D40" s="177" t="str">
        <f>"= "&amp;G7&amp;" x "&amp;H7&amp;" / 12"</f>
        <v>= (d) x (e) / 12</v>
      </c>
      <c r="E40" s="162"/>
      <c r="F40" s="162"/>
      <c r="G40" s="162"/>
      <c r="H40" s="162"/>
      <c r="I40" s="162"/>
      <c r="J40" s="162"/>
      <c r="K40" s="162"/>
      <c r="L40" s="162"/>
    </row>
    <row r="41" spans="2:17" ht="6" customHeight="1" thickBot="1">
      <c r="B41" s="162"/>
      <c r="C41" s="178"/>
      <c r="D41" s="177"/>
      <c r="E41" s="162"/>
      <c r="F41" s="162"/>
      <c r="G41" s="162"/>
      <c r="H41" s="162"/>
      <c r="I41" s="162"/>
      <c r="J41" s="162"/>
      <c r="K41" s="162"/>
      <c r="L41" s="162"/>
    </row>
    <row r="42" spans="2:17" ht="13.5" thickBot="1">
      <c r="B42" s="162"/>
      <c r="C42" s="176" t="s">
        <v>118</v>
      </c>
      <c r="D42" s="94"/>
      <c r="E42" s="175"/>
      <c r="F42" s="94"/>
      <c r="G42" s="94"/>
      <c r="H42" s="94"/>
      <c r="I42" s="94"/>
      <c r="J42" s="23"/>
    </row>
    <row r="43" spans="2:17">
      <c r="B43" s="162"/>
      <c r="C43" s="162">
        <v>227.654578125</v>
      </c>
      <c r="D43" s="146" t="s">
        <v>16</v>
      </c>
      <c r="E43" s="162"/>
      <c r="J43" s="162"/>
    </row>
    <row r="44" spans="2:17">
      <c r="B44" s="162" t="s">
        <v>113</v>
      </c>
      <c r="C44" s="156">
        <v>616.13773555279954</v>
      </c>
      <c r="D44" s="146" t="s">
        <v>117</v>
      </c>
      <c r="E44" s="174"/>
      <c r="F44" s="24"/>
      <c r="G44" s="25"/>
      <c r="H44" s="25"/>
      <c r="I44" s="162"/>
      <c r="J44" s="162"/>
    </row>
    <row r="45" spans="2:17">
      <c r="B45" s="162" t="s">
        <v>113</v>
      </c>
      <c r="C45" s="154">
        <v>14.060233397539761</v>
      </c>
      <c r="D45" s="48" t="s">
        <v>28</v>
      </c>
      <c r="E45" s="174"/>
      <c r="F45" s="24"/>
      <c r="G45" s="25"/>
      <c r="H45" s="25"/>
      <c r="I45" s="162"/>
      <c r="J45" s="162"/>
    </row>
    <row r="46" spans="2:17">
      <c r="B46" s="162" t="s">
        <v>113</v>
      </c>
      <c r="C46" s="155">
        <v>34.401182255999998</v>
      </c>
      <c r="D46" s="48" t="s">
        <v>27</v>
      </c>
      <c r="E46" s="174"/>
      <c r="F46" s="24"/>
      <c r="G46" s="25"/>
      <c r="H46" s="25"/>
      <c r="I46" s="162"/>
      <c r="J46" s="162"/>
    </row>
    <row r="47" spans="2:17">
      <c r="B47" s="162"/>
      <c r="C47" s="154">
        <f>C45+C46</f>
        <v>48.46141565353976</v>
      </c>
      <c r="D47" s="48" t="s">
        <v>116</v>
      </c>
      <c r="E47" s="174"/>
      <c r="F47" s="24"/>
      <c r="G47" s="25"/>
      <c r="H47" s="25"/>
      <c r="I47" s="162"/>
      <c r="J47" s="162"/>
    </row>
    <row r="48" spans="2:17">
      <c r="B48" s="162"/>
      <c r="C48" s="154"/>
      <c r="D48" s="48"/>
      <c r="E48" s="174"/>
      <c r="F48" s="24"/>
      <c r="G48" s="25"/>
      <c r="H48" s="25"/>
      <c r="I48" s="162"/>
      <c r="J48" s="162"/>
    </row>
    <row r="49" spans="2:15">
      <c r="B49" s="162"/>
      <c r="C49" s="211">
        <v>7.1190000000000003E-2</v>
      </c>
      <c r="D49" s="146" t="s">
        <v>158</v>
      </c>
      <c r="E49" s="162"/>
      <c r="F49" s="162"/>
      <c r="G49" s="162"/>
      <c r="H49" s="162"/>
      <c r="I49" s="162"/>
      <c r="J49" s="162"/>
    </row>
    <row r="50" spans="2:15" ht="13.5" thickBot="1">
      <c r="B50" s="35"/>
      <c r="C50" s="35"/>
      <c r="D50" s="35"/>
      <c r="E50" s="35"/>
      <c r="F50" s="35"/>
      <c r="G50" s="35"/>
      <c r="H50" s="35"/>
      <c r="I50" s="35"/>
    </row>
    <row r="51" spans="2:15" ht="13.5" thickBot="1">
      <c r="C51" s="20" t="s">
        <v>198</v>
      </c>
      <c r="D51" s="21"/>
      <c r="E51" s="21"/>
      <c r="F51" s="21"/>
      <c r="G51" s="21"/>
      <c r="H51" s="21"/>
      <c r="I51" s="21"/>
      <c r="J51" s="149"/>
    </row>
    <row r="52" spans="2:15">
      <c r="C52" s="148">
        <v>2016</v>
      </c>
      <c r="D52" s="145">
        <v>1.2E-2</v>
      </c>
      <c r="E52" s="48"/>
      <c r="F52" s="148">
        <v>2024</v>
      </c>
      <c r="G52" s="145">
        <v>2.1999999999999999E-2</v>
      </c>
      <c r="H52" s="145"/>
      <c r="I52" s="148">
        <v>2032</v>
      </c>
      <c r="J52" s="145">
        <v>2.3E-2</v>
      </c>
      <c r="K52" s="48"/>
      <c r="N52" s="148"/>
      <c r="O52" s="145"/>
    </row>
    <row r="53" spans="2:15">
      <c r="C53" s="148">
        <f t="shared" ref="C53:C59" si="5">C52+1</f>
        <v>2017</v>
      </c>
      <c r="D53" s="145">
        <v>0.02</v>
      </c>
      <c r="E53" s="48"/>
      <c r="F53" s="148">
        <f t="shared" ref="F53:F59" si="6">F52+1</f>
        <v>2025</v>
      </c>
      <c r="G53" s="145">
        <v>2.1999999999999999E-2</v>
      </c>
      <c r="H53" s="145"/>
      <c r="I53" s="148">
        <f t="shared" ref="I53:I60" si="7">I52+1</f>
        <v>2033</v>
      </c>
      <c r="J53" s="145">
        <v>2.1999999999999999E-2</v>
      </c>
      <c r="K53" s="48"/>
      <c r="N53" s="148"/>
      <c r="O53" s="145"/>
    </row>
    <row r="54" spans="2:15">
      <c r="C54" s="148">
        <f t="shared" si="5"/>
        <v>2018</v>
      </c>
      <c r="D54" s="145">
        <v>2.3E-2</v>
      </c>
      <c r="E54" s="48"/>
      <c r="F54" s="148">
        <f t="shared" si="6"/>
        <v>2026</v>
      </c>
      <c r="G54" s="145">
        <v>2.1999999999999999E-2</v>
      </c>
      <c r="H54" s="145"/>
      <c r="I54" s="148">
        <f t="shared" si="7"/>
        <v>2034</v>
      </c>
      <c r="J54" s="145">
        <v>2.1999999999999999E-2</v>
      </c>
      <c r="K54" s="48"/>
      <c r="N54" s="148"/>
      <c r="O54" s="145"/>
    </row>
    <row r="55" spans="2:15">
      <c r="C55" s="148">
        <f t="shared" si="5"/>
        <v>2019</v>
      </c>
      <c r="D55" s="145">
        <v>1.9E-2</v>
      </c>
      <c r="E55" s="48"/>
      <c r="F55" s="148">
        <f t="shared" si="6"/>
        <v>2027</v>
      </c>
      <c r="G55" s="145">
        <v>2.1999999999999999E-2</v>
      </c>
      <c r="H55" s="145"/>
      <c r="I55" s="148">
        <f t="shared" si="7"/>
        <v>2035</v>
      </c>
      <c r="J55" s="145">
        <v>2.1999999999999999E-2</v>
      </c>
      <c r="K55" s="48"/>
      <c r="N55" s="148"/>
      <c r="O55" s="145"/>
    </row>
    <row r="56" spans="2:15">
      <c r="C56" s="148">
        <f t="shared" si="5"/>
        <v>2020</v>
      </c>
      <c r="D56" s="145">
        <v>2.1999999999999999E-2</v>
      </c>
      <c r="E56" s="48"/>
      <c r="F56" s="148">
        <f t="shared" si="6"/>
        <v>2028</v>
      </c>
      <c r="G56" s="145">
        <v>2.3E-2</v>
      </c>
      <c r="H56" s="145"/>
      <c r="I56" s="148">
        <f t="shared" si="7"/>
        <v>2036</v>
      </c>
      <c r="J56" s="145">
        <v>2.1999999999999999E-2</v>
      </c>
      <c r="K56" s="48"/>
      <c r="N56" s="148"/>
      <c r="O56" s="145"/>
    </row>
    <row r="57" spans="2:15">
      <c r="C57" s="148">
        <f t="shared" si="5"/>
        <v>2021</v>
      </c>
      <c r="D57" s="145">
        <v>2.1999999999999999E-2</v>
      </c>
      <c r="E57" s="48"/>
      <c r="F57" s="148">
        <f t="shared" si="6"/>
        <v>2029</v>
      </c>
      <c r="G57" s="145">
        <v>2.3E-2</v>
      </c>
      <c r="H57" s="145"/>
      <c r="I57" s="148">
        <f t="shared" si="7"/>
        <v>2037</v>
      </c>
      <c r="J57" s="145">
        <v>2.1999999999999999E-2</v>
      </c>
      <c r="K57" s="48"/>
      <c r="N57" s="148"/>
      <c r="O57" s="145"/>
    </row>
    <row r="58" spans="2:15" s="147" customFormat="1">
      <c r="C58" s="148">
        <f t="shared" si="5"/>
        <v>2022</v>
      </c>
      <c r="D58" s="145">
        <v>2.3E-2</v>
      </c>
      <c r="E58" s="55"/>
      <c r="F58" s="148">
        <f t="shared" si="6"/>
        <v>2030</v>
      </c>
      <c r="G58" s="145">
        <v>2.3E-2</v>
      </c>
      <c r="H58" s="145"/>
      <c r="I58" s="148">
        <f t="shared" si="7"/>
        <v>2038</v>
      </c>
      <c r="J58" s="145">
        <v>2.1999999999999999E-2</v>
      </c>
      <c r="K58" s="55"/>
      <c r="N58" s="148"/>
      <c r="O58" s="145"/>
    </row>
    <row r="59" spans="2:15" s="147" customFormat="1">
      <c r="C59" s="148">
        <f t="shared" si="5"/>
        <v>2023</v>
      </c>
      <c r="D59" s="145">
        <v>2.1999999999999999E-2</v>
      </c>
      <c r="E59" s="55"/>
      <c r="F59" s="148">
        <f t="shared" si="6"/>
        <v>2031</v>
      </c>
      <c r="G59" s="145">
        <v>2.3E-2</v>
      </c>
      <c r="H59" s="145"/>
      <c r="I59" s="148">
        <f t="shared" si="7"/>
        <v>2039</v>
      </c>
      <c r="J59" s="145">
        <v>2.1999999999999999E-2</v>
      </c>
      <c r="K59" s="55"/>
      <c r="N59" s="148"/>
      <c r="O59" s="145"/>
    </row>
    <row r="60" spans="2:15" s="147" customFormat="1">
      <c r="E60" s="55"/>
      <c r="F60" s="148"/>
      <c r="G60" s="145"/>
      <c r="H60" s="145"/>
      <c r="I60" s="148">
        <f t="shared" si="7"/>
        <v>2040</v>
      </c>
      <c r="J60" s="145">
        <v>2.1999999999999999E-2</v>
      </c>
      <c r="K60" s="55"/>
      <c r="N60" s="148"/>
      <c r="O60" s="145"/>
    </row>
  </sheetData>
  <printOptions horizontalCentered="1"/>
  <pageMargins left="0.25" right="0.25" top="0.75" bottom="0.75" header="0.3" footer="0.3"/>
  <pageSetup scale="95" orientation="portrait" r:id="rId1"/>
  <headerFooter alignWithMargins="0">
    <oddFooter xml:space="preserve"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Q56"/>
  <sheetViews>
    <sheetView workbookViewId="0">
      <selection activeCell="A3" sqref="A3"/>
    </sheetView>
  </sheetViews>
  <sheetFormatPr defaultRowHeight="15"/>
  <cols>
    <col min="1" max="3" width="9.33203125" style="190"/>
    <col min="4" max="4" width="20.1640625" style="190" customWidth="1"/>
    <col min="5" max="5" width="15.33203125" style="190" customWidth="1"/>
    <col min="6" max="6" width="14.83203125" style="190" customWidth="1"/>
    <col min="7" max="7" width="14.33203125" style="190" customWidth="1"/>
    <col min="8" max="8" width="11.83203125" style="190" customWidth="1"/>
    <col min="9" max="9" width="9.33203125" style="190"/>
    <col min="10" max="10" width="13.33203125" style="190" customWidth="1"/>
    <col min="11" max="11" width="12.83203125" style="190" customWidth="1"/>
    <col min="12" max="16384" width="9.33203125" style="190"/>
  </cols>
  <sheetData>
    <row r="1" spans="2:17" ht="15.75">
      <c r="B1" s="365" t="s">
        <v>186</v>
      </c>
      <c r="C1" s="357"/>
      <c r="D1" s="357"/>
      <c r="E1" s="357"/>
      <c r="F1" s="357"/>
      <c r="G1" s="357"/>
      <c r="H1" s="357"/>
    </row>
    <row r="2" spans="2:17" ht="15.75">
      <c r="B2" s="365" t="s">
        <v>139</v>
      </c>
      <c r="C2" s="357"/>
      <c r="D2" s="357"/>
      <c r="E2" s="357"/>
      <c r="F2" s="357"/>
      <c r="G2" s="357"/>
      <c r="H2" s="357"/>
      <c r="J2"/>
      <c r="K2"/>
      <c r="L2"/>
    </row>
    <row r="3" spans="2:17" s="146" customFormat="1" ht="15.75">
      <c r="B3" s="32" t="s">
        <v>136</v>
      </c>
      <c r="C3" s="33"/>
      <c r="D3" s="33"/>
      <c r="E3" s="33"/>
      <c r="F3" s="33"/>
      <c r="G3" s="33"/>
      <c r="H3" s="33"/>
      <c r="J3" s="366" t="s">
        <v>196</v>
      </c>
      <c r="K3" s="357"/>
      <c r="L3" s="357"/>
      <c r="M3" s="148"/>
    </row>
    <row r="4" spans="2:17" s="146" customFormat="1">
      <c r="B4" s="36"/>
      <c r="C4" s="36"/>
      <c r="D4" s="36"/>
      <c r="E4" s="36"/>
      <c r="F4" s="36"/>
      <c r="G4" s="36"/>
      <c r="H4" s="36"/>
      <c r="K4" s="191"/>
      <c r="M4" s="148"/>
      <c r="O4" s="331"/>
      <c r="P4" s="331" t="s">
        <v>214</v>
      </c>
    </row>
    <row r="5" spans="2:17" s="146" customFormat="1" ht="51.75">
      <c r="B5" s="85" t="s">
        <v>2</v>
      </c>
      <c r="C5" s="86" t="s">
        <v>135</v>
      </c>
      <c r="D5" s="86" t="s">
        <v>223</v>
      </c>
      <c r="E5" s="153" t="str">
        <f>"Total Capacity Cost @ "&amp;TEXT(C43,"00.0%")&amp;" Contribution"</f>
        <v>Total Capacity Cost @ 64.8% Contribution</v>
      </c>
      <c r="F5" s="153" t="s">
        <v>115</v>
      </c>
      <c r="G5"/>
      <c r="H5" s="190"/>
      <c r="I5" s="153" t="s">
        <v>134</v>
      </c>
      <c r="J5" s="153" t="s">
        <v>199</v>
      </c>
      <c r="K5" s="153" t="s">
        <v>175</v>
      </c>
      <c r="L5" s="153"/>
      <c r="M5" s="148"/>
      <c r="O5" s="332" t="s">
        <v>215</v>
      </c>
      <c r="P5" s="332" t="s">
        <v>216</v>
      </c>
      <c r="Q5" s="146" t="s">
        <v>217</v>
      </c>
    </row>
    <row r="6" spans="2:17" s="146" customFormat="1">
      <c r="B6" s="39"/>
      <c r="C6" s="169" t="s">
        <v>120</v>
      </c>
      <c r="D6" s="169" t="s">
        <v>120</v>
      </c>
      <c r="E6" s="169" t="s">
        <v>120</v>
      </c>
      <c r="F6" s="169" t="s">
        <v>120</v>
      </c>
      <c r="G6"/>
      <c r="H6" s="190"/>
      <c r="I6" s="40" t="s">
        <v>133</v>
      </c>
      <c r="J6" s="40" t="s">
        <v>15</v>
      </c>
      <c r="K6" s="40" t="s">
        <v>133</v>
      </c>
      <c r="L6" s="40"/>
      <c r="M6" s="148"/>
      <c r="O6" s="331">
        <v>2017</v>
      </c>
      <c r="P6" s="333">
        <v>1789.0158140000001</v>
      </c>
    </row>
    <row r="7" spans="2:17" s="146" customFormat="1">
      <c r="B7" s="34"/>
      <c r="C7" s="41" t="s">
        <v>4</v>
      </c>
      <c r="D7" s="41" t="s">
        <v>5</v>
      </c>
      <c r="E7" s="41" t="s">
        <v>6</v>
      </c>
      <c r="F7" s="41" t="s">
        <v>7</v>
      </c>
      <c r="G7"/>
      <c r="K7" s="191"/>
      <c r="M7"/>
      <c r="N7"/>
      <c r="O7" s="331">
        <f t="shared" ref="O7:O28" si="0">O6+1</f>
        <v>2018</v>
      </c>
      <c r="P7" s="333">
        <v>1816.554097</v>
      </c>
      <c r="Q7" s="145">
        <f>P7/P6-1</f>
        <v>1.539297908073145E-2</v>
      </c>
    </row>
    <row r="8" spans="2:17" s="146" customFormat="1" ht="33.75" customHeight="1">
      <c r="C8" s="35"/>
      <c r="D8" s="34"/>
      <c r="E8" s="35"/>
      <c r="F8" s="35"/>
      <c r="G8"/>
      <c r="H8" s="184" t="s">
        <v>162</v>
      </c>
      <c r="I8" s="284">
        <f>-PMT($C$44,COUNT(I$10:I$24),NPV($C$44,I$10:I$24))</f>
        <v>1.141518062982557</v>
      </c>
      <c r="J8" s="199"/>
      <c r="M8"/>
      <c r="N8"/>
      <c r="O8" s="331">
        <f t="shared" si="0"/>
        <v>2019</v>
      </c>
      <c r="P8" s="333">
        <v>1844.5162769999999</v>
      </c>
      <c r="Q8" s="145">
        <f t="shared" ref="Q8:Q25" si="1">P8/P7-1</f>
        <v>1.5392979513342731E-2</v>
      </c>
    </row>
    <row r="9" spans="2:17" s="146" customFormat="1">
      <c r="B9" s="60">
        <v>2020</v>
      </c>
      <c r="C9" s="35"/>
      <c r="D9" s="34"/>
      <c r="E9" s="35"/>
      <c r="F9" s="216">
        <v>0</v>
      </c>
      <c r="G9"/>
      <c r="H9" s="190"/>
      <c r="I9" s="200"/>
      <c r="M9"/>
      <c r="N9"/>
      <c r="O9" s="331">
        <f t="shared" si="0"/>
        <v>2020</v>
      </c>
      <c r="P9" s="333">
        <v>1872.9088790000001</v>
      </c>
      <c r="Q9" s="145">
        <f t="shared" si="1"/>
        <v>1.5392979912423943E-2</v>
      </c>
    </row>
    <row r="10" spans="2:17" s="146" customFormat="1">
      <c r="B10" s="60">
        <v>2021</v>
      </c>
      <c r="C10" s="216">
        <v>75110.766943950861</v>
      </c>
      <c r="D10" s="216">
        <f>C10</f>
        <v>75110.766943950861</v>
      </c>
      <c r="E10" s="216"/>
      <c r="F10" s="216">
        <f t="shared" ref="F10:F28" si="2">E10*100%/$C$43</f>
        <v>0</v>
      </c>
      <c r="G10"/>
      <c r="H10" s="190"/>
      <c r="I10" s="200">
        <v>1</v>
      </c>
      <c r="J10" s="282"/>
      <c r="K10" s="286"/>
      <c r="L10"/>
      <c r="M10"/>
      <c r="N10"/>
      <c r="O10" s="331">
        <f t="shared" si="0"/>
        <v>2021</v>
      </c>
      <c r="P10" s="333">
        <v>1901.738527</v>
      </c>
      <c r="Q10" s="145">
        <f t="shared" si="1"/>
        <v>1.5392979510777227E-2</v>
      </c>
    </row>
    <row r="11" spans="2:17" s="146" customFormat="1">
      <c r="B11" s="60">
        <f t="shared" ref="B11:B29" si="3">B10+1</f>
        <v>2022</v>
      </c>
      <c r="C11"/>
      <c r="D11" s="216">
        <f t="shared" ref="D11:D28" si="4">(1+INDEX($Q$6:$Q$28,MATCH($B11,$O$6:$O$28,0),1))*D10</f>
        <v>76266.945433410423</v>
      </c>
      <c r="E11" s="216"/>
      <c r="F11" s="216">
        <f t="shared" si="2"/>
        <v>0</v>
      </c>
      <c r="G11"/>
      <c r="H11" s="190"/>
      <c r="I11" s="200">
        <f t="shared" ref="I11:I29" si="5">I10*(1+IFERROR(INDEX($D$47:$D$54,MATCH($B11,$C$47:$C$54,0),1),IFERROR(INDEX($F$47:$F$54,MATCH($B11,$E$47:$E$54,0),1),INDEX($H$47:$H$55,MATCH($B11,$G$47:$G$55,0),1))))</f>
        <v>1.0229999999999999</v>
      </c>
      <c r="J11"/>
      <c r="K11"/>
      <c r="L11"/>
      <c r="M11"/>
      <c r="N11"/>
      <c r="O11" s="331">
        <f t="shared" si="0"/>
        <v>2022</v>
      </c>
      <c r="P11" s="333">
        <v>1931.011949</v>
      </c>
      <c r="Q11" s="145">
        <f t="shared" si="1"/>
        <v>1.5392979415618679E-2</v>
      </c>
    </row>
    <row r="12" spans="2:17" s="146" customFormat="1">
      <c r="B12" s="60">
        <f t="shared" si="3"/>
        <v>2023</v>
      </c>
      <c r="C12"/>
      <c r="D12" s="216">
        <f t="shared" si="4"/>
        <v>77440.920947360079</v>
      </c>
      <c r="E12" s="216"/>
      <c r="F12" s="216">
        <f t="shared" si="2"/>
        <v>0</v>
      </c>
      <c r="G12"/>
      <c r="H12" s="190"/>
      <c r="I12" s="200">
        <f t="shared" si="5"/>
        <v>1.0455059999999998</v>
      </c>
      <c r="J12"/>
      <c r="K12"/>
      <c r="L12"/>
      <c r="M12"/>
      <c r="N12"/>
      <c r="O12" s="331">
        <f t="shared" si="0"/>
        <v>2023</v>
      </c>
      <c r="P12" s="333">
        <v>1960.7359759999999</v>
      </c>
      <c r="Q12" s="145">
        <f t="shared" si="1"/>
        <v>1.5392979321227296E-2</v>
      </c>
    </row>
    <row r="13" spans="2:17" s="146" customFormat="1">
      <c r="B13" s="60">
        <f t="shared" si="3"/>
        <v>2024</v>
      </c>
      <c r="C13"/>
      <c r="D13" s="216">
        <f t="shared" si="4"/>
        <v>78632.967468465125</v>
      </c>
      <c r="E13" s="337"/>
      <c r="F13" s="216">
        <f t="shared" si="2"/>
        <v>0</v>
      </c>
      <c r="G13"/>
      <c r="H13" s="190"/>
      <c r="I13" s="200">
        <f t="shared" si="5"/>
        <v>1.0685071319999999</v>
      </c>
      <c r="J13"/>
      <c r="K13"/>
      <c r="L13"/>
      <c r="M13"/>
      <c r="N13"/>
      <c r="O13" s="331">
        <f t="shared" si="0"/>
        <v>2024</v>
      </c>
      <c r="P13" s="333">
        <v>1990.917545</v>
      </c>
      <c r="Q13" s="145">
        <f t="shared" si="1"/>
        <v>1.539297966142894E-2</v>
      </c>
    </row>
    <row r="14" spans="2:17" s="146" customFormat="1">
      <c r="B14" s="60">
        <f t="shared" si="3"/>
        <v>2025</v>
      </c>
      <c r="C14"/>
      <c r="D14" s="216">
        <f>(1+INDEX($Q$6:$Q$28,MATCH($B14,$O$6:$O$28,0),1))*D13*$H$43/$H$42</f>
        <v>105986.76521210758</v>
      </c>
      <c r="E14" s="216"/>
      <c r="F14" s="216">
        <f t="shared" si="2"/>
        <v>0</v>
      </c>
      <c r="G14"/>
      <c r="H14" s="190"/>
      <c r="I14" s="200">
        <f t="shared" si="5"/>
        <v>1.0920142889039999</v>
      </c>
      <c r="J14"/>
      <c r="K14"/>
      <c r="L14"/>
      <c r="M14"/>
      <c r="N14"/>
      <c r="O14" s="331">
        <f t="shared" si="0"/>
        <v>2025</v>
      </c>
      <c r="P14" s="333">
        <v>2021.5636980000002</v>
      </c>
      <c r="Q14" s="145">
        <f t="shared" si="1"/>
        <v>1.5392979521911876E-2</v>
      </c>
    </row>
    <row r="15" spans="2:17" s="146" customFormat="1">
      <c r="B15" s="60">
        <f t="shared" si="3"/>
        <v>2026</v>
      </c>
      <c r="C15"/>
      <c r="D15" s="216">
        <f t="shared" si="4"/>
        <v>107618.21733929127</v>
      </c>
      <c r="E15" s="216"/>
      <c r="F15" s="216">
        <f t="shared" si="2"/>
        <v>0</v>
      </c>
      <c r="G15"/>
      <c r="H15" s="190"/>
      <c r="I15" s="200">
        <f t="shared" si="5"/>
        <v>1.1160386032598879</v>
      </c>
      <c r="J15"/>
      <c r="K15"/>
      <c r="L15"/>
      <c r="M15"/>
      <c r="N15"/>
      <c r="O15" s="331">
        <f t="shared" si="0"/>
        <v>2026</v>
      </c>
      <c r="P15" s="333">
        <v>2052.681587</v>
      </c>
      <c r="Q15" s="145">
        <f t="shared" si="1"/>
        <v>1.5392979717030908E-2</v>
      </c>
    </row>
    <row r="16" spans="2:17" s="146" customFormat="1">
      <c r="B16" s="60">
        <f t="shared" si="3"/>
        <v>2027</v>
      </c>
      <c r="C16"/>
      <c r="D16" s="216">
        <f t="shared" si="4"/>
        <v>107618.21733929127</v>
      </c>
      <c r="E16" s="216"/>
      <c r="F16" s="216">
        <f t="shared" si="2"/>
        <v>0</v>
      </c>
      <c r="G16"/>
      <c r="H16" s="190"/>
      <c r="I16" s="200">
        <f t="shared" si="5"/>
        <v>1.1405914525316054</v>
      </c>
      <c r="J16"/>
      <c r="K16"/>
      <c r="L16"/>
      <c r="M16"/>
      <c r="N16"/>
      <c r="O16" s="331">
        <f t="shared" si="0"/>
        <v>2027</v>
      </c>
      <c r="P16" s="333">
        <v>2052.681587</v>
      </c>
      <c r="Q16" s="145">
        <f t="shared" si="1"/>
        <v>0</v>
      </c>
    </row>
    <row r="17" spans="2:17" s="146" customFormat="1">
      <c r="B17" s="60">
        <f t="shared" si="3"/>
        <v>2028</v>
      </c>
      <c r="C17"/>
      <c r="D17" s="216">
        <f t="shared" si="4"/>
        <v>107618.21733929127</v>
      </c>
      <c r="E17" s="216">
        <f>D17</f>
        <v>107618.21733929127</v>
      </c>
      <c r="F17" s="216">
        <f t="shared" si="2"/>
        <v>166077.49589396801</v>
      </c>
      <c r="G17"/>
      <c r="H17" s="190"/>
      <c r="I17" s="200">
        <f t="shared" si="5"/>
        <v>1.1668250559398323</v>
      </c>
      <c r="J17"/>
      <c r="K17"/>
      <c r="L17"/>
      <c r="M17"/>
      <c r="N17"/>
      <c r="O17" s="331">
        <f t="shared" si="0"/>
        <v>2028</v>
      </c>
      <c r="P17" s="333">
        <v>2052.681587</v>
      </c>
      <c r="Q17" s="145">
        <f t="shared" si="1"/>
        <v>0</v>
      </c>
    </row>
    <row r="18" spans="2:17" s="146" customFormat="1">
      <c r="B18" s="60">
        <f t="shared" si="3"/>
        <v>2029</v>
      </c>
      <c r="C18"/>
      <c r="D18" s="216">
        <f t="shared" si="4"/>
        <v>107618.21733929127</v>
      </c>
      <c r="E18" s="216">
        <f>ROUND(E17*(1+(IFERROR(INDEX($D$47:$D$55,MATCH($B18,$C$47:$C$55,0),1),0)+IFERROR(INDEX($F$47:$F$55,MATCH($B18,$E$47:$E$55,0),1),0)+IFERROR(INDEX($H$47:$H$55,MATCH($B18,$G$47:$G$55,0),1),0))),2)</f>
        <v>110093.44</v>
      </c>
      <c r="F18" s="216">
        <f t="shared" si="2"/>
        <v>169897.28395061727</v>
      </c>
      <c r="G18"/>
      <c r="H18" s="190"/>
      <c r="I18" s="200">
        <f t="shared" si="5"/>
        <v>1.1936620322264484</v>
      </c>
      <c r="J18"/>
      <c r="K18"/>
      <c r="L18"/>
      <c r="M18"/>
      <c r="N18"/>
      <c r="O18" s="331">
        <f t="shared" si="0"/>
        <v>2029</v>
      </c>
      <c r="P18" s="333">
        <v>2052.681587</v>
      </c>
      <c r="Q18" s="145">
        <f t="shared" si="1"/>
        <v>0</v>
      </c>
    </row>
    <row r="19" spans="2:17" s="146" customFormat="1">
      <c r="B19" s="60">
        <f t="shared" si="3"/>
        <v>2030</v>
      </c>
      <c r="C19"/>
      <c r="D19" s="216">
        <f t="shared" si="4"/>
        <v>107618.21733929127</v>
      </c>
      <c r="E19" s="216">
        <f t="shared" ref="E19:E28" si="6">ROUND(E18*(1+(IFERROR(INDEX($D$47:$D$55,MATCH($B19,$C$47:$C$55,0),1),0)+IFERROR(INDEX($F$47:$F$55,MATCH($B19,$E$47:$E$55,0),1),0)+IFERROR(INDEX($H$47:$H$55,MATCH($B19,$G$47:$G$55,0),1),0))),2)</f>
        <v>112625.59</v>
      </c>
      <c r="F19" s="216">
        <f t="shared" si="2"/>
        <v>173804.92283950615</v>
      </c>
      <c r="G19"/>
      <c r="H19" s="190"/>
      <c r="I19" s="200">
        <f t="shared" si="5"/>
        <v>1.2211162589676565</v>
      </c>
      <c r="J19"/>
      <c r="K19"/>
      <c r="L19"/>
      <c r="M19"/>
      <c r="N19"/>
      <c r="O19" s="331">
        <f t="shared" si="0"/>
        <v>2030</v>
      </c>
      <c r="P19" s="333">
        <v>2052.681587</v>
      </c>
      <c r="Q19" s="145">
        <f t="shared" si="1"/>
        <v>0</v>
      </c>
    </row>
    <row r="20" spans="2:17" s="146" customFormat="1">
      <c r="B20" s="60">
        <f t="shared" si="3"/>
        <v>2031</v>
      </c>
      <c r="C20"/>
      <c r="D20" s="216">
        <f t="shared" si="4"/>
        <v>107618.21733929127</v>
      </c>
      <c r="E20" s="216">
        <f t="shared" si="6"/>
        <v>115215.98</v>
      </c>
      <c r="F20" s="216">
        <f t="shared" si="2"/>
        <v>177802.43827160491</v>
      </c>
      <c r="G20"/>
      <c r="H20" s="190"/>
      <c r="I20" s="200">
        <f t="shared" si="5"/>
        <v>1.2492019329239126</v>
      </c>
      <c r="J20"/>
      <c r="K20"/>
      <c r="L20"/>
      <c r="M20"/>
      <c r="N20"/>
      <c r="O20" s="331">
        <f t="shared" si="0"/>
        <v>2031</v>
      </c>
      <c r="P20" s="333">
        <v>2052.681587</v>
      </c>
      <c r="Q20" s="145">
        <f t="shared" si="1"/>
        <v>0</v>
      </c>
    </row>
    <row r="21" spans="2:17" s="146" customFormat="1">
      <c r="B21" s="60">
        <f t="shared" si="3"/>
        <v>2032</v>
      </c>
      <c r="C21"/>
      <c r="D21" s="216">
        <f t="shared" si="4"/>
        <v>107618.21733929127</v>
      </c>
      <c r="E21" s="216">
        <f t="shared" si="6"/>
        <v>117865.95</v>
      </c>
      <c r="F21" s="216">
        <f t="shared" si="2"/>
        <v>181891.89814814815</v>
      </c>
      <c r="G21"/>
      <c r="H21" s="190"/>
      <c r="I21" s="200">
        <f t="shared" si="5"/>
        <v>1.2779335773811624</v>
      </c>
      <c r="J21"/>
      <c r="K21"/>
      <c r="L21"/>
      <c r="M21"/>
      <c r="N21"/>
      <c r="O21" s="331">
        <f t="shared" si="0"/>
        <v>2032</v>
      </c>
      <c r="P21" s="333">
        <v>2052.681587</v>
      </c>
      <c r="Q21" s="145">
        <f t="shared" si="1"/>
        <v>0</v>
      </c>
    </row>
    <row r="22" spans="2:17" s="146" customFormat="1">
      <c r="B22" s="60">
        <f t="shared" si="3"/>
        <v>2033</v>
      </c>
      <c r="C22"/>
      <c r="D22" s="216">
        <f t="shared" si="4"/>
        <v>107618.21733929127</v>
      </c>
      <c r="E22" s="216">
        <f t="shared" si="6"/>
        <v>120459</v>
      </c>
      <c r="F22" s="216">
        <f t="shared" si="2"/>
        <v>185893.51851851851</v>
      </c>
      <c r="G22"/>
      <c r="H22" s="190"/>
      <c r="I22" s="200">
        <f t="shared" si="5"/>
        <v>1.306048116083548</v>
      </c>
      <c r="J22"/>
      <c r="K22"/>
      <c r="L22"/>
      <c r="M22"/>
      <c r="N22"/>
      <c r="O22" s="331">
        <f t="shared" si="0"/>
        <v>2033</v>
      </c>
      <c r="P22" s="333">
        <v>2052.681587</v>
      </c>
      <c r="Q22" s="145">
        <f t="shared" si="1"/>
        <v>0</v>
      </c>
    </row>
    <row r="23" spans="2:17" s="146" customFormat="1">
      <c r="B23" s="60">
        <f t="shared" si="3"/>
        <v>2034</v>
      </c>
      <c r="C23"/>
      <c r="D23" s="216">
        <f t="shared" si="4"/>
        <v>107618.21733929127</v>
      </c>
      <c r="E23" s="216">
        <f t="shared" si="6"/>
        <v>123109.1</v>
      </c>
      <c r="F23" s="216">
        <f t="shared" si="2"/>
        <v>189983.17901234567</v>
      </c>
      <c r="G23"/>
      <c r="H23" s="190"/>
      <c r="I23" s="200">
        <f t="shared" si="5"/>
        <v>1.3347811746373861</v>
      </c>
      <c r="J23"/>
      <c r="K23"/>
      <c r="L23"/>
      <c r="M23"/>
      <c r="N23"/>
      <c r="O23" s="331">
        <f t="shared" si="0"/>
        <v>2034</v>
      </c>
      <c r="P23" s="333">
        <v>2052.681587</v>
      </c>
      <c r="Q23" s="145">
        <f t="shared" si="1"/>
        <v>0</v>
      </c>
    </row>
    <row r="24" spans="2:17" s="146" customFormat="1">
      <c r="B24" s="60">
        <f t="shared" si="3"/>
        <v>2035</v>
      </c>
      <c r="C24"/>
      <c r="D24" s="216">
        <f t="shared" si="4"/>
        <v>107618.21733929127</v>
      </c>
      <c r="E24" s="216">
        <f t="shared" si="6"/>
        <v>125817.5</v>
      </c>
      <c r="F24" s="216">
        <f t="shared" si="2"/>
        <v>194162.80864197531</v>
      </c>
      <c r="G24"/>
      <c r="H24" s="190"/>
      <c r="I24" s="200">
        <f t="shared" si="5"/>
        <v>1.3641463604794086</v>
      </c>
      <c r="J24"/>
      <c r="K24"/>
      <c r="L24"/>
      <c r="M24"/>
      <c r="N24"/>
      <c r="O24" s="331">
        <f t="shared" si="0"/>
        <v>2035</v>
      </c>
      <c r="P24" s="333">
        <v>2052.681587</v>
      </c>
      <c r="Q24" s="145">
        <f t="shared" si="1"/>
        <v>0</v>
      </c>
    </row>
    <row r="25" spans="2:17" s="146" customFormat="1">
      <c r="B25" s="60">
        <f t="shared" si="3"/>
        <v>2036</v>
      </c>
      <c r="C25"/>
      <c r="D25" s="216">
        <f t="shared" si="4"/>
        <v>107618.21733929127</v>
      </c>
      <c r="E25" s="216">
        <f t="shared" si="6"/>
        <v>128585.49</v>
      </c>
      <c r="F25" s="216">
        <f t="shared" si="2"/>
        <v>198434.39814814815</v>
      </c>
      <c r="G25"/>
      <c r="H25" s="190"/>
      <c r="I25" s="200">
        <f t="shared" si="5"/>
        <v>1.3941575804099557</v>
      </c>
      <c r="J25"/>
      <c r="K25"/>
      <c r="L25"/>
      <c r="M25"/>
      <c r="N25"/>
      <c r="O25" s="331">
        <f t="shared" si="0"/>
        <v>2036</v>
      </c>
      <c r="P25" s="333">
        <v>2052.681587</v>
      </c>
      <c r="Q25" s="145">
        <f t="shared" si="1"/>
        <v>0</v>
      </c>
    </row>
    <row r="26" spans="2:17" s="146" customFormat="1">
      <c r="B26" s="60">
        <f t="shared" si="3"/>
        <v>2037</v>
      </c>
      <c r="C26"/>
      <c r="D26" s="216">
        <f t="shared" si="4"/>
        <v>107618.21733929127</v>
      </c>
      <c r="E26" s="216">
        <f t="shared" si="6"/>
        <v>131414.37</v>
      </c>
      <c r="F26" s="216">
        <f t="shared" si="2"/>
        <v>202799.95370370368</v>
      </c>
      <c r="G26"/>
      <c r="H26" s="190"/>
      <c r="I26" s="200">
        <f t="shared" si="5"/>
        <v>1.4248290471789749</v>
      </c>
      <c r="J26"/>
      <c r="K26"/>
      <c r="L26"/>
      <c r="M26"/>
      <c r="N26"/>
      <c r="O26" s="331">
        <f t="shared" si="0"/>
        <v>2037</v>
      </c>
      <c r="Q26" s="145">
        <f>Q25</f>
        <v>0</v>
      </c>
    </row>
    <row r="27" spans="2:17" s="146" customFormat="1">
      <c r="B27" s="60">
        <f t="shared" si="3"/>
        <v>2038</v>
      </c>
      <c r="C27"/>
      <c r="D27" s="216">
        <f t="shared" si="4"/>
        <v>107618.21733929127</v>
      </c>
      <c r="E27" s="216">
        <f t="shared" si="6"/>
        <v>134305.49</v>
      </c>
      <c r="F27" s="216">
        <f t="shared" si="2"/>
        <v>207261.55864197528</v>
      </c>
      <c r="G27"/>
      <c r="H27" s="190"/>
      <c r="I27" s="200">
        <f t="shared" si="5"/>
        <v>1.4561752862169124</v>
      </c>
      <c r="J27"/>
      <c r="K27"/>
      <c r="L27"/>
      <c r="M27"/>
      <c r="N27"/>
      <c r="O27" s="331">
        <f t="shared" si="0"/>
        <v>2038</v>
      </c>
      <c r="Q27" s="145">
        <f t="shared" ref="Q27:Q28" si="7">Q26</f>
        <v>0</v>
      </c>
    </row>
    <row r="28" spans="2:17" s="146" customFormat="1">
      <c r="B28" s="60">
        <f t="shared" si="3"/>
        <v>2039</v>
      </c>
      <c r="C28"/>
      <c r="D28" s="216">
        <f t="shared" si="4"/>
        <v>107618.21733929127</v>
      </c>
      <c r="E28" s="216">
        <f t="shared" si="6"/>
        <v>137260.21</v>
      </c>
      <c r="F28" s="216">
        <f t="shared" si="2"/>
        <v>211821.31172839506</v>
      </c>
      <c r="G28"/>
      <c r="H28" s="190"/>
      <c r="I28" s="200">
        <f t="shared" si="5"/>
        <v>1.4882111425136846</v>
      </c>
      <c r="J28"/>
      <c r="K28"/>
      <c r="L28"/>
      <c r="M28"/>
      <c r="N28"/>
      <c r="O28" s="331">
        <f t="shared" si="0"/>
        <v>2039</v>
      </c>
      <c r="Q28" s="145">
        <f t="shared" si="7"/>
        <v>0</v>
      </c>
    </row>
    <row r="29" spans="2:17" s="146" customFormat="1">
      <c r="B29" s="60">
        <f t="shared" si="3"/>
        <v>2040</v>
      </c>
      <c r="C29" s="95"/>
      <c r="D29" s="87"/>
      <c r="E29" s="87"/>
      <c r="F29" s="152"/>
      <c r="G29" s="190"/>
      <c r="H29" s="190"/>
      <c r="I29" s="200">
        <f t="shared" si="5"/>
        <v>1.5209517876489858</v>
      </c>
      <c r="J29"/>
      <c r="K29"/>
      <c r="L29"/>
      <c r="M29"/>
      <c r="N29"/>
    </row>
    <row r="30" spans="2:17" s="146" customFormat="1" ht="12.75">
      <c r="B30" s="34"/>
      <c r="C30" s="34"/>
      <c r="D30" s="34"/>
      <c r="E30" s="34"/>
      <c r="F30" s="34"/>
      <c r="G30" s="34"/>
      <c r="H30" s="34"/>
    </row>
    <row r="31" spans="2:17" s="146" customFormat="1" ht="14.25">
      <c r="B31" s="89" t="s">
        <v>13</v>
      </c>
      <c r="C31" s="90"/>
      <c r="D31" s="90"/>
      <c r="E31" s="90"/>
      <c r="F31" s="90"/>
      <c r="G31" s="90"/>
      <c r="H31" s="90"/>
    </row>
    <row r="32" spans="2:17" s="146" customFormat="1" ht="12.75">
      <c r="B32" s="34"/>
      <c r="C32" s="34"/>
      <c r="D32" s="34"/>
      <c r="E32" s="34"/>
      <c r="F32" s="34"/>
      <c r="G32" s="34"/>
      <c r="H32" s="34"/>
    </row>
    <row r="33" spans="2:14" s="146" customFormat="1" ht="12.75">
      <c r="B33" s="34" t="s">
        <v>59</v>
      </c>
      <c r="C33" s="22" t="s">
        <v>149</v>
      </c>
      <c r="D33" s="22"/>
      <c r="E33" s="34"/>
      <c r="F33" s="34"/>
      <c r="G33" s="34"/>
      <c r="H33" s="34"/>
    </row>
    <row r="34" spans="2:14" s="146" customFormat="1" ht="12.75">
      <c r="B34" s="34"/>
      <c r="C34" s="91" t="str">
        <f>C7</f>
        <v>(a)</v>
      </c>
      <c r="D34" s="34" t="s">
        <v>197</v>
      </c>
      <c r="E34" s="34"/>
      <c r="F34" s="34"/>
      <c r="G34" s="34"/>
      <c r="H34" s="34"/>
    </row>
    <row r="35" spans="2:14" s="146" customFormat="1" ht="12.75">
      <c r="B35" s="34"/>
      <c r="C35" s="91" t="str">
        <f>D7</f>
        <v>(b)</v>
      </c>
      <c r="D35" s="34" t="s">
        <v>148</v>
      </c>
      <c r="E35" s="34"/>
      <c r="F35" s="34"/>
      <c r="G35" s="34"/>
      <c r="H35" s="34"/>
    </row>
    <row r="36" spans="2:14" s="146" customFormat="1" ht="12.75">
      <c r="B36" s="34"/>
      <c r="C36" s="91" t="str">
        <f>E7</f>
        <v>(c)</v>
      </c>
      <c r="D36" s="88" t="str">
        <f>"= "&amp;C7&amp;" - "&amp;D7</f>
        <v>= (a) - (b)</v>
      </c>
      <c r="E36" s="34"/>
      <c r="F36" s="34"/>
      <c r="G36" s="34"/>
      <c r="H36" s="34"/>
    </row>
    <row r="37" spans="2:14" s="146" customFormat="1" ht="12.75">
      <c r="B37" s="34"/>
      <c r="C37" s="91" t="str">
        <f>F7</f>
        <v>(d)</v>
      </c>
      <c r="D37" s="88" t="str">
        <f>"= "&amp;E7&amp;" * 100% / "&amp;TEXT(C43,"00.0%")</f>
        <v>= (c) * 100% / 64.8%</v>
      </c>
      <c r="E37" s="34"/>
      <c r="F37" s="34"/>
      <c r="G37" s="34"/>
      <c r="H37" s="34"/>
    </row>
    <row r="38" spans="2:14" s="146" customFormat="1" ht="12.75">
      <c r="B38" s="34"/>
      <c r="C38" s="91" t="s">
        <v>8</v>
      </c>
      <c r="D38" s="3" t="s">
        <v>165</v>
      </c>
      <c r="E38" s="34"/>
      <c r="F38" s="34"/>
      <c r="G38" s="34"/>
      <c r="H38" s="34"/>
    </row>
    <row r="39" spans="2:14" s="146" customFormat="1" ht="13.5" thickBot="1">
      <c r="B39" s="34"/>
      <c r="C39" s="34"/>
      <c r="D39" s="34"/>
      <c r="E39" s="34"/>
      <c r="F39" s="34"/>
      <c r="G39" s="34"/>
      <c r="H39" s="34"/>
    </row>
    <row r="40" spans="2:14" s="146" customFormat="1" ht="13.5" thickBot="1">
      <c r="B40" s="34"/>
      <c r="C40" s="92" t="str">
        <f>B3</f>
        <v>2017S RFP: 2021 Solar (Oregon)</v>
      </c>
      <c r="D40" s="44"/>
      <c r="E40" s="44"/>
      <c r="F40" s="44"/>
      <c r="G40" s="44"/>
      <c r="H40" s="81"/>
    </row>
    <row r="41" spans="2:14" s="146" customFormat="1" ht="15.75" thickBot="1">
      <c r="B41" s="34"/>
      <c r="C41" s="93" t="s">
        <v>114</v>
      </c>
      <c r="D41" s="94" t="s">
        <v>60</v>
      </c>
      <c r="E41" s="94"/>
      <c r="F41" s="94"/>
      <c r="G41" s="94"/>
      <c r="H41" s="198"/>
      <c r="J41" s="190"/>
    </row>
    <row r="42" spans="2:14" s="146" customFormat="1">
      <c r="B42" s="34"/>
      <c r="C42" s="283"/>
      <c r="D42" s="34" t="s">
        <v>132</v>
      </c>
      <c r="E42" s="34"/>
      <c r="F42" s="34"/>
      <c r="G42" s="34"/>
      <c r="H42" s="334">
        <v>5.0849999999999999E-2</v>
      </c>
      <c r="I42" s="146" t="s">
        <v>221</v>
      </c>
      <c r="K42" s="190"/>
      <c r="L42" s="190"/>
      <c r="M42" s="190"/>
      <c r="N42" s="190"/>
    </row>
    <row r="43" spans="2:14" s="146" customFormat="1">
      <c r="B43" s="34"/>
      <c r="C43" s="151">
        <v>0.64800000000000002</v>
      </c>
      <c r="D43" s="34" t="s">
        <v>131</v>
      </c>
      <c r="E43" s="34"/>
      <c r="F43" s="34"/>
      <c r="G43" s="34"/>
      <c r="H43" s="335">
        <v>6.7500000000000004E-2</v>
      </c>
      <c r="I43" s="146" t="s">
        <v>222</v>
      </c>
      <c r="J43" s="193"/>
    </row>
    <row r="44" spans="2:14" s="146" customFormat="1">
      <c r="B44" s="34"/>
      <c r="C44" s="197">
        <v>6.9099999999999995E-2</v>
      </c>
      <c r="D44" s="150" t="s">
        <v>130</v>
      </c>
      <c r="E44" s="34"/>
      <c r="F44" s="34"/>
      <c r="G44" s="34"/>
      <c r="H44" s="34"/>
      <c r="J44" s="193"/>
    </row>
    <row r="45" spans="2:14" s="146" customFormat="1" ht="15.75" thickBot="1">
      <c r="B45" s="35"/>
      <c r="C45" s="35"/>
      <c r="D45" s="35"/>
      <c r="E45" s="35"/>
      <c r="F45" s="35"/>
      <c r="G45" s="35"/>
      <c r="H45" s="35"/>
      <c r="I45" s="193"/>
    </row>
    <row r="46" spans="2:14" s="146" customFormat="1" ht="15.75" thickBot="1">
      <c r="C46" s="196" t="s">
        <v>198</v>
      </c>
      <c r="D46" s="195"/>
      <c r="E46" s="195"/>
      <c r="F46" s="195"/>
      <c r="G46" s="195"/>
      <c r="H46" s="194"/>
      <c r="I46" s="193"/>
    </row>
    <row r="47" spans="2:14" s="146" customFormat="1">
      <c r="C47" s="148">
        <v>2016</v>
      </c>
      <c r="D47" s="191">
        <v>1.2E-2</v>
      </c>
      <c r="E47" s="148">
        <v>2024</v>
      </c>
      <c r="F47" s="191">
        <v>2.1999999999999999E-2</v>
      </c>
      <c r="G47" s="148">
        <v>2032</v>
      </c>
      <c r="H47" s="191">
        <v>2.3E-2</v>
      </c>
      <c r="I47" s="193"/>
      <c r="L47" s="148"/>
      <c r="M47" s="191"/>
    </row>
    <row r="48" spans="2:14" s="146" customFormat="1">
      <c r="C48" s="148">
        <f t="shared" ref="C48:C54" si="8">C47+1</f>
        <v>2017</v>
      </c>
      <c r="D48" s="191">
        <v>0.02</v>
      </c>
      <c r="E48" s="148">
        <f t="shared" ref="E48:E54" si="9">E47+1</f>
        <v>2025</v>
      </c>
      <c r="F48" s="191">
        <v>2.1999999999999999E-2</v>
      </c>
      <c r="G48" s="148">
        <f t="shared" ref="G48:G55" si="10">G47+1</f>
        <v>2033</v>
      </c>
      <c r="H48" s="191">
        <v>2.1999999999999999E-2</v>
      </c>
      <c r="I48" s="192"/>
      <c r="J48" s="147"/>
      <c r="L48" s="148"/>
      <c r="M48" s="191"/>
    </row>
    <row r="49" spans="3:13" s="146" customFormat="1">
      <c r="C49" s="148">
        <f t="shared" si="8"/>
        <v>2018</v>
      </c>
      <c r="D49" s="191">
        <v>2.3E-2</v>
      </c>
      <c r="E49" s="148">
        <f t="shared" si="9"/>
        <v>2026</v>
      </c>
      <c r="F49" s="191">
        <v>2.1999999999999999E-2</v>
      </c>
      <c r="G49" s="148">
        <f t="shared" si="10"/>
        <v>2034</v>
      </c>
      <c r="H49" s="191">
        <v>2.1999999999999999E-2</v>
      </c>
      <c r="I49" s="192"/>
      <c r="J49" s="147"/>
      <c r="L49" s="148"/>
      <c r="M49" s="191"/>
    </row>
    <row r="50" spans="3:13" s="146" customFormat="1">
      <c r="C50" s="148">
        <f t="shared" si="8"/>
        <v>2019</v>
      </c>
      <c r="D50" s="191">
        <v>1.9E-2</v>
      </c>
      <c r="E50" s="148">
        <f t="shared" si="9"/>
        <v>2027</v>
      </c>
      <c r="F50" s="191">
        <v>2.1999999999999999E-2</v>
      </c>
      <c r="G50" s="148">
        <f t="shared" si="10"/>
        <v>2035</v>
      </c>
      <c r="H50" s="191">
        <v>2.1999999999999999E-2</v>
      </c>
      <c r="I50" s="192"/>
      <c r="J50" s="147"/>
      <c r="L50" s="148"/>
      <c r="M50" s="191"/>
    </row>
    <row r="51" spans="3:13" s="146" customFormat="1" ht="12.75">
      <c r="C51" s="148">
        <f t="shared" si="8"/>
        <v>2020</v>
      </c>
      <c r="D51" s="191">
        <v>2.1999999999999999E-2</v>
      </c>
      <c r="E51" s="148">
        <f t="shared" si="9"/>
        <v>2028</v>
      </c>
      <c r="F51" s="191">
        <v>2.3E-2</v>
      </c>
      <c r="G51" s="148">
        <f t="shared" si="10"/>
        <v>2036</v>
      </c>
      <c r="H51" s="191">
        <v>2.1999999999999999E-2</v>
      </c>
      <c r="L51" s="148"/>
      <c r="M51" s="191"/>
    </row>
    <row r="52" spans="3:13" s="146" customFormat="1">
      <c r="C52" s="148">
        <f t="shared" si="8"/>
        <v>2021</v>
      </c>
      <c r="D52" s="191">
        <v>2.1999999999999999E-2</v>
      </c>
      <c r="E52" s="148">
        <f t="shared" si="9"/>
        <v>2029</v>
      </c>
      <c r="F52" s="191">
        <v>2.3E-2</v>
      </c>
      <c r="G52" s="148">
        <f t="shared" si="10"/>
        <v>2037</v>
      </c>
      <c r="H52" s="191">
        <v>2.1999999999999999E-2</v>
      </c>
      <c r="I52" s="190"/>
      <c r="J52" s="190"/>
      <c r="L52" s="148"/>
      <c r="M52" s="191"/>
    </row>
    <row r="53" spans="3:13" s="147" customFormat="1">
      <c r="C53" s="148">
        <f t="shared" si="8"/>
        <v>2022</v>
      </c>
      <c r="D53" s="191">
        <v>2.3E-2</v>
      </c>
      <c r="E53" s="148">
        <f t="shared" si="9"/>
        <v>2030</v>
      </c>
      <c r="F53" s="191">
        <v>2.3E-2</v>
      </c>
      <c r="G53" s="148">
        <f t="shared" si="10"/>
        <v>2038</v>
      </c>
      <c r="H53" s="191">
        <v>2.1999999999999999E-2</v>
      </c>
      <c r="I53" s="190"/>
      <c r="J53" s="190"/>
      <c r="L53" s="148"/>
      <c r="M53" s="191"/>
    </row>
    <row r="54" spans="3:13" s="147" customFormat="1">
      <c r="C54" s="148">
        <f t="shared" si="8"/>
        <v>2023</v>
      </c>
      <c r="D54" s="191">
        <v>2.1999999999999999E-2</v>
      </c>
      <c r="E54" s="148">
        <f t="shared" si="9"/>
        <v>2031</v>
      </c>
      <c r="F54" s="191">
        <v>2.3E-2</v>
      </c>
      <c r="G54" s="148">
        <f t="shared" si="10"/>
        <v>2039</v>
      </c>
      <c r="H54" s="191">
        <v>2.1999999999999999E-2</v>
      </c>
      <c r="I54" s="190"/>
      <c r="J54" s="190"/>
      <c r="L54" s="148"/>
      <c r="M54" s="191"/>
    </row>
    <row r="55" spans="3:13" s="147" customFormat="1">
      <c r="E55" s="148"/>
      <c r="F55" s="191"/>
      <c r="G55" s="148">
        <f t="shared" si="10"/>
        <v>2040</v>
      </c>
      <c r="H55" s="191">
        <v>2.1999999999999999E-2</v>
      </c>
      <c r="I55" s="190"/>
      <c r="J55" s="190"/>
      <c r="L55" s="148"/>
      <c r="M55" s="191"/>
    </row>
    <row r="56" spans="3:13" s="146" customFormat="1">
      <c r="J56" s="190"/>
    </row>
  </sheetData>
  <mergeCells count="3">
    <mergeCell ref="B1:H1"/>
    <mergeCell ref="B2:H2"/>
    <mergeCell ref="J3:L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7"/>
  <sheetViews>
    <sheetView workbookViewId="0">
      <selection activeCell="I11" sqref="I11"/>
    </sheetView>
  </sheetViews>
  <sheetFormatPr defaultRowHeight="15"/>
  <cols>
    <col min="1" max="3" width="9.33203125" style="190"/>
    <col min="4" max="4" width="12.1640625" style="190" customWidth="1"/>
    <col min="5" max="5" width="15.33203125" style="190" customWidth="1"/>
    <col min="6" max="6" width="14.83203125" style="190" customWidth="1"/>
    <col min="7" max="7" width="14.33203125" style="190" customWidth="1"/>
    <col min="8" max="8" width="11.83203125" style="190" customWidth="1"/>
    <col min="9" max="9" width="9.33203125" style="190"/>
    <col min="10" max="10" width="13.33203125" customWidth="1"/>
    <col min="11" max="11" width="12.83203125" customWidth="1"/>
    <col min="13" max="16384" width="9.33203125" style="190"/>
  </cols>
  <sheetData>
    <row r="1" spans="2:16" ht="15.75">
      <c r="B1" s="365" t="s">
        <v>187</v>
      </c>
      <c r="C1" s="357"/>
      <c r="D1" s="357"/>
      <c r="E1" s="357"/>
      <c r="F1" s="357"/>
      <c r="G1" s="357"/>
      <c r="H1" s="357"/>
    </row>
    <row r="2" spans="2:16" ht="15.75">
      <c r="B2" s="365" t="s">
        <v>201</v>
      </c>
      <c r="C2" s="357"/>
      <c r="D2" s="357"/>
      <c r="E2" s="357"/>
      <c r="F2" s="357"/>
      <c r="G2" s="357"/>
      <c r="H2" s="357"/>
    </row>
    <row r="3" spans="2:16" s="146" customFormat="1" ht="15.75">
      <c r="B3" s="32"/>
      <c r="C3" s="33"/>
      <c r="D3" s="33"/>
      <c r="E3" s="33"/>
      <c r="F3" s="33"/>
      <c r="G3" s="33"/>
      <c r="H3" s="33"/>
      <c r="J3"/>
      <c r="K3"/>
      <c r="L3"/>
      <c r="M3" s="148"/>
    </row>
    <row r="4" spans="2:16" s="146" customFormat="1" ht="12.75">
      <c r="B4" s="36"/>
      <c r="C4" s="36"/>
      <c r="D4" s="36"/>
      <c r="E4" s="36"/>
      <c r="F4" s="36"/>
      <c r="G4" s="36"/>
      <c r="H4" s="36"/>
      <c r="J4"/>
      <c r="K4"/>
      <c r="L4"/>
      <c r="M4" s="148"/>
    </row>
    <row r="5" spans="2:16" s="146" customFormat="1" ht="64.5">
      <c r="B5" s="85" t="s">
        <v>2</v>
      </c>
      <c r="C5" s="86" t="s">
        <v>202</v>
      </c>
      <c r="D5" s="86" t="s">
        <v>203</v>
      </c>
      <c r="E5" s="153" t="s">
        <v>204</v>
      </c>
      <c r="F5" s="153" t="s">
        <v>205</v>
      </c>
      <c r="H5" s="190"/>
      <c r="I5" s="153" t="s">
        <v>134</v>
      </c>
      <c r="J5"/>
      <c r="K5"/>
      <c r="L5"/>
      <c r="M5" s="148"/>
    </row>
    <row r="6" spans="2:16" s="146" customFormat="1">
      <c r="B6" s="39"/>
      <c r="C6" s="169" t="s">
        <v>120</v>
      </c>
      <c r="D6" s="169" t="s">
        <v>120</v>
      </c>
      <c r="E6" s="169" t="s">
        <v>120</v>
      </c>
      <c r="F6" s="169" t="s">
        <v>120</v>
      </c>
      <c r="H6" s="190"/>
      <c r="I6" s="40" t="s">
        <v>133</v>
      </c>
      <c r="J6"/>
      <c r="K6"/>
      <c r="L6"/>
      <c r="M6" s="148"/>
    </row>
    <row r="7" spans="2:16" s="146" customFormat="1" ht="12.75">
      <c r="B7" s="34"/>
      <c r="C7" s="41" t="s">
        <v>4</v>
      </c>
      <c r="D7" s="41" t="s">
        <v>5</v>
      </c>
      <c r="E7" s="41" t="s">
        <v>6</v>
      </c>
      <c r="F7" s="41" t="s">
        <v>7</v>
      </c>
      <c r="J7"/>
      <c r="K7"/>
      <c r="L7"/>
      <c r="M7"/>
      <c r="N7"/>
      <c r="O7"/>
    </row>
    <row r="8" spans="2:16" s="146" customFormat="1" ht="33.75" customHeight="1">
      <c r="C8" s="35"/>
      <c r="D8" s="34"/>
      <c r="E8" s="216"/>
      <c r="F8" s="216"/>
      <c r="H8" s="184" t="s">
        <v>206</v>
      </c>
      <c r="I8" s="200">
        <f>-PMT($C$35,COUNT(I$9:I$23),NPV($C$35,I$9:I$23))</f>
        <v>1.1410878754035625</v>
      </c>
      <c r="J8"/>
      <c r="K8"/>
      <c r="L8"/>
      <c r="M8"/>
      <c r="N8"/>
      <c r="O8"/>
      <c r="P8" s="285"/>
    </row>
    <row r="9" spans="2:16" s="146" customFormat="1">
      <c r="B9" s="60">
        <v>2020</v>
      </c>
      <c r="C9" s="216">
        <f>IF(D9=0,INDEX('Exhibit 1 - Market Capacity'!$I$10:$I$34,MATCH($B9,'Exhibit 1 - Market Capacity'!$B$10:$B$34,0),1),0)</f>
        <v>100326.90999999999</v>
      </c>
      <c r="D9" s="216">
        <f>INDEX('CONF Exhibit 2 - Planned Cap'!$F$9:$F$29,MATCH($B9,'CONF Exhibit 2 - Planned Cap'!$B$9:$B$29,0),1)</f>
        <v>0</v>
      </c>
      <c r="E9" s="216">
        <f>SUM(C9:D9)</f>
        <v>100326.90999999999</v>
      </c>
      <c r="F9" s="216">
        <f>-PMT(DiscountRate,15,NPV(DiscountRate,E9:E23))/$I$8</f>
        <v>115313.20366836186</v>
      </c>
      <c r="H9" s="190"/>
      <c r="I9" s="200">
        <v>1</v>
      </c>
      <c r="J9"/>
      <c r="K9"/>
      <c r="L9"/>
      <c r="M9"/>
      <c r="N9"/>
      <c r="O9"/>
    </row>
    <row r="10" spans="2:16" s="146" customFormat="1">
      <c r="B10" s="60">
        <v>2021</v>
      </c>
      <c r="C10" s="216">
        <f>IF(D10=0,INDEX('Exhibit 1 - Market Capacity'!$I$10:$I$34,MATCH($B10,'Exhibit 1 - Market Capacity'!$B$10:$B$34,0),1),0)</f>
        <v>102534.10000000002</v>
      </c>
      <c r="D10" s="216">
        <f>INDEX('CONF Exhibit 2 - Planned Cap'!$F$9:$F$29,MATCH($B10,'CONF Exhibit 2 - Planned Cap'!$B$9:$B$29,0),1)</f>
        <v>0</v>
      </c>
      <c r="E10" s="216">
        <f t="shared" ref="E10:E28" si="0">SUM(C10:D10)</f>
        <v>102534.10000000002</v>
      </c>
      <c r="F10" s="216">
        <f t="shared" ref="F10:F28" si="1">F9*(1+IFERROR(INDEX($D$38:$D$45,MATCH($B10,$C$38:$C$45,0),1),IFERROR(INDEX($F$38:$F$45,MATCH($B10,$E$38:$E$45,0),1),INDEX($H$38:$H$46,MATCH($B10,$G$38:$G$46,0),1))))</f>
        <v>117850.09414906583</v>
      </c>
      <c r="H10" s="190"/>
      <c r="I10" s="200">
        <f t="shared" ref="I10:I29" si="2">I9*(1+IFERROR(INDEX($D$38:$D$45,MATCH($B10,$C$38:$C$45,0),1),IFERROR(INDEX($F$38:$F$45,MATCH($B10,$E$38:$E$45,0),1),INDEX($H$38:$H$46,MATCH($B10,$G$38:$G$46,0),1))))</f>
        <v>1.022</v>
      </c>
      <c r="J10"/>
      <c r="K10"/>
      <c r="L10"/>
      <c r="M10"/>
      <c r="N10"/>
      <c r="O10"/>
    </row>
    <row r="11" spans="2:16" s="146" customFormat="1">
      <c r="B11" s="60">
        <f t="shared" ref="B11:B29" si="3">B10+1</f>
        <v>2022</v>
      </c>
      <c r="C11" s="216">
        <f>IF(D11=0,INDEX('Exhibit 1 - Market Capacity'!$I$10:$I$34,MATCH($B11,'Exhibit 1 - Market Capacity'!$B$10:$B$34,0),1),0)</f>
        <v>104892.38</v>
      </c>
      <c r="D11" s="216">
        <f>INDEX('CONF Exhibit 2 - Planned Cap'!$F$9:$F$29,MATCH($B11,'CONF Exhibit 2 - Planned Cap'!$B$9:$B$29,0),1)</f>
        <v>0</v>
      </c>
      <c r="E11" s="216">
        <f t="shared" si="0"/>
        <v>104892.38</v>
      </c>
      <c r="F11" s="216">
        <f t="shared" si="1"/>
        <v>120560.64631449433</v>
      </c>
      <c r="H11" s="190"/>
      <c r="I11" s="200">
        <f t="shared" si="2"/>
        <v>1.0455059999999998</v>
      </c>
      <c r="J11"/>
      <c r="K11"/>
      <c r="L11"/>
      <c r="M11"/>
      <c r="N11"/>
      <c r="O11"/>
    </row>
    <row r="12" spans="2:16" s="146" customFormat="1">
      <c r="B12" s="60">
        <f t="shared" si="3"/>
        <v>2023</v>
      </c>
      <c r="C12" s="216">
        <f>IF(D12=0,INDEX('Exhibit 1 - Market Capacity'!$I$10:$I$34,MATCH($B12,'Exhibit 1 - Market Capacity'!$B$10:$B$34,0),1),0)</f>
        <v>107200.01000000001</v>
      </c>
      <c r="D12" s="216">
        <f>INDEX('CONF Exhibit 2 - Planned Cap'!$F$9:$F$29,MATCH($B12,'CONF Exhibit 2 - Planned Cap'!$B$9:$B$29,0),1)</f>
        <v>0</v>
      </c>
      <c r="E12" s="216">
        <f t="shared" si="0"/>
        <v>107200.01000000001</v>
      </c>
      <c r="F12" s="216">
        <f t="shared" si="1"/>
        <v>123212.98053341321</v>
      </c>
      <c r="H12" s="190"/>
      <c r="I12" s="200">
        <f t="shared" si="2"/>
        <v>1.0685071319999999</v>
      </c>
      <c r="J12"/>
      <c r="K12"/>
      <c r="L12"/>
      <c r="M12"/>
      <c r="N12"/>
      <c r="O12"/>
    </row>
    <row r="13" spans="2:16" s="146" customFormat="1">
      <c r="B13" s="60">
        <f t="shared" si="3"/>
        <v>2024</v>
      </c>
      <c r="C13" s="216">
        <f>IF(D13=0,INDEX('Exhibit 1 - Market Capacity'!$I$10:$I$34,MATCH($B13,'Exhibit 1 - Market Capacity'!$B$10:$B$34,0),1),0)</f>
        <v>109558.40999999999</v>
      </c>
      <c r="D13" s="216">
        <f>INDEX('CONF Exhibit 2 - Planned Cap'!$F$9:$F$29,MATCH($B13,'CONF Exhibit 2 - Planned Cap'!$B$9:$B$29,0),1)</f>
        <v>0</v>
      </c>
      <c r="E13" s="216">
        <f t="shared" si="0"/>
        <v>109558.40999999999</v>
      </c>
      <c r="F13" s="216">
        <f t="shared" si="1"/>
        <v>125923.66610514831</v>
      </c>
      <c r="H13" s="190"/>
      <c r="I13" s="200">
        <f t="shared" si="2"/>
        <v>1.0920142889039999</v>
      </c>
      <c r="J13"/>
      <c r="K13"/>
      <c r="L13"/>
      <c r="M13"/>
      <c r="N13"/>
      <c r="O13"/>
    </row>
    <row r="14" spans="2:16" s="146" customFormat="1">
      <c r="B14" s="60">
        <f t="shared" si="3"/>
        <v>2025</v>
      </c>
      <c r="C14" s="216">
        <f>IF(D14=0,INDEX('Exhibit 1 - Market Capacity'!$I$10:$I$34,MATCH($B14,'Exhibit 1 - Market Capacity'!$B$10:$B$34,0),1),0)</f>
        <v>111968.7</v>
      </c>
      <c r="D14" s="216">
        <f>INDEX('CONF Exhibit 2 - Planned Cap'!$F$9:$F$29,MATCH($B14,'CONF Exhibit 2 - Planned Cap'!$B$9:$B$29,0),1)</f>
        <v>0</v>
      </c>
      <c r="E14" s="216">
        <f t="shared" si="0"/>
        <v>111968.7</v>
      </c>
      <c r="F14" s="216">
        <f t="shared" si="1"/>
        <v>128693.98675946158</v>
      </c>
      <c r="H14" s="190"/>
      <c r="I14" s="200">
        <f t="shared" si="2"/>
        <v>1.1160386032598879</v>
      </c>
      <c r="J14"/>
      <c r="K14"/>
      <c r="L14"/>
      <c r="M14"/>
      <c r="N14"/>
      <c r="O14"/>
    </row>
    <row r="15" spans="2:16" s="146" customFormat="1">
      <c r="B15" s="60">
        <f t="shared" si="3"/>
        <v>2026</v>
      </c>
      <c r="C15" s="216">
        <f>IF(D15=0,INDEX('Exhibit 1 - Market Capacity'!$I$10:$I$34,MATCH($B15,'Exhibit 1 - Market Capacity'!$B$10:$B$34,0),1),0)</f>
        <v>114432.01000000001</v>
      </c>
      <c r="D15" s="216">
        <f>INDEX('CONF Exhibit 2 - Planned Cap'!$F$9:$F$29,MATCH($B15,'CONF Exhibit 2 - Planned Cap'!$B$9:$B$29,0),1)</f>
        <v>0</v>
      </c>
      <c r="E15" s="216">
        <f t="shared" si="0"/>
        <v>114432.01000000001</v>
      </c>
      <c r="F15" s="216">
        <f t="shared" si="1"/>
        <v>131525.25446816973</v>
      </c>
      <c r="H15" s="190"/>
      <c r="I15" s="200">
        <f t="shared" si="2"/>
        <v>1.1405914525316054</v>
      </c>
      <c r="J15"/>
      <c r="K15"/>
      <c r="L15"/>
      <c r="M15"/>
      <c r="N15"/>
      <c r="O15"/>
    </row>
    <row r="16" spans="2:16" s="146" customFormat="1">
      <c r="B16" s="60">
        <f t="shared" si="3"/>
        <v>2027</v>
      </c>
      <c r="C16" s="216">
        <f>IF(D16=0,INDEX('Exhibit 1 - Market Capacity'!$I$10:$I$34,MATCH($B16,'Exhibit 1 - Market Capacity'!$B$10:$B$34,0),1),0)</f>
        <v>116949.51999999997</v>
      </c>
      <c r="D16" s="216">
        <f>INDEX('CONF Exhibit 2 - Planned Cap'!$F$9:$F$29,MATCH($B16,'CONF Exhibit 2 - Planned Cap'!$B$9:$B$29,0),1)</f>
        <v>0</v>
      </c>
      <c r="E16" s="216">
        <f t="shared" si="0"/>
        <v>116949.51999999997</v>
      </c>
      <c r="F16" s="216">
        <f t="shared" si="1"/>
        <v>134418.81006646948</v>
      </c>
      <c r="H16" s="190"/>
      <c r="I16" s="200">
        <f t="shared" si="2"/>
        <v>1.1656844644873008</v>
      </c>
      <c r="J16"/>
      <c r="K16"/>
      <c r="L16"/>
      <c r="M16"/>
      <c r="N16"/>
      <c r="O16"/>
    </row>
    <row r="17" spans="2:15" s="146" customFormat="1">
      <c r="B17" s="60">
        <f t="shared" si="3"/>
        <v>2028</v>
      </c>
      <c r="C17" s="216">
        <f>IF(D17=0,INDEX('Exhibit 1 - Market Capacity'!$I$10:$I$34,MATCH($B17,'Exhibit 1 - Market Capacity'!$B$10:$B$34,0),1),0)</f>
        <v>0</v>
      </c>
      <c r="D17" s="216">
        <f>INDEX('CONF Exhibit 2 - Planned Cap'!$F$9:$F$29,MATCH($B17,'CONF Exhibit 2 - Planned Cap'!$B$9:$B$29,0),1)</f>
        <v>166077.49589396801</v>
      </c>
      <c r="E17" s="216">
        <f t="shared" si="0"/>
        <v>166077.49589396801</v>
      </c>
      <c r="F17" s="216">
        <f t="shared" si="1"/>
        <v>137510.44269799825</v>
      </c>
      <c r="H17" s="190"/>
      <c r="I17" s="200">
        <f t="shared" si="2"/>
        <v>1.1924952071705086</v>
      </c>
      <c r="J17"/>
      <c r="K17"/>
      <c r="L17"/>
      <c r="M17"/>
      <c r="N17"/>
      <c r="O17"/>
    </row>
    <row r="18" spans="2:15" s="146" customFormat="1">
      <c r="B18" s="60">
        <f t="shared" si="3"/>
        <v>2029</v>
      </c>
      <c r="C18" s="216">
        <f>IF(D18=0,INDEX('Exhibit 1 - Market Capacity'!$I$10:$I$34,MATCH($B18,'Exhibit 1 - Market Capacity'!$B$10:$B$34,0),1),0)</f>
        <v>0</v>
      </c>
      <c r="D18" s="216">
        <f>INDEX('CONF Exhibit 2 - Planned Cap'!$F$9:$F$29,MATCH($B18,'CONF Exhibit 2 - Planned Cap'!$B$9:$B$29,0),1)</f>
        <v>169897.28395061727</v>
      </c>
      <c r="E18" s="216">
        <f t="shared" si="0"/>
        <v>169897.28395061727</v>
      </c>
      <c r="F18" s="216">
        <f t="shared" si="1"/>
        <v>140673.18288005219</v>
      </c>
      <c r="H18" s="190"/>
      <c r="I18" s="200">
        <f t="shared" si="2"/>
        <v>1.2199225969354301</v>
      </c>
      <c r="J18"/>
      <c r="K18"/>
      <c r="L18"/>
      <c r="M18"/>
      <c r="N18"/>
      <c r="O18"/>
    </row>
    <row r="19" spans="2:15" s="146" customFormat="1">
      <c r="B19" s="60">
        <f t="shared" si="3"/>
        <v>2030</v>
      </c>
      <c r="C19" s="216">
        <f>IF(D19=0,INDEX('Exhibit 1 - Market Capacity'!$I$10:$I$34,MATCH($B19,'Exhibit 1 - Market Capacity'!$B$10:$B$34,0),1),0)</f>
        <v>0</v>
      </c>
      <c r="D19" s="216">
        <f>INDEX('CONF Exhibit 2 - Planned Cap'!$F$9:$F$29,MATCH($B19,'CONF Exhibit 2 - Planned Cap'!$B$9:$B$29,0),1)</f>
        <v>173804.92283950615</v>
      </c>
      <c r="E19" s="216">
        <f t="shared" si="0"/>
        <v>173804.92283950615</v>
      </c>
      <c r="F19" s="216">
        <f t="shared" si="1"/>
        <v>143908.66608629338</v>
      </c>
      <c r="H19" s="190"/>
      <c r="I19" s="200">
        <f t="shared" si="2"/>
        <v>1.2479808166649449</v>
      </c>
      <c r="J19"/>
      <c r="K19"/>
      <c r="L19"/>
      <c r="M19"/>
      <c r="N19"/>
      <c r="O19"/>
    </row>
    <row r="20" spans="2:15" s="146" customFormat="1">
      <c r="B20" s="60">
        <f t="shared" si="3"/>
        <v>2031</v>
      </c>
      <c r="C20" s="216">
        <f>IF(D20=0,INDEX('Exhibit 1 - Market Capacity'!$I$10:$I$34,MATCH($B20,'Exhibit 1 - Market Capacity'!$B$10:$B$34,0),1),0)</f>
        <v>0</v>
      </c>
      <c r="D20" s="216">
        <f>INDEX('CONF Exhibit 2 - Planned Cap'!$F$9:$F$29,MATCH($B20,'CONF Exhibit 2 - Planned Cap'!$B$9:$B$29,0),1)</f>
        <v>177802.43827160491</v>
      </c>
      <c r="E20" s="216">
        <f t="shared" si="0"/>
        <v>177802.43827160491</v>
      </c>
      <c r="F20" s="216">
        <f t="shared" si="1"/>
        <v>147218.56540627813</v>
      </c>
      <c r="H20" s="190"/>
      <c r="I20" s="200">
        <f t="shared" si="2"/>
        <v>1.2766843754482384</v>
      </c>
      <c r="J20"/>
      <c r="K20"/>
      <c r="L20"/>
      <c r="M20"/>
      <c r="N20"/>
      <c r="O20"/>
    </row>
    <row r="21" spans="2:15" s="146" customFormat="1">
      <c r="B21" s="60">
        <f t="shared" si="3"/>
        <v>2032</v>
      </c>
      <c r="C21" s="216">
        <f>IF(D21=0,INDEX('Exhibit 1 - Market Capacity'!$I$10:$I$34,MATCH($B21,'Exhibit 1 - Market Capacity'!$B$10:$B$34,0),1),0)</f>
        <v>0</v>
      </c>
      <c r="D21" s="216">
        <f>INDEX('CONF Exhibit 2 - Planned Cap'!$F$9:$F$29,MATCH($B21,'CONF Exhibit 2 - Planned Cap'!$B$9:$B$29,0),1)</f>
        <v>181891.89814814815</v>
      </c>
      <c r="E21" s="216">
        <f t="shared" si="0"/>
        <v>181891.89814814815</v>
      </c>
      <c r="F21" s="216">
        <f t="shared" si="1"/>
        <v>150604.59241062251</v>
      </c>
      <c r="H21" s="190"/>
      <c r="I21" s="200">
        <f t="shared" si="2"/>
        <v>1.3060481160835478</v>
      </c>
      <c r="J21"/>
      <c r="K21"/>
      <c r="L21"/>
      <c r="M21"/>
      <c r="N21"/>
      <c r="O21"/>
    </row>
    <row r="22" spans="2:15" s="146" customFormat="1">
      <c r="B22" s="60">
        <f t="shared" si="3"/>
        <v>2033</v>
      </c>
      <c r="C22" s="216">
        <f>IF(D22=0,INDEX('Exhibit 1 - Market Capacity'!$I$10:$I$34,MATCH($B22,'Exhibit 1 - Market Capacity'!$B$10:$B$34,0),1),0)</f>
        <v>0</v>
      </c>
      <c r="D22" s="216">
        <f>INDEX('CONF Exhibit 2 - Planned Cap'!$F$9:$F$29,MATCH($B22,'CONF Exhibit 2 - Planned Cap'!$B$9:$B$29,0),1)</f>
        <v>185893.51851851851</v>
      </c>
      <c r="E22" s="216">
        <f t="shared" si="0"/>
        <v>185893.51851851851</v>
      </c>
      <c r="F22" s="216">
        <f t="shared" si="1"/>
        <v>153917.89344365621</v>
      </c>
      <c r="H22" s="190"/>
      <c r="I22" s="200">
        <f t="shared" si="2"/>
        <v>1.3347811746373859</v>
      </c>
      <c r="J22"/>
      <c r="K22"/>
      <c r="L22"/>
      <c r="M22"/>
      <c r="N22"/>
      <c r="O22"/>
    </row>
    <row r="23" spans="2:15" s="146" customFormat="1">
      <c r="B23" s="60">
        <f t="shared" si="3"/>
        <v>2034</v>
      </c>
      <c r="C23" s="216">
        <f>IF(D23=0,INDEX('Exhibit 1 - Market Capacity'!$I$10:$I$34,MATCH($B23,'Exhibit 1 - Market Capacity'!$B$10:$B$34,0),1),0)</f>
        <v>0</v>
      </c>
      <c r="D23" s="216">
        <f>INDEX('CONF Exhibit 2 - Planned Cap'!$F$9:$F$29,MATCH($B23,'CONF Exhibit 2 - Planned Cap'!$B$9:$B$29,0),1)</f>
        <v>189983.17901234567</v>
      </c>
      <c r="E23" s="216">
        <f t="shared" si="0"/>
        <v>189983.17901234567</v>
      </c>
      <c r="F23" s="216">
        <f t="shared" si="1"/>
        <v>157304.08709941665</v>
      </c>
      <c r="H23" s="190"/>
      <c r="I23" s="200">
        <f t="shared" si="2"/>
        <v>1.3641463604794084</v>
      </c>
      <c r="J23"/>
      <c r="K23"/>
      <c r="L23"/>
      <c r="M23"/>
      <c r="N23"/>
      <c r="O23"/>
    </row>
    <row r="24" spans="2:15" s="146" customFormat="1">
      <c r="B24" s="60">
        <f t="shared" si="3"/>
        <v>2035</v>
      </c>
      <c r="C24" s="216">
        <f>IF(D24=0,INDEX('Exhibit 1 - Market Capacity'!$I$10:$I$34,MATCH($B24,'Exhibit 1 - Market Capacity'!$B$10:$B$34,0),1),0)</f>
        <v>0</v>
      </c>
      <c r="D24" s="216">
        <f>INDEX('CONF Exhibit 2 - Planned Cap'!$F$9:$F$29,MATCH($B24,'CONF Exhibit 2 - Planned Cap'!$B$9:$B$29,0),1)</f>
        <v>194162.80864197531</v>
      </c>
      <c r="E24" s="216">
        <f t="shared" si="0"/>
        <v>194162.80864197531</v>
      </c>
      <c r="F24" s="216">
        <f t="shared" si="1"/>
        <v>160764.77701560382</v>
      </c>
      <c r="H24" s="190"/>
      <c r="I24" s="200">
        <f t="shared" si="2"/>
        <v>1.3941575804099555</v>
      </c>
      <c r="J24"/>
      <c r="K24"/>
      <c r="L24"/>
      <c r="M24"/>
      <c r="N24"/>
      <c r="O24"/>
    </row>
    <row r="25" spans="2:15" s="146" customFormat="1">
      <c r="B25" s="60">
        <f t="shared" si="3"/>
        <v>2036</v>
      </c>
      <c r="C25" s="216">
        <f>IF(D25=0,INDEX('Exhibit 1 - Market Capacity'!$I$10:$I$34,MATCH($B25,'Exhibit 1 - Market Capacity'!$B$10:$B$34,0),1),0)</f>
        <v>0</v>
      </c>
      <c r="D25" s="216">
        <f>INDEX('CONF Exhibit 2 - Planned Cap'!$F$9:$F$29,MATCH($B25,'CONF Exhibit 2 - Planned Cap'!$B$9:$B$29,0),1)</f>
        <v>198434.39814814815</v>
      </c>
      <c r="E25" s="216">
        <f t="shared" si="0"/>
        <v>198434.39814814815</v>
      </c>
      <c r="F25" s="216">
        <f t="shared" si="1"/>
        <v>164301.6021099471</v>
      </c>
      <c r="H25" s="190"/>
      <c r="I25" s="200">
        <f t="shared" si="2"/>
        <v>1.4248290471789746</v>
      </c>
      <c r="J25"/>
      <c r="K25"/>
      <c r="L25"/>
      <c r="M25"/>
      <c r="N25"/>
      <c r="O25"/>
    </row>
    <row r="26" spans="2:15" s="146" customFormat="1">
      <c r="B26" s="60">
        <f t="shared" si="3"/>
        <v>2037</v>
      </c>
      <c r="C26" s="216">
        <f>IF(D26=0,INDEX('Exhibit 1 - Market Capacity'!$I$10:$I$34,MATCH($B26,'Exhibit 1 - Market Capacity'!$B$10:$B$34,0),1),0)</f>
        <v>0</v>
      </c>
      <c r="D26" s="216">
        <f>INDEX('CONF Exhibit 2 - Planned Cap'!$F$9:$F$29,MATCH($B26,'CONF Exhibit 2 - Planned Cap'!$B$9:$B$29,0),1)</f>
        <v>202799.95370370368</v>
      </c>
      <c r="E26" s="216">
        <f t="shared" si="0"/>
        <v>202799.95370370368</v>
      </c>
      <c r="F26" s="216">
        <f t="shared" si="1"/>
        <v>167916.23735636595</v>
      </c>
      <c r="H26" s="190"/>
      <c r="I26" s="200">
        <f t="shared" si="2"/>
        <v>1.4561752862169122</v>
      </c>
      <c r="J26"/>
      <c r="K26"/>
      <c r="L26"/>
      <c r="M26"/>
      <c r="N26"/>
      <c r="O26"/>
    </row>
    <row r="27" spans="2:15" s="146" customFormat="1">
      <c r="B27" s="60">
        <f t="shared" si="3"/>
        <v>2038</v>
      </c>
      <c r="C27" s="216">
        <f>IF(D27=0,INDEX('Exhibit 1 - Market Capacity'!$I$10:$I$34,MATCH($B27,'Exhibit 1 - Market Capacity'!$B$10:$B$34,0),1),0)</f>
        <v>0</v>
      </c>
      <c r="D27" s="216">
        <f>INDEX('CONF Exhibit 2 - Planned Cap'!$F$9:$F$29,MATCH($B27,'CONF Exhibit 2 - Planned Cap'!$B$9:$B$29,0),1)</f>
        <v>207261.55864197528</v>
      </c>
      <c r="E27" s="216">
        <f t="shared" si="0"/>
        <v>207261.55864197528</v>
      </c>
      <c r="F27" s="216">
        <f t="shared" si="1"/>
        <v>171610.394578206</v>
      </c>
      <c r="H27" s="190"/>
      <c r="I27" s="200">
        <f t="shared" si="2"/>
        <v>1.4882111425136844</v>
      </c>
      <c r="J27"/>
      <c r="K27"/>
      <c r="L27"/>
      <c r="M27"/>
      <c r="N27"/>
      <c r="O27"/>
    </row>
    <row r="28" spans="2:15" s="146" customFormat="1">
      <c r="B28" s="60">
        <f t="shared" si="3"/>
        <v>2039</v>
      </c>
      <c r="C28" s="216">
        <f>IF(D28=0,INDEX('Exhibit 1 - Market Capacity'!$I$10:$I$34,MATCH($B28,'Exhibit 1 - Market Capacity'!$B$10:$B$34,0),1),0)</f>
        <v>0</v>
      </c>
      <c r="D28" s="216">
        <f>INDEX('CONF Exhibit 2 - Planned Cap'!$F$9:$F$29,MATCH($B28,'CONF Exhibit 2 - Planned Cap'!$B$9:$B$29,0),1)</f>
        <v>211821.31172839506</v>
      </c>
      <c r="E28" s="216">
        <f t="shared" si="0"/>
        <v>211821.31172839506</v>
      </c>
      <c r="F28" s="216">
        <f t="shared" si="1"/>
        <v>175385.82325892654</v>
      </c>
      <c r="H28" s="190"/>
      <c r="I28" s="200">
        <f t="shared" si="2"/>
        <v>1.5209517876489855</v>
      </c>
      <c r="J28"/>
      <c r="K28"/>
      <c r="L28"/>
      <c r="M28"/>
      <c r="N28"/>
      <c r="O28"/>
    </row>
    <row r="29" spans="2:15" s="146" customFormat="1">
      <c r="B29" s="60">
        <f t="shared" si="3"/>
        <v>2040</v>
      </c>
      <c r="C29" s="95"/>
      <c r="D29" s="87"/>
      <c r="E29" s="87"/>
      <c r="F29" s="152"/>
      <c r="G29" s="190"/>
      <c r="H29" s="190"/>
      <c r="I29" s="200">
        <f t="shared" si="2"/>
        <v>1.5544127269772632</v>
      </c>
      <c r="J29"/>
      <c r="K29"/>
      <c r="L29"/>
      <c r="M29"/>
      <c r="N29"/>
      <c r="O29"/>
    </row>
    <row r="30" spans="2:15" s="146" customFormat="1" ht="12.75">
      <c r="B30" s="34"/>
      <c r="C30" s="34"/>
      <c r="D30" s="34"/>
      <c r="E30" s="34"/>
      <c r="F30" s="34"/>
      <c r="G30" s="34"/>
      <c r="H30" s="34"/>
      <c r="J30"/>
      <c r="K30"/>
      <c r="L30"/>
    </row>
    <row r="31" spans="2:15" s="146" customFormat="1" ht="14.25">
      <c r="B31" s="89" t="s">
        <v>13</v>
      </c>
      <c r="C31" s="90"/>
      <c r="D31" s="90"/>
      <c r="E31" s="90"/>
      <c r="F31" s="90"/>
      <c r="G31" s="90"/>
      <c r="H31" s="90"/>
      <c r="J31"/>
      <c r="K31"/>
      <c r="L31"/>
    </row>
    <row r="32" spans="2:15" s="146" customFormat="1" ht="12.75">
      <c r="B32" s="34"/>
      <c r="C32" s="34"/>
      <c r="D32" s="34"/>
      <c r="E32" s="34"/>
      <c r="F32" s="34"/>
      <c r="G32" s="34"/>
      <c r="H32" s="34"/>
      <c r="J32"/>
      <c r="K32"/>
      <c r="L32"/>
    </row>
    <row r="33" spans="2:13" s="146" customFormat="1" ht="13.5" thickBot="1">
      <c r="B33" s="34"/>
      <c r="C33" s="34"/>
      <c r="D33" s="34"/>
      <c r="E33" s="34"/>
      <c r="F33" s="34"/>
      <c r="G33" s="34"/>
      <c r="H33" s="34"/>
      <c r="J33"/>
      <c r="K33"/>
      <c r="L33"/>
    </row>
    <row r="34" spans="2:13" s="146" customFormat="1" ht="13.5" thickBot="1">
      <c r="B34" s="34"/>
      <c r="C34" s="93"/>
      <c r="D34" s="94" t="s">
        <v>60</v>
      </c>
      <c r="E34" s="94"/>
      <c r="F34" s="94"/>
      <c r="G34" s="94"/>
      <c r="H34" s="198"/>
      <c r="J34"/>
      <c r="K34"/>
      <c r="L34"/>
    </row>
    <row r="35" spans="2:13" s="146" customFormat="1" ht="12.75">
      <c r="B35" s="34"/>
      <c r="C35" s="197">
        <v>6.9099999999999995E-2</v>
      </c>
      <c r="D35" s="150" t="s">
        <v>130</v>
      </c>
      <c r="E35" s="34"/>
      <c r="F35" s="34"/>
      <c r="G35" s="34"/>
      <c r="H35" s="34"/>
      <c r="J35"/>
      <c r="K35"/>
      <c r="L35"/>
    </row>
    <row r="36" spans="2:13" s="146" customFormat="1" ht="15.75" thickBot="1">
      <c r="B36" s="35"/>
      <c r="C36" s="35"/>
      <c r="D36" s="35"/>
      <c r="E36" s="35"/>
      <c r="F36" s="35"/>
      <c r="G36" s="35"/>
      <c r="H36" s="35"/>
      <c r="I36" s="193"/>
      <c r="J36"/>
      <c r="K36"/>
      <c r="L36"/>
    </row>
    <row r="37" spans="2:13" s="146" customFormat="1" ht="15.75" thickBot="1">
      <c r="C37" s="196" t="s">
        <v>198</v>
      </c>
      <c r="D37" s="195"/>
      <c r="E37" s="195"/>
      <c r="F37" s="195"/>
      <c r="G37" s="195"/>
      <c r="H37" s="194"/>
      <c r="I37" s="193"/>
      <c r="J37"/>
      <c r="K37"/>
      <c r="L37"/>
    </row>
    <row r="38" spans="2:13" s="146" customFormat="1">
      <c r="C38" s="148">
        <v>2016</v>
      </c>
      <c r="D38" s="191">
        <v>1.2E-2</v>
      </c>
      <c r="E38" s="148">
        <v>2024</v>
      </c>
      <c r="F38" s="191">
        <v>2.1999999999999999E-2</v>
      </c>
      <c r="G38" s="148">
        <v>2032</v>
      </c>
      <c r="H38" s="191">
        <v>2.3E-2</v>
      </c>
      <c r="I38" s="193"/>
      <c r="J38"/>
      <c r="K38"/>
      <c r="L38"/>
      <c r="M38" s="191"/>
    </row>
    <row r="39" spans="2:13" s="146" customFormat="1">
      <c r="C39" s="148">
        <f t="shared" ref="C39:C45" si="4">C38+1</f>
        <v>2017</v>
      </c>
      <c r="D39" s="191">
        <v>0.02</v>
      </c>
      <c r="E39" s="148">
        <f t="shared" ref="E39:E45" si="5">E38+1</f>
        <v>2025</v>
      </c>
      <c r="F39" s="191">
        <v>2.1999999999999999E-2</v>
      </c>
      <c r="G39" s="148">
        <f t="shared" ref="G39:G46" si="6">G38+1</f>
        <v>2033</v>
      </c>
      <c r="H39" s="191">
        <v>2.1999999999999999E-2</v>
      </c>
      <c r="I39" s="192"/>
      <c r="J39"/>
      <c r="K39"/>
      <c r="L39"/>
      <c r="M39" s="191"/>
    </row>
    <row r="40" spans="2:13" s="146" customFormat="1">
      <c r="C40" s="148">
        <f t="shared" si="4"/>
        <v>2018</v>
      </c>
      <c r="D40" s="191">
        <v>2.3E-2</v>
      </c>
      <c r="E40" s="148">
        <f t="shared" si="5"/>
        <v>2026</v>
      </c>
      <c r="F40" s="191">
        <v>2.1999999999999999E-2</v>
      </c>
      <c r="G40" s="148">
        <f t="shared" si="6"/>
        <v>2034</v>
      </c>
      <c r="H40" s="191">
        <v>2.1999999999999999E-2</v>
      </c>
      <c r="I40" s="192"/>
      <c r="J40"/>
      <c r="K40"/>
      <c r="L40"/>
      <c r="M40" s="191"/>
    </row>
    <row r="41" spans="2:13" s="146" customFormat="1">
      <c r="C41" s="148">
        <f t="shared" si="4"/>
        <v>2019</v>
      </c>
      <c r="D41" s="191">
        <v>1.9E-2</v>
      </c>
      <c r="E41" s="148">
        <f t="shared" si="5"/>
        <v>2027</v>
      </c>
      <c r="F41" s="191">
        <v>2.1999999999999999E-2</v>
      </c>
      <c r="G41" s="148">
        <f t="shared" si="6"/>
        <v>2035</v>
      </c>
      <c r="H41" s="191">
        <v>2.1999999999999999E-2</v>
      </c>
      <c r="I41" s="192"/>
      <c r="J41"/>
      <c r="K41"/>
      <c r="L41"/>
      <c r="M41" s="191"/>
    </row>
    <row r="42" spans="2:13" s="146" customFormat="1" ht="12.75">
      <c r="C42" s="148">
        <f t="shared" si="4"/>
        <v>2020</v>
      </c>
      <c r="D42" s="191">
        <v>2.1999999999999999E-2</v>
      </c>
      <c r="E42" s="148">
        <f t="shared" si="5"/>
        <v>2028</v>
      </c>
      <c r="F42" s="191">
        <v>2.3E-2</v>
      </c>
      <c r="G42" s="148">
        <f t="shared" si="6"/>
        <v>2036</v>
      </c>
      <c r="H42" s="191">
        <v>2.1999999999999999E-2</v>
      </c>
      <c r="J42"/>
      <c r="K42"/>
      <c r="L42"/>
      <c r="M42" s="191"/>
    </row>
    <row r="43" spans="2:13" s="146" customFormat="1">
      <c r="C43" s="148">
        <f t="shared" si="4"/>
        <v>2021</v>
      </c>
      <c r="D43" s="191">
        <v>2.1999999999999999E-2</v>
      </c>
      <c r="E43" s="148">
        <f t="shared" si="5"/>
        <v>2029</v>
      </c>
      <c r="F43" s="191">
        <v>2.3E-2</v>
      </c>
      <c r="G43" s="148">
        <f t="shared" si="6"/>
        <v>2037</v>
      </c>
      <c r="H43" s="191">
        <v>2.1999999999999999E-2</v>
      </c>
      <c r="I43" s="190"/>
      <c r="J43"/>
      <c r="K43"/>
      <c r="L43"/>
      <c r="M43" s="191"/>
    </row>
    <row r="44" spans="2:13" s="147" customFormat="1">
      <c r="C44" s="148">
        <f t="shared" si="4"/>
        <v>2022</v>
      </c>
      <c r="D44" s="191">
        <v>2.3E-2</v>
      </c>
      <c r="E44" s="148">
        <f t="shared" si="5"/>
        <v>2030</v>
      </c>
      <c r="F44" s="191">
        <v>2.3E-2</v>
      </c>
      <c r="G44" s="148">
        <f t="shared" si="6"/>
        <v>2038</v>
      </c>
      <c r="H44" s="191">
        <v>2.1999999999999999E-2</v>
      </c>
      <c r="I44" s="190"/>
      <c r="J44"/>
      <c r="K44"/>
      <c r="L44"/>
      <c r="M44" s="191"/>
    </row>
    <row r="45" spans="2:13" s="147" customFormat="1">
      <c r="C45" s="148">
        <f t="shared" si="4"/>
        <v>2023</v>
      </c>
      <c r="D45" s="191">
        <v>2.1999999999999999E-2</v>
      </c>
      <c r="E45" s="148">
        <f t="shared" si="5"/>
        <v>2031</v>
      </c>
      <c r="F45" s="191">
        <v>2.3E-2</v>
      </c>
      <c r="G45" s="148">
        <f t="shared" si="6"/>
        <v>2039</v>
      </c>
      <c r="H45" s="191">
        <v>2.1999999999999999E-2</v>
      </c>
      <c r="I45" s="190"/>
      <c r="J45"/>
      <c r="K45"/>
      <c r="L45"/>
      <c r="M45" s="191"/>
    </row>
    <row r="46" spans="2:13" s="147" customFormat="1">
      <c r="E46" s="148"/>
      <c r="F46" s="191"/>
      <c r="G46" s="148">
        <f t="shared" si="6"/>
        <v>2040</v>
      </c>
      <c r="H46" s="191">
        <v>2.1999999999999999E-2</v>
      </c>
      <c r="I46" s="190"/>
      <c r="J46"/>
      <c r="K46"/>
      <c r="L46"/>
      <c r="M46" s="191"/>
    </row>
    <row r="47" spans="2:13" s="146" customFormat="1" ht="12.75">
      <c r="J47"/>
      <c r="K47"/>
      <c r="L47"/>
    </row>
  </sheetData>
  <mergeCells count="2">
    <mergeCell ref="B1:H1"/>
    <mergeCell ref="B2:H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topLeftCell="A33" workbookViewId="0">
      <selection activeCell="I38" sqref="I38"/>
    </sheetView>
  </sheetViews>
  <sheetFormatPr defaultColWidth="9.33203125" defaultRowHeight="12.75"/>
  <cols>
    <col min="1" max="1" width="1.83203125" style="1" customWidth="1"/>
    <col min="2" max="2" width="12.5" style="1" customWidth="1"/>
    <col min="3" max="14" width="10" style="1" customWidth="1"/>
    <col min="15" max="16" width="2.83203125" style="11" customWidth="1"/>
    <col min="17" max="17" width="18.6640625" style="11" customWidth="1"/>
    <col min="18" max="18" width="19.6640625" style="11" customWidth="1"/>
    <col min="19" max="16384" width="9.33203125" style="1"/>
  </cols>
  <sheetData>
    <row r="1" spans="1:26" s="56" customFormat="1" ht="15.75">
      <c r="B1" s="369" t="s">
        <v>219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50"/>
      <c r="P1" s="50"/>
      <c r="Q1" s="50"/>
      <c r="R1" s="50"/>
    </row>
    <row r="2" spans="1:26" s="56" customFormat="1" ht="15.75">
      <c r="B2" s="367" t="s">
        <v>58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50"/>
      <c r="P2" s="50"/>
      <c r="Q2" s="50"/>
      <c r="R2" s="50"/>
    </row>
    <row r="3" spans="1:26" s="57" customFormat="1" ht="15">
      <c r="B3" s="367" t="s">
        <v>220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54"/>
      <c r="P3" s="75"/>
      <c r="Q3" s="53"/>
      <c r="R3" s="53"/>
    </row>
    <row r="4" spans="1:26">
      <c r="B4" s="287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R4" s="1"/>
    </row>
    <row r="5" spans="1:26" s="58" customFormat="1" ht="12.75" customHeight="1">
      <c r="B5" s="289"/>
      <c r="C5" s="373" t="s">
        <v>15</v>
      </c>
      <c r="D5" s="374" t="s">
        <v>61</v>
      </c>
      <c r="E5" s="375" t="s">
        <v>61</v>
      </c>
      <c r="F5" s="373" t="s">
        <v>15</v>
      </c>
      <c r="G5" s="374" t="s">
        <v>61</v>
      </c>
      <c r="H5" s="375" t="s">
        <v>61</v>
      </c>
      <c r="I5" s="373" t="s">
        <v>15</v>
      </c>
      <c r="J5" s="374" t="s">
        <v>61</v>
      </c>
      <c r="K5" s="375" t="s">
        <v>61</v>
      </c>
      <c r="L5" s="373" t="s">
        <v>15</v>
      </c>
      <c r="M5" s="374" t="s">
        <v>61</v>
      </c>
      <c r="N5" s="375" t="s">
        <v>61</v>
      </c>
      <c r="O5" s="59"/>
      <c r="P5" s="59"/>
    </row>
    <row r="6" spans="1:26" s="58" customFormat="1" ht="12.75" customHeight="1">
      <c r="B6" s="290"/>
      <c r="C6" s="370" t="s">
        <v>126</v>
      </c>
      <c r="D6" s="371"/>
      <c r="E6" s="372"/>
      <c r="F6" s="370" t="s">
        <v>141</v>
      </c>
      <c r="G6" s="371"/>
      <c r="H6" s="372"/>
      <c r="I6" s="370" t="s">
        <v>142</v>
      </c>
      <c r="J6" s="371" t="s">
        <v>56</v>
      </c>
      <c r="K6" s="372" t="s">
        <v>56</v>
      </c>
      <c r="L6" s="370" t="s">
        <v>143</v>
      </c>
      <c r="M6" s="371" t="s">
        <v>57</v>
      </c>
      <c r="N6" s="372" t="s">
        <v>57</v>
      </c>
      <c r="O6" s="73"/>
      <c r="P6" s="73"/>
    </row>
    <row r="7" spans="1:26" s="58" customFormat="1" ht="12.75" customHeight="1">
      <c r="B7" s="290" t="s">
        <v>2</v>
      </c>
      <c r="C7" s="291" t="s">
        <v>167</v>
      </c>
      <c r="D7" s="292" t="s">
        <v>168</v>
      </c>
      <c r="E7" s="292" t="s">
        <v>169</v>
      </c>
      <c r="F7" s="291" t="s">
        <v>167</v>
      </c>
      <c r="G7" s="292" t="s">
        <v>168</v>
      </c>
      <c r="H7" s="292" t="s">
        <v>169</v>
      </c>
      <c r="I7" s="291" t="s">
        <v>167</v>
      </c>
      <c r="J7" s="292" t="s">
        <v>168</v>
      </c>
      <c r="K7" s="292" t="s">
        <v>169</v>
      </c>
      <c r="L7" s="291" t="s">
        <v>167</v>
      </c>
      <c r="M7" s="292" t="s">
        <v>168</v>
      </c>
      <c r="N7" s="292" t="s">
        <v>169</v>
      </c>
      <c r="O7" s="73"/>
      <c r="P7" s="73"/>
    </row>
    <row r="8" spans="1:26" ht="6.75" customHeight="1">
      <c r="B8" s="293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12"/>
      <c r="P8" s="12"/>
      <c r="Q8" s="1"/>
      <c r="R8" s="1"/>
    </row>
    <row r="9" spans="1:26">
      <c r="B9" s="295"/>
      <c r="C9" s="296"/>
      <c r="D9" s="297"/>
      <c r="E9" s="298"/>
      <c r="F9" s="296"/>
      <c r="G9" s="297"/>
      <c r="H9" s="298"/>
      <c r="I9" s="296"/>
      <c r="J9" s="299"/>
      <c r="K9" s="298"/>
      <c r="L9" s="296"/>
      <c r="M9" s="299"/>
      <c r="N9" s="298"/>
      <c r="O9" s="8"/>
      <c r="P9" s="8"/>
      <c r="Q9" s="30"/>
      <c r="R9" s="30"/>
    </row>
    <row r="10" spans="1:26">
      <c r="B10" s="306">
        <v>2020</v>
      </c>
      <c r="C10" s="297">
        <f>INDEX('Table A - Combined'!$C$10:$X$30,MATCH($B10,'Table A - Combined'!$B$10:$B$30,0),MATCH(C$6,'Table A - Combined'!$C$4:$X$4,0))</f>
        <v>42.967801121393727</v>
      </c>
      <c r="D10" s="297">
        <v>32.049999999999997</v>
      </c>
      <c r="E10" s="298">
        <f t="shared" ref="E10:E29" si="0">C10-D10</f>
        <v>10.91780112139373</v>
      </c>
      <c r="F10" s="296">
        <f>INDEX('Table A - Combined'!$C$10:$X$30,MATCH($B10,'Table A - Combined'!$B$10:$B$30,0),MATCH(F$6,'Table A - Combined'!$C$4:$X$4,0))</f>
        <v>32.383623403144774</v>
      </c>
      <c r="G10" s="297">
        <v>32.049999999999997</v>
      </c>
      <c r="H10" s="298">
        <f t="shared" ref="H10:H29" si="1">F10-G10</f>
        <v>0.33362340314477734</v>
      </c>
      <c r="I10" s="296">
        <f>INDEX('Table A - Combined'!$C$10:$X$30,MATCH($B10,'Table A - Combined'!$B$10:$B$30,0),MATCH(I$6,'Table A - Combined'!$C$4:$X$4,0))</f>
        <v>24.239988421505956</v>
      </c>
      <c r="J10" s="299">
        <v>32.049999999999997</v>
      </c>
      <c r="K10" s="298">
        <f t="shared" ref="K10:K29" si="2">I10-J10</f>
        <v>-7.8100115784940414</v>
      </c>
      <c r="L10" s="296">
        <f>INDEX('Table A - Combined'!$C$10:$X$30,MATCH($B10,'Table A - Combined'!$B$10:$B$30,0),MATCH(L$6,'Table A - Combined'!$C$4:$X$4,0))</f>
        <v>24.662918073805265</v>
      </c>
      <c r="M10" s="299">
        <v>32.049999999999997</v>
      </c>
      <c r="N10" s="298">
        <f t="shared" ref="N10:N29" si="3">L10-M10</f>
        <v>-7.3870819261947318</v>
      </c>
      <c r="O10" s="30"/>
      <c r="P10" s="30"/>
      <c r="Q10"/>
      <c r="R10"/>
      <c r="S10"/>
      <c r="T10"/>
      <c r="U10"/>
      <c r="V10"/>
      <c r="W10"/>
      <c r="X10"/>
      <c r="Y10"/>
      <c r="Z10"/>
    </row>
    <row r="11" spans="1:26">
      <c r="B11" s="306">
        <f t="shared" ref="B11:B29" si="4">B10+1</f>
        <v>2021</v>
      </c>
      <c r="C11" s="297">
        <f>INDEX('Table A - Combined'!$C$10:$X$30,MATCH($B11,'Table A - Combined'!$B$10:$B$30,0),MATCH(C$6,'Table A - Combined'!$C$4:$X$4,0))</f>
        <v>48.761122478494528</v>
      </c>
      <c r="D11" s="297">
        <v>32.89</v>
      </c>
      <c r="E11" s="298">
        <f t="shared" si="0"/>
        <v>15.871122478494527</v>
      </c>
      <c r="F11" s="296">
        <f>INDEX('Table A - Combined'!$C$10:$X$30,MATCH($B11,'Table A - Combined'!$B$10:$B$30,0),MATCH(F$6,'Table A - Combined'!$C$4:$X$4,0))</f>
        <v>38.020795167209386</v>
      </c>
      <c r="G11" s="297">
        <v>32.89</v>
      </c>
      <c r="H11" s="298">
        <f t="shared" si="1"/>
        <v>5.130795167209385</v>
      </c>
      <c r="I11" s="296">
        <f>INDEX('Table A - Combined'!$C$10:$X$30,MATCH($B11,'Table A - Combined'!$B$10:$B$30,0),MATCH(I$6,'Table A - Combined'!$C$4:$X$4,0))</f>
        <v>29.287981252310871</v>
      </c>
      <c r="J11" s="299">
        <v>32.89</v>
      </c>
      <c r="K11" s="298">
        <f t="shared" si="2"/>
        <v>-3.6020187476891294</v>
      </c>
      <c r="L11" s="296">
        <f>INDEX('Table A - Combined'!$C$10:$X$30,MATCH($B11,'Table A - Combined'!$B$10:$B$30,0),MATCH(L$6,'Table A - Combined'!$C$4:$X$4,0))</f>
        <v>29.810250883900295</v>
      </c>
      <c r="M11" s="299">
        <v>32.89</v>
      </c>
      <c r="N11" s="298">
        <f t="shared" si="3"/>
        <v>-3.0797491160997055</v>
      </c>
      <c r="O11" s="30"/>
      <c r="P11" s="30"/>
      <c r="Q11" s="30"/>
      <c r="R11" s="30"/>
    </row>
    <row r="12" spans="1:26">
      <c r="B12" s="306">
        <f t="shared" si="4"/>
        <v>2022</v>
      </c>
      <c r="C12" s="297">
        <f>INDEX('Table A - Combined'!$C$10:$X$30,MATCH($B12,'Table A - Combined'!$B$10:$B$30,0),MATCH(C$6,'Table A - Combined'!$C$4:$X$4,0))</f>
        <v>48.269304516960965</v>
      </c>
      <c r="D12" s="297">
        <v>36.57</v>
      </c>
      <c r="E12" s="298">
        <f t="shared" si="0"/>
        <v>11.699304516960964</v>
      </c>
      <c r="F12" s="296">
        <f>INDEX('Table A - Combined'!$C$10:$X$30,MATCH($B12,'Table A - Combined'!$B$10:$B$30,0),MATCH(F$6,'Table A - Combined'!$C$4:$X$4,0))</f>
        <v>37.117891570595475</v>
      </c>
      <c r="G12" s="297">
        <v>36.57</v>
      </c>
      <c r="H12" s="298">
        <f t="shared" si="1"/>
        <v>0.54789157059547478</v>
      </c>
      <c r="I12" s="296">
        <f>INDEX('Table A - Combined'!$C$10:$X$30,MATCH($B12,'Table A - Combined'!$B$10:$B$30,0),MATCH(I$6,'Table A - Combined'!$C$4:$X$4,0))</f>
        <v>29.153996115372692</v>
      </c>
      <c r="J12" s="299">
        <v>36.57</v>
      </c>
      <c r="K12" s="298">
        <f t="shared" si="2"/>
        <v>-7.4160038846273082</v>
      </c>
      <c r="L12" s="296">
        <f>INDEX('Table A - Combined'!$C$10:$X$30,MATCH($B12,'Table A - Combined'!$B$10:$B$30,0),MATCH(L$6,'Table A - Combined'!$C$4:$X$4,0))</f>
        <v>30.656577141567748</v>
      </c>
      <c r="M12" s="299">
        <v>36.57</v>
      </c>
      <c r="N12" s="298">
        <f t="shared" si="3"/>
        <v>-5.9134228584322521</v>
      </c>
      <c r="O12" s="30"/>
      <c r="P12" s="30"/>
      <c r="Q12" s="30"/>
      <c r="R12" s="30"/>
    </row>
    <row r="13" spans="1:26">
      <c r="B13" s="306">
        <f t="shared" si="4"/>
        <v>2023</v>
      </c>
      <c r="C13" s="297">
        <f>INDEX('Table A - Combined'!$C$10:$X$30,MATCH($B13,'Table A - Combined'!$B$10:$B$30,0),MATCH(C$6,'Table A - Combined'!$C$4:$X$4,0))</f>
        <v>45.93420370035242</v>
      </c>
      <c r="D13" s="297">
        <v>40.4</v>
      </c>
      <c r="E13" s="298">
        <f t="shared" si="0"/>
        <v>5.5342037003524212</v>
      </c>
      <c r="F13" s="296">
        <f>INDEX('Table A - Combined'!$C$10:$X$30,MATCH($B13,'Table A - Combined'!$B$10:$B$30,0),MATCH(F$6,'Table A - Combined'!$C$4:$X$4,0))</f>
        <v>34.314809164564757</v>
      </c>
      <c r="G13" s="297">
        <v>40.4</v>
      </c>
      <c r="H13" s="298">
        <f t="shared" si="1"/>
        <v>-6.0851908354352418</v>
      </c>
      <c r="I13" s="296">
        <f>INDEX('Table A - Combined'!$C$10:$X$30,MATCH($B13,'Table A - Combined'!$B$10:$B$30,0),MATCH(I$6,'Table A - Combined'!$C$4:$X$4,0))</f>
        <v>27.671372916038187</v>
      </c>
      <c r="J13" s="299">
        <v>40.4</v>
      </c>
      <c r="K13" s="298">
        <f t="shared" si="2"/>
        <v>-12.728627083961811</v>
      </c>
      <c r="L13" s="296">
        <f>INDEX('Table A - Combined'!$C$10:$X$30,MATCH($B13,'Table A - Combined'!$B$10:$B$30,0),MATCH(L$6,'Table A - Combined'!$C$4:$X$4,0))</f>
        <v>29.98823739647678</v>
      </c>
      <c r="M13" s="299">
        <v>40.4</v>
      </c>
      <c r="N13" s="298">
        <f t="shared" si="3"/>
        <v>-10.411762603523218</v>
      </c>
      <c r="O13" s="30"/>
      <c r="P13" s="30"/>
      <c r="Q13" s="30"/>
      <c r="R13" s="30"/>
    </row>
    <row r="14" spans="1:26">
      <c r="B14" s="306">
        <f t="shared" si="4"/>
        <v>2024</v>
      </c>
      <c r="C14" s="297">
        <f>INDEX('Table A - Combined'!$C$10:$X$30,MATCH($B14,'Table A - Combined'!$B$10:$B$30,0),MATCH(C$6,'Table A - Combined'!$C$4:$X$4,0))</f>
        <v>47.122644253635713</v>
      </c>
      <c r="D14" s="297">
        <v>44.39</v>
      </c>
      <c r="E14" s="298">
        <f t="shared" si="0"/>
        <v>2.7326442536357121</v>
      </c>
      <c r="F14" s="296">
        <f>INDEX('Table A - Combined'!$C$10:$X$30,MATCH($B14,'Table A - Combined'!$B$10:$B$30,0),MATCH(F$6,'Table A - Combined'!$C$4:$X$4,0))</f>
        <v>34.989778139720137</v>
      </c>
      <c r="G14" s="297">
        <v>44.39</v>
      </c>
      <c r="H14" s="298">
        <f t="shared" si="1"/>
        <v>-9.4002218602798635</v>
      </c>
      <c r="I14" s="296">
        <f>INDEX('Table A - Combined'!$C$10:$X$30,MATCH($B14,'Table A - Combined'!$B$10:$B$30,0),MATCH(I$6,'Table A - Combined'!$C$4:$X$4,0))</f>
        <v>29.158675209167463</v>
      </c>
      <c r="J14" s="299">
        <v>44.39</v>
      </c>
      <c r="K14" s="298">
        <f t="shared" si="2"/>
        <v>-15.231324790832538</v>
      </c>
      <c r="L14" s="296">
        <f>INDEX('Table A - Combined'!$C$10:$X$30,MATCH($B14,'Table A - Combined'!$B$10:$B$30,0),MATCH(L$6,'Table A - Combined'!$C$4:$X$4,0))</f>
        <v>31.908194003744047</v>
      </c>
      <c r="M14" s="299">
        <v>44.39</v>
      </c>
      <c r="N14" s="298">
        <f t="shared" si="3"/>
        <v>-12.481805996255954</v>
      </c>
      <c r="O14" s="30"/>
      <c r="P14" s="30"/>
      <c r="Q14" s="30"/>
      <c r="R14" s="30"/>
    </row>
    <row r="15" spans="1:26">
      <c r="B15" s="306">
        <f t="shared" si="4"/>
        <v>2025</v>
      </c>
      <c r="C15" s="297">
        <f>INDEX('Table A - Combined'!$C$10:$X$30,MATCH($B15,'Table A - Combined'!$B$10:$B$30,0),MATCH(C$6,'Table A - Combined'!$C$4:$X$4,0))</f>
        <v>50.602807637640169</v>
      </c>
      <c r="D15" s="297">
        <v>47.26</v>
      </c>
      <c r="E15" s="298">
        <f t="shared" si="0"/>
        <v>3.3428076376401705</v>
      </c>
      <c r="F15" s="296">
        <f>INDEX('Table A - Combined'!$C$10:$X$30,MATCH($B15,'Table A - Combined'!$B$10:$B$30,0),MATCH(F$6,'Table A - Combined'!$C$4:$X$4,0))</f>
        <v>38.037562868601128</v>
      </c>
      <c r="G15" s="297">
        <v>47.26</v>
      </c>
      <c r="H15" s="298">
        <f t="shared" si="1"/>
        <v>-9.2224371313988698</v>
      </c>
      <c r="I15" s="296">
        <f>INDEX('Table A - Combined'!$C$10:$X$30,MATCH($B15,'Table A - Combined'!$B$10:$B$30,0),MATCH(I$6,'Table A - Combined'!$C$4:$X$4,0))</f>
        <v>32.000091332998004</v>
      </c>
      <c r="J15" s="299">
        <v>47.26</v>
      </c>
      <c r="K15" s="298">
        <f t="shared" si="2"/>
        <v>-15.259908667001994</v>
      </c>
      <c r="L15" s="296">
        <f>INDEX('Table A - Combined'!$C$10:$X$30,MATCH($B15,'Table A - Combined'!$B$10:$B$30,0),MATCH(L$6,'Table A - Combined'!$C$4:$X$4,0))</f>
        <v>34.964534205223181</v>
      </c>
      <c r="M15" s="299">
        <v>47.26</v>
      </c>
      <c r="N15" s="298">
        <f t="shared" si="3"/>
        <v>-12.295465794776817</v>
      </c>
      <c r="O15" s="30"/>
      <c r="P15" s="30"/>
      <c r="Q15" s="30"/>
      <c r="R15" s="30"/>
    </row>
    <row r="16" spans="1:26">
      <c r="A16" s="2"/>
      <c r="B16" s="306">
        <f t="shared" si="4"/>
        <v>2026</v>
      </c>
      <c r="C16" s="297">
        <f>INDEX('Table A - Combined'!$C$10:$X$30,MATCH($B16,'Table A - Combined'!$B$10:$B$30,0),MATCH(C$6,'Table A - Combined'!$C$4:$X$4,0))</f>
        <v>53.115910200188765</v>
      </c>
      <c r="D16" s="297">
        <v>49.08</v>
      </c>
      <c r="E16" s="298">
        <f t="shared" si="0"/>
        <v>4.0359102001887663</v>
      </c>
      <c r="F16" s="296">
        <f>INDEX('Table A - Combined'!$C$10:$X$30,MATCH($B16,'Table A - Combined'!$B$10:$B$30,0),MATCH(F$6,'Table A - Combined'!$C$4:$X$4,0))</f>
        <v>40.379914671352047</v>
      </c>
      <c r="G16" s="297">
        <v>49.08</v>
      </c>
      <c r="H16" s="298">
        <f t="shared" si="1"/>
        <v>-8.7000853286479511</v>
      </c>
      <c r="I16" s="296">
        <f>INDEX('Table A - Combined'!$C$10:$X$30,MATCH($B16,'Table A - Combined'!$B$10:$B$30,0),MATCH(I$6,'Table A - Combined'!$C$4:$X$4,0))</f>
        <v>33.745074650990169</v>
      </c>
      <c r="J16" s="299">
        <v>49.08</v>
      </c>
      <c r="K16" s="298">
        <f t="shared" si="2"/>
        <v>-15.334925349009829</v>
      </c>
      <c r="L16" s="296">
        <f>INDEX('Table A - Combined'!$C$10:$X$30,MATCH($B16,'Table A - Combined'!$B$10:$B$30,0),MATCH(L$6,'Table A - Combined'!$C$4:$X$4,0))</f>
        <v>36.928919128957894</v>
      </c>
      <c r="M16" s="299">
        <v>49.08</v>
      </c>
      <c r="N16" s="298">
        <f t="shared" si="3"/>
        <v>-12.151080871042105</v>
      </c>
      <c r="O16" s="30"/>
      <c r="P16" s="30"/>
      <c r="Q16" s="30"/>
      <c r="R16" s="30"/>
    </row>
    <row r="17" spans="2:18">
      <c r="B17" s="300">
        <f t="shared" si="4"/>
        <v>2027</v>
      </c>
      <c r="C17" s="301">
        <f>INDEX('Table A - Combined'!$C$10:$X$30,MATCH($B17,'Table A - Combined'!$B$10:$B$30,0),MATCH(C$6,'Table A - Combined'!$C$4:$X$4,0))</f>
        <v>54.285946135551903</v>
      </c>
      <c r="D17" s="302">
        <v>49.32</v>
      </c>
      <c r="E17" s="303">
        <f t="shared" si="0"/>
        <v>4.9659461355519028</v>
      </c>
      <c r="F17" s="301">
        <f>INDEX('Table A - Combined'!$C$10:$X$30,MATCH($B17,'Table A - Combined'!$B$10:$B$30,0),MATCH(F$6,'Table A - Combined'!$C$4:$X$4,0))</f>
        <v>41.296088154622169</v>
      </c>
      <c r="G17" s="302">
        <v>49.32</v>
      </c>
      <c r="H17" s="303">
        <f t="shared" si="1"/>
        <v>-8.0239118453778318</v>
      </c>
      <c r="I17" s="301">
        <f>INDEX('Table A - Combined'!$C$10:$X$30,MATCH($B17,'Table A - Combined'!$B$10:$B$30,0),MATCH(I$6,'Table A - Combined'!$C$4:$X$4,0))</f>
        <v>34.364937331752593</v>
      </c>
      <c r="J17" s="304">
        <v>49.32</v>
      </c>
      <c r="K17" s="303">
        <f t="shared" si="2"/>
        <v>-14.955062668247407</v>
      </c>
      <c r="L17" s="301">
        <f>INDEX('Table A - Combined'!$C$10:$X$30,MATCH($B17,'Table A - Combined'!$B$10:$B$30,0),MATCH(L$6,'Table A - Combined'!$C$4:$X$4,0))</f>
        <v>37.453836107438178</v>
      </c>
      <c r="M17" s="304">
        <v>49.32</v>
      </c>
      <c r="N17" s="303">
        <f t="shared" si="3"/>
        <v>-11.866163892561822</v>
      </c>
      <c r="O17" s="30"/>
      <c r="P17" s="30"/>
      <c r="Q17" s="30"/>
      <c r="R17" s="30"/>
    </row>
    <row r="18" spans="2:18">
      <c r="B18" s="305">
        <f t="shared" si="4"/>
        <v>2028</v>
      </c>
      <c r="C18" s="297">
        <f>INDEX('Table A - Combined'!$C$10:$X$30,MATCH($B18,'Table A - Combined'!$B$10:$B$30,0),MATCH(C$6,'Table A - Combined'!$C$4:$X$4,0))</f>
        <v>56.645262568023298</v>
      </c>
      <c r="D18" s="297">
        <v>49.43</v>
      </c>
      <c r="E18" s="298">
        <f t="shared" si="0"/>
        <v>7.2152625680232987</v>
      </c>
      <c r="F18" s="296">
        <f>INDEX('Table A - Combined'!$C$10:$X$30,MATCH($B18,'Table A - Combined'!$B$10:$B$30,0),MATCH(F$6,'Table A - Combined'!$C$4:$X$4,0))</f>
        <v>43.314483941209893</v>
      </c>
      <c r="G18" s="297">
        <v>49.43</v>
      </c>
      <c r="H18" s="298">
        <f t="shared" si="1"/>
        <v>-6.1155160587901065</v>
      </c>
      <c r="I18" s="296">
        <f>INDEX('Table A - Combined'!$C$10:$X$30,MATCH($B18,'Table A - Combined'!$B$10:$B$30,0),MATCH(I$6,'Table A - Combined'!$C$4:$X$4,0))</f>
        <v>36.138335483268939</v>
      </c>
      <c r="J18" s="299">
        <v>49.43</v>
      </c>
      <c r="K18" s="298">
        <f t="shared" si="2"/>
        <v>-13.291664516731061</v>
      </c>
      <c r="L18" s="296">
        <f>INDEX('Table A - Combined'!$C$10:$X$30,MATCH($B18,'Table A - Combined'!$B$10:$B$30,0),MATCH(L$6,'Table A - Combined'!$C$4:$X$4,0))</f>
        <v>39.462248929948608</v>
      </c>
      <c r="M18" s="299">
        <v>49.43</v>
      </c>
      <c r="N18" s="298">
        <f t="shared" si="3"/>
        <v>-9.967751070051392</v>
      </c>
      <c r="O18" s="30"/>
      <c r="P18" s="30"/>
      <c r="Q18" s="30"/>
      <c r="R18" s="30"/>
    </row>
    <row r="19" spans="2:18">
      <c r="B19" s="306">
        <f t="shared" si="4"/>
        <v>2029</v>
      </c>
      <c r="C19" s="297">
        <f>INDEX('Table A - Combined'!$C$10:$X$30,MATCH($B19,'Table A - Combined'!$B$10:$B$30,0),MATCH(C$6,'Table A - Combined'!$C$4:$X$4,0))</f>
        <v>59.057995175629912</v>
      </c>
      <c r="D19" s="307">
        <f>ROUND(D18*(1+(IFERROR(INDEX('Table D - Integration'!$C$39:$C$47,MATCH($B19,'Table D - Integration'!$B$39:$B$47,0),1),0)+IFERROR(INDEX('Table D - Integration'!$F$39:$F$47,MATCH($B19,'Table D - Integration'!$E$39:$E$47,0),1),0)+IFERROR(INDEX('Table D - Integration'!$I$39:$I$47,MATCH($B19,'Table D - Integration'!$H$39:$H$47,0),1),0))),2)</f>
        <v>50.57</v>
      </c>
      <c r="E19" s="308">
        <f t="shared" si="0"/>
        <v>8.4879951756299121</v>
      </c>
      <c r="F19" s="296">
        <f>INDEX('Table A - Combined'!$C$10:$X$30,MATCH($B19,'Table A - Combined'!$B$10:$B$30,0),MATCH(F$6,'Table A - Combined'!$C$4:$X$4,0))</f>
        <v>45.21173033164677</v>
      </c>
      <c r="G19" s="307">
        <f>ROUND(G18*(1+(IFERROR(INDEX('Table D - Integration'!$C$39:$C$47,MATCH($B19,'Table D - Integration'!$B$39:$B$47,0),1),0)+IFERROR(INDEX('Table D - Integration'!$F$39:$F$47,MATCH($B19,'Table D - Integration'!$E$39:$E$47,0),1),0)+IFERROR(INDEX('Table D - Integration'!$I$39:$I$47,MATCH($B19,'Table D - Integration'!$H$39:$H$47,0),1),0))),2)</f>
        <v>50.57</v>
      </c>
      <c r="H19" s="308">
        <f t="shared" si="1"/>
        <v>-5.3582696683532305</v>
      </c>
      <c r="I19" s="296">
        <f>INDEX('Table A - Combined'!$C$10:$X$30,MATCH($B19,'Table A - Combined'!$B$10:$B$30,0),MATCH(I$6,'Table A - Combined'!$C$4:$X$4,0))</f>
        <v>37.775545987795574</v>
      </c>
      <c r="J19" s="307">
        <f>ROUND(J18*(1+(IFERROR(INDEX('Table D - Integration'!$C$39:$C$47,MATCH($B19,'Table D - Integration'!$B$39:$B$47,0),1),0)+IFERROR(INDEX('Table D - Integration'!$F$39:$F$47,MATCH($B19,'Table D - Integration'!$E$39:$E$47,0),1),0)+IFERROR(INDEX('Table D - Integration'!$I$39:$I$47,MATCH($B19,'Table D - Integration'!$H$39:$H$47,0),1),0))),2)</f>
        <v>50.57</v>
      </c>
      <c r="K19" s="308">
        <f t="shared" si="2"/>
        <v>-12.794454012204426</v>
      </c>
      <c r="L19" s="296">
        <f>INDEX('Table A - Combined'!$C$10:$X$30,MATCH($B19,'Table A - Combined'!$B$10:$B$30,0),MATCH(L$6,'Table A - Combined'!$C$4:$X$4,0))</f>
        <v>41.207508958048351</v>
      </c>
      <c r="M19" s="307">
        <f>ROUND(M18*(1+(IFERROR(INDEX('Table D - Integration'!$C$39:$C$47,MATCH($B19,'Table D - Integration'!$B$39:$B$47,0),1),0)+IFERROR(INDEX('Table D - Integration'!$F$39:$F$47,MATCH($B19,'Table D - Integration'!$E$39:$E$47,0),1),0)+IFERROR(INDEX('Table D - Integration'!$I$39:$I$47,MATCH($B19,'Table D - Integration'!$H$39:$H$47,0),1),0))),2)</f>
        <v>50.57</v>
      </c>
      <c r="N19" s="308">
        <f t="shared" si="3"/>
        <v>-9.3624910419516496</v>
      </c>
      <c r="O19" s="31"/>
      <c r="P19" s="30"/>
      <c r="Q19" s="30"/>
      <c r="R19" s="30"/>
    </row>
    <row r="20" spans="2:18">
      <c r="B20" s="306">
        <f t="shared" si="4"/>
        <v>2030</v>
      </c>
      <c r="C20" s="297">
        <f>INDEX('Table A - Combined'!$C$10:$X$30,MATCH($B20,'Table A - Combined'!$B$10:$B$30,0),MATCH(C$6,'Table A - Combined'!$C$4:$X$4,0))</f>
        <v>60.955779894577837</v>
      </c>
      <c r="D20" s="307">
        <f>ROUND(D19*(1+(IFERROR(INDEX('Table D - Integration'!$C$39:$C$47,MATCH($B20,'Table D - Integration'!$B$39:$B$47,0),1),0)+IFERROR(INDEX('Table D - Integration'!$F$39:$F$47,MATCH($B20,'Table D - Integration'!$E$39:$E$47,0),1),0)+IFERROR(INDEX('Table D - Integration'!$I$39:$I$47,MATCH($B20,'Table D - Integration'!$H$39:$H$47,0),1),0))),2)</f>
        <v>51.73</v>
      </c>
      <c r="E20" s="308">
        <f t="shared" si="0"/>
        <v>9.2257798945778404</v>
      </c>
      <c r="F20" s="296">
        <f>INDEX('Table A - Combined'!$C$10:$X$30,MATCH($B20,'Table A - Combined'!$B$10:$B$30,0),MATCH(F$6,'Table A - Combined'!$C$4:$X$4,0))</f>
        <v>46.701718444164399</v>
      </c>
      <c r="G20" s="307">
        <f>ROUND(G19*(1+(IFERROR(INDEX('Table D - Integration'!$C$39:$C$47,MATCH($B20,'Table D - Integration'!$B$39:$B$47,0),1),0)+IFERROR(INDEX('Table D - Integration'!$F$39:$F$47,MATCH($B20,'Table D - Integration'!$E$39:$E$47,0),1),0)+IFERROR(INDEX('Table D - Integration'!$I$39:$I$47,MATCH($B20,'Table D - Integration'!$H$39:$H$47,0),1),0))),2)</f>
        <v>51.73</v>
      </c>
      <c r="H20" s="308">
        <f t="shared" si="1"/>
        <v>-5.0282815558355978</v>
      </c>
      <c r="I20" s="296">
        <f>INDEX('Table A - Combined'!$C$10:$X$30,MATCH($B20,'Table A - Combined'!$B$10:$B$30,0),MATCH(I$6,'Table A - Combined'!$C$4:$X$4,0))</f>
        <v>39.216720866235342</v>
      </c>
      <c r="J20" s="307">
        <f>ROUND(J19*(1+(IFERROR(INDEX('Table D - Integration'!$C$39:$C$47,MATCH($B20,'Table D - Integration'!$B$39:$B$47,0),1),0)+IFERROR(INDEX('Table D - Integration'!$F$39:$F$47,MATCH($B20,'Table D - Integration'!$E$39:$E$47,0),1),0)+IFERROR(INDEX('Table D - Integration'!$I$39:$I$47,MATCH($B20,'Table D - Integration'!$H$39:$H$47,0),1),0))),2)</f>
        <v>51.73</v>
      </c>
      <c r="K20" s="308">
        <f t="shared" si="2"/>
        <v>-12.513279133764655</v>
      </c>
      <c r="L20" s="296">
        <f>INDEX('Table A - Combined'!$C$10:$X$30,MATCH($B20,'Table A - Combined'!$B$10:$B$30,0),MATCH(L$6,'Table A - Combined'!$C$4:$X$4,0))</f>
        <v>42.781170594568266</v>
      </c>
      <c r="M20" s="307">
        <f>ROUND(M19*(1+(IFERROR(INDEX('Table D - Integration'!$C$39:$C$47,MATCH($B20,'Table D - Integration'!$B$39:$B$47,0),1),0)+IFERROR(INDEX('Table D - Integration'!$F$39:$F$47,MATCH($B20,'Table D - Integration'!$E$39:$E$47,0),1),0)+IFERROR(INDEX('Table D - Integration'!$I$39:$I$47,MATCH($B20,'Table D - Integration'!$H$39:$H$47,0),1),0))),2)</f>
        <v>51.73</v>
      </c>
      <c r="N20" s="308">
        <f t="shared" si="3"/>
        <v>-8.9488294054317308</v>
      </c>
      <c r="O20" s="31"/>
      <c r="P20" s="30"/>
      <c r="Q20" s="30"/>
      <c r="R20" s="30"/>
    </row>
    <row r="21" spans="2:18">
      <c r="B21" s="306">
        <f t="shared" si="4"/>
        <v>2031</v>
      </c>
      <c r="C21" s="297">
        <f>INDEX('Table A - Combined'!$C$10:$X$30,MATCH($B21,'Table A - Combined'!$B$10:$B$30,0),MATCH(C$6,'Table A - Combined'!$C$4:$X$4,0))</f>
        <v>63.394987030783383</v>
      </c>
      <c r="D21" s="307">
        <f>ROUND(D20*(1+(IFERROR(INDEX('Table D - Integration'!$C$39:$C$47,MATCH($B21,'Table D - Integration'!$B$39:$B$47,0),1),0)+IFERROR(INDEX('Table D - Integration'!$F$39:$F$47,MATCH($B21,'Table D - Integration'!$E$39:$E$47,0),1),0)+IFERROR(INDEX('Table D - Integration'!$I$39:$I$47,MATCH($B21,'Table D - Integration'!$H$39:$H$47,0),1),0))),2)</f>
        <v>52.92</v>
      </c>
      <c r="E21" s="308">
        <f t="shared" si="0"/>
        <v>10.474987030783382</v>
      </c>
      <c r="F21" s="296">
        <f>INDEX('Table A - Combined'!$C$10:$X$30,MATCH($B21,'Table A - Combined'!$B$10:$B$30,0),MATCH(F$6,'Table A - Combined'!$C$4:$X$4,0))</f>
        <v>48.818417371438187</v>
      </c>
      <c r="G21" s="307">
        <f>ROUND(G20*(1+(IFERROR(INDEX('Table D - Integration'!$C$39:$C$47,MATCH($B21,'Table D - Integration'!$B$39:$B$47,0),1),0)+IFERROR(INDEX('Table D - Integration'!$F$39:$F$47,MATCH($B21,'Table D - Integration'!$E$39:$E$47,0),1),0)+IFERROR(INDEX('Table D - Integration'!$I$39:$I$47,MATCH($B21,'Table D - Integration'!$H$39:$H$47,0),1),0))),2)</f>
        <v>52.92</v>
      </c>
      <c r="H21" s="308">
        <f t="shared" si="1"/>
        <v>-4.1015826285618147</v>
      </c>
      <c r="I21" s="296">
        <f>INDEX('Table A - Combined'!$C$10:$X$30,MATCH($B21,'Table A - Combined'!$B$10:$B$30,0),MATCH(I$6,'Table A - Combined'!$C$4:$X$4,0))</f>
        <v>40.959503844750742</v>
      </c>
      <c r="J21" s="307">
        <f>ROUND(J20*(1+(IFERROR(INDEX('Table D - Integration'!$C$39:$C$47,MATCH($B21,'Table D - Integration'!$B$39:$B$47,0),1),0)+IFERROR(INDEX('Table D - Integration'!$F$39:$F$47,MATCH($B21,'Table D - Integration'!$E$39:$E$47,0),1),0)+IFERROR(INDEX('Table D - Integration'!$I$39:$I$47,MATCH($B21,'Table D - Integration'!$H$39:$H$47,0),1),0))),2)</f>
        <v>52.92</v>
      </c>
      <c r="K21" s="308">
        <f t="shared" si="2"/>
        <v>-11.96049615524926</v>
      </c>
      <c r="L21" s="296">
        <f>INDEX('Table A - Combined'!$C$10:$X$30,MATCH($B21,'Table A - Combined'!$B$10:$B$30,0),MATCH(L$6,'Table A - Combined'!$C$4:$X$4,0))</f>
        <v>44.745983450772563</v>
      </c>
      <c r="M21" s="307">
        <f>ROUND(M20*(1+(IFERROR(INDEX('Table D - Integration'!$C$39:$C$47,MATCH($B21,'Table D - Integration'!$B$39:$B$47,0),1),0)+IFERROR(INDEX('Table D - Integration'!$F$39:$F$47,MATCH($B21,'Table D - Integration'!$E$39:$E$47,0),1),0)+IFERROR(INDEX('Table D - Integration'!$I$39:$I$47,MATCH($B21,'Table D - Integration'!$H$39:$H$47,0),1),0))),2)</f>
        <v>52.92</v>
      </c>
      <c r="N21" s="308">
        <f t="shared" si="3"/>
        <v>-8.1740165492274386</v>
      </c>
      <c r="O21" s="31"/>
      <c r="P21" s="30"/>
      <c r="Q21" s="30"/>
      <c r="R21" s="30"/>
    </row>
    <row r="22" spans="2:18">
      <c r="B22" s="306">
        <f t="shared" si="4"/>
        <v>2032</v>
      </c>
      <c r="C22" s="297">
        <f>INDEX('Table A - Combined'!$C$10:$X$30,MATCH($B22,'Table A - Combined'!$B$10:$B$30,0),MATCH(C$6,'Table A - Combined'!$C$4:$X$4,0))</f>
        <v>65.798561347064862</v>
      </c>
      <c r="D22" s="307">
        <f>ROUND(D21*(1+(IFERROR(INDEX('Table D - Integration'!$C$39:$C$47,MATCH($B22,'Table D - Integration'!$B$39:$B$47,0),1),0)+IFERROR(INDEX('Table D - Integration'!$F$39:$F$47,MATCH($B22,'Table D - Integration'!$E$39:$E$47,0),1),0)+IFERROR(INDEX('Table D - Integration'!$I$39:$I$47,MATCH($B22,'Table D - Integration'!$H$39:$H$47,0),1),0))),2)</f>
        <v>54.14</v>
      </c>
      <c r="E22" s="298">
        <f t="shared" si="0"/>
        <v>11.658561347064861</v>
      </c>
      <c r="F22" s="296">
        <f>INDEX('Table A - Combined'!$C$10:$X$30,MATCH($B22,'Table A - Combined'!$B$10:$B$30,0),MATCH(F$6,'Table A - Combined'!$C$4:$X$4,0))</f>
        <v>51.066588899923126</v>
      </c>
      <c r="G22" s="307">
        <f>ROUND(G21*(1+(IFERROR(INDEX('Table D - Integration'!$C$39:$C$47,MATCH($B22,'Table D - Integration'!$B$39:$B$47,0),1),0)+IFERROR(INDEX('Table D - Integration'!$F$39:$F$47,MATCH($B22,'Table D - Integration'!$E$39:$E$47,0),1),0)+IFERROR(INDEX('Table D - Integration'!$I$39:$I$47,MATCH($B22,'Table D - Integration'!$H$39:$H$47,0),1),0))),2)</f>
        <v>54.14</v>
      </c>
      <c r="H22" s="298">
        <f t="shared" si="1"/>
        <v>-3.0734111000768749</v>
      </c>
      <c r="I22" s="296">
        <f>INDEX('Table A - Combined'!$C$10:$X$30,MATCH($B22,'Table A - Combined'!$B$10:$B$30,0),MATCH(I$6,'Table A - Combined'!$C$4:$X$4,0))</f>
        <v>42.65773728157194</v>
      </c>
      <c r="J22" s="307">
        <f>ROUND(J21*(1+(IFERROR(INDEX('Table D - Integration'!$C$39:$C$47,MATCH($B22,'Table D - Integration'!$B$39:$B$47,0),1),0)+IFERROR(INDEX('Table D - Integration'!$F$39:$F$47,MATCH($B22,'Table D - Integration'!$E$39:$E$47,0),1),0)+IFERROR(INDEX('Table D - Integration'!$I$39:$I$47,MATCH($B22,'Table D - Integration'!$H$39:$H$47,0),1),0))),2)</f>
        <v>54.14</v>
      </c>
      <c r="K22" s="298">
        <f t="shared" si="2"/>
        <v>-11.482262718428061</v>
      </c>
      <c r="L22" s="296">
        <f>INDEX('Table A - Combined'!$C$10:$X$30,MATCH($B22,'Table A - Combined'!$B$10:$B$30,0),MATCH(L$6,'Table A - Combined'!$C$4:$X$4,0))</f>
        <v>46.53890114665267</v>
      </c>
      <c r="M22" s="307">
        <f>ROUND(M21*(1+(IFERROR(INDEX('Table D - Integration'!$C$39:$C$47,MATCH($B22,'Table D - Integration'!$B$39:$B$47,0),1),0)+IFERROR(INDEX('Table D - Integration'!$F$39:$F$47,MATCH($B22,'Table D - Integration'!$E$39:$E$47,0),1),0)+IFERROR(INDEX('Table D - Integration'!$I$39:$I$47,MATCH($B22,'Table D - Integration'!$H$39:$H$47,0),1),0))),2)</f>
        <v>54.14</v>
      </c>
      <c r="N22" s="298">
        <f t="shared" si="3"/>
        <v>-7.6010988533473309</v>
      </c>
      <c r="O22" s="30"/>
      <c r="P22" s="30"/>
      <c r="Q22" s="30"/>
      <c r="R22" s="30"/>
    </row>
    <row r="23" spans="2:18">
      <c r="B23" s="306">
        <f t="shared" si="4"/>
        <v>2033</v>
      </c>
      <c r="C23" s="297">
        <f>INDEX('Table A - Combined'!$C$10:$X$30,MATCH($B23,'Table A - Combined'!$B$10:$B$30,0),MATCH(C$6,'Table A - Combined'!$C$4:$X$4,0))</f>
        <v>70.092218870578549</v>
      </c>
      <c r="D23" s="307">
        <f>ROUND(D22*(1+(IFERROR(INDEX('Table D - Integration'!$C$39:$C$47,MATCH($B23,'Table D - Integration'!$B$39:$B$47,0),1),0)+IFERROR(INDEX('Table D - Integration'!$F$39:$F$47,MATCH($B23,'Table D - Integration'!$E$39:$E$47,0),1),0)+IFERROR(INDEX('Table D - Integration'!$I$39:$I$47,MATCH($B23,'Table D - Integration'!$H$39:$H$47,0),1),0))),2)</f>
        <v>55.33</v>
      </c>
      <c r="E23" s="298">
        <f t="shared" si="0"/>
        <v>14.76221887057855</v>
      </c>
      <c r="F23" s="296">
        <f>INDEX('Table A - Combined'!$C$10:$X$30,MATCH($B23,'Table A - Combined'!$B$10:$B$30,0),MATCH(F$6,'Table A - Combined'!$C$4:$X$4,0))</f>
        <v>54.717823258644621</v>
      </c>
      <c r="G23" s="307">
        <f>ROUND(G22*(1+(IFERROR(INDEX('Table D - Integration'!$C$39:$C$47,MATCH($B23,'Table D - Integration'!$B$39:$B$47,0),1),0)+IFERROR(INDEX('Table D - Integration'!$F$39:$F$47,MATCH($B23,'Table D - Integration'!$E$39:$E$47,0),1),0)+IFERROR(INDEX('Table D - Integration'!$I$39:$I$47,MATCH($B23,'Table D - Integration'!$H$39:$H$47,0),1),0))),2)</f>
        <v>55.33</v>
      </c>
      <c r="H23" s="298">
        <f t="shared" si="1"/>
        <v>-0.61217674135537692</v>
      </c>
      <c r="I23" s="296">
        <f>INDEX('Table A - Combined'!$C$10:$X$30,MATCH($B23,'Table A - Combined'!$B$10:$B$30,0),MATCH(I$6,'Table A - Combined'!$C$4:$X$4,0))</f>
        <v>46.314584233700899</v>
      </c>
      <c r="J23" s="307">
        <f>ROUND(J22*(1+(IFERROR(INDEX('Table D - Integration'!$C$39:$C$47,MATCH($B23,'Table D - Integration'!$B$39:$B$47,0),1),0)+IFERROR(INDEX('Table D - Integration'!$F$39:$F$47,MATCH($B23,'Table D - Integration'!$E$39:$E$47,0),1),0)+IFERROR(INDEX('Table D - Integration'!$I$39:$I$47,MATCH($B23,'Table D - Integration'!$H$39:$H$47,0),1),0))),2)</f>
        <v>55.33</v>
      </c>
      <c r="K23" s="298">
        <f t="shared" si="2"/>
        <v>-9.0154157662990997</v>
      </c>
      <c r="L23" s="296">
        <f>INDEX('Table A - Combined'!$C$10:$X$30,MATCH($B23,'Table A - Combined'!$B$10:$B$30,0),MATCH(L$6,'Table A - Combined'!$C$4:$X$4,0))</f>
        <v>50.642196399456516</v>
      </c>
      <c r="M23" s="307">
        <f>ROUND(M22*(1+(IFERROR(INDEX('Table D - Integration'!$C$39:$C$47,MATCH($B23,'Table D - Integration'!$B$39:$B$47,0),1),0)+IFERROR(INDEX('Table D - Integration'!$F$39:$F$47,MATCH($B23,'Table D - Integration'!$E$39:$E$47,0),1),0)+IFERROR(INDEX('Table D - Integration'!$I$39:$I$47,MATCH($B23,'Table D - Integration'!$H$39:$H$47,0),1),0))),2)</f>
        <v>55.33</v>
      </c>
      <c r="N23" s="298">
        <f t="shared" si="3"/>
        <v>-4.6878036005434822</v>
      </c>
      <c r="O23" s="30"/>
      <c r="P23" s="30"/>
      <c r="Q23" s="30"/>
      <c r="R23" s="30"/>
    </row>
    <row r="24" spans="2:18">
      <c r="B24" s="306">
        <f t="shared" si="4"/>
        <v>2034</v>
      </c>
      <c r="C24" s="297">
        <f>INDEX('Table A - Combined'!$C$10:$X$30,MATCH($B24,'Table A - Combined'!$B$10:$B$30,0),MATCH(C$6,'Table A - Combined'!$C$4:$X$4,0))</f>
        <v>72.986639242809133</v>
      </c>
      <c r="D24" s="307">
        <f>ROUND(D23*(1+(IFERROR(INDEX('Table D - Integration'!$C$39:$C$47,MATCH($B24,'Table D - Integration'!$B$39:$B$47,0),1),0)+IFERROR(INDEX('Table D - Integration'!$F$39:$F$47,MATCH($B24,'Table D - Integration'!$E$39:$E$47,0),1),0)+IFERROR(INDEX('Table D - Integration'!$I$39:$I$47,MATCH($B24,'Table D - Integration'!$H$39:$H$47,0),1),0))),2)</f>
        <v>56.55</v>
      </c>
      <c r="E24" s="298">
        <f t="shared" si="0"/>
        <v>16.436639242809136</v>
      </c>
      <c r="F24" s="296">
        <f>INDEX('Table A - Combined'!$C$10:$X$30,MATCH($B24,'Table A - Combined'!$B$10:$B$30,0),MATCH(F$6,'Table A - Combined'!$C$4:$X$4,0))</f>
        <v>57.115664355652058</v>
      </c>
      <c r="G24" s="307">
        <f>ROUND(G23*(1+(IFERROR(INDEX('Table D - Integration'!$C$39:$C$47,MATCH($B24,'Table D - Integration'!$B$39:$B$47,0),1),0)+IFERROR(INDEX('Table D - Integration'!$F$39:$F$47,MATCH($B24,'Table D - Integration'!$E$39:$E$47,0),1),0)+IFERROR(INDEX('Table D - Integration'!$I$39:$I$47,MATCH($B24,'Table D - Integration'!$H$39:$H$47,0),1),0))),2)</f>
        <v>56.55</v>
      </c>
      <c r="H24" s="298">
        <f t="shared" si="1"/>
        <v>0.56566435565206064</v>
      </c>
      <c r="I24" s="296">
        <f>INDEX('Table A - Combined'!$C$10:$X$30,MATCH($B24,'Table A - Combined'!$B$10:$B$30,0),MATCH(I$6,'Table A - Combined'!$C$4:$X$4,0))</f>
        <v>48.770218235229308</v>
      </c>
      <c r="J24" s="307">
        <f>ROUND(J23*(1+(IFERROR(INDEX('Table D - Integration'!$C$39:$C$47,MATCH($B24,'Table D - Integration'!$B$39:$B$47,0),1),0)+IFERROR(INDEX('Table D - Integration'!$F$39:$F$47,MATCH($B24,'Table D - Integration'!$E$39:$E$47,0),1),0)+IFERROR(INDEX('Table D - Integration'!$I$39:$I$47,MATCH($B24,'Table D - Integration'!$H$39:$H$47,0),1),0))),2)</f>
        <v>56.55</v>
      </c>
      <c r="K24" s="298">
        <f t="shared" si="2"/>
        <v>-7.7797817647706893</v>
      </c>
      <c r="L24" s="296">
        <f>INDEX('Table A - Combined'!$C$10:$X$30,MATCH($B24,'Table A - Combined'!$B$10:$B$30,0),MATCH(L$6,'Table A - Combined'!$C$4:$X$4,0))</f>
        <v>53.634746311730346</v>
      </c>
      <c r="M24" s="307">
        <f>ROUND(M23*(1+(IFERROR(INDEX('Table D - Integration'!$C$39:$C$47,MATCH($B24,'Table D - Integration'!$B$39:$B$47,0),1),0)+IFERROR(INDEX('Table D - Integration'!$F$39:$F$47,MATCH($B24,'Table D - Integration'!$E$39:$E$47,0),1),0)+IFERROR(INDEX('Table D - Integration'!$I$39:$I$47,MATCH($B24,'Table D - Integration'!$H$39:$H$47,0),1),0))),2)</f>
        <v>56.55</v>
      </c>
      <c r="N24" s="298">
        <f t="shared" si="3"/>
        <v>-2.9152536882696509</v>
      </c>
      <c r="O24" s="30"/>
      <c r="P24" s="30"/>
      <c r="Q24" s="30"/>
      <c r="R24" s="30"/>
    </row>
    <row r="25" spans="2:18">
      <c r="B25" s="306">
        <f t="shared" si="4"/>
        <v>2035</v>
      </c>
      <c r="C25" s="297">
        <f>INDEX('Table A - Combined'!$C$10:$X$30,MATCH($B25,'Table A - Combined'!$B$10:$B$30,0),MATCH(C$6,'Table A - Combined'!$C$4:$X$4,0))</f>
        <v>76.232415835831205</v>
      </c>
      <c r="D25" s="307">
        <f>ROUND(D24*(1+(IFERROR(INDEX('Table D - Integration'!$C$39:$C$47,MATCH($B25,'Table D - Integration'!$B$39:$B$47,0),1),0)+IFERROR(INDEX('Table D - Integration'!$F$39:$F$47,MATCH($B25,'Table D - Integration'!$E$39:$E$47,0),1),0)+IFERROR(INDEX('Table D - Integration'!$I$39:$I$47,MATCH($B25,'Table D - Integration'!$H$39:$H$47,0),1),0))),2)</f>
        <v>57.79</v>
      </c>
      <c r="E25" s="298">
        <f t="shared" si="0"/>
        <v>18.442415835831206</v>
      </c>
      <c r="F25" s="296">
        <f>INDEX('Table A - Combined'!$C$10:$X$30,MATCH($B25,'Table A - Combined'!$B$10:$B$30,0),MATCH(F$6,'Table A - Combined'!$C$4:$X$4,0))</f>
        <v>59.524137452991731</v>
      </c>
      <c r="G25" s="307">
        <f>ROUND(G24*(1+(IFERROR(INDEX('Table D - Integration'!$C$39:$C$47,MATCH($B25,'Table D - Integration'!$B$39:$B$47,0),1),0)+IFERROR(INDEX('Table D - Integration'!$F$39:$F$47,MATCH($B25,'Table D - Integration'!$E$39:$E$47,0),1),0)+IFERROR(INDEX('Table D - Integration'!$I$39:$I$47,MATCH($B25,'Table D - Integration'!$H$39:$H$47,0),1),0))),2)</f>
        <v>57.79</v>
      </c>
      <c r="H25" s="298">
        <f t="shared" si="1"/>
        <v>1.7341374529917317</v>
      </c>
      <c r="I25" s="296">
        <f>INDEX('Table A - Combined'!$C$10:$X$30,MATCH($B25,'Table A - Combined'!$B$10:$B$30,0),MATCH(I$6,'Table A - Combined'!$C$4:$X$4,0))</f>
        <v>51.753596432005153</v>
      </c>
      <c r="J25" s="307">
        <f>ROUND(J24*(1+(IFERROR(INDEX('Table D - Integration'!$C$39:$C$47,MATCH($B25,'Table D - Integration'!$B$39:$B$47,0),1),0)+IFERROR(INDEX('Table D - Integration'!$F$39:$F$47,MATCH($B25,'Table D - Integration'!$E$39:$E$47,0),1),0)+IFERROR(INDEX('Table D - Integration'!$I$39:$I$47,MATCH($B25,'Table D - Integration'!$H$39:$H$47,0),1),0))),2)</f>
        <v>57.79</v>
      </c>
      <c r="K25" s="298">
        <f t="shared" si="2"/>
        <v>-6.0364035679948458</v>
      </c>
      <c r="L25" s="296">
        <f>INDEX('Table A - Combined'!$C$10:$X$30,MATCH($B25,'Table A - Combined'!$B$10:$B$30,0),MATCH(L$6,'Table A - Combined'!$C$4:$X$4,0))</f>
        <v>56.956739769455915</v>
      </c>
      <c r="M25" s="307">
        <f>ROUND(M24*(1+(IFERROR(INDEX('Table D - Integration'!$C$39:$C$47,MATCH($B25,'Table D - Integration'!$B$39:$B$47,0),1),0)+IFERROR(INDEX('Table D - Integration'!$F$39:$F$47,MATCH($B25,'Table D - Integration'!$E$39:$E$47,0),1),0)+IFERROR(INDEX('Table D - Integration'!$I$39:$I$47,MATCH($B25,'Table D - Integration'!$H$39:$H$47,0),1),0))),2)</f>
        <v>57.79</v>
      </c>
      <c r="N25" s="298">
        <f t="shared" si="3"/>
        <v>-0.83326023054408438</v>
      </c>
      <c r="O25" s="30"/>
      <c r="P25" s="30"/>
      <c r="Q25" s="30"/>
      <c r="R25" s="30"/>
    </row>
    <row r="26" spans="2:18">
      <c r="B26" s="306">
        <f t="shared" si="4"/>
        <v>2036</v>
      </c>
      <c r="C26" s="297">
        <f>INDEX('Table A - Combined'!$C$10:$X$30,MATCH($B26,'Table A - Combined'!$B$10:$B$30,0),MATCH(C$6,'Table A - Combined'!$C$4:$X$4,0))</f>
        <v>77.35995957132269</v>
      </c>
      <c r="D26" s="307">
        <f>ROUND(D25*(1+(IFERROR(INDEX('Table D - Integration'!$C$39:$C$47,MATCH($B26,'Table D - Integration'!$B$39:$B$47,0),1),0)+IFERROR(INDEX('Table D - Integration'!$F$39:$F$47,MATCH($B26,'Table D - Integration'!$E$39:$E$47,0),1),0)+IFERROR(INDEX('Table D - Integration'!$I$39:$I$47,MATCH($B26,'Table D - Integration'!$H$39:$H$47,0),1),0))),2)</f>
        <v>59.06</v>
      </c>
      <c r="E26" s="298">
        <f t="shared" si="0"/>
        <v>18.299959571322688</v>
      </c>
      <c r="F26" s="296">
        <f>INDEX('Table A - Combined'!$C$10:$X$30,MATCH($B26,'Table A - Combined'!$B$10:$B$30,0),MATCH(F$6,'Table A - Combined'!$C$4:$X$4,0))</f>
        <v>60.439147301629141</v>
      </c>
      <c r="G26" s="307">
        <f>ROUND(G25*(1+(IFERROR(INDEX('Table D - Integration'!$C$39:$C$47,MATCH($B26,'Table D - Integration'!$B$39:$B$47,0),1),0)+IFERROR(INDEX('Table D - Integration'!$F$39:$F$47,MATCH($B26,'Table D - Integration'!$E$39:$E$47,0),1),0)+IFERROR(INDEX('Table D - Integration'!$I$39:$I$47,MATCH($B26,'Table D - Integration'!$H$39:$H$47,0),1),0))),2)</f>
        <v>59.06</v>
      </c>
      <c r="H26" s="298">
        <f t="shared" si="1"/>
        <v>1.3791473016291391</v>
      </c>
      <c r="I26" s="296">
        <f>INDEX('Table A - Combined'!$C$10:$X$30,MATCH($B26,'Table A - Combined'!$B$10:$B$30,0),MATCH(I$6,'Table A - Combined'!$C$4:$X$4,0))</f>
        <v>52.217255220813605</v>
      </c>
      <c r="J26" s="307">
        <f>ROUND(J25*(1+(IFERROR(INDEX('Table D - Integration'!$C$39:$C$47,MATCH($B26,'Table D - Integration'!$B$39:$B$47,0),1),0)+IFERROR(INDEX('Table D - Integration'!$F$39:$F$47,MATCH($B26,'Table D - Integration'!$E$39:$E$47,0),1),0)+IFERROR(INDEX('Table D - Integration'!$I$39:$I$47,MATCH($B26,'Table D - Integration'!$H$39:$H$47,0),1),0))),2)</f>
        <v>59.06</v>
      </c>
      <c r="K26" s="298">
        <f t="shared" si="2"/>
        <v>-6.8427447791863969</v>
      </c>
      <c r="L26" s="296">
        <f>INDEX('Table A - Combined'!$C$10:$X$30,MATCH($B26,'Table A - Combined'!$B$10:$B$30,0),MATCH(L$6,'Table A - Combined'!$C$4:$X$4,0))</f>
        <v>57.588421539735705</v>
      </c>
      <c r="M26" s="307">
        <f>ROUND(M25*(1+(IFERROR(INDEX('Table D - Integration'!$C$39:$C$47,MATCH($B26,'Table D - Integration'!$B$39:$B$47,0),1),0)+IFERROR(INDEX('Table D - Integration'!$F$39:$F$47,MATCH($B26,'Table D - Integration'!$E$39:$E$47,0),1),0)+IFERROR(INDEX('Table D - Integration'!$I$39:$I$47,MATCH($B26,'Table D - Integration'!$H$39:$H$47,0),1),0))),2)</f>
        <v>59.06</v>
      </c>
      <c r="N26" s="298">
        <f t="shared" si="3"/>
        <v>-1.471578460264297</v>
      </c>
      <c r="O26" s="30"/>
      <c r="P26" s="30"/>
      <c r="Q26" s="30"/>
      <c r="R26" s="30"/>
    </row>
    <row r="27" spans="2:18">
      <c r="B27" s="306">
        <f t="shared" si="4"/>
        <v>2037</v>
      </c>
      <c r="C27" s="297">
        <f>INDEX('Table A - Combined'!$C$10:$X$30,MATCH($B27,'Table A - Combined'!$B$10:$B$30,0),MATCH(C$6,'Table A - Combined'!$C$4:$X$4,0))</f>
        <v>85.34886524671721</v>
      </c>
      <c r="D27" s="307">
        <f>ROUND(D26*(1+(IFERROR(INDEX('Table D - Integration'!$C$39:$C$47,MATCH($B27,'Table D - Integration'!$B$39:$B$47,0),1),0)+IFERROR(INDEX('Table D - Integration'!$F$39:$F$47,MATCH($B27,'Table D - Integration'!$E$39:$E$47,0),1),0)+IFERROR(INDEX('Table D - Integration'!$I$39:$I$47,MATCH($B27,'Table D - Integration'!$H$39:$H$47,0),1),0))),2)</f>
        <v>60.36</v>
      </c>
      <c r="E27" s="298">
        <f t="shared" si="0"/>
        <v>24.988865246717211</v>
      </c>
      <c r="F27" s="296">
        <f>INDEX('Table A - Combined'!$C$10:$X$30,MATCH($B27,'Table A - Combined'!$B$10:$B$30,0),MATCH(F$6,'Table A - Combined'!$C$4:$X$4,0))</f>
        <v>67.394174468710219</v>
      </c>
      <c r="G27" s="307">
        <f>ROUND(G26*(1+(IFERROR(INDEX('Table D - Integration'!$C$39:$C$47,MATCH($B27,'Table D - Integration'!$B$39:$B$47,0),1),0)+IFERROR(INDEX('Table D - Integration'!$F$39:$F$47,MATCH($B27,'Table D - Integration'!$E$39:$E$47,0),1),0)+IFERROR(INDEX('Table D - Integration'!$I$39:$I$47,MATCH($B27,'Table D - Integration'!$H$39:$H$47,0),1),0))),2)</f>
        <v>60.36</v>
      </c>
      <c r="H27" s="298">
        <f t="shared" si="1"/>
        <v>7.0341744687102192</v>
      </c>
      <c r="I27" s="296">
        <f>INDEX('Table A - Combined'!$C$10:$X$30,MATCH($B27,'Table A - Combined'!$B$10:$B$30,0),MATCH(I$6,'Table A - Combined'!$C$4:$X$4,0))</f>
        <v>60.19108914768082</v>
      </c>
      <c r="J27" s="307">
        <f>ROUND(J26*(1+(IFERROR(INDEX('Table D - Integration'!$C$39:$C$47,MATCH($B27,'Table D - Integration'!$B$39:$B$47,0),1),0)+IFERROR(INDEX('Table D - Integration'!$F$39:$F$47,MATCH($B27,'Table D - Integration'!$E$39:$E$47,0),1),0)+IFERROR(INDEX('Table D - Integration'!$I$39:$I$47,MATCH($B27,'Table D - Integration'!$H$39:$H$47,0),1),0))),2)</f>
        <v>60.36</v>
      </c>
      <c r="K27" s="298">
        <f t="shared" si="2"/>
        <v>-0.16891085231917913</v>
      </c>
      <c r="L27" s="296">
        <f>INDEX('Table A - Combined'!$C$10:$X$30,MATCH($B27,'Table A - Combined'!$B$10:$B$30,0),MATCH(L$6,'Table A - Combined'!$C$4:$X$4,0))</f>
        <v>67.056480545450427</v>
      </c>
      <c r="M27" s="307">
        <f>ROUND(M26*(1+(IFERROR(INDEX('Table D - Integration'!$C$39:$C$47,MATCH($B27,'Table D - Integration'!$B$39:$B$47,0),1),0)+IFERROR(INDEX('Table D - Integration'!$F$39:$F$47,MATCH($B27,'Table D - Integration'!$E$39:$E$47,0),1),0)+IFERROR(INDEX('Table D - Integration'!$I$39:$I$47,MATCH($B27,'Table D - Integration'!$H$39:$H$47,0),1),0))),2)</f>
        <v>60.36</v>
      </c>
      <c r="N27" s="298">
        <f t="shared" si="3"/>
        <v>6.6964805454504273</v>
      </c>
      <c r="O27" s="30"/>
      <c r="P27" s="30"/>
      <c r="Q27" s="30"/>
      <c r="R27" s="30"/>
    </row>
    <row r="28" spans="2:18">
      <c r="B28" s="306">
        <f t="shared" si="4"/>
        <v>2038</v>
      </c>
      <c r="C28" s="297">
        <f>INDEX('Table A - Combined'!$C$10:$X$30,MATCH($B28,'Table A - Combined'!$B$10:$B$30,0),MATCH(C$6,'Table A - Combined'!$C$4:$X$4,0))</f>
        <v>89.149007884884824</v>
      </c>
      <c r="D28" s="307">
        <f>ROUND(D27*(1+(IFERROR(INDEX('Table D - Integration'!$C$39:$C$47,MATCH($B28,'Table D - Integration'!$B$39:$B$47,0),1),0)+IFERROR(INDEX('Table D - Integration'!$F$39:$F$47,MATCH($B28,'Table D - Integration'!$E$39:$E$47,0),1),0)+IFERROR(INDEX('Table D - Integration'!$I$39:$I$47,MATCH($B28,'Table D - Integration'!$H$39:$H$47,0),1),0))),2)</f>
        <v>61.69</v>
      </c>
      <c r="E28" s="298">
        <f t="shared" si="0"/>
        <v>27.459007884884826</v>
      </c>
      <c r="F28" s="296">
        <f>INDEX('Table A - Combined'!$C$10:$X$30,MATCH($B28,'Table A - Combined'!$B$10:$B$30,0),MATCH(F$6,'Table A - Combined'!$C$4:$X$4,0))</f>
        <v>70.79800317955133</v>
      </c>
      <c r="G28" s="307">
        <f>ROUND(G27*(1+(IFERROR(INDEX('Table D - Integration'!$C$39:$C$47,MATCH($B28,'Table D - Integration'!$B$39:$B$47,0),1),0)+IFERROR(INDEX('Table D - Integration'!$F$39:$F$47,MATCH($B28,'Table D - Integration'!$E$39:$E$47,0),1),0)+IFERROR(INDEX('Table D - Integration'!$I$39:$I$47,MATCH($B28,'Table D - Integration'!$H$39:$H$47,0),1),0))),2)</f>
        <v>61.69</v>
      </c>
      <c r="H28" s="298">
        <f t="shared" si="1"/>
        <v>9.1080031795513321</v>
      </c>
      <c r="I28" s="296">
        <f>INDEX('Table A - Combined'!$C$10:$X$30,MATCH($B28,'Table A - Combined'!$B$10:$B$30,0),MATCH(I$6,'Table A - Combined'!$C$4:$X$4,0))</f>
        <v>63.132990205750609</v>
      </c>
      <c r="J28" s="307">
        <f>ROUND(J27*(1+(IFERROR(INDEX('Table D - Integration'!$C$39:$C$47,MATCH($B28,'Table D - Integration'!$B$39:$B$47,0),1),0)+IFERROR(INDEX('Table D - Integration'!$F$39:$F$47,MATCH($B28,'Table D - Integration'!$E$39:$E$47,0),1),0)+IFERROR(INDEX('Table D - Integration'!$I$39:$I$47,MATCH($B28,'Table D - Integration'!$H$39:$H$47,0),1),0))),2)</f>
        <v>61.69</v>
      </c>
      <c r="K28" s="298">
        <f t="shared" si="2"/>
        <v>1.4429902057506112</v>
      </c>
      <c r="L28" s="296">
        <f>INDEX('Table A - Combined'!$C$10:$X$30,MATCH($B28,'Table A - Combined'!$B$10:$B$30,0),MATCH(L$6,'Table A - Combined'!$C$4:$X$4,0))</f>
        <v>70.20660110519205</v>
      </c>
      <c r="M28" s="307">
        <f>ROUND(M27*(1+(IFERROR(INDEX('Table D - Integration'!$C$39:$C$47,MATCH($B28,'Table D - Integration'!$B$39:$B$47,0),1),0)+IFERROR(INDEX('Table D - Integration'!$F$39:$F$47,MATCH($B28,'Table D - Integration'!$E$39:$E$47,0),1),0)+IFERROR(INDEX('Table D - Integration'!$I$39:$I$47,MATCH($B28,'Table D - Integration'!$H$39:$H$47,0),1),0))),2)</f>
        <v>61.69</v>
      </c>
      <c r="N28" s="298">
        <f t="shared" si="3"/>
        <v>8.516601105192052</v>
      </c>
      <c r="O28" s="30"/>
      <c r="P28" s="30"/>
      <c r="Q28" s="30"/>
      <c r="R28" s="30"/>
    </row>
    <row r="29" spans="2:18">
      <c r="B29" s="306">
        <f t="shared" si="4"/>
        <v>2039</v>
      </c>
      <c r="C29" s="297">
        <f>INDEX('Table A - Combined'!$C$10:$X$30,MATCH($B29,'Table A - Combined'!$B$10:$B$30,0),MATCH(C$6,'Table A - Combined'!$C$4:$X$4,0))</f>
        <v>91.703195425932066</v>
      </c>
      <c r="D29" s="307">
        <f>ROUND(D28*(1+(IFERROR(INDEX('Table D - Integration'!$C$39:$C$47,MATCH($B29,'Table D - Integration'!$B$39:$B$47,0),1),0)+IFERROR(INDEX('Table D - Integration'!$F$39:$F$47,MATCH($B29,'Table D - Integration'!$E$39:$E$47,0),1),0)+IFERROR(INDEX('Table D - Integration'!$I$39:$I$47,MATCH($B29,'Table D - Integration'!$H$39:$H$47,0),1),0))),2)</f>
        <v>63.05</v>
      </c>
      <c r="E29" s="298">
        <f t="shared" si="0"/>
        <v>28.653195425932068</v>
      </c>
      <c r="F29" s="296">
        <f>INDEX('Table A - Combined'!$C$10:$X$30,MATCH($B29,'Table A - Combined'!$B$10:$B$30,0),MATCH(F$6,'Table A - Combined'!$C$4:$X$4,0))</f>
        <v>72.925816846657568</v>
      </c>
      <c r="G29" s="307">
        <f>ROUND(G28*(1+(IFERROR(INDEX('Table D - Integration'!$C$39:$C$47,MATCH($B29,'Table D - Integration'!$B$39:$B$47,0),1),0)+IFERROR(INDEX('Table D - Integration'!$F$39:$F$47,MATCH($B29,'Table D - Integration'!$E$39:$E$47,0),1),0)+IFERROR(INDEX('Table D - Integration'!$I$39:$I$47,MATCH($B29,'Table D - Integration'!$H$39:$H$47,0),1),0))),2)</f>
        <v>63.05</v>
      </c>
      <c r="H29" s="298">
        <f t="shared" si="1"/>
        <v>9.8758168466575711</v>
      </c>
      <c r="I29" s="296">
        <f>INDEX('Table A - Combined'!$C$10:$X$30,MATCH($B29,'Table A - Combined'!$B$10:$B$30,0),MATCH(I$6,'Table A - Combined'!$C$4:$X$4,0))</f>
        <v>64.923203205031953</v>
      </c>
      <c r="J29" s="307">
        <f>ROUND(J28*(1+(IFERROR(INDEX('Table D - Integration'!$C$39:$C$47,MATCH($B29,'Table D - Integration'!$B$39:$B$47,0),1),0)+IFERROR(INDEX('Table D - Integration'!$F$39:$F$47,MATCH($B29,'Table D - Integration'!$E$39:$E$47,0),1),0)+IFERROR(INDEX('Table D - Integration'!$I$39:$I$47,MATCH($B29,'Table D - Integration'!$H$39:$H$47,0),1),0))),2)</f>
        <v>63.05</v>
      </c>
      <c r="K29" s="298">
        <f t="shared" si="2"/>
        <v>1.873203205031956</v>
      </c>
      <c r="L29" s="296">
        <f>INDEX('Table A - Combined'!$C$10:$X$30,MATCH($B29,'Table A - Combined'!$B$10:$B$30,0),MATCH(L$6,'Table A - Combined'!$C$4:$X$4,0))</f>
        <v>72.134158357691959</v>
      </c>
      <c r="M29" s="307">
        <f>ROUND(M28*(1+(IFERROR(INDEX('Table D - Integration'!$C$39:$C$47,MATCH($B29,'Table D - Integration'!$B$39:$B$47,0),1),0)+IFERROR(INDEX('Table D - Integration'!$F$39:$F$47,MATCH($B29,'Table D - Integration'!$E$39:$E$47,0),1),0)+IFERROR(INDEX('Table D - Integration'!$I$39:$I$47,MATCH($B29,'Table D - Integration'!$H$39:$H$47,0),1),0))),2)</f>
        <v>63.05</v>
      </c>
      <c r="N29" s="298">
        <f t="shared" si="3"/>
        <v>9.0841583576919618</v>
      </c>
      <c r="O29" s="30"/>
      <c r="P29" s="30"/>
      <c r="Q29" s="30"/>
      <c r="R29" s="30"/>
    </row>
    <row r="30" spans="2:18">
      <c r="B30" s="309"/>
      <c r="C30" s="302"/>
      <c r="D30" s="302"/>
      <c r="E30" s="303"/>
      <c r="F30" s="301"/>
      <c r="G30" s="302"/>
      <c r="H30" s="303"/>
      <c r="I30" s="301"/>
      <c r="J30" s="302"/>
      <c r="K30" s="303"/>
      <c r="L30" s="302"/>
      <c r="M30" s="302"/>
      <c r="N30" s="303"/>
      <c r="O30" s="30"/>
      <c r="P30" s="30"/>
      <c r="Q30" s="30"/>
      <c r="R30" s="1"/>
    </row>
    <row r="31" spans="2:18" ht="2.25" customHeight="1">
      <c r="B31" s="310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30"/>
      <c r="P31" s="30"/>
      <c r="Q31" s="1"/>
    </row>
    <row r="32" spans="2:18" ht="12" customHeight="1">
      <c r="B32" s="311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30"/>
      <c r="P32" s="30"/>
      <c r="Q32" s="1"/>
    </row>
    <row r="33" spans="2:18" s="3" customFormat="1" ht="12" customHeight="1">
      <c r="B33" s="311" t="s">
        <v>200</v>
      </c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30"/>
      <c r="P33" s="30"/>
      <c r="Q33" s="13"/>
    </row>
    <row r="34" spans="2:18" ht="2.25" customHeight="1">
      <c r="B34" s="310"/>
      <c r="C34" s="297"/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30"/>
      <c r="P34" s="30"/>
      <c r="Q34" s="1"/>
    </row>
    <row r="35" spans="2:18" s="3" customFormat="1">
      <c r="B35" s="313" t="str">
        <f>" 15 Year Nominal Levelized Price ($/MWh) at "&amp;TEXT(R36,"0.000%")&amp;" Discount Rate (2017 IRP Update)"</f>
        <v xml:space="preserve"> 15 Year Nominal Levelized Price ($/MWh) at 6.910% Discount Rate (2017 IRP Update)</v>
      </c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7"/>
      <c r="O35" s="30"/>
      <c r="P35" s="30"/>
      <c r="Q35" s="13"/>
      <c r="R35" s="48" t="s">
        <v>155</v>
      </c>
    </row>
    <row r="36" spans="2:18" s="3" customFormat="1" ht="15" customHeight="1">
      <c r="B36" s="312" t="str">
        <f>"("&amp;B10&amp;"-"&amp;B24&amp;")"</f>
        <v>(2020-2034)</v>
      </c>
      <c r="C36" s="308">
        <f t="shared" ref="C36:D38" si="5">-PMT(DiscountRate,COUNT(C10:C24),NPV(DiscountRate,C10:C24))</f>
        <v>53.615005103442115</v>
      </c>
      <c r="D36" s="308">
        <f t="shared" si="5"/>
        <v>44.697169627219736</v>
      </c>
      <c r="E36" s="308">
        <f t="shared" ref="E36" si="6">C36-D36</f>
        <v>8.917835476222379</v>
      </c>
      <c r="F36" s="308">
        <f t="shared" ref="F36:G38" si="7">-PMT(DiscountRate,COUNT(F10:F24),NPV(DiscountRate,F10:F24))</f>
        <v>40.970240804258559</v>
      </c>
      <c r="G36" s="308">
        <f t="shared" si="7"/>
        <v>44.697169627219736</v>
      </c>
      <c r="H36" s="308">
        <f t="shared" ref="H36" si="8">F36-G36</f>
        <v>-3.7269288229611774</v>
      </c>
      <c r="I36" s="308">
        <f t="shared" ref="I36:J38" si="9">-PMT(DiscountRate,COUNT(I10:I24),NPV(DiscountRate,I10:I24))</f>
        <v>33.541795917896415</v>
      </c>
      <c r="J36" s="308">
        <f t="shared" si="9"/>
        <v>44.697169627219736</v>
      </c>
      <c r="K36" s="308">
        <f t="shared" ref="K36" si="10">I36-J36</f>
        <v>-11.155373709323321</v>
      </c>
      <c r="L36" s="308">
        <f t="shared" ref="L36:M38" si="11">-PMT(DiscountRate,COUNT(L10:L24),NPV(DiscountRate,L10:L24))</f>
        <v>36.130750351791058</v>
      </c>
      <c r="M36" s="308">
        <f t="shared" si="11"/>
        <v>44.697169627219736</v>
      </c>
      <c r="N36" s="308">
        <f t="shared" ref="N36" si="12">L36-M36</f>
        <v>-8.5664192754286788</v>
      </c>
      <c r="O36" s="30"/>
      <c r="P36" s="30"/>
      <c r="Q36" s="13"/>
      <c r="R36" s="197">
        <v>6.9099999999999995E-2</v>
      </c>
    </row>
    <row r="37" spans="2:18" ht="15" customHeight="1">
      <c r="B37" s="312" t="str">
        <f>"("&amp;B11&amp;"-"&amp;B25&amp;")"</f>
        <v>(2021-2035)</v>
      </c>
      <c r="C37" s="308">
        <f t="shared" si="5"/>
        <v>55.683683770898561</v>
      </c>
      <c r="D37" s="308">
        <f t="shared" si="5"/>
        <v>46.602524710273087</v>
      </c>
      <c r="E37" s="308">
        <f t="shared" ref="E37" si="13">C37-D37</f>
        <v>9.081159060625474</v>
      </c>
      <c r="F37" s="308">
        <f t="shared" si="7"/>
        <v>42.651132168887429</v>
      </c>
      <c r="G37" s="308">
        <f t="shared" si="7"/>
        <v>46.602524710273087</v>
      </c>
      <c r="H37" s="308">
        <f t="shared" ref="H37" si="14">F37-G37</f>
        <v>-3.9513925413856583</v>
      </c>
      <c r="I37" s="308">
        <f t="shared" si="9"/>
        <v>35.287057283929556</v>
      </c>
      <c r="J37" s="308">
        <f t="shared" si="9"/>
        <v>46.602524710273087</v>
      </c>
      <c r="K37" s="308">
        <f t="shared" ref="K37" si="15">I37-J37</f>
        <v>-11.315467426343531</v>
      </c>
      <c r="L37" s="308">
        <f t="shared" si="11"/>
        <v>38.217233481124019</v>
      </c>
      <c r="M37" s="308">
        <f t="shared" si="11"/>
        <v>46.602524710273087</v>
      </c>
      <c r="N37" s="308">
        <f t="shared" ref="N37" si="16">L37-M37</f>
        <v>-8.3852912291490682</v>
      </c>
      <c r="R37" s="1"/>
    </row>
    <row r="38" spans="2:18" ht="15" customHeight="1">
      <c r="B38" s="312" t="str">
        <f>"("&amp;B12&amp;"-"&amp;B26&amp;")"</f>
        <v>(2022-2036)</v>
      </c>
      <c r="C38" s="308">
        <f t="shared" si="5"/>
        <v>57.308025781219534</v>
      </c>
      <c r="D38" s="308">
        <f t="shared" si="5"/>
        <v>48.598726495244499</v>
      </c>
      <c r="E38" s="308">
        <f t="shared" ref="E38" si="17">C38-D38</f>
        <v>8.7092992859750353</v>
      </c>
      <c r="F38" s="308">
        <f t="shared" si="7"/>
        <v>43.869421317805553</v>
      </c>
      <c r="G38" s="308">
        <f t="shared" si="7"/>
        <v>48.598726495244499</v>
      </c>
      <c r="H38" s="308">
        <f t="shared" ref="H38" si="18">F38-G38</f>
        <v>-4.7293051774389454</v>
      </c>
      <c r="I38" s="308">
        <f t="shared" si="9"/>
        <v>36.620399609842693</v>
      </c>
      <c r="J38" s="308">
        <f t="shared" si="9"/>
        <v>48.598726495244499</v>
      </c>
      <c r="K38" s="308">
        <f t="shared" ref="K38" si="19">I38-J38</f>
        <v>-11.978326885401806</v>
      </c>
      <c r="L38" s="308">
        <f t="shared" si="11"/>
        <v>39.91126381986416</v>
      </c>
      <c r="M38" s="308">
        <f t="shared" si="11"/>
        <v>48.598726495244499</v>
      </c>
      <c r="N38" s="308">
        <f t="shared" ref="N38" si="20">L38-M38</f>
        <v>-8.6874626753803383</v>
      </c>
    </row>
    <row r="39" spans="2:18" s="3" customFormat="1">
      <c r="B39" s="7"/>
      <c r="O39" s="6"/>
      <c r="P39" s="6"/>
      <c r="Q39" s="6"/>
      <c r="R39" s="6"/>
    </row>
    <row r="40" spans="2:18" s="3" customFormat="1">
      <c r="B40" s="7"/>
      <c r="C40" s="48"/>
      <c r="O40" s="6"/>
      <c r="P40" s="6"/>
      <c r="Q40" s="6"/>
      <c r="R40" s="6"/>
    </row>
    <row r="41" spans="2:18" s="3" customFormat="1">
      <c r="B41" s="7"/>
      <c r="C41" s="48"/>
      <c r="O41" s="6"/>
      <c r="P41" s="6"/>
      <c r="Q41" s="6"/>
      <c r="R41" s="6"/>
    </row>
    <row r="42" spans="2:18" s="3" customFormat="1">
      <c r="B42" s="7"/>
      <c r="C42" s="1"/>
      <c r="O42" s="6"/>
      <c r="P42" s="6"/>
      <c r="Q42" s="6"/>
      <c r="R42" s="6"/>
    </row>
    <row r="44" spans="2:18" s="3" customFormat="1">
      <c r="B44" s="7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2:18" s="3" customFormat="1">
      <c r="B45" s="28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2:18">
      <c r="B46" s="7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2:18" s="48" customFormat="1">
      <c r="B47" s="143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2:18" s="48" customFormat="1">
      <c r="B48" s="144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2:18"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2:18">
      <c r="B50" s="126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2:18"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2:18"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2:18"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2:18"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2:18"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2:18"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2:18"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</sheetData>
  <mergeCells count="11">
    <mergeCell ref="B3:N3"/>
    <mergeCell ref="B2:N2"/>
    <mergeCell ref="B1:N1"/>
    <mergeCell ref="C6:E6"/>
    <mergeCell ref="F6:H6"/>
    <mergeCell ref="I6:K6"/>
    <mergeCell ref="L6:N6"/>
    <mergeCell ref="C5:E5"/>
    <mergeCell ref="F5:H5"/>
    <mergeCell ref="I5:K5"/>
    <mergeCell ref="L5:N5"/>
  </mergeCells>
  <printOptions horizontalCentered="1"/>
  <pageMargins left="0.25" right="0.25" top="0.75" bottom="0.75" header="0.3" footer="0.3"/>
  <pageSetup scale="60" orientation="landscape" r:id="rId1"/>
  <headerFooter alignWithMargins="0">
    <oddFooter>&amp;RPage &amp;P</oddFooter>
  </headerFooter>
  <colBreaks count="2" manualBreakCount="2">
    <brk id="14" max="1048575" man="1"/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0" tint="-0.499984740745262"/>
    <pageSetUpPr fitToPage="1"/>
  </sheetPr>
  <dimension ref="A1"/>
  <sheetViews>
    <sheetView zoomScale="130" zoomScaleNormal="130" workbookViewId="0"/>
  </sheetViews>
  <sheetFormatPr defaultRowHeight="12.75"/>
  <sheetData/>
  <printOptions horizontalCentered="1"/>
  <pageMargins left="0.8" right="0.3" top="0.4" bottom="0.4" header="0.5" footer="0.2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D1ACBA08943744B87E8052F602900B8" ma:contentTypeVersion="56" ma:contentTypeDescription="" ma:contentTypeScope="" ma:versionID="7293b8ba51040f502100a843486e7c8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2019-08-09T07:00:00+00:00</OpenedDate>
    <SignificantOrder xmlns="dc463f71-b30c-4ab2-9473-d307f9d35888">false</SignificantOrder>
    <Date1 xmlns="dc463f71-b30c-4ab2-9473-d307f9d35888">2020-04-03T07:00:00+00:00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190666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07A81B2-5D38-4838-BC5A-CC5F333129D7}"/>
</file>

<file path=customXml/itemProps2.xml><?xml version="1.0" encoding="utf-8"?>
<ds:datastoreItem xmlns:ds="http://schemas.openxmlformats.org/officeDocument/2006/customXml" ds:itemID="{0462B47A-D4DC-461E-97E7-E957FE83DE55}"/>
</file>

<file path=customXml/itemProps3.xml><?xml version="1.0" encoding="utf-8"?>
<ds:datastoreItem xmlns:ds="http://schemas.openxmlformats.org/officeDocument/2006/customXml" ds:itemID="{4D013C5A-EB22-46E0-A78E-9E2FE7C61AAA}"/>
</file>

<file path=customXml/itemProps4.xml><?xml version="1.0" encoding="utf-8"?>
<ds:datastoreItem xmlns:ds="http://schemas.openxmlformats.org/officeDocument/2006/customXml" ds:itemID="{37F9BA96-B09D-4482-AC69-44694BFC79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Table A - Combined</vt:lpstr>
      <vt:lpstr>Table B - Energy</vt:lpstr>
      <vt:lpstr>Table C - Capacity</vt:lpstr>
      <vt:lpstr>Table D - Integration</vt:lpstr>
      <vt:lpstr>Exhibit 1 - Market Capacity</vt:lpstr>
      <vt:lpstr>CONF Exhibit 2 - Planned Cap</vt:lpstr>
      <vt:lpstr>Exhibit 3 - Levelized Capacity</vt:lpstr>
      <vt:lpstr>Exhibit 4 - Comparison</vt:lpstr>
      <vt:lpstr>XX Support Pages - Do Not Print</vt:lpstr>
      <vt:lpstr>Escalation</vt:lpstr>
      <vt:lpstr>Profiles</vt:lpstr>
      <vt:lpstr>Portfolio</vt:lpstr>
      <vt:lpstr>Chart2</vt:lpstr>
      <vt:lpstr>DiscountRate</vt:lpstr>
      <vt:lpstr>'CONF Exhibit 2 - Planned Cap'!Print_Area</vt:lpstr>
      <vt:lpstr>'Exhibit 1 - Market Capacity'!Print_Area</vt:lpstr>
      <vt:lpstr>'Exhibit 3 - Levelized Capacity'!Print_Area</vt:lpstr>
      <vt:lpstr>'Exhibit 4 - Comparison'!Print_Area</vt:lpstr>
      <vt:lpstr>Portfolio!Print_Area</vt:lpstr>
      <vt:lpstr>'Table A - Combined'!Print_Area</vt:lpstr>
      <vt:lpstr>'Table B - Energy'!Print_Area</vt:lpstr>
      <vt:lpstr>'Table C - Capacity'!Print_Area</vt:lpstr>
      <vt:lpstr>'Table D - Integration'!Print_Area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2017-04-26T17:13:09Z</dcterms:created>
  <dcterms:modified xsi:type="dcterms:W3CDTF">2020-03-13T23:05:52Z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0x0101006E56B4D1795A2E4DB2F0B01679ED314A00DD1ACBA08943744B87E8052F602900B8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