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Kalahiki Consulting LLC\PSP\Post Order Work\"/>
    </mc:Choice>
  </mc:AlternateContent>
  <xr:revisionPtr revIDLastSave="0" documentId="13_ncr:1_{598442EC-8D6A-4053-9CA8-A8302ADD8D45}" xr6:coauthVersionLast="47" xr6:coauthVersionMax="47" xr10:uidLastSave="{00000000-0000-0000-0000-000000000000}"/>
  <bookViews>
    <workbookView xWindow="31515" yWindow="4155" windowWidth="21600" windowHeight="11295" tabRatio="1000" xr2:uid="{F093DF9B-40EE-4330-9D0E-49CC87FFC8D7}"/>
  </bookViews>
  <sheets>
    <sheet name="Appendix A - updated for Fuel" sheetId="22" r:id="rId1"/>
    <sheet name="Total Fuel" sheetId="21" r:id="rId2"/>
    <sheet name="Support for Fuel Costs --&gt;" sheetId="23" r:id="rId3"/>
    <sheet name="PS Fuel Invoices" sheetId="14" r:id="rId4"/>
    <sheet name="JdF Fuel Invoices" sheetId="18" r:id="rId5"/>
    <sheet name="PS Fuel GL" sheetId="19" r:id="rId6"/>
    <sheet name="JDF Fuel GL" sheetId="20" r:id="rId7"/>
  </sheets>
  <definedNames>
    <definedName name="slope">#REF!</definedName>
    <definedName name="y_inter1">#REF!</definedName>
    <definedName name="y_inter2">#REF!</definedName>
    <definedName name="y_inter3">#REF!</definedName>
    <definedName name="y_inter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9" l="1"/>
  <c r="F8" i="20"/>
  <c r="G75" i="22"/>
  <c r="G53" i="22"/>
  <c r="G60" i="22" s="1"/>
  <c r="G61" i="22" s="1"/>
  <c r="C15" i="21"/>
  <c r="C12" i="21"/>
  <c r="C11" i="21"/>
  <c r="C10" i="21"/>
  <c r="M90" i="18"/>
  <c r="M83" i="18"/>
  <c r="M81" i="18"/>
  <c r="M78" i="18"/>
  <c r="M73" i="18"/>
  <c r="M67" i="18"/>
  <c r="M60" i="18"/>
  <c r="G65" i="22"/>
  <c r="G68" i="22" s="1"/>
  <c r="F60" i="22"/>
  <c r="F61" i="22" s="1"/>
  <c r="G11" i="22"/>
  <c r="G67" i="22" l="1"/>
  <c r="G69" i="22"/>
  <c r="G71" i="22" s="1"/>
  <c r="G74" i="22" l="1"/>
  <c r="J61" i="14" l="1"/>
  <c r="J60" i="14"/>
  <c r="J46" i="14"/>
  <c r="J39" i="14"/>
  <c r="J33" i="14"/>
  <c r="J31" i="14"/>
  <c r="J20" i="14"/>
  <c r="J17" i="14"/>
  <c r="J13" i="14"/>
  <c r="J89" i="18"/>
  <c r="J87" i="18"/>
  <c r="J85" i="18"/>
  <c r="J83" i="18"/>
  <c r="J77" i="18"/>
  <c r="J75" i="18"/>
  <c r="J71" i="18"/>
  <c r="J69" i="18"/>
  <c r="J65" i="18"/>
  <c r="J62" i="18"/>
  <c r="J59" i="18"/>
  <c r="J54" i="18"/>
  <c r="J42" i="18"/>
  <c r="J37" i="18"/>
  <c r="J17" i="18"/>
  <c r="E90" i="18"/>
  <c r="J90" i="18" s="1"/>
  <c r="E88" i="18"/>
  <c r="J88" i="18" s="1"/>
  <c r="E86" i="18"/>
  <c r="J86" i="18" s="1"/>
  <c r="E84" i="18"/>
  <c r="J84" i="18" s="1"/>
  <c r="E82" i="18"/>
  <c r="J82" i="18" s="1"/>
  <c r="E81" i="18"/>
  <c r="J81" i="18" s="1"/>
  <c r="E80" i="18"/>
  <c r="J80" i="18" s="1"/>
  <c r="E79" i="18"/>
  <c r="E78" i="18"/>
  <c r="J78" i="18" s="1"/>
  <c r="E76" i="18"/>
  <c r="J76" i="18" s="1"/>
  <c r="E74" i="18"/>
  <c r="J74" i="18" s="1"/>
  <c r="E73" i="18"/>
  <c r="J73" i="18" s="1"/>
  <c r="E72" i="18"/>
  <c r="J72" i="18" s="1"/>
  <c r="E70" i="18"/>
  <c r="J70" i="18" s="1"/>
  <c r="E68" i="18"/>
  <c r="J68" i="18" s="1"/>
  <c r="E67" i="18"/>
  <c r="J67" i="18" s="1"/>
  <c r="E66" i="18"/>
  <c r="J66" i="18" s="1"/>
  <c r="E64" i="18"/>
  <c r="J64" i="18" s="1"/>
  <c r="E63" i="18"/>
  <c r="J63" i="18" s="1"/>
  <c r="E61" i="18"/>
  <c r="J61" i="18" s="1"/>
  <c r="E60" i="18"/>
  <c r="J60" i="18" s="1"/>
  <c r="E58" i="18"/>
  <c r="J58" i="18" s="1"/>
  <c r="E57" i="18"/>
  <c r="J57" i="18" s="1"/>
  <c r="E56" i="18"/>
  <c r="J56" i="18" s="1"/>
  <c r="E55" i="18"/>
  <c r="J55" i="18" s="1"/>
  <c r="E53" i="18"/>
  <c r="J53" i="18" s="1"/>
  <c r="M67" i="14"/>
  <c r="M58" i="14"/>
  <c r="M57" i="14"/>
  <c r="M47" i="14"/>
  <c r="M40" i="14"/>
  <c r="M37" i="14"/>
  <c r="M32" i="14"/>
  <c r="E67" i="14"/>
  <c r="J67" i="14" s="1"/>
  <c r="E66" i="14"/>
  <c r="J66" i="14" s="1"/>
  <c r="E65" i="14"/>
  <c r="J65" i="14" s="1"/>
  <c r="E64" i="14"/>
  <c r="J64" i="14" s="1"/>
  <c r="E63" i="14"/>
  <c r="J63" i="14" s="1"/>
  <c r="E62" i="14"/>
  <c r="J62" i="14" s="1"/>
  <c r="E59" i="14"/>
  <c r="J59" i="14" s="1"/>
  <c r="E58" i="14"/>
  <c r="J58" i="14" s="1"/>
  <c r="E57" i="14"/>
  <c r="J57" i="14" s="1"/>
  <c r="E56" i="14"/>
  <c r="J56" i="14" s="1"/>
  <c r="E55" i="14"/>
  <c r="J55" i="14" s="1"/>
  <c r="E54" i="14"/>
  <c r="J54" i="14" s="1"/>
  <c r="E53" i="14"/>
  <c r="J53" i="14" s="1"/>
  <c r="E52" i="14"/>
  <c r="J52" i="14" s="1"/>
  <c r="E51" i="14"/>
  <c r="J51" i="14" s="1"/>
  <c r="E50" i="14"/>
  <c r="J50" i="14" s="1"/>
  <c r="E49" i="14"/>
  <c r="J49" i="14" s="1"/>
  <c r="E48" i="14"/>
  <c r="J48" i="14" s="1"/>
  <c r="E47" i="14"/>
  <c r="J47" i="14" s="1"/>
  <c r="E45" i="14"/>
  <c r="J45" i="14" s="1"/>
  <c r="E44" i="14"/>
  <c r="J44" i="14" s="1"/>
  <c r="E43" i="14"/>
  <c r="J43" i="14" s="1"/>
  <c r="E42" i="14"/>
  <c r="J42" i="14" s="1"/>
  <c r="E41" i="14"/>
  <c r="J41" i="14" s="1"/>
  <c r="E40" i="14"/>
  <c r="J40" i="14" s="1"/>
  <c r="E38" i="14"/>
  <c r="J38" i="14" s="1"/>
  <c r="E37" i="14"/>
  <c r="J37" i="14" s="1"/>
  <c r="E36" i="14"/>
  <c r="J36" i="14" s="1"/>
  <c r="E35" i="14"/>
  <c r="J35" i="14" s="1"/>
  <c r="E34" i="14"/>
  <c r="J34" i="14" s="1"/>
  <c r="E32" i="14"/>
  <c r="J32" i="14" s="1"/>
  <c r="E30" i="14"/>
  <c r="J30" i="14" s="1"/>
  <c r="E29" i="14"/>
  <c r="J29" i="14" s="1"/>
  <c r="E28" i="14"/>
  <c r="J28" i="14" s="1"/>
  <c r="F25" i="19"/>
  <c r="J79" i="18" l="1"/>
  <c r="L81" i="18" s="1"/>
  <c r="N81" i="18" s="1"/>
  <c r="L58" i="14"/>
  <c r="L78" i="18"/>
  <c r="N78" i="18" s="1"/>
  <c r="L73" i="18"/>
  <c r="N73" i="18" s="1"/>
  <c r="L83" i="18"/>
  <c r="N83" i="18" s="1"/>
  <c r="L67" i="18"/>
  <c r="N67" i="18" s="1"/>
  <c r="L90" i="18"/>
  <c r="N90" i="18" s="1"/>
  <c r="L60" i="18"/>
  <c r="N60" i="18" s="1"/>
  <c r="L40" i="14"/>
  <c r="N40" i="14" s="1"/>
  <c r="N58" i="14"/>
  <c r="L47" i="14"/>
  <c r="N47" i="14" s="1"/>
  <c r="L32" i="14"/>
  <c r="N32" i="14" s="1"/>
  <c r="L67" i="14"/>
  <c r="N67" i="14" s="1"/>
  <c r="L57" i="14"/>
  <c r="N57" i="14" s="1"/>
  <c r="L37" i="14"/>
  <c r="N37" i="14" s="1"/>
  <c r="F15" i="19"/>
  <c r="F26" i="20"/>
  <c r="F16" i="20"/>
  <c r="D27" i="14" l="1"/>
  <c r="E27" i="14"/>
  <c r="M27" i="14"/>
  <c r="E26" i="14"/>
  <c r="J26" i="14" s="1"/>
  <c r="H25" i="14"/>
  <c r="J25" i="14" s="1"/>
  <c r="H24" i="14"/>
  <c r="J24" i="14" s="1"/>
  <c r="M23" i="14"/>
  <c r="E23" i="14"/>
  <c r="J23" i="14" s="1"/>
  <c r="E22" i="14"/>
  <c r="J22" i="14" s="1"/>
  <c r="E21" i="14"/>
  <c r="J21" i="14" s="1"/>
  <c r="J27" i="14" l="1"/>
  <c r="M20" i="14"/>
  <c r="E19" i="14"/>
  <c r="J19" i="14" s="1"/>
  <c r="E18" i="14"/>
  <c r="J18" i="14" s="1"/>
  <c r="E16" i="14"/>
  <c r="J16" i="14" s="1"/>
  <c r="M15" i="14"/>
  <c r="E15" i="14"/>
  <c r="J15" i="14" s="1"/>
  <c r="E14" i="14"/>
  <c r="J14" i="14" s="1"/>
  <c r="E12" i="14"/>
  <c r="J12" i="14" s="1"/>
  <c r="M52" i="18"/>
  <c r="H52" i="18"/>
  <c r="E52" i="18" s="1"/>
  <c r="J52" i="18" s="1"/>
  <c r="E51" i="18"/>
  <c r="J51" i="18" s="1"/>
  <c r="E50" i="18"/>
  <c r="J50" i="18" s="1"/>
  <c r="E49" i="18"/>
  <c r="J49" i="18" s="1"/>
  <c r="E48" i="18"/>
  <c r="J48" i="18" s="1"/>
  <c r="E47" i="18"/>
  <c r="J47" i="18" s="1"/>
  <c r="E46" i="18"/>
  <c r="J46" i="18" s="1"/>
  <c r="M45" i="18"/>
  <c r="E45" i="18"/>
  <c r="J45" i="18" s="1"/>
  <c r="E44" i="18"/>
  <c r="J44" i="18" s="1"/>
  <c r="I43" i="18"/>
  <c r="E43" i="18"/>
  <c r="J43" i="18" s="1"/>
  <c r="E41" i="18"/>
  <c r="J41" i="18" s="1"/>
  <c r="E40" i="18"/>
  <c r="J40" i="18" s="1"/>
  <c r="E39" i="18"/>
  <c r="J39" i="18" s="1"/>
  <c r="M38" i="18"/>
  <c r="E38" i="18"/>
  <c r="J38" i="18" s="1"/>
  <c r="E36" i="18"/>
  <c r="J36" i="18" s="1"/>
  <c r="E35" i="18"/>
  <c r="J35" i="18" s="1"/>
  <c r="E34" i="18"/>
  <c r="J34" i="18" s="1"/>
  <c r="E33" i="18"/>
  <c r="J33" i="18" s="1"/>
  <c r="E32" i="18"/>
  <c r="J32" i="18" s="1"/>
  <c r="M31" i="18"/>
  <c r="E31" i="18"/>
  <c r="J31" i="18" s="1"/>
  <c r="E30" i="18"/>
  <c r="J30" i="18" s="1"/>
  <c r="E29" i="18"/>
  <c r="J29" i="18" s="1"/>
  <c r="E28" i="18"/>
  <c r="J28" i="18" s="1"/>
  <c r="E27" i="18"/>
  <c r="J27" i="18" s="1"/>
  <c r="E26" i="18"/>
  <c r="J26" i="18" s="1"/>
  <c r="E25" i="18"/>
  <c r="J25" i="18" s="1"/>
  <c r="E24" i="18"/>
  <c r="J24" i="18" s="1"/>
  <c r="E23" i="18"/>
  <c r="J23" i="18" s="1"/>
  <c r="M22" i="18"/>
  <c r="E22" i="18"/>
  <c r="J22" i="18" s="1"/>
  <c r="H21" i="18"/>
  <c r="E21" i="18"/>
  <c r="J21" i="18" s="1"/>
  <c r="E20" i="18"/>
  <c r="J20" i="18" s="1"/>
  <c r="E19" i="18"/>
  <c r="J19" i="18" s="1"/>
  <c r="E18" i="18"/>
  <c r="J18" i="18" s="1"/>
  <c r="E16" i="18"/>
  <c r="J16" i="18" s="1"/>
  <c r="H15" i="18"/>
  <c r="E15" i="18"/>
  <c r="J15" i="18" s="1"/>
  <c r="E14" i="18"/>
  <c r="J14" i="18" s="1"/>
  <c r="E13" i="18"/>
  <c r="J13" i="18" s="1"/>
  <c r="E12" i="18"/>
  <c r="J12" i="18" s="1"/>
  <c r="L15" i="14" l="1"/>
  <c r="L20" i="14"/>
  <c r="N20" i="14" s="1"/>
  <c r="L23" i="14"/>
  <c r="N23" i="14" s="1"/>
  <c r="L27" i="14"/>
  <c r="N27" i="14" s="1"/>
  <c r="N15" i="14"/>
  <c r="L38" i="18"/>
  <c r="N38" i="18" s="1"/>
  <c r="L45" i="18"/>
  <c r="N45" i="18" s="1"/>
  <c r="L8" i="14" l="1"/>
  <c r="L31" i="18"/>
  <c r="N31" i="18" s="1"/>
  <c r="L52" i="18" l="1"/>
  <c r="L22" i="18"/>
  <c r="L8" i="18" s="1"/>
  <c r="N22" i="18" l="1"/>
</calcChain>
</file>

<file path=xl/sharedStrings.xml><?xml version="1.0" encoding="utf-8"?>
<sst xmlns="http://schemas.openxmlformats.org/spreadsheetml/2006/main" count="281" uniqueCount="175">
  <si>
    <t xml:space="preserve">Puget Sound Pilots </t>
  </si>
  <si>
    <t>Diesel</t>
  </si>
  <si>
    <t>Taxes</t>
  </si>
  <si>
    <t>Price</t>
  </si>
  <si>
    <t>Oil</t>
  </si>
  <si>
    <t>Cost</t>
  </si>
  <si>
    <t>Fed &amp; State</t>
  </si>
  <si>
    <t>Gallons</t>
  </si>
  <si>
    <t>Per gal</t>
  </si>
  <si>
    <t>Include Tax</t>
  </si>
  <si>
    <t>Total</t>
  </si>
  <si>
    <t>Monthly Totals</t>
  </si>
  <si>
    <t>GL</t>
  </si>
  <si>
    <t>Totals</t>
  </si>
  <si>
    <t>delta</t>
  </si>
  <si>
    <t/>
  </si>
  <si>
    <t>MAS004 - PetroCard</t>
  </si>
  <si>
    <t>PINV10954</t>
  </si>
  <si>
    <t>PINV11103</t>
  </si>
  <si>
    <t>PINV11301</t>
  </si>
  <si>
    <t>PINV11406</t>
  </si>
  <si>
    <t>PINV11630</t>
  </si>
  <si>
    <t>Amounts</t>
  </si>
  <si>
    <t>Vendor</t>
  </si>
  <si>
    <t>Invoice Number</t>
  </si>
  <si>
    <t>Invoice Date</t>
  </si>
  <si>
    <t>Other</t>
  </si>
  <si>
    <t>Charge</t>
  </si>
  <si>
    <t>Check Date</t>
  </si>
  <si>
    <t>PINV11778</t>
  </si>
  <si>
    <t>PINV11962</t>
  </si>
  <si>
    <t>PINV12125</t>
  </si>
  <si>
    <t>PINV12309</t>
  </si>
  <si>
    <t>PINV12571</t>
  </si>
  <si>
    <t>PINV12599</t>
  </si>
  <si>
    <t>PINV12808</t>
  </si>
  <si>
    <t>TP-220513</t>
  </si>
  <si>
    <t>Compliance Filing</t>
  </si>
  <si>
    <t>Most Recent 12 months</t>
  </si>
  <si>
    <t>per Order 08</t>
  </si>
  <si>
    <t>Vessel Puget Sound - General Ledger Fuel Expenses</t>
  </si>
  <si>
    <t>Vessel Juan de Fuca - General Ledger Fuel Expenses</t>
  </si>
  <si>
    <t>Vessel Juan de Fuca - Fuel Expense Invoices</t>
  </si>
  <si>
    <t>Line No.</t>
  </si>
  <si>
    <t>(A)</t>
  </si>
  <si>
    <t>(B)</t>
  </si>
  <si>
    <t>(C)</t>
  </si>
  <si>
    <t>(D)</t>
  </si>
  <si>
    <t>As Calculated by the Order</t>
  </si>
  <si>
    <t>Adj. No.</t>
  </si>
  <si>
    <t>Adjustment</t>
  </si>
  <si>
    <t>Revenue</t>
  </si>
  <si>
    <t>Expense</t>
  </si>
  <si>
    <t>Unadjusted Results (Revenue)</t>
  </si>
  <si>
    <t>Unadjusted Results (Expenses)</t>
  </si>
  <si>
    <t>Results of Operations (Unadjusted)</t>
  </si>
  <si>
    <t>Uncontested Adjustments</t>
  </si>
  <si>
    <t>Restating Adjustments</t>
  </si>
  <si>
    <t>R-1</t>
  </si>
  <si>
    <t>Depreciation</t>
  </si>
  <si>
    <t>R-7</t>
  </si>
  <si>
    <t>Remove RCS Computer Expenses for Amotization</t>
  </si>
  <si>
    <t>R-9</t>
  </si>
  <si>
    <t>Donations</t>
  </si>
  <si>
    <t>R-10</t>
  </si>
  <si>
    <t>Lobbyist Expenses</t>
  </si>
  <si>
    <t>R-11</t>
  </si>
  <si>
    <t>Equipment Lease</t>
  </si>
  <si>
    <t>R-12</t>
  </si>
  <si>
    <t>Remove Test Year Cruise Revenue</t>
  </si>
  <si>
    <t>R-13</t>
  </si>
  <si>
    <t>Deferred Revenue (TOTE)</t>
  </si>
  <si>
    <t>R-14</t>
  </si>
  <si>
    <t>Capital Exp. (Puget Sound ,Prev. Maintenance Exp.)</t>
  </si>
  <si>
    <t>R-15</t>
  </si>
  <si>
    <t>Maintenance Expenses (Juan de Fuca, Prev. Maintenance Exp.)</t>
  </si>
  <si>
    <t>Staff Adj. R-2</t>
  </si>
  <si>
    <t>Callback Expense</t>
  </si>
  <si>
    <t>Pro Forma Adjustments</t>
  </si>
  <si>
    <t>P-3</t>
  </si>
  <si>
    <t>Amortize RCS Computer Expenses Over 3 years</t>
  </si>
  <si>
    <t>P-5</t>
  </si>
  <si>
    <t>Cruise Revenue</t>
  </si>
  <si>
    <t>P-8</t>
  </si>
  <si>
    <t>Dues Expense</t>
  </si>
  <si>
    <t>P-9</t>
  </si>
  <si>
    <t>Employee Wages</t>
  </si>
  <si>
    <t>P-10</t>
  </si>
  <si>
    <t>Employee Medical Benfits Expense</t>
  </si>
  <si>
    <t>P-11</t>
  </si>
  <si>
    <t>Employee Pension Benefits Expense</t>
  </si>
  <si>
    <t>P-12</t>
  </si>
  <si>
    <t>Employee 401(k)</t>
  </si>
  <si>
    <t>P-14*</t>
  </si>
  <si>
    <t>Senate Bill 5096</t>
  </si>
  <si>
    <t>P-15</t>
  </si>
  <si>
    <t>License Fee Expense</t>
  </si>
  <si>
    <t>P-17</t>
  </si>
  <si>
    <t>Amortize Rate Case Costs Over 3 Years (TP-220513)</t>
  </si>
  <si>
    <t>P-20</t>
  </si>
  <si>
    <t>DEI Training</t>
  </si>
  <si>
    <t>Contested Adjustments</t>
  </si>
  <si>
    <t>R-4</t>
  </si>
  <si>
    <t>Double Payment to Vendor - Legal Expense</t>
  </si>
  <si>
    <t>R-5</t>
  </si>
  <si>
    <t>Remove RCS Legal Expenses for Amortization</t>
  </si>
  <si>
    <t>R-6</t>
  </si>
  <si>
    <t>Remove RCS Consulting Fees for Amortization</t>
  </si>
  <si>
    <t>R-8</t>
  </si>
  <si>
    <t>PPP Loan Forgiveness</t>
  </si>
  <si>
    <t>Staff Adj. R-16</t>
  </si>
  <si>
    <t>Tabler and RedCloud Consulting Fees</t>
  </si>
  <si>
    <t>¶285-288</t>
  </si>
  <si>
    <t>General Legal Expenses</t>
  </si>
  <si>
    <t>P-1</t>
  </si>
  <si>
    <t>Amortize RCS Legal Expenses Over 3 years</t>
  </si>
  <si>
    <t>P-2</t>
  </si>
  <si>
    <t>Amortize Test Period RCS Consulting Fees</t>
  </si>
  <si>
    <t>P-4</t>
  </si>
  <si>
    <t>Pilot Medical Expenses</t>
  </si>
  <si>
    <t>P-7</t>
  </si>
  <si>
    <t>Conferences/Travel/Employee Reimb.</t>
  </si>
  <si>
    <t>P-13</t>
  </si>
  <si>
    <t>Pilot Training Expenses</t>
  </si>
  <si>
    <t>P-16</t>
  </si>
  <si>
    <t>Pilots Pension Expense</t>
  </si>
  <si>
    <t>P-18</t>
  </si>
  <si>
    <t>Fuel Expense</t>
  </si>
  <si>
    <t>P-19</t>
  </si>
  <si>
    <t>Insurance Expense</t>
  </si>
  <si>
    <t>P-21</t>
  </si>
  <si>
    <t>DEI Donations</t>
  </si>
  <si>
    <t>P-22</t>
  </si>
  <si>
    <t>B&amp;O Tax</t>
  </si>
  <si>
    <t>P-25</t>
  </si>
  <si>
    <t>Transportation Expenses</t>
  </si>
  <si>
    <t>¶284</t>
  </si>
  <si>
    <t>Amortization of Legal Expenses (Last GRC)</t>
  </si>
  <si>
    <t>¶300</t>
  </si>
  <si>
    <t>Amortization of Consulting Fees (Last GRC)</t>
  </si>
  <si>
    <t>Total Adjustment</t>
  </si>
  <si>
    <t>Pro Forma Results</t>
  </si>
  <si>
    <t>Authorized Funded Pilots</t>
  </si>
  <si>
    <t>Authorized/Target DNI</t>
  </si>
  <si>
    <t>Total DNI (TDNI)</t>
  </si>
  <si>
    <t>Pro Forma Results of Operations</t>
  </si>
  <si>
    <t>C54 - D54</t>
  </si>
  <si>
    <t>TDNI</t>
  </si>
  <si>
    <t>D58</t>
  </si>
  <si>
    <t>Revenue Increase (Before Gross-Up)</t>
  </si>
  <si>
    <t>D61 - D60</t>
  </si>
  <si>
    <t>Gross-Up Factor</t>
  </si>
  <si>
    <t>As filed by PSP</t>
  </si>
  <si>
    <t>Additional Annual RR</t>
  </si>
  <si>
    <t>Add: Restated Pro Forma Revenue</t>
  </si>
  <si>
    <t>C54</t>
  </si>
  <si>
    <t>Total Authorized Revenue</t>
  </si>
  <si>
    <t>Percentage Increase</t>
  </si>
  <si>
    <t>Order 08 Appendix A - Updated for Fuel</t>
  </si>
  <si>
    <t>Vessel Puget Sound Fuel Expense</t>
  </si>
  <si>
    <t>Vessel Juan de Fuca Fuel Expense</t>
  </si>
  <si>
    <t>Total Fuel Expenses</t>
  </si>
  <si>
    <t>Vessel Puget Sound</t>
  </si>
  <si>
    <t>Vessel Juan de Fuca</t>
  </si>
  <si>
    <t>TY Fuel Expenses (Unadjusted Test Year Amount)</t>
  </si>
  <si>
    <t xml:space="preserve">Pro Forma Adjustment </t>
  </si>
  <si>
    <t>to reflect the most recent 12 months of fuel expenses</t>
  </si>
  <si>
    <t>Support for Fuel Costs</t>
  </si>
  <si>
    <t>on the following tabs</t>
  </si>
  <si>
    <t>Vessel Puget Sound - Fuel Expense Invoices</t>
  </si>
  <si>
    <t>8/1/22 - 12/31/22 JdF Total</t>
  </si>
  <si>
    <t>8/1/2022 - 7/31/2023</t>
  </si>
  <si>
    <t>1/1/23 - 7/31/23 JdF Total</t>
  </si>
  <si>
    <t>8/1/22 - 12/31/22 PS Total</t>
  </si>
  <si>
    <t>1/1/23 - 7/31/23 PS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</si>
</sst>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m/d/yy;@"/>
    <numFmt numFmtId="165" formatCode="[$-10409]#,##0.00"/>
    <numFmt numFmtId="166" formatCode="[$-10409]m/d/yyyy"/>
    <numFmt numFmtId="167" formatCode="_(* #,##0_);_(* \(#,##0\);_(* &quot;-&quot;??_);_(@_)"/>
    <numFmt numFmtId="168" formatCode="_(* #,##0.0000_);_(* \(#,##0.0000\);_(* &quot;-&quot;??_);_(@_)"/>
  </numFmts>
  <fonts count="2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2"/>
      <name val="SWISS"/>
    </font>
    <font>
      <sz val="1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0000FF"/>
      <name val="Calibri"/>
      <family val="2"/>
    </font>
    <font>
      <b/>
      <sz val="11"/>
      <color rgb="FF0000FF"/>
      <name val="Calibri"/>
      <family val="2"/>
    </font>
    <font>
      <b/>
      <sz val="26"/>
      <color rgb="FF0000FF"/>
      <name val="Calibri"/>
      <family val="2"/>
    </font>
    <font>
      <i/>
      <sz val="2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9">
    <xf numFmtId="0" fontId="0" fillId="0" borderId="0"/>
    <xf numFmtId="0" fontId="5" fillId="3" borderId="0"/>
    <xf numFmtId="41" fontId="4" fillId="2" borderId="0">
      <alignment horizontal="left"/>
    </xf>
    <xf numFmtId="0" fontId="6" fillId="0" borderId="0"/>
    <xf numFmtId="0" fontId="3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11" fillId="0" borderId="0" xfId="0" applyFont="1"/>
    <xf numFmtId="0" fontId="11" fillId="0" borderId="0" xfId="0" applyFont="1" applyProtection="1">
      <protection locked="0"/>
    </xf>
    <xf numFmtId="43" fontId="2" fillId="0" borderId="0" xfId="5" applyFont="1"/>
    <xf numFmtId="0" fontId="12" fillId="0" borderId="0" xfId="0" applyFont="1"/>
    <xf numFmtId="0" fontId="13" fillId="0" borderId="0" xfId="0" applyFont="1" applyAlignment="1">
      <alignment vertical="top" readingOrder="1"/>
    </xf>
    <xf numFmtId="166" fontId="13" fillId="0" borderId="0" xfId="0" applyNumberFormat="1" applyFont="1" applyAlignment="1">
      <alignment horizontal="left" vertical="top" readingOrder="1"/>
    </xf>
    <xf numFmtId="165" fontId="13" fillId="0" borderId="0" xfId="0" applyNumberFormat="1" applyFont="1" applyAlignment="1">
      <alignment horizontal="right" vertical="top" readingOrder="1"/>
    </xf>
    <xf numFmtId="0" fontId="13" fillId="0" borderId="0" xfId="0" applyFont="1" applyAlignment="1">
      <alignment horizontal="right" vertical="top" readingOrder="1"/>
    </xf>
    <xf numFmtId="165" fontId="13" fillId="0" borderId="0" xfId="0" applyNumberFormat="1" applyFont="1" applyAlignment="1">
      <alignment vertical="top" readingOrder="1"/>
    </xf>
    <xf numFmtId="43" fontId="12" fillId="0" borderId="0" xfId="5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center" wrapText="1"/>
    </xf>
    <xf numFmtId="14" fontId="12" fillId="0" borderId="0" xfId="4" quotePrefix="1" applyNumberFormat="1" applyFont="1" applyAlignment="1">
      <alignment horizontal="right"/>
    </xf>
    <xf numFmtId="14" fontId="12" fillId="0" borderId="2" xfId="4" quotePrefix="1" applyNumberFormat="1" applyFont="1" applyBorder="1" applyAlignment="1">
      <alignment horizontal="right"/>
    </xf>
    <xf numFmtId="0" fontId="12" fillId="0" borderId="3" xfId="0" applyFont="1" applyBorder="1"/>
    <xf numFmtId="43" fontId="12" fillId="0" borderId="3" xfId="5" applyFont="1" applyBorder="1" applyProtection="1">
      <protection locked="0"/>
    </xf>
    <xf numFmtId="43" fontId="2" fillId="0" borderId="3" xfId="5" applyFont="1" applyBorder="1"/>
    <xf numFmtId="14" fontId="12" fillId="0" borderId="5" xfId="4" quotePrefix="1" applyNumberFormat="1" applyFont="1" applyBorder="1" applyAlignment="1">
      <alignment horizontal="right"/>
    </xf>
    <xf numFmtId="43" fontId="12" fillId="0" borderId="0" xfId="5" applyFont="1" applyBorder="1" applyProtection="1">
      <protection locked="0"/>
    </xf>
    <xf numFmtId="43" fontId="2" fillId="0" borderId="0" xfId="5" applyFont="1" applyBorder="1"/>
    <xf numFmtId="14" fontId="12" fillId="0" borderId="7" xfId="4" quotePrefix="1" applyNumberFormat="1" applyFont="1" applyBorder="1" applyAlignment="1">
      <alignment horizontal="right"/>
    </xf>
    <xf numFmtId="0" fontId="12" fillId="0" borderId="8" xfId="0" applyFont="1" applyBorder="1"/>
    <xf numFmtId="43" fontId="12" fillId="0" borderId="8" xfId="5" applyFont="1" applyBorder="1" applyProtection="1">
      <protection locked="0"/>
    </xf>
    <xf numFmtId="43" fontId="2" fillId="0" borderId="8" xfId="5" applyFont="1" applyBorder="1"/>
    <xf numFmtId="43" fontId="12" fillId="0" borderId="8" xfId="5" applyFont="1" applyBorder="1"/>
    <xf numFmtId="43" fontId="12" fillId="0" borderId="3" xfId="5" applyFont="1" applyBorder="1"/>
    <xf numFmtId="43" fontId="12" fillId="0" borderId="0" xfId="5" applyFont="1" applyBorder="1"/>
    <xf numFmtId="164" fontId="12" fillId="0" borderId="5" xfId="4" applyNumberFormat="1" applyFont="1" applyBorder="1" applyAlignment="1">
      <alignment horizontal="right"/>
    </xf>
    <xf numFmtId="164" fontId="12" fillId="0" borderId="2" xfId="4" applyNumberFormat="1" applyFont="1" applyBorder="1" applyAlignment="1">
      <alignment horizontal="right"/>
    </xf>
    <xf numFmtId="164" fontId="12" fillId="0" borderId="7" xfId="4" applyNumberFormat="1" applyFont="1" applyBorder="1" applyAlignment="1">
      <alignment horizontal="right"/>
    </xf>
    <xf numFmtId="0" fontId="1" fillId="0" borderId="0" xfId="0" applyFont="1"/>
    <xf numFmtId="43" fontId="13" fillId="0" borderId="0" xfId="5" applyFont="1" applyAlignment="1">
      <alignment vertical="top" readingOrder="1"/>
    </xf>
    <xf numFmtId="43" fontId="13" fillId="0" borderId="0" xfId="5" applyFont="1" applyAlignment="1">
      <alignment horizontal="right" vertical="top" readingOrder="1"/>
    </xf>
    <xf numFmtId="43" fontId="1" fillId="0" borderId="0" xfId="5" applyFont="1"/>
    <xf numFmtId="0" fontId="9" fillId="0" borderId="0" xfId="0" applyFont="1"/>
    <xf numFmtId="0" fontId="10" fillId="0" borderId="0" xfId="0" applyFont="1" applyProtection="1">
      <protection locked="0"/>
    </xf>
    <xf numFmtId="0" fontId="15" fillId="0" borderId="0" xfId="0" applyFont="1"/>
    <xf numFmtId="0" fontId="13" fillId="0" borderId="0" xfId="0" applyFont="1" applyAlignment="1">
      <alignment horizontal="center" vertical="top" readingOrder="1"/>
    </xf>
    <xf numFmtId="165" fontId="13" fillId="0" borderId="10" xfId="0" applyNumberFormat="1" applyFont="1" applyBorder="1" applyAlignment="1">
      <alignment vertical="top" readingOrder="1"/>
    </xf>
    <xf numFmtId="43" fontId="13" fillId="0" borderId="10" xfId="5" applyFont="1" applyBorder="1" applyAlignment="1">
      <alignment vertical="top" readingOrder="1"/>
    </xf>
    <xf numFmtId="0" fontId="16" fillId="0" borderId="0" xfId="0" applyFont="1" applyAlignment="1">
      <alignment vertical="top" readingOrder="1"/>
    </xf>
    <xf numFmtId="43" fontId="13" fillId="0" borderId="10" xfId="0" applyNumberFormat="1" applyFont="1" applyBorder="1" applyAlignment="1">
      <alignment vertical="top" readingOrder="1"/>
    </xf>
    <xf numFmtId="166" fontId="16" fillId="0" borderId="0" xfId="0" applyNumberFormat="1" applyFont="1" applyAlignment="1">
      <alignment horizontal="left" vertical="top" readingOrder="1"/>
    </xf>
    <xf numFmtId="43" fontId="13" fillId="0" borderId="0" xfId="0" applyNumberFormat="1" applyFont="1" applyAlignment="1">
      <alignment horizontal="center" vertical="top" readingOrder="1"/>
    </xf>
    <xf numFmtId="43" fontId="1" fillId="0" borderId="3" xfId="5" applyFont="1" applyBorder="1"/>
    <xf numFmtId="43" fontId="1" fillId="0" borderId="0" xfId="5" applyFont="1" applyBorder="1"/>
    <xf numFmtId="43" fontId="1" fillId="0" borderId="8" xfId="5" applyFont="1" applyBorder="1"/>
    <xf numFmtId="164" fontId="12" fillId="0" borderId="11" xfId="4" applyNumberFormat="1" applyFont="1" applyBorder="1" applyAlignment="1">
      <alignment horizontal="right"/>
    </xf>
    <xf numFmtId="0" fontId="12" fillId="0" borderId="12" xfId="0" applyFont="1" applyBorder="1"/>
    <xf numFmtId="43" fontId="12" fillId="0" borderId="12" xfId="5" applyFont="1" applyBorder="1" applyProtection="1">
      <protection locked="0"/>
    </xf>
    <xf numFmtId="43" fontId="1" fillId="0" borderId="12" xfId="5" applyFont="1" applyBorder="1"/>
    <xf numFmtId="164" fontId="12" fillId="0" borderId="14" xfId="4" applyNumberFormat="1" applyFont="1" applyBorder="1" applyAlignment="1">
      <alignment horizontal="right"/>
    </xf>
    <xf numFmtId="14" fontId="12" fillId="0" borderId="11" xfId="4" quotePrefix="1" applyNumberFormat="1" applyFont="1" applyBorder="1" applyAlignment="1">
      <alignment horizontal="right"/>
    </xf>
    <xf numFmtId="14" fontId="12" fillId="0" borderId="14" xfId="4" quotePrefix="1" applyNumberFormat="1" applyFont="1" applyBorder="1" applyAlignment="1">
      <alignment horizontal="right"/>
    </xf>
    <xf numFmtId="43" fontId="2" fillId="0" borderId="0" xfId="5" applyFont="1" applyFill="1"/>
    <xf numFmtId="43" fontId="12" fillId="0" borderId="0" xfId="5" applyFont="1" applyFill="1" applyAlignment="1" applyProtection="1">
      <alignment horizontal="center"/>
      <protection locked="0"/>
    </xf>
    <xf numFmtId="43" fontId="2" fillId="0" borderId="3" xfId="5" applyFont="1" applyFill="1" applyBorder="1"/>
    <xf numFmtId="43" fontId="2" fillId="0" borderId="4" xfId="5" applyFont="1" applyFill="1" applyBorder="1"/>
    <xf numFmtId="43" fontId="2" fillId="0" borderId="0" xfId="5" applyFont="1" applyFill="1" applyBorder="1"/>
    <xf numFmtId="43" fontId="2" fillId="0" borderId="6" xfId="5" applyFont="1" applyFill="1" applyBorder="1"/>
    <xf numFmtId="43" fontId="2" fillId="0" borderId="8" xfId="5" applyFont="1" applyFill="1" applyBorder="1"/>
    <xf numFmtId="43" fontId="2" fillId="0" borderId="9" xfId="5" applyFont="1" applyFill="1" applyBorder="1"/>
    <xf numFmtId="43" fontId="1" fillId="0" borderId="4" xfId="5" applyFont="1" applyFill="1" applyBorder="1"/>
    <xf numFmtId="43" fontId="1" fillId="0" borderId="6" xfId="5" applyFont="1" applyFill="1" applyBorder="1"/>
    <xf numFmtId="43" fontId="1" fillId="0" borderId="3" xfId="5" applyFont="1" applyFill="1" applyBorder="1"/>
    <xf numFmtId="43" fontId="1" fillId="0" borderId="0" xfId="5" applyFont="1" applyFill="1" applyBorder="1"/>
    <xf numFmtId="43" fontId="1" fillId="0" borderId="8" xfId="5" applyFont="1" applyFill="1" applyBorder="1"/>
    <xf numFmtId="43" fontId="1" fillId="0" borderId="9" xfId="5" applyFont="1" applyFill="1" applyBorder="1"/>
    <xf numFmtId="43" fontId="1" fillId="0" borderId="12" xfId="5" applyFont="1" applyFill="1" applyBorder="1"/>
    <xf numFmtId="43" fontId="1" fillId="0" borderId="13" xfId="5" applyFont="1" applyFill="1" applyBorder="1"/>
    <xf numFmtId="43" fontId="1" fillId="0" borderId="15" xfId="5" applyFont="1" applyFill="1" applyBorder="1"/>
    <xf numFmtId="14" fontId="0" fillId="0" borderId="0" xfId="0" applyNumberFormat="1"/>
    <xf numFmtId="167" fontId="0" fillId="0" borderId="0" xfId="5" applyNumberFormat="1" applyFont="1"/>
    <xf numFmtId="167" fontId="0" fillId="0" borderId="0" xfId="0" applyNumberFormat="1"/>
    <xf numFmtId="0" fontId="1" fillId="0" borderId="0" xfId="6" applyAlignment="1">
      <alignment horizontal="center"/>
    </xf>
    <xf numFmtId="0" fontId="1" fillId="0" borderId="0" xfId="6"/>
    <xf numFmtId="167" fontId="0" fillId="0" borderId="0" xfId="7" applyNumberFormat="1" applyFont="1"/>
    <xf numFmtId="0" fontId="1" fillId="0" borderId="1" xfId="6" applyBorder="1" applyAlignment="1">
      <alignment horizontal="center"/>
    </xf>
    <xf numFmtId="0" fontId="1" fillId="0" borderId="1" xfId="6" applyBorder="1"/>
    <xf numFmtId="167" fontId="0" fillId="0" borderId="1" xfId="7" applyNumberFormat="1" applyFont="1" applyBorder="1"/>
    <xf numFmtId="0" fontId="8" fillId="0" borderId="0" xfId="6" applyFont="1"/>
    <xf numFmtId="167" fontId="8" fillId="0" borderId="0" xfId="7" applyNumberFormat="1" applyFont="1"/>
    <xf numFmtId="167" fontId="0" fillId="0" borderId="10" xfId="7" applyNumberFormat="1" applyFont="1" applyBorder="1"/>
    <xf numFmtId="167" fontId="0" fillId="0" borderId="0" xfId="7" applyNumberFormat="1" applyFont="1" applyBorder="1"/>
    <xf numFmtId="167" fontId="0" fillId="0" borderId="0" xfId="7" applyNumberFormat="1" applyFont="1" applyFill="1" applyBorder="1"/>
    <xf numFmtId="167" fontId="0" fillId="0" borderId="10" xfId="7" applyNumberFormat="1" applyFont="1" applyFill="1" applyBorder="1"/>
    <xf numFmtId="0" fontId="18" fillId="0" borderId="0" xfId="6" applyFont="1" applyAlignment="1">
      <alignment horizontal="center"/>
    </xf>
    <xf numFmtId="167" fontId="0" fillId="0" borderId="16" xfId="7" applyNumberFormat="1" applyFont="1" applyBorder="1"/>
    <xf numFmtId="167" fontId="1" fillId="0" borderId="0" xfId="7" applyNumberFormat="1" applyFont="1"/>
    <xf numFmtId="168" fontId="1" fillId="0" borderId="0" xfId="7" applyNumberFormat="1" applyFont="1" applyBorder="1"/>
    <xf numFmtId="167" fontId="0" fillId="0" borderId="17" xfId="7" applyNumberFormat="1" applyFont="1" applyBorder="1"/>
    <xf numFmtId="167" fontId="1" fillId="0" borderId="0" xfId="6" applyNumberFormat="1"/>
    <xf numFmtId="168" fontId="0" fillId="0" borderId="0" xfId="7" applyNumberFormat="1" applyFont="1"/>
    <xf numFmtId="10" fontId="0" fillId="0" borderId="0" xfId="8" applyNumberFormat="1" applyFont="1"/>
    <xf numFmtId="164" fontId="12" fillId="0" borderId="18" xfId="4" applyNumberFormat="1" applyFont="1" applyBorder="1" applyAlignment="1">
      <alignment horizontal="right"/>
    </xf>
    <xf numFmtId="43" fontId="1" fillId="0" borderId="19" xfId="5" applyFont="1" applyFill="1" applyBorder="1"/>
    <xf numFmtId="14" fontId="12" fillId="0" borderId="18" xfId="4" quotePrefix="1" applyNumberFormat="1" applyFont="1" applyBorder="1" applyAlignment="1">
      <alignment horizontal="right"/>
    </xf>
    <xf numFmtId="43" fontId="19" fillId="0" borderId="0" xfId="0" applyNumberFormat="1" applyFont="1" applyAlignment="1">
      <alignment horizontal="center" vertical="top" readingOrder="1"/>
    </xf>
    <xf numFmtId="0" fontId="20" fillId="0" borderId="0" xfId="0" applyFont="1" applyAlignment="1">
      <alignment vertical="top" readingOrder="1"/>
    </xf>
    <xf numFmtId="0" fontId="20" fillId="0" borderId="0" xfId="0" applyFont="1" applyAlignment="1">
      <alignment horizontal="center" vertical="top" readingOrder="1"/>
    </xf>
    <xf numFmtId="43" fontId="20" fillId="0" borderId="0" xfId="0" applyNumberFormat="1" applyFont="1" applyAlignment="1">
      <alignment horizontal="center" vertical="top" readingOrder="1"/>
    </xf>
    <xf numFmtId="167" fontId="0" fillId="0" borderId="10" xfId="5" applyNumberFormat="1" applyFont="1" applyBorder="1"/>
    <xf numFmtId="0" fontId="21" fillId="0" borderId="0" xfId="0" applyFont="1"/>
    <xf numFmtId="0" fontId="23" fillId="0" borderId="0" xfId="0" applyFont="1"/>
    <xf numFmtId="167" fontId="23" fillId="0" borderId="10" xfId="5" applyNumberFormat="1" applyFont="1" applyBorder="1"/>
    <xf numFmtId="167" fontId="22" fillId="0" borderId="0" xfId="7" applyNumberFormat="1" applyFont="1"/>
    <xf numFmtId="9" fontId="0" fillId="0" borderId="0" xfId="8" applyFont="1"/>
    <xf numFmtId="9" fontId="1" fillId="0" borderId="0" xfId="8" applyFont="1" applyBorder="1"/>
    <xf numFmtId="0" fontId="0" fillId="4" borderId="0" xfId="0" applyFill="1"/>
    <xf numFmtId="167" fontId="23" fillId="0" borderId="17" xfId="7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8" fillId="0" borderId="0" xfId="6" applyFont="1" applyAlignment="1">
      <alignment horizontal="left"/>
    </xf>
    <xf numFmtId="167" fontId="8" fillId="0" borderId="0" xfId="7" applyNumberFormat="1" applyFont="1" applyAlignment="1">
      <alignment horizontal="center" wrapText="1"/>
    </xf>
    <xf numFmtId="0" fontId="17" fillId="0" borderId="0" xfId="6" applyFont="1" applyAlignment="1">
      <alignment horizontal="left"/>
    </xf>
    <xf numFmtId="0" fontId="13" fillId="0" borderId="0" xfId="0" applyFont="1" applyAlignment="1">
      <alignment horizontal="center" vertical="top" readingOrder="1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13" fillId="0" borderId="0" xfId="0" applyFont="1" applyAlignment="1">
      <alignment horizontal="left" vertical="top" readingOrder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top" readingOrder="1"/>
    </xf>
  </cellXfs>
  <cellStyles count="9">
    <cellStyle name="Comma" xfId="5" builtinId="3"/>
    <cellStyle name="Comma 2" xfId="2" xr:uid="{0DE02726-802C-44D8-8BDB-59026691462D}"/>
    <cellStyle name="Comma 3" xfId="7" xr:uid="{BAF8576F-2AF1-46BC-8027-CA2E8BB98592}"/>
    <cellStyle name="Normal" xfId="0" builtinId="0"/>
    <cellStyle name="Normal 2" xfId="1" xr:uid="{691756AD-683C-4DBA-AEB7-B5DD547709D6}"/>
    <cellStyle name="Normal 3" xfId="6" xr:uid="{D76A7B20-21C0-40C8-AFF6-0CBA21694D31}"/>
    <cellStyle name="Normal 6" xfId="3" xr:uid="{A4C1BE5A-B918-4F69-9ABB-7AE51F7E396B}"/>
    <cellStyle name="Normal_Sheet6" xfId="4" xr:uid="{576CD65A-DB53-40D0-A1D9-4EB0FDBEBD61}"/>
    <cellStyle name="Percent 2" xfId="8" xr:uid="{0A9148EE-ECB0-4A1F-B306-382F93989B36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17</xdr:row>
      <xdr:rowOff>114300</xdr:rowOff>
    </xdr:from>
    <xdr:to>
      <xdr:col>15</xdr:col>
      <xdr:colOff>333375</xdr:colOff>
      <xdr:row>20</xdr:row>
      <xdr:rowOff>142875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3B7F65B-2F39-024C-2065-265396AE5DE4}"/>
            </a:ext>
          </a:extLst>
        </xdr:cNvPr>
        <xdr:cNvSpPr/>
      </xdr:nvSpPr>
      <xdr:spPr>
        <a:xfrm>
          <a:off x="6010275" y="3352800"/>
          <a:ext cx="3467100" cy="1009650"/>
        </a:xfrm>
        <a:prstGeom prst="rightArrow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E6D9-BE5B-4C57-A6FF-1CB2D1862299}">
  <dimension ref="B1:O82"/>
  <sheetViews>
    <sheetView tabSelected="1" workbookViewId="0">
      <selection activeCell="B4" sqref="B4:I4"/>
    </sheetView>
  </sheetViews>
  <sheetFormatPr defaultRowHeight="15"/>
  <cols>
    <col min="1" max="1" width="2.7109375" style="78" customWidth="1"/>
    <col min="2" max="2" width="9.140625" style="77"/>
    <col min="3" max="3" width="19.5703125" style="78" bestFit="1" customWidth="1"/>
    <col min="4" max="4" width="57.5703125" style="78" bestFit="1" customWidth="1"/>
    <col min="5" max="5" width="14.140625" style="78" bestFit="1" customWidth="1"/>
    <col min="6" max="7" width="14.28515625" style="79" bestFit="1" customWidth="1"/>
    <col min="8" max="8" width="2.7109375" style="78" customWidth="1"/>
    <col min="9" max="9" width="14.28515625" style="79" customWidth="1"/>
    <col min="10" max="16384" width="9.140625" style="78"/>
  </cols>
  <sheetData>
    <row r="1" spans="2:15" ht="18.75">
      <c r="B1" s="113" t="s">
        <v>0</v>
      </c>
      <c r="C1" s="113"/>
      <c r="D1" s="113"/>
      <c r="E1" s="113"/>
      <c r="F1" s="113"/>
      <c r="G1" s="113"/>
      <c r="H1" s="113"/>
      <c r="I1" s="113"/>
      <c r="J1" s="37"/>
      <c r="K1" s="37"/>
      <c r="L1" s="37"/>
      <c r="M1" s="37"/>
      <c r="N1" s="37"/>
      <c r="O1" s="37"/>
    </row>
    <row r="2" spans="2:15" ht="15.75">
      <c r="B2" s="114" t="s">
        <v>36</v>
      </c>
      <c r="C2" s="114"/>
      <c r="D2" s="114"/>
      <c r="E2" s="114"/>
      <c r="F2" s="114"/>
      <c r="G2" s="114"/>
      <c r="H2" s="114"/>
      <c r="I2" s="114"/>
      <c r="J2" s="38"/>
      <c r="K2" s="38"/>
      <c r="L2" s="38"/>
      <c r="M2" s="38"/>
      <c r="N2" s="38"/>
      <c r="O2" s="38"/>
    </row>
    <row r="3" spans="2:15" ht="15.75">
      <c r="B3" s="114" t="s">
        <v>37</v>
      </c>
      <c r="C3" s="114"/>
      <c r="D3" s="114"/>
      <c r="E3" s="114"/>
      <c r="F3" s="114"/>
      <c r="G3" s="114"/>
      <c r="H3" s="114"/>
      <c r="I3" s="114"/>
      <c r="J3" s="38"/>
      <c r="K3" s="38"/>
      <c r="L3" s="38"/>
      <c r="M3" s="38"/>
      <c r="N3" s="38"/>
      <c r="O3" s="38"/>
    </row>
    <row r="4" spans="2:15" ht="15.75">
      <c r="B4" s="115" t="s">
        <v>158</v>
      </c>
      <c r="C4" s="115"/>
      <c r="D4" s="115"/>
      <c r="E4" s="115"/>
      <c r="F4" s="115"/>
      <c r="G4" s="115"/>
      <c r="H4" s="115"/>
      <c r="I4" s="115"/>
      <c r="J4" s="39"/>
      <c r="K4" s="39"/>
      <c r="L4" s="39"/>
      <c r="M4" s="39"/>
      <c r="N4" s="39"/>
      <c r="O4" s="39"/>
    </row>
    <row r="5" spans="2:1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7" spans="2:15">
      <c r="B7" s="80" t="s">
        <v>43</v>
      </c>
      <c r="C7" s="81" t="s">
        <v>44</v>
      </c>
      <c r="D7" s="81" t="s">
        <v>45</v>
      </c>
      <c r="E7" s="81"/>
      <c r="F7" s="81" t="s">
        <v>46</v>
      </c>
      <c r="G7" s="82" t="s">
        <v>47</v>
      </c>
      <c r="I7" s="117" t="s">
        <v>48</v>
      </c>
    </row>
    <row r="8" spans="2:15">
      <c r="B8" s="77">
        <v>1</v>
      </c>
      <c r="C8" s="83" t="s">
        <v>49</v>
      </c>
      <c r="D8" s="83" t="s">
        <v>50</v>
      </c>
      <c r="F8" s="84" t="s">
        <v>51</v>
      </c>
      <c r="G8" s="84" t="s">
        <v>52</v>
      </c>
      <c r="I8" s="117"/>
    </row>
    <row r="9" spans="2:15">
      <c r="B9" s="77">
        <v>2</v>
      </c>
      <c r="D9" s="78" t="s">
        <v>53</v>
      </c>
      <c r="F9" s="79">
        <v>32097670</v>
      </c>
    </row>
    <row r="10" spans="2:15">
      <c r="B10" s="77">
        <v>3</v>
      </c>
      <c r="D10" s="78" t="s">
        <v>54</v>
      </c>
      <c r="G10" s="79">
        <v>15700095</v>
      </c>
    </row>
    <row r="11" spans="2:15">
      <c r="B11" s="77">
        <v>4</v>
      </c>
      <c r="D11" s="78" t="s">
        <v>55</v>
      </c>
      <c r="F11" s="85"/>
      <c r="G11" s="85">
        <f>F9-G10</f>
        <v>16397575</v>
      </c>
    </row>
    <row r="12" spans="2:15">
      <c r="B12" s="77">
        <v>5</v>
      </c>
      <c r="F12" s="86"/>
      <c r="G12" s="86"/>
    </row>
    <row r="13" spans="2:15">
      <c r="B13" s="77">
        <v>6</v>
      </c>
      <c r="C13" s="118" t="s">
        <v>56</v>
      </c>
      <c r="D13" s="118"/>
    </row>
    <row r="14" spans="2:15">
      <c r="B14" s="77">
        <v>7</v>
      </c>
      <c r="C14" s="116" t="s">
        <v>57</v>
      </c>
      <c r="D14" s="116"/>
    </row>
    <row r="15" spans="2:15">
      <c r="B15" s="77">
        <v>8</v>
      </c>
      <c r="C15" s="78" t="s">
        <v>58</v>
      </c>
      <c r="D15" s="78" t="s">
        <v>59</v>
      </c>
      <c r="G15" s="79">
        <v>207939</v>
      </c>
    </row>
    <row r="16" spans="2:15">
      <c r="B16" s="77">
        <v>9</v>
      </c>
      <c r="C16" s="78" t="s">
        <v>60</v>
      </c>
      <c r="D16" s="78" t="s">
        <v>61</v>
      </c>
      <c r="G16" s="79">
        <v>-57211</v>
      </c>
    </row>
    <row r="17" spans="2:7">
      <c r="B17" s="77">
        <v>10</v>
      </c>
      <c r="C17" s="78" t="s">
        <v>62</v>
      </c>
      <c r="D17" s="78" t="s">
        <v>63</v>
      </c>
      <c r="G17" s="79">
        <v>-7000</v>
      </c>
    </row>
    <row r="18" spans="2:7">
      <c r="B18" s="77">
        <v>11</v>
      </c>
      <c r="C18" s="78" t="s">
        <v>64</v>
      </c>
      <c r="D18" s="78" t="s">
        <v>65</v>
      </c>
      <c r="G18" s="79">
        <v>-75309</v>
      </c>
    </row>
    <row r="19" spans="2:7">
      <c r="B19" s="77">
        <v>12</v>
      </c>
      <c r="C19" s="78" t="s">
        <v>66</v>
      </c>
      <c r="D19" s="78" t="s">
        <v>67</v>
      </c>
      <c r="G19" s="79">
        <v>152998</v>
      </c>
    </row>
    <row r="20" spans="2:7">
      <c r="B20" s="77">
        <v>13</v>
      </c>
      <c r="C20" s="78" t="s">
        <v>68</v>
      </c>
      <c r="D20" s="78" t="s">
        <v>69</v>
      </c>
      <c r="F20" s="79">
        <v>-2011137</v>
      </c>
    </row>
    <row r="21" spans="2:7">
      <c r="B21" s="77">
        <v>14</v>
      </c>
      <c r="C21" s="78" t="s">
        <v>70</v>
      </c>
      <c r="D21" s="78" t="s">
        <v>71</v>
      </c>
      <c r="F21" s="79">
        <v>-124239</v>
      </c>
    </row>
    <row r="22" spans="2:7">
      <c r="B22" s="77">
        <v>15</v>
      </c>
      <c r="C22" s="78" t="s">
        <v>72</v>
      </c>
      <c r="D22" s="78" t="s">
        <v>73</v>
      </c>
      <c r="G22" s="79">
        <v>-398441</v>
      </c>
    </row>
    <row r="23" spans="2:7">
      <c r="B23" s="77">
        <v>16</v>
      </c>
      <c r="C23" s="78" t="s">
        <v>74</v>
      </c>
      <c r="D23" s="78" t="s">
        <v>75</v>
      </c>
      <c r="G23" s="79">
        <v>105212</v>
      </c>
    </row>
    <row r="24" spans="2:7">
      <c r="B24" s="77">
        <v>17</v>
      </c>
      <c r="C24" s="78" t="s">
        <v>76</v>
      </c>
      <c r="D24" s="78" t="s">
        <v>77</v>
      </c>
      <c r="G24" s="79">
        <v>-389350</v>
      </c>
    </row>
    <row r="25" spans="2:7">
      <c r="B25" s="77">
        <v>18</v>
      </c>
      <c r="C25" s="116" t="s">
        <v>78</v>
      </c>
      <c r="D25" s="116"/>
      <c r="F25" s="87"/>
      <c r="G25" s="87"/>
    </row>
    <row r="26" spans="2:7">
      <c r="B26" s="77">
        <v>19</v>
      </c>
      <c r="C26" s="78" t="s">
        <v>79</v>
      </c>
      <c r="D26" s="78" t="s">
        <v>80</v>
      </c>
      <c r="G26" s="79">
        <v>19070</v>
      </c>
    </row>
    <row r="27" spans="2:7">
      <c r="B27" s="77">
        <v>20</v>
      </c>
      <c r="C27" s="78" t="s">
        <v>81</v>
      </c>
      <c r="D27" s="78" t="s">
        <v>82</v>
      </c>
      <c r="F27" s="79">
        <v>5469069</v>
      </c>
    </row>
    <row r="28" spans="2:7">
      <c r="B28" s="77">
        <v>21</v>
      </c>
      <c r="C28" s="78" t="s">
        <v>83</v>
      </c>
      <c r="D28" s="78" t="s">
        <v>84</v>
      </c>
      <c r="G28" s="79">
        <v>18493</v>
      </c>
    </row>
    <row r="29" spans="2:7">
      <c r="B29" s="77">
        <v>22</v>
      </c>
      <c r="C29" s="78" t="s">
        <v>85</v>
      </c>
      <c r="D29" s="78" t="s">
        <v>86</v>
      </c>
      <c r="G29" s="79">
        <v>159064</v>
      </c>
    </row>
    <row r="30" spans="2:7">
      <c r="B30" s="77">
        <v>23</v>
      </c>
      <c r="C30" s="78" t="s">
        <v>87</v>
      </c>
      <c r="D30" s="78" t="s">
        <v>88</v>
      </c>
      <c r="G30" s="79">
        <v>56446</v>
      </c>
    </row>
    <row r="31" spans="2:7">
      <c r="B31" s="77">
        <v>24</v>
      </c>
      <c r="C31" s="78" t="s">
        <v>89</v>
      </c>
      <c r="D31" s="78" t="s">
        <v>90</v>
      </c>
      <c r="G31" s="79">
        <v>14584</v>
      </c>
    </row>
    <row r="32" spans="2:7">
      <c r="B32" s="77">
        <v>25</v>
      </c>
      <c r="C32" s="78" t="s">
        <v>91</v>
      </c>
      <c r="D32" s="78" t="s">
        <v>92</v>
      </c>
      <c r="G32" s="79">
        <v>18000</v>
      </c>
    </row>
    <row r="33" spans="2:7">
      <c r="B33" s="77">
        <v>26</v>
      </c>
      <c r="C33" s="78" t="s">
        <v>93</v>
      </c>
      <c r="D33" s="78" t="s">
        <v>94</v>
      </c>
      <c r="G33" s="79">
        <v>-150000</v>
      </c>
    </row>
    <row r="34" spans="2:7">
      <c r="B34" s="77">
        <v>27</v>
      </c>
      <c r="C34" s="78" t="s">
        <v>95</v>
      </c>
      <c r="D34" s="78" t="s">
        <v>96</v>
      </c>
      <c r="G34" s="79">
        <v>19500</v>
      </c>
    </row>
    <row r="35" spans="2:7">
      <c r="B35" s="77">
        <v>28</v>
      </c>
      <c r="C35" s="78" t="s">
        <v>97</v>
      </c>
      <c r="D35" s="78" t="s">
        <v>98</v>
      </c>
      <c r="G35" s="79">
        <v>594472</v>
      </c>
    </row>
    <row r="36" spans="2:7">
      <c r="B36" s="77">
        <v>29</v>
      </c>
      <c r="C36" s="78" t="s">
        <v>99</v>
      </c>
      <c r="D36" s="78" t="s">
        <v>100</v>
      </c>
      <c r="G36" s="79">
        <v>20000</v>
      </c>
    </row>
    <row r="37" spans="2:7">
      <c r="B37" s="77">
        <v>30</v>
      </c>
      <c r="F37" s="87"/>
      <c r="G37" s="87"/>
    </row>
    <row r="38" spans="2:7">
      <c r="B38" s="77">
        <v>31</v>
      </c>
      <c r="C38" s="118" t="s">
        <v>101</v>
      </c>
      <c r="D38" s="118"/>
    </row>
    <row r="39" spans="2:7">
      <c r="B39" s="77">
        <v>32</v>
      </c>
      <c r="C39" s="116" t="s">
        <v>57</v>
      </c>
      <c r="D39" s="116"/>
    </row>
    <row r="40" spans="2:7">
      <c r="B40" s="77">
        <v>33</v>
      </c>
      <c r="C40" s="78" t="s">
        <v>102</v>
      </c>
      <c r="D40" s="78" t="s">
        <v>103</v>
      </c>
      <c r="G40" s="79">
        <v>-4658</v>
      </c>
    </row>
    <row r="41" spans="2:7">
      <c r="B41" s="77">
        <v>34</v>
      </c>
      <c r="C41" s="78" t="s">
        <v>104</v>
      </c>
      <c r="D41" s="78" t="s">
        <v>105</v>
      </c>
      <c r="G41" s="79">
        <v>-122016</v>
      </c>
    </row>
    <row r="42" spans="2:7">
      <c r="B42" s="77">
        <v>35</v>
      </c>
      <c r="C42" s="78" t="s">
        <v>106</v>
      </c>
      <c r="D42" s="78" t="s">
        <v>107</v>
      </c>
      <c r="G42" s="79">
        <v>-55746</v>
      </c>
    </row>
    <row r="43" spans="2:7">
      <c r="B43" s="77">
        <v>36</v>
      </c>
      <c r="C43" s="78" t="s">
        <v>108</v>
      </c>
      <c r="D43" s="78" t="s">
        <v>109</v>
      </c>
      <c r="G43" s="79">
        <v>362969</v>
      </c>
    </row>
    <row r="44" spans="2:7">
      <c r="B44" s="77">
        <v>37</v>
      </c>
      <c r="C44" s="78" t="s">
        <v>110</v>
      </c>
      <c r="D44" s="78" t="s">
        <v>111</v>
      </c>
      <c r="G44" s="79">
        <v>-117697</v>
      </c>
    </row>
    <row r="45" spans="2:7">
      <c r="B45" s="77">
        <v>38</v>
      </c>
      <c r="C45" s="78" t="s">
        <v>112</v>
      </c>
      <c r="D45" s="78" t="s">
        <v>113</v>
      </c>
      <c r="G45" s="79">
        <v>-335903</v>
      </c>
    </row>
    <row r="46" spans="2:7">
      <c r="B46" s="77">
        <v>39</v>
      </c>
      <c r="C46" s="116" t="s">
        <v>78</v>
      </c>
      <c r="D46" s="116"/>
      <c r="F46" s="87"/>
      <c r="G46" s="87"/>
    </row>
    <row r="47" spans="2:7">
      <c r="B47" s="77">
        <v>40</v>
      </c>
      <c r="C47" s="78" t="s">
        <v>114</v>
      </c>
      <c r="D47" s="78" t="s">
        <v>115</v>
      </c>
      <c r="G47" s="79">
        <v>40672</v>
      </c>
    </row>
    <row r="48" spans="2:7">
      <c r="B48" s="77">
        <v>41</v>
      </c>
      <c r="C48" s="78" t="s">
        <v>116</v>
      </c>
      <c r="D48" s="78" t="s">
        <v>117</v>
      </c>
      <c r="G48" s="79">
        <v>18582</v>
      </c>
    </row>
    <row r="49" spans="2:9">
      <c r="B49" s="77">
        <v>42</v>
      </c>
      <c r="C49" s="78" t="s">
        <v>118</v>
      </c>
      <c r="D49" s="78" t="s">
        <v>119</v>
      </c>
      <c r="G49" s="79">
        <v>-1644567</v>
      </c>
    </row>
    <row r="50" spans="2:9">
      <c r="B50" s="77">
        <v>43</v>
      </c>
      <c r="C50" s="78" t="s">
        <v>120</v>
      </c>
      <c r="D50" s="78" t="s">
        <v>121</v>
      </c>
      <c r="G50" s="79">
        <v>-23710</v>
      </c>
    </row>
    <row r="51" spans="2:9">
      <c r="B51" s="77">
        <v>44</v>
      </c>
      <c r="C51" s="78" t="s">
        <v>122</v>
      </c>
      <c r="D51" s="78" t="s">
        <v>123</v>
      </c>
      <c r="G51" s="79">
        <v>201034</v>
      </c>
    </row>
    <row r="52" spans="2:9">
      <c r="B52" s="77">
        <v>45</v>
      </c>
      <c r="C52" s="78" t="s">
        <v>124</v>
      </c>
      <c r="D52" s="78" t="s">
        <v>125</v>
      </c>
      <c r="G52" s="79">
        <v>451219</v>
      </c>
    </row>
    <row r="53" spans="2:9">
      <c r="B53" s="77">
        <v>46</v>
      </c>
      <c r="C53" s="78" t="s">
        <v>126</v>
      </c>
      <c r="D53" s="78" t="s">
        <v>127</v>
      </c>
      <c r="G53" s="108">
        <f>'Total Fuel'!C15</f>
        <v>207235.97000000003</v>
      </c>
      <c r="I53" s="79">
        <v>138668</v>
      </c>
    </row>
    <row r="54" spans="2:9">
      <c r="B54" s="77">
        <v>47</v>
      </c>
      <c r="C54" s="78" t="s">
        <v>128</v>
      </c>
      <c r="D54" s="78" t="s">
        <v>129</v>
      </c>
      <c r="G54" s="79">
        <v>38128</v>
      </c>
    </row>
    <row r="55" spans="2:9">
      <c r="B55" s="77">
        <v>48</v>
      </c>
      <c r="C55" s="78" t="s">
        <v>130</v>
      </c>
      <c r="D55" s="78" t="s">
        <v>131</v>
      </c>
      <c r="G55" s="79">
        <v>0</v>
      </c>
    </row>
    <row r="56" spans="2:9">
      <c r="B56" s="77">
        <v>49</v>
      </c>
      <c r="C56" s="78" t="s">
        <v>132</v>
      </c>
      <c r="D56" s="78" t="s">
        <v>133</v>
      </c>
      <c r="G56" s="79">
        <v>171643</v>
      </c>
    </row>
    <row r="57" spans="2:9">
      <c r="B57" s="77">
        <v>50</v>
      </c>
      <c r="C57" s="78" t="s">
        <v>134</v>
      </c>
      <c r="D57" s="78" t="s">
        <v>135</v>
      </c>
      <c r="G57" s="79">
        <v>-28256</v>
      </c>
    </row>
    <row r="58" spans="2:9">
      <c r="B58" s="77">
        <v>51</v>
      </c>
      <c r="C58" s="78" t="s">
        <v>136</v>
      </c>
      <c r="D58" s="78" t="s">
        <v>137</v>
      </c>
      <c r="G58" s="79">
        <v>83397</v>
      </c>
    </row>
    <row r="59" spans="2:9">
      <c r="B59" s="77">
        <v>52</v>
      </c>
      <c r="C59" s="78" t="s">
        <v>138</v>
      </c>
      <c r="D59" s="78" t="s">
        <v>139</v>
      </c>
      <c r="G59" s="79">
        <v>25006</v>
      </c>
    </row>
    <row r="60" spans="2:9">
      <c r="B60" s="77">
        <v>53</v>
      </c>
      <c r="D60" s="83" t="s">
        <v>140</v>
      </c>
      <c r="F60" s="88">
        <f>SUM(F15:F59)</f>
        <v>3333693</v>
      </c>
      <c r="G60" s="88">
        <f>SUM(G15:G59)</f>
        <v>-424200.03</v>
      </c>
    </row>
    <row r="61" spans="2:9">
      <c r="B61" s="77">
        <v>54</v>
      </c>
      <c r="D61" s="83" t="s">
        <v>141</v>
      </c>
      <c r="F61" s="79">
        <f>F9+F60</f>
        <v>35431363</v>
      </c>
      <c r="G61" s="79">
        <f>G10+G60</f>
        <v>15275894.970000001</v>
      </c>
      <c r="I61" s="79">
        <v>15207326</v>
      </c>
    </row>
    <row r="62" spans="2:9">
      <c r="B62" s="77">
        <v>55</v>
      </c>
    </row>
    <row r="63" spans="2:9">
      <c r="B63" s="77">
        <v>56</v>
      </c>
      <c r="D63" s="83" t="s">
        <v>142</v>
      </c>
      <c r="G63" s="79">
        <v>56</v>
      </c>
    </row>
    <row r="64" spans="2:9">
      <c r="B64" s="77">
        <v>57</v>
      </c>
      <c r="D64" s="83" t="s">
        <v>143</v>
      </c>
      <c r="G64" s="79">
        <v>475733</v>
      </c>
    </row>
    <row r="65" spans="2:11">
      <c r="B65" s="77">
        <v>58</v>
      </c>
      <c r="D65" s="83" t="s">
        <v>144</v>
      </c>
      <c r="G65" s="85">
        <f>G63*G64</f>
        <v>26641048</v>
      </c>
    </row>
    <row r="66" spans="2:11">
      <c r="B66" s="77">
        <v>59</v>
      </c>
    </row>
    <row r="67" spans="2:11" ht="15.75" thickBot="1">
      <c r="B67" s="77">
        <v>60</v>
      </c>
      <c r="D67" s="83" t="s">
        <v>145</v>
      </c>
      <c r="E67" s="89" t="s">
        <v>146</v>
      </c>
      <c r="G67" s="90">
        <f>F61-G61</f>
        <v>20155468.030000001</v>
      </c>
      <c r="I67" s="79">
        <v>20224037</v>
      </c>
    </row>
    <row r="68" spans="2:11" ht="15.75" thickTop="1">
      <c r="B68" s="77">
        <v>61</v>
      </c>
      <c r="D68" s="83" t="s">
        <v>147</v>
      </c>
      <c r="E68" s="89" t="s">
        <v>148</v>
      </c>
      <c r="F68" s="91"/>
      <c r="G68" s="91">
        <f>G65</f>
        <v>26641048</v>
      </c>
    </row>
    <row r="69" spans="2:11">
      <c r="B69" s="77">
        <v>62</v>
      </c>
      <c r="D69" s="83" t="s">
        <v>149</v>
      </c>
      <c r="E69" s="89" t="s">
        <v>150</v>
      </c>
      <c r="F69" s="91"/>
      <c r="G69" s="91">
        <f>G68-G67</f>
        <v>6485579.9699999988</v>
      </c>
      <c r="I69" s="79">
        <v>6417011</v>
      </c>
    </row>
    <row r="70" spans="2:11">
      <c r="B70" s="77">
        <v>63</v>
      </c>
      <c r="D70" s="83" t="s">
        <v>151</v>
      </c>
      <c r="E70" s="89" t="s">
        <v>152</v>
      </c>
      <c r="F70" s="86"/>
      <c r="G70" s="92">
        <v>0.97819999999999996</v>
      </c>
    </row>
    <row r="71" spans="2:11" ht="15.75" thickBot="1">
      <c r="B71" s="77">
        <v>64</v>
      </c>
      <c r="D71" s="83" t="s">
        <v>153</v>
      </c>
      <c r="E71" s="77"/>
      <c r="G71" s="93">
        <f>G69/G70</f>
        <v>6630116.5099161714</v>
      </c>
      <c r="I71" s="79">
        <v>6559819</v>
      </c>
    </row>
    <row r="72" spans="2:11" ht="15.75" thickTop="1">
      <c r="B72" s="77">
        <v>65</v>
      </c>
      <c r="D72" s="83"/>
      <c r="E72" s="77"/>
    </row>
    <row r="73" spans="2:11">
      <c r="B73" s="77">
        <v>66</v>
      </c>
      <c r="D73" s="83" t="s">
        <v>154</v>
      </c>
      <c r="E73" s="89" t="s">
        <v>155</v>
      </c>
      <c r="G73" s="82">
        <v>35431363</v>
      </c>
    </row>
    <row r="74" spans="2:11" ht="15.75" thickBot="1">
      <c r="B74" s="77">
        <v>67</v>
      </c>
      <c r="D74" s="83" t="s">
        <v>156</v>
      </c>
      <c r="F74" s="86"/>
      <c r="G74" s="112">
        <f>G71+G73</f>
        <v>42061479.509916171</v>
      </c>
      <c r="I74" s="79">
        <v>41991181</v>
      </c>
      <c r="K74" s="94"/>
    </row>
    <row r="75" spans="2:11" ht="15.75" thickTop="1">
      <c r="B75" s="77">
        <v>68</v>
      </c>
      <c r="D75" s="83" t="s">
        <v>157</v>
      </c>
      <c r="F75" s="86"/>
      <c r="G75" s="110">
        <f>G71/G73</f>
        <v>0.18712564091638731</v>
      </c>
      <c r="I75" s="109">
        <v>0.19</v>
      </c>
    </row>
    <row r="76" spans="2:11">
      <c r="B76" s="77">
        <v>69</v>
      </c>
      <c r="I76" s="86"/>
    </row>
    <row r="77" spans="2:11">
      <c r="G77" s="94"/>
    </row>
    <row r="78" spans="2:11">
      <c r="G78" s="95"/>
    </row>
    <row r="79" spans="2:11">
      <c r="H79" s="86"/>
    </row>
    <row r="82" spans="7:7">
      <c r="G82" s="96"/>
    </row>
  </sheetData>
  <mergeCells count="11">
    <mergeCell ref="B1:I1"/>
    <mergeCell ref="B2:I2"/>
    <mergeCell ref="B3:I3"/>
    <mergeCell ref="B4:I4"/>
    <mergeCell ref="C46:D46"/>
    <mergeCell ref="I7:I8"/>
    <mergeCell ref="C13:D13"/>
    <mergeCell ref="C14:D14"/>
    <mergeCell ref="C25:D25"/>
    <mergeCell ref="C38:D38"/>
    <mergeCell ref="C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4384C-3097-4E3F-8D85-A877D1512664}">
  <dimension ref="B1:N26"/>
  <sheetViews>
    <sheetView workbookViewId="0">
      <selection activeCell="D22" sqref="D22"/>
    </sheetView>
  </sheetViews>
  <sheetFormatPr defaultRowHeight="15"/>
  <cols>
    <col min="1" max="1" width="2.7109375" customWidth="1"/>
    <col min="2" max="2" width="48.5703125" bestFit="1" customWidth="1"/>
    <col min="3" max="3" width="11.5703125" style="75" bestFit="1" customWidth="1"/>
    <col min="5" max="5" width="10.85546875" bestFit="1" customWidth="1"/>
    <col min="6" max="7" width="11.5703125" bestFit="1" customWidth="1"/>
    <col min="8" max="8" width="14.28515625" bestFit="1" customWidth="1"/>
  </cols>
  <sheetData>
    <row r="1" spans="2:14" ht="18.75">
      <c r="B1" s="113" t="s">
        <v>0</v>
      </c>
      <c r="C1" s="113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4" ht="15.75">
      <c r="B2" s="114" t="s">
        <v>36</v>
      </c>
      <c r="C2" s="114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4" ht="15.75">
      <c r="B3" s="114" t="s">
        <v>37</v>
      </c>
      <c r="C3" s="114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4" ht="15.75">
      <c r="B4" s="115" t="s">
        <v>161</v>
      </c>
      <c r="C4" s="115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4">
      <c r="B5" s="119" t="s">
        <v>171</v>
      </c>
      <c r="C5" s="119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10" spans="2:14">
      <c r="B10" t="s">
        <v>162</v>
      </c>
      <c r="C10" s="75">
        <f>'PS Fuel Invoices'!L8</f>
        <v>184996.82</v>
      </c>
    </row>
    <row r="11" spans="2:14">
      <c r="B11" t="s">
        <v>163</v>
      </c>
      <c r="C11" s="75">
        <f>'JdF Fuel Invoices'!L8</f>
        <v>326602.15000000002</v>
      </c>
    </row>
    <row r="12" spans="2:14">
      <c r="C12" s="104">
        <f>SUM(C10:C11)</f>
        <v>511598.97000000003</v>
      </c>
      <c r="J12" s="74"/>
      <c r="K12" s="74"/>
      <c r="L12" s="75"/>
      <c r="M12" s="75"/>
      <c r="N12" s="76"/>
    </row>
    <row r="13" spans="2:14">
      <c r="J13" s="74"/>
      <c r="K13" s="74"/>
      <c r="L13" s="75"/>
      <c r="M13" s="75"/>
      <c r="N13" s="76"/>
    </row>
    <row r="14" spans="2:14">
      <c r="B14" t="s">
        <v>164</v>
      </c>
      <c r="C14" s="75">
        <v>304363</v>
      </c>
      <c r="J14" s="74"/>
      <c r="K14" s="74"/>
      <c r="L14" s="75"/>
      <c r="M14" s="75"/>
      <c r="N14" s="76"/>
    </row>
    <row r="15" spans="2:14">
      <c r="B15" s="106" t="s">
        <v>165</v>
      </c>
      <c r="C15" s="107">
        <f>C12-C14</f>
        <v>207235.97000000003</v>
      </c>
      <c r="L15" s="75"/>
      <c r="M15" s="75"/>
    </row>
    <row r="16" spans="2:14">
      <c r="B16" s="105" t="s">
        <v>166</v>
      </c>
    </row>
    <row r="21" spans="6:8">
      <c r="F21" s="75"/>
    </row>
    <row r="22" spans="6:8">
      <c r="F22" s="75"/>
    </row>
    <row r="23" spans="6:8">
      <c r="F23" s="76"/>
    </row>
    <row r="24" spans="6:8">
      <c r="F24" s="76"/>
    </row>
    <row r="26" spans="6:8">
      <c r="H26" s="75"/>
    </row>
  </sheetData>
  <mergeCells count="5">
    <mergeCell ref="B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B2DBB-97CD-45B2-8BB2-E8F6C4CE6382}">
  <sheetPr>
    <tabColor rgb="FF0000FF"/>
  </sheetPr>
  <dimension ref="E19:J20"/>
  <sheetViews>
    <sheetView workbookViewId="0">
      <selection activeCell="N26" sqref="N26"/>
    </sheetView>
  </sheetViews>
  <sheetFormatPr defaultRowHeight="15"/>
  <cols>
    <col min="1" max="16384" width="9.140625" style="111"/>
  </cols>
  <sheetData>
    <row r="19" spans="5:10" ht="33.75">
      <c r="E19" s="120" t="s">
        <v>167</v>
      </c>
      <c r="F19" s="120"/>
      <c r="G19" s="120"/>
      <c r="H19" s="120"/>
      <c r="I19" s="120"/>
      <c r="J19" s="120"/>
    </row>
    <row r="20" spans="5:10" ht="28.5">
      <c r="E20" s="121" t="s">
        <v>168</v>
      </c>
      <c r="F20" s="121"/>
      <c r="G20" s="121"/>
      <c r="H20" s="121"/>
      <c r="I20" s="121"/>
      <c r="J20" s="121"/>
    </row>
  </sheetData>
  <mergeCells count="2">
    <mergeCell ref="E19:J19"/>
    <mergeCell ref="E20:J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B118-E798-4673-BA4A-791624996548}">
  <dimension ref="B1:N67"/>
  <sheetViews>
    <sheetView workbookViewId="0">
      <pane ySplit="11" topLeftCell="A12" activePane="bottomLeft" state="frozen"/>
      <selection pane="bottomLeft" activeCell="B1" sqref="B1:N1"/>
    </sheetView>
  </sheetViews>
  <sheetFormatPr defaultColWidth="9.140625" defaultRowHeight="15"/>
  <cols>
    <col min="1" max="1" width="2.7109375" style="1" customWidth="1"/>
    <col min="2" max="2" width="20.42578125" style="1" bestFit="1" customWidth="1"/>
    <col min="3" max="3" width="2.140625" style="1" customWidth="1"/>
    <col min="4" max="4" width="11.5703125" style="1" bestFit="1" customWidth="1"/>
    <col min="5" max="5" width="11.140625" style="1" bestFit="1" customWidth="1"/>
    <col min="6" max="6" width="10.5703125" style="1" bestFit="1" customWidth="1"/>
    <col min="7" max="7" width="7" style="1" bestFit="1" customWidth="1"/>
    <col min="8" max="8" width="11" style="1" bestFit="1" customWidth="1"/>
    <col min="9" max="9" width="7.7109375" style="1" bestFit="1" customWidth="1"/>
    <col min="10" max="10" width="11.5703125" style="1" bestFit="1" customWidth="1"/>
    <col min="11" max="11" width="8.85546875" style="1" customWidth="1"/>
    <col min="12" max="12" width="14.28515625" style="1" bestFit="1" customWidth="1"/>
    <col min="13" max="13" width="11.5703125" style="1" bestFit="1" customWidth="1"/>
    <col min="14" max="14" width="12.28515625" style="1" bestFit="1" customWidth="1"/>
    <col min="15" max="15" width="10.28515625" style="1" bestFit="1" customWidth="1"/>
    <col min="16" max="16384" width="9.140625" style="1"/>
  </cols>
  <sheetData>
    <row r="1" spans="2:14" ht="18.75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4" ht="15.75">
      <c r="B2" s="114" t="s">
        <v>36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2:14" ht="15.75">
      <c r="B3" s="114" t="s">
        <v>37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2:14" ht="15.75">
      <c r="B4" s="115" t="s">
        <v>169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2:14" ht="15.75" customHeight="1">
      <c r="B5" s="119" t="s">
        <v>171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2:14" ht="15.75">
      <c r="G6" s="2"/>
      <c r="H6" s="2"/>
      <c r="I6" s="3"/>
      <c r="J6" s="3"/>
    </row>
    <row r="7" spans="2:14" ht="15.75">
      <c r="C7" s="6"/>
      <c r="D7" s="6"/>
      <c r="E7" s="6"/>
      <c r="F7" s="6"/>
      <c r="G7" s="2"/>
      <c r="H7" s="2"/>
      <c r="I7" s="3"/>
      <c r="J7" s="3"/>
    </row>
    <row r="8" spans="2:14" ht="15.75" customHeight="1">
      <c r="B8" s="122"/>
      <c r="C8" s="122"/>
      <c r="D8" s="6"/>
      <c r="E8" s="40"/>
      <c r="F8" s="123" t="s">
        <v>159</v>
      </c>
      <c r="G8" s="123"/>
      <c r="H8" s="123"/>
      <c r="I8" s="123"/>
      <c r="J8" s="123"/>
      <c r="K8" s="123"/>
      <c r="L8" s="100">
        <f>SUM(L15:L67)</f>
        <v>184996.82</v>
      </c>
      <c r="M8" s="46"/>
      <c r="N8" s="46"/>
    </row>
    <row r="9" spans="2:14" ht="15.75">
      <c r="B9" s="2"/>
      <c r="C9" s="2"/>
      <c r="D9" s="2"/>
      <c r="E9" s="2"/>
      <c r="F9" s="2"/>
      <c r="G9" s="2"/>
      <c r="H9" s="2"/>
      <c r="I9" s="3"/>
      <c r="J9" s="3"/>
    </row>
    <row r="10" spans="2:14">
      <c r="B10" s="5"/>
      <c r="C10" s="5"/>
      <c r="D10" s="13" t="s">
        <v>1</v>
      </c>
      <c r="E10" s="12" t="s">
        <v>2</v>
      </c>
      <c r="F10" s="12"/>
      <c r="G10" s="12" t="s">
        <v>3</v>
      </c>
      <c r="H10" s="12" t="s">
        <v>4</v>
      </c>
      <c r="I10" s="13"/>
      <c r="J10" s="13"/>
    </row>
    <row r="11" spans="2:14" ht="15.75" thickBot="1">
      <c r="B11" s="14" t="s">
        <v>28</v>
      </c>
      <c r="C11" s="5"/>
      <c r="D11" s="12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26</v>
      </c>
      <c r="J11" s="13" t="s">
        <v>10</v>
      </c>
      <c r="L11" s="13" t="s">
        <v>11</v>
      </c>
      <c r="M11" s="13" t="s">
        <v>12</v>
      </c>
      <c r="N11" s="1" t="s">
        <v>14</v>
      </c>
    </row>
    <row r="12" spans="2:14">
      <c r="B12" s="31">
        <v>44807</v>
      </c>
      <c r="C12" s="17"/>
      <c r="D12" s="18">
        <v>4665.78</v>
      </c>
      <c r="E12" s="18">
        <f>5119-D12</f>
        <v>453.22000000000025</v>
      </c>
      <c r="F12" s="18">
        <v>1014</v>
      </c>
      <c r="G12" s="18">
        <v>4.6013999999999999</v>
      </c>
      <c r="H12" s="18">
        <v>0</v>
      </c>
      <c r="I12" s="18">
        <v>0</v>
      </c>
      <c r="J12" s="18">
        <f t="shared" ref="J12:J35" si="0">D12+E12+H12+I12</f>
        <v>5119</v>
      </c>
      <c r="K12" s="19"/>
      <c r="L12" s="59"/>
      <c r="M12" s="59"/>
      <c r="N12" s="60"/>
    </row>
    <row r="13" spans="2:14">
      <c r="B13" s="30"/>
      <c r="C13" s="5"/>
      <c r="D13" s="21"/>
      <c r="E13" s="21"/>
      <c r="F13" s="21"/>
      <c r="G13" s="21"/>
      <c r="H13" s="21">
        <v>924.42</v>
      </c>
      <c r="I13" s="21"/>
      <c r="J13" s="21">
        <f t="shared" si="0"/>
        <v>924.42</v>
      </c>
      <c r="K13" s="22"/>
      <c r="L13" s="61"/>
      <c r="M13" s="61"/>
      <c r="N13" s="62"/>
    </row>
    <row r="14" spans="2:14">
      <c r="B14" s="30"/>
      <c r="C14" s="5"/>
      <c r="D14" s="21">
        <v>3184.26</v>
      </c>
      <c r="E14" s="21">
        <f>3493.32-D14</f>
        <v>309.05999999999995</v>
      </c>
      <c r="F14" s="21">
        <v>684.6</v>
      </c>
      <c r="G14" s="21">
        <v>4.6513</v>
      </c>
      <c r="H14" s="21">
        <v>0</v>
      </c>
      <c r="I14" s="21">
        <v>0</v>
      </c>
      <c r="J14" s="21">
        <f t="shared" si="0"/>
        <v>3493.32</v>
      </c>
      <c r="K14" s="22"/>
      <c r="L14" s="61"/>
      <c r="M14" s="61"/>
      <c r="N14" s="62"/>
    </row>
    <row r="15" spans="2:14" ht="15.75" thickBot="1">
      <c r="B15" s="32"/>
      <c r="C15" s="24"/>
      <c r="D15" s="25">
        <v>5322.47</v>
      </c>
      <c r="E15" s="25">
        <f>5836.58-D15</f>
        <v>514.10999999999967</v>
      </c>
      <c r="F15" s="25">
        <v>1072.9000000000001</v>
      </c>
      <c r="G15" s="25">
        <v>4.9607999999999999</v>
      </c>
      <c r="H15" s="25">
        <v>0</v>
      </c>
      <c r="I15" s="25">
        <v>0</v>
      </c>
      <c r="J15" s="25">
        <f t="shared" si="0"/>
        <v>5836.58</v>
      </c>
      <c r="K15" s="26"/>
      <c r="L15" s="63">
        <f>SUM(J12:J15)</f>
        <v>15373.32</v>
      </c>
      <c r="M15" s="63">
        <f>'PS Fuel GL'!E11</f>
        <v>15373.32</v>
      </c>
      <c r="N15" s="64">
        <f>M15-L15</f>
        <v>0</v>
      </c>
    </row>
    <row r="16" spans="2:14">
      <c r="B16" s="31">
        <v>44849</v>
      </c>
      <c r="C16" s="17"/>
      <c r="D16" s="18">
        <v>4053.23</v>
      </c>
      <c r="E16" s="18">
        <f>4450.99-D16</f>
        <v>397.75999999999976</v>
      </c>
      <c r="F16" s="18">
        <v>997.8</v>
      </c>
      <c r="G16" s="18">
        <v>4.0621999999999998</v>
      </c>
      <c r="H16" s="18">
        <v>0</v>
      </c>
      <c r="I16" s="18">
        <v>0</v>
      </c>
      <c r="J16" s="18">
        <f t="shared" si="0"/>
        <v>4450.99</v>
      </c>
      <c r="K16" s="19"/>
      <c r="L16" s="59"/>
      <c r="M16" s="59"/>
      <c r="N16" s="60"/>
    </row>
    <row r="17" spans="2:14">
      <c r="B17" s="30"/>
      <c r="C17" s="5"/>
      <c r="D17" s="21"/>
      <c r="E17" s="21"/>
      <c r="F17" s="21"/>
      <c r="G17" s="21"/>
      <c r="H17" s="21">
        <v>839.56</v>
      </c>
      <c r="I17" s="21"/>
      <c r="J17" s="21">
        <f t="shared" si="0"/>
        <v>839.56</v>
      </c>
      <c r="K17" s="22"/>
      <c r="L17" s="61"/>
      <c r="M17" s="61"/>
      <c r="N17" s="62"/>
    </row>
    <row r="18" spans="2:14">
      <c r="B18" s="30"/>
      <c r="C18" s="5"/>
      <c r="D18" s="21">
        <v>2602.15</v>
      </c>
      <c r="E18" s="21">
        <f>2856.52-D18</f>
        <v>254.36999999999989</v>
      </c>
      <c r="F18" s="21">
        <v>612</v>
      </c>
      <c r="G18" s="21">
        <v>4.2519</v>
      </c>
      <c r="H18" s="21">
        <v>0</v>
      </c>
      <c r="I18" s="21">
        <v>0</v>
      </c>
      <c r="J18" s="21">
        <f t="shared" si="0"/>
        <v>2856.52</v>
      </c>
      <c r="K18" s="22"/>
      <c r="L18" s="61"/>
      <c r="M18" s="61"/>
      <c r="N18" s="62"/>
    </row>
    <row r="19" spans="2:14">
      <c r="B19" s="30"/>
      <c r="C19" s="5"/>
      <c r="D19" s="21">
        <v>4844.79</v>
      </c>
      <c r="E19" s="21">
        <f>5317.48-D19</f>
        <v>472.6899999999996</v>
      </c>
      <c r="F19" s="21">
        <v>1113.3</v>
      </c>
      <c r="G19" s="21">
        <v>4.3517000000000001</v>
      </c>
      <c r="H19" s="21">
        <v>0</v>
      </c>
      <c r="I19" s="21">
        <v>0</v>
      </c>
      <c r="J19" s="21">
        <f t="shared" si="0"/>
        <v>5317.48</v>
      </c>
      <c r="K19" s="22"/>
      <c r="L19" s="61"/>
      <c r="M19" s="61"/>
      <c r="N19" s="62"/>
    </row>
    <row r="20" spans="2:14" ht="15.75" thickBot="1">
      <c r="B20" s="32"/>
      <c r="C20" s="24"/>
      <c r="D20" s="25"/>
      <c r="E20" s="25"/>
      <c r="F20" s="25"/>
      <c r="G20" s="25"/>
      <c r="H20" s="25">
        <v>669.36</v>
      </c>
      <c r="I20" s="25"/>
      <c r="J20" s="25">
        <f t="shared" si="0"/>
        <v>669.36</v>
      </c>
      <c r="K20" s="26"/>
      <c r="L20" s="63">
        <f>SUM(J16:J20)</f>
        <v>14133.91</v>
      </c>
      <c r="M20" s="63">
        <f>'PS Fuel GL'!E12</f>
        <v>14133.91</v>
      </c>
      <c r="N20" s="64">
        <f>M20-L20</f>
        <v>0</v>
      </c>
    </row>
    <row r="21" spans="2:14">
      <c r="B21" s="31">
        <v>44870</v>
      </c>
      <c r="C21" s="17"/>
      <c r="D21" s="18">
        <v>3974.38</v>
      </c>
      <c r="E21" s="18">
        <f>4360.97-3974.38</f>
        <v>386.59000000000015</v>
      </c>
      <c r="F21" s="18">
        <v>879</v>
      </c>
      <c r="G21" s="18">
        <v>4.5214999999999996</v>
      </c>
      <c r="H21" s="18">
        <v>0</v>
      </c>
      <c r="I21" s="18">
        <v>0</v>
      </c>
      <c r="J21" s="18">
        <f t="shared" si="0"/>
        <v>4360.97</v>
      </c>
      <c r="K21" s="19"/>
      <c r="L21" s="59"/>
      <c r="M21" s="59"/>
      <c r="N21" s="60"/>
    </row>
    <row r="22" spans="2:14">
      <c r="B22" s="30"/>
      <c r="C22" s="5"/>
      <c r="D22" s="21">
        <v>6102.35</v>
      </c>
      <c r="E22" s="21">
        <f>6690.31-6102.35</f>
        <v>587.96</v>
      </c>
      <c r="F22" s="21">
        <v>1187.0999999999999</v>
      </c>
      <c r="G22" s="21">
        <v>5.1406000000000001</v>
      </c>
      <c r="H22" s="21">
        <v>0</v>
      </c>
      <c r="I22" s="21">
        <v>0</v>
      </c>
      <c r="J22" s="21">
        <f t="shared" si="0"/>
        <v>6690.31</v>
      </c>
      <c r="K22" s="22"/>
      <c r="L22" s="61"/>
      <c r="M22" s="61"/>
      <c r="N22" s="62"/>
    </row>
    <row r="23" spans="2:14" ht="15.75" thickBot="1">
      <c r="B23" s="32"/>
      <c r="C23" s="24"/>
      <c r="D23" s="25">
        <v>4664.16</v>
      </c>
      <c r="E23" s="25">
        <f>5114.82-D23</f>
        <v>450.65999999999985</v>
      </c>
      <c r="F23" s="25">
        <v>944</v>
      </c>
      <c r="G23" s="25">
        <v>4.9408000000000003</v>
      </c>
      <c r="H23" s="25">
        <v>0</v>
      </c>
      <c r="I23" s="25">
        <v>0</v>
      </c>
      <c r="J23" s="25">
        <f t="shared" si="0"/>
        <v>5114.82</v>
      </c>
      <c r="K23" s="26"/>
      <c r="L23" s="63">
        <f>SUM(J21:J23)</f>
        <v>16166.1</v>
      </c>
      <c r="M23" s="63">
        <f>'PS Fuel GL'!E13</f>
        <v>16166.1</v>
      </c>
      <c r="N23" s="64">
        <f>M23-L23</f>
        <v>0</v>
      </c>
    </row>
    <row r="24" spans="2:14">
      <c r="B24" s="31">
        <v>44905</v>
      </c>
      <c r="C24" s="17"/>
      <c r="D24" s="18">
        <v>0</v>
      </c>
      <c r="E24" s="18">
        <v>0</v>
      </c>
      <c r="F24" s="18">
        <v>0</v>
      </c>
      <c r="G24" s="18">
        <v>0</v>
      </c>
      <c r="H24" s="18">
        <f>369.65</f>
        <v>369.65</v>
      </c>
      <c r="I24" s="18">
        <v>0</v>
      </c>
      <c r="J24" s="18">
        <f t="shared" si="0"/>
        <v>369.65</v>
      </c>
      <c r="K24" s="19"/>
      <c r="L24" s="59"/>
      <c r="M24" s="59"/>
      <c r="N24" s="60"/>
    </row>
    <row r="25" spans="2:14">
      <c r="B25" s="30"/>
      <c r="C25" s="5"/>
      <c r="D25" s="21">
        <v>0</v>
      </c>
      <c r="E25" s="21">
        <v>0</v>
      </c>
      <c r="F25" s="21">
        <v>0</v>
      </c>
      <c r="G25" s="21">
        <v>0</v>
      </c>
      <c r="H25" s="21">
        <f>273.09</f>
        <v>273.08999999999997</v>
      </c>
      <c r="I25" s="21">
        <v>0</v>
      </c>
      <c r="J25" s="21">
        <f t="shared" si="0"/>
        <v>273.08999999999997</v>
      </c>
      <c r="K25" s="22"/>
      <c r="L25" s="61"/>
      <c r="M25" s="61"/>
      <c r="N25" s="62"/>
    </row>
    <row r="26" spans="2:14">
      <c r="B26" s="20"/>
      <c r="C26" s="5"/>
      <c r="D26" s="21">
        <v>4064.36</v>
      </c>
      <c r="E26" s="21">
        <f>4457.41-D26</f>
        <v>393.04999999999973</v>
      </c>
      <c r="F26" s="21">
        <v>832.7</v>
      </c>
      <c r="G26" s="21">
        <v>4.8808999999999996</v>
      </c>
      <c r="H26" s="21">
        <v>0</v>
      </c>
      <c r="I26" s="21">
        <v>0</v>
      </c>
      <c r="J26" s="21">
        <f t="shared" si="0"/>
        <v>4457.41</v>
      </c>
      <c r="K26" s="22"/>
      <c r="L26" s="61"/>
      <c r="M26" s="61"/>
      <c r="N26" s="62"/>
    </row>
    <row r="27" spans="2:14" ht="15.75" thickBot="1">
      <c r="B27" s="23"/>
      <c r="C27" s="24"/>
      <c r="D27" s="25">
        <f>1905.68-642.74</f>
        <v>1262.94</v>
      </c>
      <c r="E27" s="25">
        <f>SUM(0.4+0.86+11.47+2.86+169.07)</f>
        <v>184.66</v>
      </c>
      <c r="F27" s="25">
        <v>401.1</v>
      </c>
      <c r="G27" s="25">
        <v>4.7511000000000001</v>
      </c>
      <c r="H27" s="25">
        <v>0</v>
      </c>
      <c r="I27" s="25">
        <v>0</v>
      </c>
      <c r="J27" s="25">
        <f t="shared" si="0"/>
        <v>1447.6000000000001</v>
      </c>
      <c r="K27" s="26"/>
      <c r="L27" s="63">
        <f>SUM(J24:J27)</f>
        <v>6547.75</v>
      </c>
      <c r="M27" s="63">
        <f>'PS Fuel GL'!E14</f>
        <v>6547.75</v>
      </c>
      <c r="N27" s="64">
        <f>M27-L27</f>
        <v>0</v>
      </c>
    </row>
    <row r="28" spans="2:14" s="33" customFormat="1">
      <c r="B28" s="16">
        <v>44935</v>
      </c>
      <c r="C28" s="17"/>
      <c r="D28" s="18">
        <v>4799.13</v>
      </c>
      <c r="E28" s="18">
        <f>5264.16-D28</f>
        <v>465.02999999999975</v>
      </c>
      <c r="F28" s="18">
        <v>1010.1</v>
      </c>
      <c r="G28" s="18">
        <v>4.7511000000000001</v>
      </c>
      <c r="H28" s="18">
        <v>0</v>
      </c>
      <c r="I28" s="18">
        <v>0</v>
      </c>
      <c r="J28" s="18">
        <f t="shared" si="0"/>
        <v>5264.16</v>
      </c>
      <c r="K28" s="47"/>
      <c r="L28" s="67"/>
      <c r="M28" s="67"/>
      <c r="N28" s="65"/>
    </row>
    <row r="29" spans="2:14" s="33" customFormat="1">
      <c r="B29" s="20"/>
      <c r="C29" s="5"/>
      <c r="D29" s="21">
        <v>3942.31</v>
      </c>
      <c r="E29" s="21">
        <f>4326.26-D29</f>
        <v>383.95000000000027</v>
      </c>
      <c r="F29" s="21">
        <v>885.6</v>
      </c>
      <c r="G29" s="21">
        <v>4.4516</v>
      </c>
      <c r="H29" s="21">
        <v>0</v>
      </c>
      <c r="I29" s="21">
        <v>0</v>
      </c>
      <c r="J29" s="21">
        <f t="shared" si="0"/>
        <v>4326.26</v>
      </c>
      <c r="K29" s="48"/>
      <c r="L29" s="68"/>
      <c r="M29" s="68"/>
      <c r="N29" s="66"/>
    </row>
    <row r="30" spans="2:14" s="33" customFormat="1">
      <c r="B30" s="20"/>
      <c r="C30" s="5"/>
      <c r="D30" s="21">
        <v>3080.17</v>
      </c>
      <c r="E30" s="21">
        <f>3380.68-D30</f>
        <v>300.50999999999976</v>
      </c>
      <c r="F30" s="21">
        <v>707.8</v>
      </c>
      <c r="G30" s="21">
        <v>4.3517999999999999</v>
      </c>
      <c r="H30" s="21">
        <v>0</v>
      </c>
      <c r="I30" s="21">
        <v>0</v>
      </c>
      <c r="J30" s="21">
        <f t="shared" si="0"/>
        <v>3380.68</v>
      </c>
      <c r="K30" s="48"/>
      <c r="L30" s="68"/>
      <c r="M30" s="68"/>
      <c r="N30" s="66"/>
    </row>
    <row r="31" spans="2:14" s="33" customFormat="1">
      <c r="B31" s="20"/>
      <c r="C31" s="5"/>
      <c r="D31" s="21"/>
      <c r="E31" s="21"/>
      <c r="F31" s="21"/>
      <c r="G31" s="21"/>
      <c r="H31" s="21">
        <v>939.56</v>
      </c>
      <c r="I31" s="21"/>
      <c r="J31" s="21">
        <f t="shared" si="0"/>
        <v>939.56</v>
      </c>
      <c r="K31" s="48"/>
      <c r="L31" s="68"/>
      <c r="M31" s="68"/>
      <c r="N31" s="66"/>
    </row>
    <row r="32" spans="2:14" s="33" customFormat="1" ht="15.75" thickBot="1">
      <c r="B32" s="23"/>
      <c r="C32" s="24"/>
      <c r="D32" s="25">
        <v>3843</v>
      </c>
      <c r="E32" s="25">
        <f>4217.97-D32</f>
        <v>374.97000000000025</v>
      </c>
      <c r="F32" s="25">
        <v>883.1</v>
      </c>
      <c r="G32" s="25">
        <v>4.3517000000000001</v>
      </c>
      <c r="H32" s="25">
        <v>0</v>
      </c>
      <c r="I32" s="25">
        <v>0</v>
      </c>
      <c r="J32" s="25">
        <f t="shared" si="0"/>
        <v>4217.97</v>
      </c>
      <c r="K32" s="49"/>
      <c r="L32" s="69">
        <f>SUM(J28:J32)</f>
        <v>18128.63</v>
      </c>
      <c r="M32" s="69">
        <f>'PS Fuel GL'!E18</f>
        <v>18128.63</v>
      </c>
      <c r="N32" s="70">
        <f>M32-L32</f>
        <v>0</v>
      </c>
    </row>
    <row r="33" spans="2:14" s="33" customFormat="1">
      <c r="B33" s="16">
        <v>44964</v>
      </c>
      <c r="C33" s="17"/>
      <c r="D33" s="18"/>
      <c r="E33" s="18"/>
      <c r="F33" s="18"/>
      <c r="G33" s="18"/>
      <c r="H33" s="18"/>
      <c r="I33" s="18">
        <v>303.63</v>
      </c>
      <c r="J33" s="18">
        <f t="shared" si="0"/>
        <v>303.63</v>
      </c>
      <c r="K33" s="47"/>
      <c r="L33" s="67"/>
      <c r="M33" s="67"/>
      <c r="N33" s="65"/>
    </row>
    <row r="34" spans="2:14" s="33" customFormat="1">
      <c r="B34" s="20"/>
      <c r="C34" s="5"/>
      <c r="D34" s="21">
        <v>3693.92</v>
      </c>
      <c r="E34" s="21">
        <f>4057.96-D34</f>
        <v>364.03999999999996</v>
      </c>
      <c r="F34" s="21">
        <v>849.6</v>
      </c>
      <c r="G34" s="21">
        <v>4.3478000000000003</v>
      </c>
      <c r="H34" s="21">
        <v>0</v>
      </c>
      <c r="I34" s="21">
        <v>0</v>
      </c>
      <c r="J34" s="21">
        <f t="shared" si="0"/>
        <v>4057.96</v>
      </c>
      <c r="K34" s="48"/>
      <c r="L34" s="68"/>
      <c r="M34" s="68"/>
      <c r="N34" s="66"/>
    </row>
    <row r="35" spans="2:14" s="33" customFormat="1">
      <c r="B35" s="20"/>
      <c r="C35" s="5"/>
      <c r="D35" s="21">
        <v>3339.15</v>
      </c>
      <c r="E35" s="21">
        <f>3668.21-D35</f>
        <v>329.05999999999995</v>
      </c>
      <c r="F35" s="21">
        <v>768</v>
      </c>
      <c r="G35" s="21">
        <v>4.3479000000000001</v>
      </c>
      <c r="H35" s="21">
        <v>0</v>
      </c>
      <c r="I35" s="21">
        <v>0</v>
      </c>
      <c r="J35" s="21">
        <f t="shared" si="0"/>
        <v>3668.21</v>
      </c>
      <c r="K35" s="48"/>
      <c r="L35" s="68"/>
      <c r="M35" s="68"/>
      <c r="N35" s="66"/>
    </row>
    <row r="36" spans="2:14" s="33" customFormat="1">
      <c r="B36" s="20"/>
      <c r="C36" s="5"/>
      <c r="D36" s="21">
        <v>3926.1</v>
      </c>
      <c r="E36" s="21">
        <f>4313.02-D36</f>
        <v>386.92000000000053</v>
      </c>
      <c r="F36" s="21">
        <v>903</v>
      </c>
      <c r="G36" s="21">
        <v>4.3478000000000003</v>
      </c>
      <c r="H36" s="21">
        <v>0</v>
      </c>
      <c r="I36" s="21">
        <v>0</v>
      </c>
      <c r="J36" s="21">
        <f t="shared" ref="J36:J67" si="1">D36+E36+H36+I36</f>
        <v>4313.0200000000004</v>
      </c>
      <c r="K36" s="48"/>
      <c r="L36" s="68"/>
      <c r="M36" s="68"/>
      <c r="N36" s="66"/>
    </row>
    <row r="37" spans="2:14" s="33" customFormat="1" ht="15.75" thickBot="1">
      <c r="B37" s="23"/>
      <c r="C37" s="24"/>
      <c r="D37" s="25">
        <v>2258.27</v>
      </c>
      <c r="E37" s="25">
        <f>2480.82-D37</f>
        <v>222.55000000000018</v>
      </c>
      <c r="F37" s="25">
        <v>519.4</v>
      </c>
      <c r="G37" s="25">
        <v>4.3478000000000003</v>
      </c>
      <c r="H37" s="25">
        <v>0</v>
      </c>
      <c r="I37" s="25">
        <v>0</v>
      </c>
      <c r="J37" s="25">
        <f t="shared" si="1"/>
        <v>2480.8200000000002</v>
      </c>
      <c r="K37" s="49"/>
      <c r="L37" s="69">
        <f>SUM(J33:J37)</f>
        <v>14823.64</v>
      </c>
      <c r="M37" s="69">
        <f>'PS Fuel GL'!E19</f>
        <v>14823.64</v>
      </c>
      <c r="N37" s="70">
        <f>M37-L37</f>
        <v>0</v>
      </c>
    </row>
    <row r="38" spans="2:14" s="33" customFormat="1">
      <c r="B38" s="16">
        <v>44992</v>
      </c>
      <c r="C38" s="17"/>
      <c r="D38" s="18">
        <v>4095.67</v>
      </c>
      <c r="E38" s="18">
        <f>4499.29-D38</f>
        <v>403.61999999999989</v>
      </c>
      <c r="F38" s="18">
        <v>942</v>
      </c>
      <c r="G38" s="18">
        <v>4.3478000000000003</v>
      </c>
      <c r="H38" s="18">
        <v>0</v>
      </c>
      <c r="I38" s="18">
        <v>0</v>
      </c>
      <c r="J38" s="18">
        <f t="shared" si="1"/>
        <v>4499.29</v>
      </c>
      <c r="K38" s="47"/>
      <c r="L38" s="67"/>
      <c r="M38" s="67"/>
      <c r="N38" s="65"/>
    </row>
    <row r="39" spans="2:14" s="33" customFormat="1">
      <c r="B39" s="20"/>
      <c r="C39" s="5"/>
      <c r="D39" s="21"/>
      <c r="E39" s="21"/>
      <c r="F39" s="21"/>
      <c r="G39" s="21"/>
      <c r="H39" s="21"/>
      <c r="I39" s="21">
        <v>116.96</v>
      </c>
      <c r="J39" s="21">
        <f t="shared" si="1"/>
        <v>116.96</v>
      </c>
      <c r="K39" s="48"/>
      <c r="L39" s="68"/>
      <c r="M39" s="68"/>
      <c r="N39" s="66"/>
    </row>
    <row r="40" spans="2:14" s="33" customFormat="1" ht="15.75" thickBot="1">
      <c r="B40" s="23"/>
      <c r="C40" s="24"/>
      <c r="D40" s="25">
        <v>3940.89</v>
      </c>
      <c r="E40" s="25">
        <f>4329.26-D40</f>
        <v>388.37000000000035</v>
      </c>
      <c r="F40" s="25">
        <v>906.4</v>
      </c>
      <c r="G40" s="25">
        <v>4.3478000000000003</v>
      </c>
      <c r="H40" s="25">
        <v>0</v>
      </c>
      <c r="I40" s="25">
        <v>0</v>
      </c>
      <c r="J40" s="25">
        <f t="shared" si="1"/>
        <v>4329.26</v>
      </c>
      <c r="K40" s="49"/>
      <c r="L40" s="69">
        <f>SUM(J38:J40)</f>
        <v>8945.51</v>
      </c>
      <c r="M40" s="69">
        <f>'PS Fuel GL'!E20</f>
        <v>8945.51</v>
      </c>
      <c r="N40" s="70">
        <f>M40-L40</f>
        <v>0</v>
      </c>
    </row>
    <row r="41" spans="2:14" s="33" customFormat="1">
      <c r="B41" s="16">
        <v>45020</v>
      </c>
      <c r="C41" s="17"/>
      <c r="D41" s="18">
        <v>1686.52</v>
      </c>
      <c r="E41" s="18">
        <f>1854.03-D41</f>
        <v>167.51</v>
      </c>
      <c r="F41" s="18">
        <v>421.8</v>
      </c>
      <c r="G41" s="18">
        <v>3.9984000000000002</v>
      </c>
      <c r="H41" s="18">
        <v>0</v>
      </c>
      <c r="I41" s="18">
        <v>0</v>
      </c>
      <c r="J41" s="18">
        <f t="shared" si="1"/>
        <v>1854.03</v>
      </c>
      <c r="K41" s="47"/>
      <c r="L41" s="67"/>
      <c r="M41" s="67"/>
      <c r="N41" s="65"/>
    </row>
    <row r="42" spans="2:14" s="33" customFormat="1">
      <c r="B42" s="20"/>
      <c r="C42" s="5"/>
      <c r="D42" s="21">
        <v>2293.11</v>
      </c>
      <c r="E42" s="21">
        <f>2521.45-D42</f>
        <v>228.33999999999969</v>
      </c>
      <c r="F42" s="21">
        <v>588.20000000000005</v>
      </c>
      <c r="G42" s="21">
        <v>3.8984999999999999</v>
      </c>
      <c r="H42" s="21">
        <v>0</v>
      </c>
      <c r="I42" s="21">
        <v>0</v>
      </c>
      <c r="J42" s="21">
        <f t="shared" si="1"/>
        <v>2521.4499999999998</v>
      </c>
      <c r="K42" s="48"/>
      <c r="L42" s="68"/>
      <c r="M42" s="68"/>
      <c r="N42" s="66"/>
    </row>
    <row r="43" spans="2:14" s="33" customFormat="1">
      <c r="B43" s="20"/>
      <c r="C43" s="5"/>
      <c r="D43" s="21">
        <v>3871.21</v>
      </c>
      <c r="E43" s="21">
        <f>4256.71-D43</f>
        <v>385.5</v>
      </c>
      <c r="F43" s="21">
        <v>993</v>
      </c>
      <c r="G43" s="21">
        <v>3.8984999999999999</v>
      </c>
      <c r="H43" s="21">
        <v>0</v>
      </c>
      <c r="I43" s="21">
        <v>0</v>
      </c>
      <c r="J43" s="21">
        <f t="shared" si="1"/>
        <v>4256.71</v>
      </c>
      <c r="K43" s="48"/>
      <c r="L43" s="68"/>
      <c r="M43" s="68"/>
      <c r="N43" s="66"/>
    </row>
    <row r="44" spans="2:14" s="33" customFormat="1">
      <c r="B44" s="20"/>
      <c r="C44" s="5"/>
      <c r="D44" s="21">
        <v>2542.2600000000002</v>
      </c>
      <c r="E44" s="21">
        <f>2795.41-D44</f>
        <v>253.14999999999964</v>
      </c>
      <c r="F44" s="21">
        <v>652.1</v>
      </c>
      <c r="G44" s="21">
        <v>3.8986000000000001</v>
      </c>
      <c r="H44" s="21">
        <v>0</v>
      </c>
      <c r="I44" s="21">
        <v>0</v>
      </c>
      <c r="J44" s="21">
        <f t="shared" si="1"/>
        <v>2795.41</v>
      </c>
      <c r="K44" s="48"/>
      <c r="L44" s="68"/>
      <c r="M44" s="68"/>
      <c r="N44" s="66"/>
    </row>
    <row r="45" spans="2:14" s="33" customFormat="1">
      <c r="B45" s="20"/>
      <c r="C45" s="5"/>
      <c r="D45" s="21">
        <v>3849.79</v>
      </c>
      <c r="E45" s="21">
        <f>4233.14-D45</f>
        <v>383.35000000000036</v>
      </c>
      <c r="F45" s="21">
        <v>987.5</v>
      </c>
      <c r="G45" s="21">
        <v>3.8984999999999999</v>
      </c>
      <c r="H45" s="29">
        <v>0</v>
      </c>
      <c r="I45" s="21">
        <v>0</v>
      </c>
      <c r="J45" s="21">
        <f t="shared" si="1"/>
        <v>4233.1400000000003</v>
      </c>
      <c r="K45" s="48"/>
      <c r="L45" s="68"/>
      <c r="M45" s="68"/>
      <c r="N45" s="66"/>
    </row>
    <row r="46" spans="2:14" s="33" customFormat="1">
      <c r="B46" s="20"/>
      <c r="C46" s="5"/>
      <c r="D46" s="21"/>
      <c r="E46" s="21"/>
      <c r="F46" s="21"/>
      <c r="G46" s="21"/>
      <c r="H46" s="29">
        <v>308.02999999999997</v>
      </c>
      <c r="I46" s="21"/>
      <c r="J46" s="21">
        <f t="shared" si="1"/>
        <v>308.02999999999997</v>
      </c>
      <c r="K46" s="48"/>
      <c r="L46" s="68"/>
      <c r="M46" s="68"/>
      <c r="N46" s="66"/>
    </row>
    <row r="47" spans="2:14" s="33" customFormat="1" ht="15.75" thickBot="1">
      <c r="B47" s="23"/>
      <c r="C47" s="24"/>
      <c r="D47" s="25">
        <v>3319.59</v>
      </c>
      <c r="E47" s="25">
        <f>3650.14-D47</f>
        <v>330.54999999999973</v>
      </c>
      <c r="F47" s="25">
        <v>851.5</v>
      </c>
      <c r="G47" s="25">
        <v>3.8984999999999999</v>
      </c>
      <c r="H47" s="27">
        <v>0</v>
      </c>
      <c r="I47" s="25">
        <v>0</v>
      </c>
      <c r="J47" s="25">
        <f t="shared" si="1"/>
        <v>3650.14</v>
      </c>
      <c r="K47" s="49"/>
      <c r="L47" s="69">
        <f>SUM(J41:J47)</f>
        <v>19618.91</v>
      </c>
      <c r="M47" s="69">
        <f>'PS Fuel GL'!E21</f>
        <v>19618.91</v>
      </c>
      <c r="N47" s="70">
        <f>M47-L47</f>
        <v>0</v>
      </c>
    </row>
    <row r="48" spans="2:14" s="33" customFormat="1">
      <c r="B48" s="16">
        <v>45048</v>
      </c>
      <c r="C48" s="17"/>
      <c r="D48" s="18">
        <v>3995.95</v>
      </c>
      <c r="E48" s="18">
        <f>4393.89-D48</f>
        <v>397.94000000000051</v>
      </c>
      <c r="F48" s="18">
        <v>1025</v>
      </c>
      <c r="G48" s="18">
        <v>3.8984999999999999</v>
      </c>
      <c r="H48" s="28">
        <v>0</v>
      </c>
      <c r="I48" s="18">
        <v>0</v>
      </c>
      <c r="J48" s="18">
        <f t="shared" si="1"/>
        <v>4393.8900000000003</v>
      </c>
      <c r="K48" s="47"/>
      <c r="L48" s="67"/>
      <c r="M48" s="67"/>
      <c r="N48" s="65"/>
    </row>
    <row r="49" spans="2:14" s="33" customFormat="1">
      <c r="B49" s="30"/>
      <c r="C49" s="5"/>
      <c r="D49" s="21">
        <v>3933.6</v>
      </c>
      <c r="E49" s="21">
        <f>4325.3-D49</f>
        <v>391.70000000000027</v>
      </c>
      <c r="F49" s="21">
        <v>1009</v>
      </c>
      <c r="G49" s="21">
        <v>3.8984999999999999</v>
      </c>
      <c r="H49" s="21">
        <v>0</v>
      </c>
      <c r="I49" s="21">
        <v>0</v>
      </c>
      <c r="J49" s="21">
        <f t="shared" si="1"/>
        <v>4325.3</v>
      </c>
      <c r="K49" s="48"/>
      <c r="L49" s="68"/>
      <c r="M49" s="68"/>
      <c r="N49" s="66"/>
    </row>
    <row r="50" spans="2:14" s="33" customFormat="1">
      <c r="B50" s="30"/>
      <c r="C50" s="5"/>
      <c r="D50" s="21">
        <v>4810.76</v>
      </c>
      <c r="E50" s="21">
        <f>5289.81-D50</f>
        <v>479.05000000000018</v>
      </c>
      <c r="F50" s="21">
        <v>1234</v>
      </c>
      <c r="G50" s="21">
        <v>3.8984999999999999</v>
      </c>
      <c r="H50" s="21">
        <v>0</v>
      </c>
      <c r="I50" s="21">
        <v>0</v>
      </c>
      <c r="J50" s="21">
        <f t="shared" si="1"/>
        <v>5289.81</v>
      </c>
      <c r="K50" s="48"/>
      <c r="L50" s="68"/>
      <c r="M50" s="68"/>
      <c r="N50" s="66"/>
    </row>
    <row r="51" spans="2:14" s="33" customFormat="1">
      <c r="B51" s="30"/>
      <c r="C51" s="5"/>
      <c r="D51" s="21">
        <v>3758.17</v>
      </c>
      <c r="E51" s="21">
        <f>4132.4-D51</f>
        <v>374.22999999999956</v>
      </c>
      <c r="F51" s="21">
        <v>964</v>
      </c>
      <c r="G51" s="21">
        <v>3.8984999999999999</v>
      </c>
      <c r="H51" s="21"/>
      <c r="I51" s="21"/>
      <c r="J51" s="21">
        <f t="shared" si="1"/>
        <v>4132.3999999999996</v>
      </c>
      <c r="K51" s="48"/>
      <c r="L51" s="68"/>
      <c r="M51" s="68"/>
      <c r="N51" s="66"/>
    </row>
    <row r="52" spans="2:14" s="33" customFormat="1">
      <c r="B52" s="30"/>
      <c r="C52" s="5"/>
      <c r="D52" s="21">
        <v>4058.35</v>
      </c>
      <c r="E52" s="21">
        <f>4462.48-D52</f>
        <v>404.12999999999965</v>
      </c>
      <c r="F52" s="21">
        <v>1041</v>
      </c>
      <c r="G52" s="21">
        <v>3.8984999999999999</v>
      </c>
      <c r="H52" s="21"/>
      <c r="I52" s="21"/>
      <c r="J52" s="21">
        <f t="shared" si="1"/>
        <v>4462.4799999999996</v>
      </c>
      <c r="K52" s="48"/>
      <c r="L52" s="68"/>
      <c r="M52" s="68"/>
      <c r="N52" s="66"/>
    </row>
    <row r="53" spans="2:14" s="33" customFormat="1">
      <c r="B53" s="30"/>
      <c r="C53" s="5"/>
      <c r="D53" s="21">
        <v>3019.62</v>
      </c>
      <c r="E53" s="21">
        <f>3285.35-D53</f>
        <v>265.73</v>
      </c>
      <c r="F53" s="21">
        <v>766.4</v>
      </c>
      <c r="G53" s="21">
        <v>3.8984999999999999</v>
      </c>
      <c r="H53" s="21"/>
      <c r="I53" s="21"/>
      <c r="J53" s="21">
        <f t="shared" si="1"/>
        <v>3285.35</v>
      </c>
      <c r="K53" s="48"/>
      <c r="L53" s="68"/>
      <c r="M53" s="68"/>
      <c r="N53" s="66"/>
    </row>
    <row r="54" spans="2:14" s="33" customFormat="1">
      <c r="B54" s="30"/>
      <c r="C54" s="5"/>
      <c r="D54" s="21">
        <v>2081.8200000000002</v>
      </c>
      <c r="E54" s="21">
        <f>2289.11-D54</f>
        <v>207.28999999999996</v>
      </c>
      <c r="F54" s="21">
        <v>534</v>
      </c>
      <c r="G54" s="21">
        <v>3.8984999999999999</v>
      </c>
      <c r="H54" s="21"/>
      <c r="I54" s="21"/>
      <c r="J54" s="21">
        <f t="shared" si="1"/>
        <v>2289.11</v>
      </c>
      <c r="K54" s="48"/>
      <c r="L54" s="68"/>
      <c r="M54" s="68"/>
      <c r="N54" s="66"/>
    </row>
    <row r="55" spans="2:14" s="33" customFormat="1">
      <c r="B55" s="30"/>
      <c r="C55" s="5"/>
      <c r="D55" s="21">
        <v>4249.37</v>
      </c>
      <c r="E55" s="21">
        <f>4672.52-D55</f>
        <v>423.15000000000055</v>
      </c>
      <c r="F55" s="21">
        <v>1090</v>
      </c>
      <c r="G55" s="21">
        <v>3.8984999999999999</v>
      </c>
      <c r="H55" s="21"/>
      <c r="I55" s="21"/>
      <c r="J55" s="21">
        <f t="shared" si="1"/>
        <v>4672.5200000000004</v>
      </c>
      <c r="K55" s="48"/>
      <c r="L55" s="68"/>
      <c r="M55" s="68"/>
      <c r="N55" s="66"/>
    </row>
    <row r="56" spans="2:14" s="33" customFormat="1">
      <c r="B56" s="30"/>
      <c r="C56" s="5"/>
      <c r="D56" s="21">
        <v>3988.67</v>
      </c>
      <c r="E56" s="21">
        <f>4387.43-D56</f>
        <v>398.76000000000022</v>
      </c>
      <c r="F56" s="21">
        <v>1064</v>
      </c>
      <c r="G56" s="21">
        <v>3.7488000000000001</v>
      </c>
      <c r="H56" s="21"/>
      <c r="I56" s="21"/>
      <c r="J56" s="21">
        <f t="shared" si="1"/>
        <v>4387.43</v>
      </c>
      <c r="K56" s="48"/>
      <c r="L56" s="68"/>
      <c r="M56" s="68"/>
      <c r="N56" s="66"/>
    </row>
    <row r="57" spans="2:14" s="33" customFormat="1" ht="15.75" thickBot="1">
      <c r="B57" s="30"/>
      <c r="C57" s="5"/>
      <c r="D57" s="21">
        <v>3347.62</v>
      </c>
      <c r="E57" s="21">
        <f>3682.3-D57</f>
        <v>334.68000000000029</v>
      </c>
      <c r="F57" s="21">
        <v>893</v>
      </c>
      <c r="G57" s="21">
        <v>3.7486999999999999</v>
      </c>
      <c r="H57" s="21"/>
      <c r="I57" s="21"/>
      <c r="J57" s="21">
        <f t="shared" si="1"/>
        <v>3682.3</v>
      </c>
      <c r="K57" s="48"/>
      <c r="L57" s="68">
        <f>SUM(J48:J57)</f>
        <v>40920.590000000004</v>
      </c>
      <c r="M57" s="68">
        <f>'PS Fuel GL'!E22</f>
        <v>40920.589999999997</v>
      </c>
      <c r="N57" s="66">
        <f>M57-L57</f>
        <v>0</v>
      </c>
    </row>
    <row r="58" spans="2:14" s="33" customFormat="1" ht="15.75" thickBot="1">
      <c r="B58" s="50">
        <v>45082</v>
      </c>
      <c r="C58" s="51"/>
      <c r="D58" s="52">
        <v>2579.89</v>
      </c>
      <c r="E58" s="52">
        <f>2837.81-D58</f>
        <v>257.92000000000007</v>
      </c>
      <c r="F58" s="52">
        <v>688.2</v>
      </c>
      <c r="G58" s="52">
        <v>3.7488000000000001</v>
      </c>
      <c r="H58" s="52"/>
      <c r="I58" s="52"/>
      <c r="J58" s="52">
        <f t="shared" si="1"/>
        <v>2837.81</v>
      </c>
      <c r="K58" s="53"/>
      <c r="L58" s="71">
        <f>SUM(J58)</f>
        <v>2837.81</v>
      </c>
      <c r="M58" s="71">
        <f>'PS Fuel GL'!E23</f>
        <v>2837.81</v>
      </c>
      <c r="N58" s="72">
        <f>M58-L58</f>
        <v>0</v>
      </c>
    </row>
    <row r="59" spans="2:14" s="33" customFormat="1">
      <c r="B59" s="50">
        <v>45119</v>
      </c>
      <c r="C59" s="51"/>
      <c r="D59" s="52">
        <v>3748.74</v>
      </c>
      <c r="E59" s="52">
        <f>4123.52-D59</f>
        <v>374.78000000000065</v>
      </c>
      <c r="F59" s="52">
        <v>1000</v>
      </c>
      <c r="G59" s="52">
        <v>3.7486999999999999</v>
      </c>
      <c r="H59" s="52"/>
      <c r="I59" s="52"/>
      <c r="J59" s="52">
        <f t="shared" si="1"/>
        <v>4123.5200000000004</v>
      </c>
      <c r="K59" s="53"/>
      <c r="L59" s="71"/>
      <c r="M59" s="71"/>
      <c r="N59" s="72"/>
    </row>
    <row r="60" spans="2:14" s="33" customFormat="1">
      <c r="B60" s="54"/>
      <c r="C60" s="5"/>
      <c r="D60" s="21"/>
      <c r="E60" s="21"/>
      <c r="F60" s="21"/>
      <c r="G60" s="21"/>
      <c r="H60" s="21">
        <v>430</v>
      </c>
      <c r="I60" s="21"/>
      <c r="J60" s="21">
        <f t="shared" si="1"/>
        <v>430</v>
      </c>
      <c r="K60" s="48"/>
      <c r="L60" s="68"/>
      <c r="M60" s="68"/>
      <c r="N60" s="73"/>
    </row>
    <row r="61" spans="2:14" s="33" customFormat="1">
      <c r="B61" s="54"/>
      <c r="C61" s="5"/>
      <c r="D61" s="21"/>
      <c r="E61" s="21"/>
      <c r="F61" s="21"/>
      <c r="G61" s="21"/>
      <c r="H61" s="21">
        <v>197.73</v>
      </c>
      <c r="I61" s="21"/>
      <c r="J61" s="21">
        <f t="shared" si="1"/>
        <v>197.73</v>
      </c>
      <c r="K61" s="48"/>
      <c r="L61" s="68"/>
      <c r="M61" s="68"/>
      <c r="N61" s="73"/>
    </row>
    <row r="62" spans="2:14" s="33" customFormat="1">
      <c r="B62" s="54"/>
      <c r="C62" s="5"/>
      <c r="D62" s="21">
        <v>4311.0600000000004</v>
      </c>
      <c r="E62" s="21">
        <f>4742.05-D62</f>
        <v>430.98999999999978</v>
      </c>
      <c r="F62" s="21">
        <v>1150</v>
      </c>
      <c r="G62" s="21">
        <v>3.7486999999999999</v>
      </c>
      <c r="H62" s="21"/>
      <c r="I62" s="21"/>
      <c r="J62" s="21">
        <f t="shared" si="1"/>
        <v>4742.05</v>
      </c>
      <c r="K62" s="48"/>
      <c r="L62" s="68"/>
      <c r="M62" s="68"/>
      <c r="N62" s="73"/>
    </row>
    <row r="63" spans="2:14" s="33" customFormat="1">
      <c r="B63" s="54"/>
      <c r="C63" s="5"/>
      <c r="D63" s="21">
        <v>2633.87</v>
      </c>
      <c r="E63" s="21">
        <f>2897.18-D63</f>
        <v>263.30999999999995</v>
      </c>
      <c r="F63" s="21">
        <v>702.6</v>
      </c>
      <c r="G63" s="21">
        <v>3.7486999999999999</v>
      </c>
      <c r="H63" s="21"/>
      <c r="I63" s="21"/>
      <c r="J63" s="21">
        <f t="shared" si="1"/>
        <v>2897.18</v>
      </c>
      <c r="K63" s="48"/>
      <c r="L63" s="68"/>
      <c r="M63" s="68"/>
      <c r="N63" s="73"/>
    </row>
    <row r="64" spans="2:14" s="33" customFormat="1">
      <c r="B64" s="54"/>
      <c r="C64" s="5"/>
      <c r="D64" s="21">
        <v>2879.02</v>
      </c>
      <c r="E64" s="21">
        <f>3166.86-D64</f>
        <v>287.84000000000015</v>
      </c>
      <c r="F64" s="21">
        <v>768</v>
      </c>
      <c r="G64" s="21">
        <v>3.7486999999999999</v>
      </c>
      <c r="H64" s="21"/>
      <c r="I64" s="21"/>
      <c r="J64" s="21">
        <f t="shared" si="1"/>
        <v>3166.86</v>
      </c>
      <c r="K64" s="48"/>
      <c r="L64" s="68"/>
      <c r="M64" s="68"/>
      <c r="N64" s="73"/>
    </row>
    <row r="65" spans="2:14" s="33" customFormat="1">
      <c r="B65" s="54"/>
      <c r="C65" s="5"/>
      <c r="D65" s="21">
        <v>3823.72</v>
      </c>
      <c r="E65" s="21">
        <f>4205.99-D65</f>
        <v>382.27</v>
      </c>
      <c r="F65" s="21">
        <v>1020</v>
      </c>
      <c r="G65" s="21">
        <v>3.7486999999999999</v>
      </c>
      <c r="H65" s="21"/>
      <c r="I65" s="21"/>
      <c r="J65" s="21">
        <f t="shared" si="1"/>
        <v>4205.99</v>
      </c>
      <c r="K65" s="48"/>
      <c r="L65" s="68"/>
      <c r="M65" s="68"/>
      <c r="N65" s="73"/>
    </row>
    <row r="66" spans="2:14" s="33" customFormat="1">
      <c r="B66" s="54"/>
      <c r="C66" s="5"/>
      <c r="D66" s="21">
        <v>3354</v>
      </c>
      <c r="E66" s="21">
        <f>3689.31-D66</f>
        <v>335.30999999999995</v>
      </c>
      <c r="F66" s="21">
        <v>894.7</v>
      </c>
      <c r="G66" s="21">
        <v>3.7486999999999999</v>
      </c>
      <c r="H66" s="21"/>
      <c r="I66" s="21"/>
      <c r="J66" s="21">
        <f t="shared" si="1"/>
        <v>3689.31</v>
      </c>
      <c r="K66" s="48"/>
      <c r="L66" s="68"/>
      <c r="M66" s="68"/>
      <c r="N66" s="73"/>
    </row>
    <row r="67" spans="2:14" s="33" customFormat="1" ht="15.75" thickBot="1">
      <c r="B67" s="97"/>
      <c r="C67" s="24"/>
      <c r="D67" s="25">
        <v>3681.09</v>
      </c>
      <c r="E67" s="25">
        <f>4048.01-D67</f>
        <v>366.92000000000007</v>
      </c>
      <c r="F67" s="25">
        <v>954</v>
      </c>
      <c r="G67" s="25">
        <v>3.8586</v>
      </c>
      <c r="H67" s="25"/>
      <c r="I67" s="25"/>
      <c r="J67" s="25">
        <f t="shared" si="1"/>
        <v>4048.01</v>
      </c>
      <c r="K67" s="49"/>
      <c r="L67" s="69">
        <f>SUM(J59:J67)</f>
        <v>27500.65</v>
      </c>
      <c r="M67" s="69">
        <f>'PS Fuel GL'!E24</f>
        <v>27500.65</v>
      </c>
      <c r="N67" s="98">
        <f>M67-L67</f>
        <v>0</v>
      </c>
    </row>
  </sheetData>
  <mergeCells count="7">
    <mergeCell ref="B8:C8"/>
    <mergeCell ref="B1:N1"/>
    <mergeCell ref="B2:N2"/>
    <mergeCell ref="B3:N3"/>
    <mergeCell ref="B4:N4"/>
    <mergeCell ref="B5:N5"/>
    <mergeCell ref="F8:K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5B055-3318-430C-853F-09BD2563FCD9}">
  <dimension ref="B1:O91"/>
  <sheetViews>
    <sheetView workbookViewId="0">
      <pane ySplit="11" topLeftCell="A12" activePane="bottomLeft" state="frozen"/>
      <selection pane="bottomLeft" activeCell="B1" sqref="B1:N1"/>
    </sheetView>
  </sheetViews>
  <sheetFormatPr defaultColWidth="9.140625" defaultRowHeight="15"/>
  <cols>
    <col min="1" max="1" width="2.7109375" style="1" customWidth="1"/>
    <col min="2" max="2" width="20.42578125" style="1" bestFit="1" customWidth="1"/>
    <col min="3" max="3" width="2.140625" style="1" customWidth="1"/>
    <col min="4" max="4" width="11.5703125" style="1" bestFit="1" customWidth="1"/>
    <col min="5" max="5" width="11.140625" style="1" bestFit="1" customWidth="1"/>
    <col min="6" max="6" width="10.5703125" style="1" bestFit="1" customWidth="1"/>
    <col min="7" max="7" width="7" style="1" bestFit="1" customWidth="1"/>
    <col min="8" max="8" width="11" style="1" bestFit="1" customWidth="1"/>
    <col min="9" max="9" width="9.28515625" style="1" bestFit="1" customWidth="1"/>
    <col min="10" max="10" width="11.5703125" style="1" bestFit="1" customWidth="1"/>
    <col min="11" max="11" width="2.7109375" style="1" customWidth="1"/>
    <col min="12" max="12" width="14.28515625" style="1" bestFit="1" customWidth="1"/>
    <col min="13" max="13" width="11.5703125" style="57" bestFit="1" customWidth="1"/>
    <col min="14" max="14" width="12.28515625" style="1" bestFit="1" customWidth="1"/>
    <col min="15" max="15" width="9.85546875" style="1" bestFit="1" customWidth="1"/>
    <col min="16" max="16384" width="9.140625" style="1"/>
  </cols>
  <sheetData>
    <row r="1" spans="2:15" ht="18.75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5" ht="15.75">
      <c r="B2" s="114" t="s">
        <v>36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2:15" ht="15.75">
      <c r="B3" s="114" t="s">
        <v>37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2:15" ht="15.75">
      <c r="B4" s="115" t="s">
        <v>42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2:15" ht="15.75" customHeight="1">
      <c r="B5" s="119" t="s">
        <v>171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2:15" ht="15.75">
      <c r="G6" s="2"/>
      <c r="H6" s="2"/>
      <c r="I6" s="3"/>
      <c r="J6" s="3"/>
    </row>
    <row r="7" spans="2:15" ht="15.75">
      <c r="C7" s="6"/>
      <c r="D7" s="6"/>
      <c r="E7" s="6"/>
      <c r="F7" s="6"/>
      <c r="G7" s="2"/>
      <c r="H7" s="2"/>
      <c r="I7" s="3"/>
      <c r="J7" s="3"/>
    </row>
    <row r="8" spans="2:15" ht="15.75" customHeight="1">
      <c r="B8" s="122"/>
      <c r="C8" s="122"/>
      <c r="D8" s="6"/>
      <c r="E8" s="40"/>
      <c r="F8" s="123" t="s">
        <v>160</v>
      </c>
      <c r="G8" s="123"/>
      <c r="H8" s="123"/>
      <c r="I8" s="123"/>
      <c r="J8" s="123"/>
      <c r="K8" s="123"/>
      <c r="L8" s="100">
        <f>SUM(L22:L90)</f>
        <v>326602.15000000002</v>
      </c>
      <c r="M8" s="46"/>
      <c r="N8" s="46"/>
    </row>
    <row r="9" spans="2:15" ht="15.75">
      <c r="B9" s="2"/>
      <c r="C9" s="2"/>
      <c r="D9" s="2"/>
      <c r="E9" s="2"/>
      <c r="F9" s="2"/>
      <c r="G9" s="2"/>
      <c r="H9" s="2"/>
      <c r="I9" s="3"/>
      <c r="J9" s="3"/>
    </row>
    <row r="10" spans="2:15">
      <c r="B10" s="5"/>
      <c r="C10" s="5"/>
      <c r="D10" s="13" t="s">
        <v>1</v>
      </c>
      <c r="E10" s="12" t="s">
        <v>2</v>
      </c>
      <c r="F10" s="12"/>
      <c r="G10" s="12" t="s">
        <v>3</v>
      </c>
      <c r="H10" s="12" t="s">
        <v>4</v>
      </c>
      <c r="I10" s="13" t="s">
        <v>26</v>
      </c>
      <c r="J10" s="13"/>
    </row>
    <row r="11" spans="2:15" ht="15.75" thickBot="1">
      <c r="B11" s="14" t="s">
        <v>28</v>
      </c>
      <c r="C11" s="5"/>
      <c r="D11" s="12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27</v>
      </c>
      <c r="J11" s="13" t="s">
        <v>13</v>
      </c>
      <c r="L11" s="13" t="s">
        <v>11</v>
      </c>
      <c r="M11" s="58" t="s">
        <v>12</v>
      </c>
      <c r="N11" s="13" t="s">
        <v>14</v>
      </c>
    </row>
    <row r="12" spans="2:15">
      <c r="B12" s="16">
        <v>44779</v>
      </c>
      <c r="C12" s="17"/>
      <c r="D12" s="18">
        <v>5146.3599999999997</v>
      </c>
      <c r="E12" s="18">
        <f>5641.75-5146.36</f>
        <v>495.39000000000033</v>
      </c>
      <c r="F12" s="18">
        <v>987.7</v>
      </c>
      <c r="G12" s="18">
        <v>5.2103999999999999</v>
      </c>
      <c r="H12" s="18">
        <v>0</v>
      </c>
      <c r="I12" s="18">
        <v>0</v>
      </c>
      <c r="J12" s="18">
        <f t="shared" ref="J12:J37" si="0">D12+E12+H12+I12</f>
        <v>5641.75</v>
      </c>
      <c r="K12" s="19"/>
      <c r="L12" s="59"/>
      <c r="M12" s="59"/>
      <c r="N12" s="60"/>
      <c r="O12" s="4"/>
    </row>
    <row r="13" spans="2:15">
      <c r="B13" s="20"/>
      <c r="C13" s="5"/>
      <c r="D13" s="21">
        <v>4786.93</v>
      </c>
      <c r="E13" s="21">
        <f>5247.42-4786.93</f>
        <v>460.48999999999978</v>
      </c>
      <c r="F13" s="21">
        <v>910</v>
      </c>
      <c r="G13" s="21">
        <v>5.2603999999999997</v>
      </c>
      <c r="H13" s="21">
        <v>0</v>
      </c>
      <c r="I13" s="21">
        <v>0</v>
      </c>
      <c r="J13" s="21">
        <f t="shared" si="0"/>
        <v>5247.42</v>
      </c>
      <c r="K13" s="22"/>
      <c r="L13" s="61"/>
      <c r="M13" s="61"/>
      <c r="N13" s="62"/>
      <c r="O13" s="4"/>
    </row>
    <row r="14" spans="2:15">
      <c r="B14" s="20"/>
      <c r="C14" s="5"/>
      <c r="D14" s="21">
        <v>5273.53</v>
      </c>
      <c r="E14" s="21">
        <f>5780.82-5273.53</f>
        <v>507.28999999999996</v>
      </c>
      <c r="F14" s="21">
        <v>1002.5</v>
      </c>
      <c r="G14" s="21">
        <v>5.2603999999999997</v>
      </c>
      <c r="H14" s="21">
        <v>0</v>
      </c>
      <c r="I14" s="21">
        <v>0</v>
      </c>
      <c r="J14" s="21">
        <f t="shared" si="0"/>
        <v>5780.82</v>
      </c>
      <c r="K14" s="22"/>
      <c r="L14" s="61"/>
      <c r="M14" s="61"/>
      <c r="N14" s="62"/>
      <c r="O14" s="4"/>
    </row>
    <row r="15" spans="2:15">
      <c r="B15" s="20"/>
      <c r="C15" s="5"/>
      <c r="D15" s="21">
        <v>6592.2</v>
      </c>
      <c r="E15" s="21">
        <f>1.24+2.66+35.5+9.89+658.89</f>
        <v>708.18</v>
      </c>
      <c r="F15" s="21">
        <v>1241.4000000000001</v>
      </c>
      <c r="G15" s="21">
        <v>5.3102999999999998</v>
      </c>
      <c r="H15" s="21">
        <f>771.65+74.25</f>
        <v>845.9</v>
      </c>
      <c r="I15" s="21">
        <v>0</v>
      </c>
      <c r="J15" s="21">
        <f t="shared" si="0"/>
        <v>8146.28</v>
      </c>
      <c r="K15" s="22"/>
      <c r="L15" s="61"/>
      <c r="M15" s="61"/>
      <c r="N15" s="62"/>
      <c r="O15" s="4"/>
    </row>
    <row r="16" spans="2:15">
      <c r="B16" s="20"/>
      <c r="C16" s="5"/>
      <c r="D16" s="21">
        <v>5466.4</v>
      </c>
      <c r="E16" s="21">
        <f>1.01+2.16+28.9+8.2+502.81</f>
        <v>543.08000000000004</v>
      </c>
      <c r="F16" s="21">
        <v>1010.4</v>
      </c>
      <c r="G16" s="21">
        <v>5.4100999999999999</v>
      </c>
      <c r="H16" s="21">
        <v>207</v>
      </c>
      <c r="I16" s="21">
        <v>0</v>
      </c>
      <c r="J16" s="21">
        <f t="shared" si="0"/>
        <v>6216.48</v>
      </c>
      <c r="K16" s="22"/>
      <c r="L16" s="61"/>
      <c r="M16" s="61"/>
      <c r="N16" s="62"/>
      <c r="O16" s="4"/>
    </row>
    <row r="17" spans="2:15">
      <c r="B17" s="20"/>
      <c r="C17" s="5"/>
      <c r="D17" s="21">
        <v>0</v>
      </c>
      <c r="E17" s="21">
        <v>0</v>
      </c>
      <c r="F17" s="21">
        <v>0</v>
      </c>
      <c r="G17" s="21">
        <v>0</v>
      </c>
      <c r="H17" s="21">
        <v>341.84</v>
      </c>
      <c r="I17" s="21"/>
      <c r="J17" s="21">
        <f t="shared" si="0"/>
        <v>341.84</v>
      </c>
      <c r="K17" s="22"/>
      <c r="L17" s="61"/>
      <c r="M17" s="61"/>
      <c r="N17" s="62"/>
      <c r="O17" s="4"/>
    </row>
    <row r="18" spans="2:15">
      <c r="B18" s="20"/>
      <c r="C18" s="5"/>
      <c r="D18" s="21">
        <v>4793.7</v>
      </c>
      <c r="E18" s="21">
        <f>5253.41-4793.7</f>
        <v>459.71000000000004</v>
      </c>
      <c r="F18" s="21">
        <v>870</v>
      </c>
      <c r="G18" s="21">
        <v>5.51</v>
      </c>
      <c r="H18" s="21">
        <v>0</v>
      </c>
      <c r="I18" s="21">
        <v>0</v>
      </c>
      <c r="J18" s="21">
        <f t="shared" si="0"/>
        <v>5253.41</v>
      </c>
      <c r="K18" s="22"/>
      <c r="L18" s="61"/>
      <c r="M18" s="61"/>
      <c r="N18" s="62"/>
      <c r="O18" s="4"/>
    </row>
    <row r="19" spans="2:15">
      <c r="B19" s="20"/>
      <c r="C19" s="5"/>
      <c r="D19" s="21">
        <v>6115.86</v>
      </c>
      <c r="E19" s="21">
        <f>6701.68-6115.86</f>
        <v>585.82000000000062</v>
      </c>
      <c r="F19" s="21">
        <v>1090.2</v>
      </c>
      <c r="G19" s="21">
        <v>5.6989999999999998</v>
      </c>
      <c r="H19" s="21">
        <v>0</v>
      </c>
      <c r="I19" s="21">
        <v>0</v>
      </c>
      <c r="J19" s="21">
        <f t="shared" si="0"/>
        <v>6701.68</v>
      </c>
      <c r="K19" s="22"/>
      <c r="L19" s="61"/>
      <c r="M19" s="61"/>
      <c r="N19" s="62"/>
      <c r="O19" s="4"/>
    </row>
    <row r="20" spans="2:15">
      <c r="B20" s="20"/>
      <c r="C20" s="5"/>
      <c r="D20" s="21">
        <v>4758.84</v>
      </c>
      <c r="E20" s="21">
        <f>443.99+0.85+1.82+24.26+7.14</f>
        <v>478.06</v>
      </c>
      <c r="F20" s="21">
        <v>848.3</v>
      </c>
      <c r="G20" s="21">
        <v>5.6098999999999997</v>
      </c>
      <c r="H20" s="21">
        <v>252.6</v>
      </c>
      <c r="I20" s="21">
        <v>0</v>
      </c>
      <c r="J20" s="21">
        <f t="shared" si="0"/>
        <v>5489.5000000000009</v>
      </c>
      <c r="K20" s="22"/>
      <c r="L20" s="61"/>
      <c r="M20" s="61"/>
      <c r="N20" s="62"/>
      <c r="O20" s="4"/>
    </row>
    <row r="21" spans="2:15">
      <c r="B21" s="20"/>
      <c r="C21" s="5"/>
      <c r="D21" s="21">
        <v>5907.84</v>
      </c>
      <c r="E21" s="21">
        <f>1.03+2.21+29.59+8.86+539.75</f>
        <v>581.44000000000005</v>
      </c>
      <c r="F21" s="21">
        <v>1034.7</v>
      </c>
      <c r="G21" s="21">
        <v>5.7096999999999998</v>
      </c>
      <c r="H21" s="21">
        <f>138+45.96</f>
        <v>183.96</v>
      </c>
      <c r="I21" s="21">
        <v>0</v>
      </c>
      <c r="J21" s="21">
        <f t="shared" si="0"/>
        <v>6673.2400000000007</v>
      </c>
      <c r="K21" s="22"/>
      <c r="L21" s="61"/>
      <c r="M21" s="61"/>
      <c r="N21" s="62"/>
      <c r="O21" s="4"/>
    </row>
    <row r="22" spans="2:15" ht="15.75" thickBot="1">
      <c r="B22" s="23"/>
      <c r="C22" s="24"/>
      <c r="D22" s="25">
        <v>5135.88</v>
      </c>
      <c r="E22" s="25">
        <f>5627.28-5135.88</f>
        <v>491.39999999999964</v>
      </c>
      <c r="F22" s="25">
        <v>899.5</v>
      </c>
      <c r="G22" s="25">
        <v>5.7096999999999998</v>
      </c>
      <c r="H22" s="25">
        <v>0</v>
      </c>
      <c r="I22" s="25">
        <v>0</v>
      </c>
      <c r="J22" s="25">
        <f t="shared" si="0"/>
        <v>5627.28</v>
      </c>
      <c r="K22" s="26"/>
      <c r="L22" s="63">
        <f>SUM(J12:J22)</f>
        <v>61119.7</v>
      </c>
      <c r="M22" s="63">
        <f>'JDF Fuel GL'!E11</f>
        <v>61119.7</v>
      </c>
      <c r="N22" s="64">
        <f>M22-L22</f>
        <v>0</v>
      </c>
      <c r="O22" s="4"/>
    </row>
    <row r="23" spans="2:15">
      <c r="B23" s="16">
        <v>44807</v>
      </c>
      <c r="C23" s="17"/>
      <c r="D23" s="18">
        <v>5730.3</v>
      </c>
      <c r="E23" s="18">
        <f>6286.02-5730.3</f>
        <v>555.72000000000025</v>
      </c>
      <c r="F23" s="18">
        <v>1218.9000000000001</v>
      </c>
      <c r="G23" s="18">
        <v>4.7012</v>
      </c>
      <c r="H23" s="18">
        <v>0</v>
      </c>
      <c r="I23" s="18">
        <v>0</v>
      </c>
      <c r="J23" s="18">
        <f t="shared" si="0"/>
        <v>6286.02</v>
      </c>
      <c r="K23" s="19"/>
      <c r="L23" s="59"/>
      <c r="M23" s="59"/>
      <c r="N23" s="60"/>
      <c r="O23" s="4"/>
    </row>
    <row r="24" spans="2:15">
      <c r="B24" s="20"/>
      <c r="C24" s="5"/>
      <c r="D24" s="21">
        <v>5690.75</v>
      </c>
      <c r="E24" s="21">
        <f>6245.99-D24</f>
        <v>555.23999999999978</v>
      </c>
      <c r="F24" s="21">
        <v>1307.7</v>
      </c>
      <c r="G24" s="21">
        <v>4.3517000000000001</v>
      </c>
      <c r="H24" s="21">
        <v>0</v>
      </c>
      <c r="I24" s="21">
        <v>0</v>
      </c>
      <c r="J24" s="21">
        <f t="shared" si="0"/>
        <v>6245.99</v>
      </c>
      <c r="K24" s="22"/>
      <c r="L24" s="61"/>
      <c r="M24" s="61"/>
      <c r="N24" s="62"/>
      <c r="O24" s="4"/>
    </row>
    <row r="25" spans="2:15">
      <c r="B25" s="20"/>
      <c r="C25" s="5"/>
      <c r="D25" s="21">
        <v>3222.65</v>
      </c>
      <c r="E25" s="21">
        <f>3686.61-D25-138</f>
        <v>325.96000000000004</v>
      </c>
      <c r="F25" s="21">
        <v>723.2</v>
      </c>
      <c r="G25" s="21">
        <v>4.4561000000000002</v>
      </c>
      <c r="H25" s="21">
        <v>138</v>
      </c>
      <c r="I25" s="21">
        <v>0</v>
      </c>
      <c r="J25" s="21">
        <f t="shared" si="0"/>
        <v>3686.61</v>
      </c>
      <c r="K25" s="22"/>
      <c r="L25" s="61"/>
      <c r="M25" s="61"/>
      <c r="N25" s="62"/>
      <c r="O25" s="4"/>
    </row>
    <row r="26" spans="2:15">
      <c r="B26" s="20"/>
      <c r="C26" s="5"/>
      <c r="D26" s="21">
        <v>3586.61</v>
      </c>
      <c r="E26" s="21">
        <f>3934.71-D26</f>
        <v>348.09999999999991</v>
      </c>
      <c r="F26" s="21">
        <v>771.1</v>
      </c>
      <c r="G26" s="21">
        <v>4.6513</v>
      </c>
      <c r="H26" s="21">
        <v>0</v>
      </c>
      <c r="I26" s="21">
        <v>0</v>
      </c>
      <c r="J26" s="21">
        <f t="shared" si="0"/>
        <v>3934.71</v>
      </c>
      <c r="K26" s="22"/>
      <c r="L26" s="61"/>
      <c r="M26" s="61"/>
      <c r="N26" s="62"/>
      <c r="O26" s="4"/>
    </row>
    <row r="27" spans="2:15">
      <c r="B27" s="20"/>
      <c r="C27" s="5"/>
      <c r="D27" s="21">
        <v>3707.07</v>
      </c>
      <c r="E27" s="21">
        <f>4066.87-D27</f>
        <v>359.79999999999973</v>
      </c>
      <c r="F27" s="21">
        <v>797</v>
      </c>
      <c r="G27" s="21">
        <v>4.6513</v>
      </c>
      <c r="H27" s="21">
        <v>0</v>
      </c>
      <c r="I27" s="21">
        <v>0</v>
      </c>
      <c r="J27" s="21">
        <f t="shared" si="0"/>
        <v>4066.87</v>
      </c>
      <c r="K27" s="22"/>
      <c r="L27" s="61"/>
      <c r="M27" s="61"/>
      <c r="N27" s="62"/>
      <c r="O27" s="4"/>
    </row>
    <row r="28" spans="2:15">
      <c r="B28" s="20"/>
      <c r="C28" s="5"/>
      <c r="D28" s="21">
        <v>3110.45</v>
      </c>
      <c r="E28" s="21">
        <f>3687.68-D28-252.6</f>
        <v>324.63</v>
      </c>
      <c r="F28" s="21">
        <v>683.4</v>
      </c>
      <c r="G28" s="21">
        <v>4.5514000000000001</v>
      </c>
      <c r="H28" s="21">
        <v>252.6</v>
      </c>
      <c r="I28" s="21"/>
      <c r="J28" s="21">
        <f t="shared" si="0"/>
        <v>3687.68</v>
      </c>
      <c r="K28" s="22"/>
      <c r="L28" s="61"/>
      <c r="M28" s="61"/>
      <c r="N28" s="62"/>
      <c r="O28" s="4"/>
    </row>
    <row r="29" spans="2:15">
      <c r="B29" s="20"/>
      <c r="C29" s="5"/>
      <c r="D29" s="21">
        <v>3474.97</v>
      </c>
      <c r="E29" s="21">
        <f>3812.24-D29</f>
        <v>337.27</v>
      </c>
      <c r="F29" s="21">
        <v>747.1</v>
      </c>
      <c r="G29" s="21">
        <v>4.6513</v>
      </c>
      <c r="H29" s="21">
        <v>0</v>
      </c>
      <c r="I29" s="21">
        <v>0</v>
      </c>
      <c r="J29" s="21">
        <f t="shared" si="0"/>
        <v>3812.24</v>
      </c>
      <c r="K29" s="22"/>
      <c r="L29" s="61"/>
      <c r="M29" s="61"/>
      <c r="N29" s="62"/>
      <c r="O29" s="4"/>
    </row>
    <row r="30" spans="2:15">
      <c r="B30" s="20"/>
      <c r="C30" s="5"/>
      <c r="D30" s="21">
        <v>3689.38</v>
      </c>
      <c r="E30" s="21">
        <f>4047.48-D30</f>
        <v>358.09999999999991</v>
      </c>
      <c r="F30" s="21">
        <v>793.2</v>
      </c>
      <c r="G30" s="21">
        <v>4.6513</v>
      </c>
      <c r="H30" s="21">
        <v>0</v>
      </c>
      <c r="I30" s="21">
        <v>0</v>
      </c>
      <c r="J30" s="21">
        <f t="shared" si="0"/>
        <v>4047.48</v>
      </c>
      <c r="K30" s="22"/>
      <c r="L30" s="61"/>
      <c r="M30" s="61"/>
      <c r="N30" s="62"/>
      <c r="O30" s="4"/>
    </row>
    <row r="31" spans="2:15" ht="15.75" thickBot="1">
      <c r="B31" s="23"/>
      <c r="C31" s="24"/>
      <c r="D31" s="25">
        <v>4909.26</v>
      </c>
      <c r="E31" s="25">
        <f>5384.96-D31</f>
        <v>475.69999999999982</v>
      </c>
      <c r="F31" s="25">
        <v>1033.29</v>
      </c>
      <c r="G31" s="25">
        <v>4.7511000000000001</v>
      </c>
      <c r="H31" s="25">
        <v>0</v>
      </c>
      <c r="I31" s="25">
        <v>0</v>
      </c>
      <c r="J31" s="25">
        <f t="shared" si="0"/>
        <v>5384.96</v>
      </c>
      <c r="K31" s="26"/>
      <c r="L31" s="63">
        <f>SUM(J23:J31)</f>
        <v>41152.560000000005</v>
      </c>
      <c r="M31" s="63">
        <f>'JDF Fuel GL'!E12</f>
        <v>41152.559999999998</v>
      </c>
      <c r="N31" s="64">
        <f>M31-L31</f>
        <v>0</v>
      </c>
      <c r="O31" s="4"/>
    </row>
    <row r="32" spans="2:15">
      <c r="B32" s="16">
        <v>44849</v>
      </c>
      <c r="C32" s="17"/>
      <c r="D32" s="18">
        <v>4201.92</v>
      </c>
      <c r="E32" s="18">
        <f>4614.25-D32</f>
        <v>412.32999999999993</v>
      </c>
      <c r="F32" s="18">
        <v>1034.4000000000001</v>
      </c>
      <c r="G32" s="18">
        <v>4.0621999999999998</v>
      </c>
      <c r="H32" s="18">
        <v>0</v>
      </c>
      <c r="I32" s="18">
        <v>0</v>
      </c>
      <c r="J32" s="18">
        <f t="shared" si="0"/>
        <v>4614.25</v>
      </c>
      <c r="K32" s="19"/>
      <c r="L32" s="59"/>
      <c r="M32" s="59"/>
      <c r="N32" s="60"/>
      <c r="O32" s="4"/>
    </row>
    <row r="33" spans="2:15">
      <c r="B33" s="20"/>
      <c r="C33" s="5"/>
      <c r="D33" s="21">
        <v>3904.71</v>
      </c>
      <c r="E33" s="21">
        <f>5021.53-D33-673.92</f>
        <v>442.89999999999975</v>
      </c>
      <c r="F33" s="21">
        <v>973.2</v>
      </c>
      <c r="G33" s="21">
        <v>4.0122</v>
      </c>
      <c r="H33" s="21">
        <v>673.92</v>
      </c>
      <c r="I33" s="21">
        <v>0</v>
      </c>
      <c r="J33" s="21">
        <f t="shared" si="0"/>
        <v>5021.53</v>
      </c>
      <c r="K33" s="22"/>
      <c r="L33" s="61"/>
      <c r="M33" s="61"/>
      <c r="N33" s="62"/>
      <c r="O33" s="4"/>
    </row>
    <row r="34" spans="2:15">
      <c r="B34" s="20"/>
      <c r="C34" s="5"/>
      <c r="D34" s="21">
        <v>3629.39</v>
      </c>
      <c r="E34" s="21">
        <f>3984.19-D34</f>
        <v>354.80000000000018</v>
      </c>
      <c r="F34" s="21">
        <v>853.6</v>
      </c>
      <c r="G34" s="21">
        <v>4.2519</v>
      </c>
      <c r="H34" s="21">
        <v>0</v>
      </c>
      <c r="I34" s="21">
        <v>0</v>
      </c>
      <c r="J34" s="21">
        <f t="shared" si="0"/>
        <v>3984.19</v>
      </c>
      <c r="K34" s="22"/>
      <c r="L34" s="61"/>
      <c r="M34" s="61"/>
      <c r="N34" s="62"/>
      <c r="O34" s="4"/>
    </row>
    <row r="35" spans="2:15">
      <c r="B35" s="20"/>
      <c r="C35" s="5"/>
      <c r="D35" s="21">
        <v>4797.3999999999996</v>
      </c>
      <c r="E35" s="21">
        <f>5266.37-D35</f>
        <v>468.97000000000025</v>
      </c>
      <c r="F35" s="21">
        <v>1128.3</v>
      </c>
      <c r="G35" s="21">
        <v>4.2519</v>
      </c>
      <c r="H35" s="21">
        <v>0</v>
      </c>
      <c r="I35" s="21">
        <v>0</v>
      </c>
      <c r="J35" s="21">
        <f t="shared" si="0"/>
        <v>5266.37</v>
      </c>
      <c r="K35" s="22"/>
      <c r="L35" s="61"/>
      <c r="M35" s="61"/>
      <c r="N35" s="62"/>
      <c r="O35" s="4"/>
    </row>
    <row r="36" spans="2:15">
      <c r="B36" s="20"/>
      <c r="C36" s="5"/>
      <c r="D36" s="21">
        <v>5335.22</v>
      </c>
      <c r="E36" s="21">
        <f>5855.77-D36</f>
        <v>520.55000000000018</v>
      </c>
      <c r="F36" s="21">
        <v>1226</v>
      </c>
      <c r="G36" s="21">
        <v>4.3518999999999997</v>
      </c>
      <c r="H36" s="21">
        <v>0</v>
      </c>
      <c r="I36" s="21">
        <v>0</v>
      </c>
      <c r="J36" s="21">
        <f t="shared" si="0"/>
        <v>5855.77</v>
      </c>
      <c r="K36" s="22"/>
      <c r="L36" s="61"/>
      <c r="M36" s="61"/>
      <c r="N36" s="62"/>
      <c r="O36" s="4"/>
    </row>
    <row r="37" spans="2:15">
      <c r="B37" s="20"/>
      <c r="C37" s="5"/>
      <c r="D37" s="21">
        <v>0</v>
      </c>
      <c r="E37" s="21">
        <v>0</v>
      </c>
      <c r="F37" s="21">
        <v>0</v>
      </c>
      <c r="G37" s="21">
        <v>0</v>
      </c>
      <c r="H37" s="21">
        <v>669.35</v>
      </c>
      <c r="I37" s="21">
        <v>0</v>
      </c>
      <c r="J37" s="21">
        <f t="shared" si="0"/>
        <v>669.35</v>
      </c>
      <c r="K37" s="22"/>
      <c r="L37" s="61"/>
      <c r="M37" s="61"/>
      <c r="N37" s="62"/>
      <c r="O37" s="4"/>
    </row>
    <row r="38" spans="2:15" ht="15.75" thickBot="1">
      <c r="B38" s="23"/>
      <c r="C38" s="24"/>
      <c r="D38" s="25">
        <v>4737.37</v>
      </c>
      <c r="E38" s="25">
        <f>5198.75-D38</f>
        <v>461.38000000000011</v>
      </c>
      <c r="F38" s="25">
        <v>1064.2</v>
      </c>
      <c r="G38" s="25">
        <v>4.4516</v>
      </c>
      <c r="H38" s="25">
        <v>0</v>
      </c>
      <c r="I38" s="25">
        <v>0</v>
      </c>
      <c r="J38" s="25">
        <f t="shared" ref="J38:J90" si="1">D38+E38+H38+I38</f>
        <v>5198.75</v>
      </c>
      <c r="K38" s="26"/>
      <c r="L38" s="63">
        <f>SUM(J32:J38)</f>
        <v>30610.21</v>
      </c>
      <c r="M38" s="63">
        <f>'JDF Fuel GL'!E13</f>
        <v>30610.21</v>
      </c>
      <c r="N38" s="64">
        <f>M38-L38</f>
        <v>0</v>
      </c>
      <c r="O38" s="4"/>
    </row>
    <row r="39" spans="2:15">
      <c r="B39" s="16">
        <v>44870</v>
      </c>
      <c r="C39" s="17"/>
      <c r="D39" s="18">
        <v>4105</v>
      </c>
      <c r="E39" s="18">
        <f>4507-D39</f>
        <v>402</v>
      </c>
      <c r="F39" s="18">
        <v>986.3</v>
      </c>
      <c r="G39" s="18">
        <v>4.1619999999999999</v>
      </c>
      <c r="H39" s="18">
        <v>0</v>
      </c>
      <c r="I39" s="18">
        <v>0</v>
      </c>
      <c r="J39" s="18">
        <f t="shared" si="1"/>
        <v>4507</v>
      </c>
      <c r="K39" s="19"/>
      <c r="L39" s="59"/>
      <c r="M39" s="59"/>
      <c r="N39" s="60"/>
      <c r="O39" s="4"/>
    </row>
    <row r="40" spans="2:15">
      <c r="B40" s="20"/>
      <c r="C40" s="5"/>
      <c r="D40" s="21">
        <v>3916.51</v>
      </c>
      <c r="E40" s="21">
        <f>4297.46-D40</f>
        <v>380.94999999999982</v>
      </c>
      <c r="F40" s="21">
        <v>866.2</v>
      </c>
      <c r="G40" s="21">
        <v>4.5214999999999996</v>
      </c>
      <c r="H40" s="21">
        <v>0</v>
      </c>
      <c r="I40" s="21">
        <v>0</v>
      </c>
      <c r="J40" s="21">
        <f t="shared" si="1"/>
        <v>4297.46</v>
      </c>
      <c r="K40" s="22"/>
      <c r="L40" s="61"/>
      <c r="M40" s="61"/>
      <c r="N40" s="62"/>
      <c r="O40" s="4"/>
    </row>
    <row r="41" spans="2:15">
      <c r="B41" s="20"/>
      <c r="C41" s="5"/>
      <c r="D41" s="21">
        <v>5172.63</v>
      </c>
      <c r="E41" s="21">
        <f>5672.34-D41</f>
        <v>499.71000000000004</v>
      </c>
      <c r="F41" s="21">
        <v>1044.8</v>
      </c>
      <c r="G41" s="21">
        <v>4.9508000000000001</v>
      </c>
      <c r="H41" s="21">
        <v>0</v>
      </c>
      <c r="I41" s="21">
        <v>0</v>
      </c>
      <c r="J41" s="21">
        <f t="shared" si="1"/>
        <v>5672.34</v>
      </c>
      <c r="K41" s="22"/>
      <c r="L41" s="61"/>
      <c r="M41" s="61"/>
      <c r="N41" s="62"/>
      <c r="O41" s="4"/>
    </row>
    <row r="42" spans="2:15">
      <c r="B42" s="20"/>
      <c r="C42" s="5"/>
      <c r="D42" s="21">
        <v>0</v>
      </c>
      <c r="E42" s="21">
        <v>0</v>
      </c>
      <c r="F42" s="21">
        <v>0</v>
      </c>
      <c r="G42" s="21">
        <v>0</v>
      </c>
      <c r="H42" s="21">
        <v>839.56</v>
      </c>
      <c r="I42" s="21">
        <v>0</v>
      </c>
      <c r="J42" s="21">
        <f t="shared" si="1"/>
        <v>839.56</v>
      </c>
      <c r="K42" s="22"/>
      <c r="L42" s="61"/>
      <c r="M42" s="61"/>
      <c r="N42" s="62"/>
      <c r="O42" s="4"/>
    </row>
    <row r="43" spans="2:15">
      <c r="B43" s="20"/>
      <c r="C43" s="5"/>
      <c r="D43" s="21">
        <v>5378.55</v>
      </c>
      <c r="E43" s="21">
        <f>6046.92-D43-69-69</f>
        <v>530.36999999999989</v>
      </c>
      <c r="F43" s="21">
        <v>1046.3</v>
      </c>
      <c r="G43" s="21">
        <v>5.1405000000000003</v>
      </c>
      <c r="H43" s="21">
        <v>0</v>
      </c>
      <c r="I43" s="21">
        <f>69+69</f>
        <v>138</v>
      </c>
      <c r="J43" s="21">
        <f t="shared" si="1"/>
        <v>6046.92</v>
      </c>
      <c r="K43" s="22"/>
      <c r="L43" s="61"/>
      <c r="M43" s="61"/>
      <c r="N43" s="62"/>
      <c r="O43" s="4"/>
    </row>
    <row r="44" spans="2:15">
      <c r="B44" s="20"/>
      <c r="C44" s="5"/>
      <c r="D44" s="21">
        <v>5681.28</v>
      </c>
      <c r="E44" s="21">
        <f>6228.67-D44</f>
        <v>547.39000000000033</v>
      </c>
      <c r="F44" s="21">
        <v>1105.2</v>
      </c>
      <c r="G44" s="21">
        <v>5.1405000000000003</v>
      </c>
      <c r="H44" s="21">
        <v>0</v>
      </c>
      <c r="I44" s="21">
        <v>0</v>
      </c>
      <c r="J44" s="21">
        <f t="shared" si="1"/>
        <v>6228.67</v>
      </c>
      <c r="K44" s="22"/>
      <c r="L44" s="61"/>
      <c r="M44" s="61"/>
      <c r="N44" s="62"/>
      <c r="O44" s="4"/>
    </row>
    <row r="45" spans="2:15" ht="15.75" thickBot="1">
      <c r="B45" s="23"/>
      <c r="C45" s="24"/>
      <c r="D45" s="25">
        <v>4507.05</v>
      </c>
      <c r="E45" s="25">
        <f>4942.52-D45</f>
        <v>435.47000000000025</v>
      </c>
      <c r="F45" s="25">
        <v>912.2</v>
      </c>
      <c r="G45" s="25">
        <v>4.9409000000000001</v>
      </c>
      <c r="H45" s="25">
        <v>0</v>
      </c>
      <c r="I45" s="25">
        <v>0</v>
      </c>
      <c r="J45" s="25">
        <f t="shared" si="1"/>
        <v>4942.5200000000004</v>
      </c>
      <c r="K45" s="26"/>
      <c r="L45" s="63">
        <f>SUM(J39:J45)</f>
        <v>32534.469999999998</v>
      </c>
      <c r="M45" s="63">
        <f>'JDF Fuel GL'!E14</f>
        <v>32534.47</v>
      </c>
      <c r="N45" s="64">
        <f>M45-L45</f>
        <v>0</v>
      </c>
      <c r="O45" s="4"/>
    </row>
    <row r="46" spans="2:15">
      <c r="B46" s="20">
        <v>44905</v>
      </c>
      <c r="C46" s="5"/>
      <c r="D46" s="21">
        <v>4336.08</v>
      </c>
      <c r="E46" s="21">
        <f>4755.67-D46</f>
        <v>419.59000000000015</v>
      </c>
      <c r="F46" s="21">
        <v>895.7</v>
      </c>
      <c r="G46" s="21">
        <v>4.8410000000000002</v>
      </c>
      <c r="H46" s="21">
        <v>0</v>
      </c>
      <c r="I46" s="21">
        <v>0</v>
      </c>
      <c r="J46" s="11">
        <f t="shared" si="1"/>
        <v>4755.67</v>
      </c>
      <c r="K46" s="22"/>
      <c r="L46" s="61"/>
      <c r="M46" s="61"/>
      <c r="N46" s="65"/>
      <c r="O46" s="4"/>
    </row>
    <row r="47" spans="2:15">
      <c r="B47" s="20"/>
      <c r="C47" s="5"/>
      <c r="D47" s="21">
        <v>4830.71</v>
      </c>
      <c r="E47" s="21">
        <f>5298.88-D47</f>
        <v>468.17000000000007</v>
      </c>
      <c r="F47" s="21">
        <v>1018.9</v>
      </c>
      <c r="G47" s="21">
        <v>4.7411000000000003</v>
      </c>
      <c r="H47" s="21">
        <v>0</v>
      </c>
      <c r="I47" s="21">
        <v>0</v>
      </c>
      <c r="J47" s="11">
        <f t="shared" si="1"/>
        <v>5298.88</v>
      </c>
      <c r="K47" s="22"/>
      <c r="L47" s="61"/>
      <c r="M47" s="61"/>
      <c r="N47" s="66"/>
      <c r="O47" s="4"/>
    </row>
    <row r="48" spans="2:15">
      <c r="B48" s="20"/>
      <c r="C48" s="5"/>
      <c r="D48" s="21">
        <v>3524.57</v>
      </c>
      <c r="E48" s="21">
        <f>3866.15-D48</f>
        <v>341.57999999999993</v>
      </c>
      <c r="F48" s="21">
        <v>743.4</v>
      </c>
      <c r="G48" s="21">
        <v>4.7411000000000003</v>
      </c>
      <c r="H48" s="21">
        <v>0</v>
      </c>
      <c r="I48" s="21">
        <v>0</v>
      </c>
      <c r="J48" s="11">
        <f t="shared" si="1"/>
        <v>3866.15</v>
      </c>
      <c r="K48" s="22"/>
      <c r="L48" s="61"/>
      <c r="M48" s="61"/>
      <c r="N48" s="66"/>
      <c r="O48" s="4"/>
    </row>
    <row r="49" spans="2:15">
      <c r="B49" s="20"/>
      <c r="C49" s="5"/>
      <c r="D49" s="11">
        <v>5392.97</v>
      </c>
      <c r="E49" s="11">
        <f>5914.49-D49</f>
        <v>521.51999999999953</v>
      </c>
      <c r="F49" s="11">
        <v>1104.9000000000001</v>
      </c>
      <c r="G49" s="11">
        <v>4.8810000000000002</v>
      </c>
      <c r="H49" s="11">
        <v>0</v>
      </c>
      <c r="I49" s="11">
        <v>0</v>
      </c>
      <c r="J49" s="11">
        <f t="shared" si="1"/>
        <v>5914.49</v>
      </c>
      <c r="K49" s="4"/>
      <c r="L49" s="57"/>
      <c r="N49" s="66"/>
      <c r="O49" s="4"/>
    </row>
    <row r="50" spans="2:15">
      <c r="B50" s="20"/>
      <c r="C50" s="5"/>
      <c r="D50" s="11">
        <v>5688.57</v>
      </c>
      <c r="E50" s="11">
        <f>6239.29-D50</f>
        <v>550.72000000000025</v>
      </c>
      <c r="F50" s="11">
        <v>1182.4000000000001</v>
      </c>
      <c r="G50" s="11">
        <v>4.8109999999999999</v>
      </c>
      <c r="H50" s="11">
        <v>0</v>
      </c>
      <c r="I50" s="11">
        <v>0</v>
      </c>
      <c r="J50" s="11">
        <f t="shared" si="1"/>
        <v>6239.29</v>
      </c>
      <c r="K50" s="4"/>
      <c r="L50" s="57"/>
      <c r="N50" s="66"/>
      <c r="O50" s="4"/>
    </row>
    <row r="51" spans="2:15">
      <c r="B51" s="20"/>
      <c r="C51" s="5"/>
      <c r="D51" s="11">
        <v>3311.45</v>
      </c>
      <c r="E51" s="11">
        <f>3632.03-D51</f>
        <v>320.58000000000038</v>
      </c>
      <c r="F51" s="11">
        <v>688.3</v>
      </c>
      <c r="G51" s="11">
        <v>4.8110999999999997</v>
      </c>
      <c r="H51" s="11">
        <v>0</v>
      </c>
      <c r="I51" s="11">
        <v>0</v>
      </c>
      <c r="J51" s="11">
        <f t="shared" si="1"/>
        <v>3632.03</v>
      </c>
      <c r="K51" s="4"/>
      <c r="L51" s="57"/>
      <c r="N51" s="66"/>
      <c r="O51" s="4"/>
    </row>
    <row r="52" spans="2:15" ht="15.75" thickBot="1">
      <c r="B52" s="20"/>
      <c r="C52" s="5"/>
      <c r="D52" s="11">
        <v>2957.79</v>
      </c>
      <c r="E52" s="11">
        <f>3760.76-D52-H52-I52</f>
        <v>328.01000000000028</v>
      </c>
      <c r="F52" s="11">
        <v>610.79999999999995</v>
      </c>
      <c r="G52" s="11">
        <v>4.8425000000000002</v>
      </c>
      <c r="H52" s="11">
        <f>84.24+252.72</f>
        <v>336.96</v>
      </c>
      <c r="I52" s="11">
        <v>138</v>
      </c>
      <c r="J52" s="11">
        <f t="shared" si="1"/>
        <v>3760.76</v>
      </c>
      <c r="K52" s="4"/>
      <c r="L52" s="57">
        <f>SUM(J46:J52)</f>
        <v>33467.269999999997</v>
      </c>
      <c r="M52" s="57">
        <f>'JDF Fuel GL'!E15</f>
        <v>33467.269999999997</v>
      </c>
      <c r="N52" s="66"/>
      <c r="O52" s="4"/>
    </row>
    <row r="53" spans="2:15" s="33" customFormat="1">
      <c r="B53" s="16">
        <v>44935</v>
      </c>
      <c r="C53" s="17"/>
      <c r="D53" s="18">
        <v>5330.78</v>
      </c>
      <c r="E53" s="18">
        <f>5847.33-D53</f>
        <v>516.55000000000018</v>
      </c>
      <c r="F53" s="18">
        <v>1122</v>
      </c>
      <c r="G53" s="18">
        <v>4.7511000000000001</v>
      </c>
      <c r="H53" s="18">
        <v>0</v>
      </c>
      <c r="I53" s="18">
        <v>0</v>
      </c>
      <c r="J53" s="18">
        <f t="shared" si="1"/>
        <v>5847.33</v>
      </c>
      <c r="K53" s="47"/>
      <c r="L53" s="67"/>
      <c r="M53" s="67"/>
      <c r="N53" s="65"/>
      <c r="O53" s="36"/>
    </row>
    <row r="54" spans="2:15" s="33" customFormat="1">
      <c r="B54" s="20"/>
      <c r="C54" s="5"/>
      <c r="D54" s="21"/>
      <c r="E54" s="21"/>
      <c r="F54" s="21"/>
      <c r="G54" s="21"/>
      <c r="H54" s="21">
        <v>839.56</v>
      </c>
      <c r="I54" s="21"/>
      <c r="J54" s="21">
        <f t="shared" si="1"/>
        <v>839.56</v>
      </c>
      <c r="K54" s="48"/>
      <c r="L54" s="68"/>
      <c r="M54" s="68"/>
      <c r="N54" s="66"/>
      <c r="O54" s="36"/>
    </row>
    <row r="55" spans="2:15" s="33" customFormat="1">
      <c r="B55" s="20"/>
      <c r="C55" s="5"/>
      <c r="D55" s="21">
        <v>5068.04</v>
      </c>
      <c r="E55" s="21">
        <f>5560.74-D55</f>
        <v>492.69999999999982</v>
      </c>
      <c r="F55" s="21">
        <v>1113.5</v>
      </c>
      <c r="G55" s="21">
        <v>4.5514999999999999</v>
      </c>
      <c r="H55" s="21">
        <v>0</v>
      </c>
      <c r="I55" s="21">
        <v>0</v>
      </c>
      <c r="J55" s="21">
        <f t="shared" si="1"/>
        <v>5560.74</v>
      </c>
      <c r="K55" s="48"/>
      <c r="L55" s="68"/>
      <c r="M55" s="68"/>
      <c r="N55" s="66"/>
      <c r="O55" s="36"/>
    </row>
    <row r="56" spans="2:15" s="33" customFormat="1">
      <c r="B56" s="20"/>
      <c r="C56" s="5"/>
      <c r="D56" s="21">
        <v>5617.64</v>
      </c>
      <c r="E56" s="21">
        <f>6165.75-D56</f>
        <v>548.10999999999967</v>
      </c>
      <c r="F56" s="21">
        <v>1290.9000000000001</v>
      </c>
      <c r="G56" s="21">
        <v>4.3514999999999997</v>
      </c>
      <c r="H56" s="21">
        <v>0</v>
      </c>
      <c r="I56" s="21">
        <v>0</v>
      </c>
      <c r="J56" s="21">
        <f t="shared" si="1"/>
        <v>6165.75</v>
      </c>
      <c r="K56" s="48"/>
      <c r="L56" s="68"/>
      <c r="M56" s="68"/>
      <c r="N56" s="66"/>
      <c r="O56" s="36"/>
    </row>
    <row r="57" spans="2:15" s="33" customFormat="1">
      <c r="B57" s="20"/>
      <c r="C57" s="5"/>
      <c r="D57" s="21">
        <v>4486.21</v>
      </c>
      <c r="E57" s="21">
        <f>4923.91-D57</f>
        <v>437.69999999999982</v>
      </c>
      <c r="F57" s="21">
        <v>1030.9000000000001</v>
      </c>
      <c r="G57" s="21">
        <v>4.3517000000000001</v>
      </c>
      <c r="H57" s="21">
        <v>0</v>
      </c>
      <c r="I57" s="21">
        <v>0</v>
      </c>
      <c r="J57" s="21">
        <f t="shared" si="1"/>
        <v>4923.91</v>
      </c>
      <c r="K57" s="48"/>
      <c r="L57" s="68"/>
      <c r="M57" s="68"/>
      <c r="N57" s="66"/>
      <c r="O57" s="36"/>
    </row>
    <row r="58" spans="2:15" s="33" customFormat="1">
      <c r="B58" s="20"/>
      <c r="C58" s="5"/>
      <c r="D58" s="21">
        <v>3740.74</v>
      </c>
      <c r="E58" s="21">
        <f>4105.72-D58</f>
        <v>364.98000000000047</v>
      </c>
      <c r="F58" s="21">
        <v>859.6</v>
      </c>
      <c r="G58" s="21">
        <v>4.3517000000000001</v>
      </c>
      <c r="H58" s="21">
        <v>0</v>
      </c>
      <c r="I58" s="21">
        <v>0</v>
      </c>
      <c r="J58" s="21">
        <f t="shared" si="1"/>
        <v>4105.72</v>
      </c>
      <c r="K58" s="48"/>
      <c r="L58" s="68"/>
      <c r="M58" s="68"/>
      <c r="N58" s="66"/>
      <c r="O58" s="36"/>
    </row>
    <row r="59" spans="2:15" s="33" customFormat="1">
      <c r="B59" s="20"/>
      <c r="C59" s="5"/>
      <c r="D59" s="21"/>
      <c r="E59" s="21"/>
      <c r="F59" s="21"/>
      <c r="G59" s="21"/>
      <c r="H59" s="21">
        <v>939.55</v>
      </c>
      <c r="I59" s="21"/>
      <c r="J59" s="21">
        <f t="shared" si="1"/>
        <v>939.55</v>
      </c>
      <c r="K59" s="48"/>
      <c r="L59" s="68"/>
      <c r="M59" s="68"/>
      <c r="N59" s="66"/>
      <c r="O59" s="36"/>
    </row>
    <row r="60" spans="2:15" s="33" customFormat="1" ht="15.75" thickBot="1">
      <c r="B60" s="23"/>
      <c r="C60" s="24"/>
      <c r="D60" s="25">
        <v>3449.17</v>
      </c>
      <c r="E60" s="25">
        <f>3785.71-D60</f>
        <v>336.53999999999996</v>
      </c>
      <c r="F60" s="25">
        <v>792.6</v>
      </c>
      <c r="G60" s="25">
        <v>4.3517000000000001</v>
      </c>
      <c r="H60" s="25">
        <v>0</v>
      </c>
      <c r="I60" s="25">
        <v>0</v>
      </c>
      <c r="J60" s="25">
        <f t="shared" si="1"/>
        <v>3785.71</v>
      </c>
      <c r="K60" s="49"/>
      <c r="L60" s="69">
        <f>SUM(J53:J60)</f>
        <v>32168.269999999997</v>
      </c>
      <c r="M60" s="69">
        <f>'JDF Fuel GL'!E19</f>
        <v>32168.27</v>
      </c>
      <c r="N60" s="70">
        <f>M60-L60</f>
        <v>0</v>
      </c>
      <c r="O60" s="36"/>
    </row>
    <row r="61" spans="2:15" s="33" customFormat="1">
      <c r="B61" s="16">
        <v>44964</v>
      </c>
      <c r="C61" s="17"/>
      <c r="D61" s="18">
        <v>3541.33</v>
      </c>
      <c r="E61" s="18">
        <f>3890.32-D61</f>
        <v>348.99000000000024</v>
      </c>
      <c r="F61" s="18">
        <v>814.5</v>
      </c>
      <c r="G61" s="18">
        <v>4.3479000000000001</v>
      </c>
      <c r="H61" s="18">
        <v>0</v>
      </c>
      <c r="I61" s="18">
        <v>0</v>
      </c>
      <c r="J61" s="18">
        <f t="shared" si="1"/>
        <v>3890.32</v>
      </c>
      <c r="K61" s="47"/>
      <c r="L61" s="67"/>
      <c r="M61" s="67"/>
      <c r="N61" s="65"/>
      <c r="O61" s="36"/>
    </row>
    <row r="62" spans="2:15" s="33" customFormat="1">
      <c r="B62" s="20"/>
      <c r="C62" s="5"/>
      <c r="D62" s="21"/>
      <c r="E62" s="21"/>
      <c r="F62" s="21"/>
      <c r="G62" s="21"/>
      <c r="H62" s="21"/>
      <c r="I62" s="21">
        <v>303.62</v>
      </c>
      <c r="J62" s="21">
        <f t="shared" si="1"/>
        <v>303.62</v>
      </c>
      <c r="K62" s="48"/>
      <c r="L62" s="68"/>
      <c r="M62" s="68"/>
      <c r="N62" s="66"/>
      <c r="O62" s="36"/>
    </row>
    <row r="63" spans="2:15" s="33" customFormat="1">
      <c r="B63" s="20"/>
      <c r="C63" s="5"/>
      <c r="D63" s="21">
        <v>4275.26</v>
      </c>
      <c r="E63" s="21">
        <f>4696.56-D63</f>
        <v>421.30000000000018</v>
      </c>
      <c r="F63" s="21">
        <v>983.3</v>
      </c>
      <c r="G63" s="21">
        <v>4.3479000000000001</v>
      </c>
      <c r="H63" s="21"/>
      <c r="I63" s="21"/>
      <c r="J63" s="21">
        <f t="shared" si="1"/>
        <v>4696.5600000000004</v>
      </c>
      <c r="K63" s="48"/>
      <c r="L63" s="68"/>
      <c r="M63" s="68"/>
      <c r="N63" s="66"/>
      <c r="O63" s="36"/>
    </row>
    <row r="64" spans="2:15" s="33" customFormat="1">
      <c r="B64" s="20"/>
      <c r="C64" s="5"/>
      <c r="D64" s="21">
        <v>4064.79</v>
      </c>
      <c r="E64" s="21">
        <f>4465.38-D64</f>
        <v>400.59000000000015</v>
      </c>
      <c r="F64" s="21">
        <v>934.9</v>
      </c>
      <c r="G64" s="21">
        <v>4.3478000000000003</v>
      </c>
      <c r="H64" s="29">
        <v>0</v>
      </c>
      <c r="I64" s="21">
        <v>0</v>
      </c>
      <c r="J64" s="21">
        <f t="shared" si="1"/>
        <v>4465.38</v>
      </c>
      <c r="K64" s="48"/>
      <c r="L64" s="68"/>
      <c r="M64" s="68"/>
      <c r="N64" s="66"/>
      <c r="O64" s="36"/>
    </row>
    <row r="65" spans="2:15" s="33" customFormat="1">
      <c r="B65" s="20"/>
      <c r="C65" s="5"/>
      <c r="D65" s="21"/>
      <c r="E65" s="21"/>
      <c r="F65" s="21"/>
      <c r="G65" s="21"/>
      <c r="H65" s="29">
        <v>549.98</v>
      </c>
      <c r="I65" s="21"/>
      <c r="J65" s="21">
        <f t="shared" si="1"/>
        <v>549.98</v>
      </c>
      <c r="K65" s="48"/>
      <c r="L65" s="68"/>
      <c r="M65" s="68"/>
      <c r="N65" s="66"/>
      <c r="O65" s="36"/>
    </row>
    <row r="66" spans="2:15" s="33" customFormat="1">
      <c r="B66" s="20"/>
      <c r="C66" s="5"/>
      <c r="D66" s="21">
        <v>5308.72</v>
      </c>
      <c r="E66" s="21">
        <f>5831.89-D66</f>
        <v>523.17000000000007</v>
      </c>
      <c r="F66" s="21">
        <v>1221</v>
      </c>
      <c r="G66" s="21">
        <v>4.3478000000000003</v>
      </c>
      <c r="H66" s="29">
        <v>0</v>
      </c>
      <c r="I66" s="21">
        <v>0</v>
      </c>
      <c r="J66" s="21">
        <f t="shared" si="1"/>
        <v>5831.89</v>
      </c>
      <c r="K66" s="48"/>
      <c r="L66" s="68"/>
      <c r="M66" s="68"/>
      <c r="N66" s="66"/>
      <c r="O66" s="36"/>
    </row>
    <row r="67" spans="2:15" s="33" customFormat="1" ht="15.75" thickBot="1">
      <c r="B67" s="23"/>
      <c r="C67" s="24"/>
      <c r="D67" s="25">
        <v>2354.36</v>
      </c>
      <c r="E67" s="25">
        <f>2586.38-D67</f>
        <v>232.01999999999998</v>
      </c>
      <c r="F67" s="25">
        <v>541.5</v>
      </c>
      <c r="G67" s="25">
        <v>4.3478000000000003</v>
      </c>
      <c r="H67" s="27">
        <v>0</v>
      </c>
      <c r="I67" s="25">
        <v>0</v>
      </c>
      <c r="J67" s="25">
        <f t="shared" si="1"/>
        <v>2586.38</v>
      </c>
      <c r="K67" s="49"/>
      <c r="L67" s="69">
        <f>SUM(J61:J67)</f>
        <v>22324.13</v>
      </c>
      <c r="M67" s="69">
        <f>'JDF Fuel GL'!E20</f>
        <v>22324.13</v>
      </c>
      <c r="N67" s="70">
        <f>M67-L67</f>
        <v>0</v>
      </c>
      <c r="O67" s="36"/>
    </row>
    <row r="68" spans="2:15" s="33" customFormat="1">
      <c r="B68" s="16">
        <v>44992</v>
      </c>
      <c r="C68" s="17"/>
      <c r="D68" s="18">
        <v>4788.7</v>
      </c>
      <c r="E68" s="18">
        <f>5260.64-D68</f>
        <v>471.94000000000051</v>
      </c>
      <c r="F68" s="18">
        <v>1101.4000000000001</v>
      </c>
      <c r="G68" s="18">
        <v>4.3478000000000003</v>
      </c>
      <c r="H68" s="28">
        <v>0</v>
      </c>
      <c r="I68" s="18">
        <v>0</v>
      </c>
      <c r="J68" s="18">
        <f t="shared" si="1"/>
        <v>5260.64</v>
      </c>
      <c r="K68" s="47"/>
      <c r="L68" s="67"/>
      <c r="M68" s="67"/>
      <c r="N68" s="65"/>
      <c r="O68" s="36"/>
    </row>
    <row r="69" spans="2:15" s="33" customFormat="1">
      <c r="B69" s="20"/>
      <c r="C69" s="5"/>
      <c r="D69" s="21"/>
      <c r="E69" s="21"/>
      <c r="F69" s="21"/>
      <c r="G69" s="21"/>
      <c r="H69" s="21">
        <v>839.56</v>
      </c>
      <c r="I69" s="21"/>
      <c r="J69" s="21">
        <f t="shared" si="1"/>
        <v>839.56</v>
      </c>
      <c r="K69" s="48"/>
      <c r="L69" s="68"/>
      <c r="M69" s="68"/>
      <c r="N69" s="66"/>
      <c r="O69" s="36"/>
    </row>
    <row r="70" spans="2:15" s="33" customFormat="1">
      <c r="B70" s="20"/>
      <c r="C70" s="5"/>
      <c r="D70" s="21">
        <v>4317.84</v>
      </c>
      <c r="E70" s="21">
        <f>4743.36-D70</f>
        <v>425.51999999999953</v>
      </c>
      <c r="F70" s="21">
        <v>993.1</v>
      </c>
      <c r="G70" s="21">
        <v>4.3478000000000003</v>
      </c>
      <c r="H70" s="21">
        <v>0</v>
      </c>
      <c r="I70" s="21">
        <v>0</v>
      </c>
      <c r="J70" s="21">
        <f t="shared" si="1"/>
        <v>4743.3599999999997</v>
      </c>
      <c r="K70" s="48"/>
      <c r="L70" s="68"/>
      <c r="M70" s="68"/>
      <c r="N70" s="66"/>
      <c r="O70" s="36"/>
    </row>
    <row r="71" spans="2:15" s="33" customFormat="1">
      <c r="B71" s="20"/>
      <c r="C71" s="5"/>
      <c r="D71" s="21"/>
      <c r="E71" s="21"/>
      <c r="F71" s="21"/>
      <c r="G71" s="21"/>
      <c r="H71" s="21"/>
      <c r="I71" s="21">
        <v>116.97</v>
      </c>
      <c r="J71" s="21">
        <f t="shared" si="1"/>
        <v>116.97</v>
      </c>
      <c r="K71" s="48"/>
      <c r="L71" s="68"/>
      <c r="M71" s="68"/>
      <c r="N71" s="66"/>
      <c r="O71" s="36"/>
    </row>
    <row r="72" spans="2:15" s="33" customFormat="1">
      <c r="B72" s="20"/>
      <c r="C72" s="5"/>
      <c r="D72" s="21">
        <v>4949.32</v>
      </c>
      <c r="E72" s="21">
        <f>5803.69-D72-336.96</f>
        <v>517.40999999999985</v>
      </c>
      <c r="F72" s="21">
        <v>1138.3</v>
      </c>
      <c r="G72" s="21">
        <v>4.3479999999999999</v>
      </c>
      <c r="H72" s="21">
        <v>336.96</v>
      </c>
      <c r="I72" s="21">
        <v>0</v>
      </c>
      <c r="J72" s="21">
        <f t="shared" si="1"/>
        <v>5803.69</v>
      </c>
      <c r="K72" s="48"/>
      <c r="L72" s="68"/>
      <c r="M72" s="68"/>
      <c r="N72" s="66"/>
      <c r="O72" s="36"/>
    </row>
    <row r="73" spans="2:15" s="33" customFormat="1" ht="15.75" thickBot="1">
      <c r="B73" s="23"/>
      <c r="C73" s="24"/>
      <c r="D73" s="25">
        <v>3882.9</v>
      </c>
      <c r="E73" s="25">
        <f>4269.57-D73</f>
        <v>386.66999999999962</v>
      </c>
      <c r="F73" s="25">
        <v>996</v>
      </c>
      <c r="G73" s="25">
        <v>3.8984999999999999</v>
      </c>
      <c r="H73" s="25">
        <v>0</v>
      </c>
      <c r="I73" s="25">
        <v>0</v>
      </c>
      <c r="J73" s="25">
        <f t="shared" si="1"/>
        <v>4269.57</v>
      </c>
      <c r="K73" s="49"/>
      <c r="L73" s="69">
        <f>SUM(J68:J73)</f>
        <v>21033.79</v>
      </c>
      <c r="M73" s="69">
        <f>'JDF Fuel GL'!E21</f>
        <v>21033.79</v>
      </c>
      <c r="N73" s="70">
        <f>M73-L73</f>
        <v>0</v>
      </c>
      <c r="O73" s="36"/>
    </row>
    <row r="74" spans="2:15" s="33" customFormat="1">
      <c r="B74" s="16">
        <v>45020</v>
      </c>
      <c r="C74" s="17"/>
      <c r="D74" s="18">
        <v>4167.51</v>
      </c>
      <c r="E74" s="18">
        <f>4582.5-D74</f>
        <v>414.98999999999978</v>
      </c>
      <c r="F74" s="18">
        <v>1069</v>
      </c>
      <c r="G74" s="18">
        <v>3.8984999999999999</v>
      </c>
      <c r="H74" s="18">
        <v>0</v>
      </c>
      <c r="I74" s="18">
        <v>0</v>
      </c>
      <c r="J74" s="18">
        <f t="shared" si="1"/>
        <v>4582.5</v>
      </c>
      <c r="K74" s="47"/>
      <c r="L74" s="67"/>
      <c r="M74" s="67"/>
      <c r="N74" s="65"/>
      <c r="O74" s="36"/>
    </row>
    <row r="75" spans="2:15" s="33" customFormat="1">
      <c r="B75" s="20"/>
      <c r="C75" s="5"/>
      <c r="D75" s="21"/>
      <c r="E75" s="21"/>
      <c r="F75" s="21"/>
      <c r="G75" s="21"/>
      <c r="H75" s="21"/>
      <c r="I75" s="21">
        <v>76.05</v>
      </c>
      <c r="J75" s="21">
        <f t="shared" si="1"/>
        <v>76.05</v>
      </c>
      <c r="K75" s="48"/>
      <c r="L75" s="68"/>
      <c r="M75" s="68"/>
      <c r="N75" s="66"/>
      <c r="O75" s="36"/>
    </row>
    <row r="76" spans="2:15" s="33" customFormat="1">
      <c r="B76" s="20"/>
      <c r="C76" s="5"/>
      <c r="D76" s="21">
        <v>2403.04</v>
      </c>
      <c r="E76" s="21">
        <f>2642.34-D76</f>
        <v>239.30000000000018</v>
      </c>
      <c r="F76" s="21">
        <v>616.4</v>
      </c>
      <c r="G76" s="21">
        <v>3.8984999999999999</v>
      </c>
      <c r="H76" s="21">
        <v>0</v>
      </c>
      <c r="I76" s="21">
        <v>0</v>
      </c>
      <c r="J76" s="21">
        <f t="shared" si="1"/>
        <v>2642.34</v>
      </c>
      <c r="K76" s="48"/>
      <c r="L76" s="68"/>
      <c r="M76" s="68"/>
      <c r="N76" s="66"/>
      <c r="O76" s="36"/>
    </row>
    <row r="77" spans="2:15" s="33" customFormat="1">
      <c r="B77" s="20"/>
      <c r="C77" s="5"/>
      <c r="D77" s="21"/>
      <c r="E77" s="21"/>
      <c r="F77" s="21"/>
      <c r="G77" s="21"/>
      <c r="H77" s="21">
        <v>308.02999999999997</v>
      </c>
      <c r="I77" s="21"/>
      <c r="J77" s="21">
        <f t="shared" si="1"/>
        <v>308.02999999999997</v>
      </c>
      <c r="K77" s="48"/>
      <c r="L77" s="68"/>
      <c r="M77" s="68"/>
      <c r="N77" s="66"/>
      <c r="O77" s="36"/>
    </row>
    <row r="78" spans="2:15" s="33" customFormat="1" ht="15.75" thickBot="1">
      <c r="B78" s="32"/>
      <c r="C78" s="24"/>
      <c r="D78" s="25">
        <v>3840.03</v>
      </c>
      <c r="E78" s="25">
        <f>4222.42-D78</f>
        <v>382.38999999999987</v>
      </c>
      <c r="F78" s="25">
        <v>985</v>
      </c>
      <c r="G78" s="25">
        <v>3.8984999999999999</v>
      </c>
      <c r="H78" s="25">
        <v>0</v>
      </c>
      <c r="I78" s="25">
        <v>0</v>
      </c>
      <c r="J78" s="25">
        <f t="shared" si="1"/>
        <v>4222.42</v>
      </c>
      <c r="K78" s="49"/>
      <c r="L78" s="69">
        <f>SUM(J74:J78)</f>
        <v>11831.34</v>
      </c>
      <c r="M78" s="69">
        <f>'JDF Fuel GL'!E22</f>
        <v>11831.34</v>
      </c>
      <c r="N78" s="70">
        <f>M78-L78</f>
        <v>0</v>
      </c>
    </row>
    <row r="79" spans="2:15" s="33" customFormat="1">
      <c r="B79" s="16">
        <v>45068</v>
      </c>
      <c r="C79" s="5"/>
      <c r="D79" s="21">
        <v>3594.43</v>
      </c>
      <c r="E79" s="21">
        <f>3952.36-D79</f>
        <v>357.93000000000029</v>
      </c>
      <c r="F79" s="21">
        <v>922</v>
      </c>
      <c r="G79" s="21">
        <v>3.8984999999999999</v>
      </c>
      <c r="H79" s="21">
        <v>0</v>
      </c>
      <c r="I79" s="21">
        <v>0</v>
      </c>
      <c r="J79" s="21">
        <f t="shared" si="1"/>
        <v>3952.36</v>
      </c>
      <c r="K79" s="48"/>
      <c r="L79" s="68"/>
      <c r="M79" s="68"/>
      <c r="N79" s="66"/>
      <c r="O79" s="36"/>
    </row>
    <row r="80" spans="2:15" s="33" customFormat="1">
      <c r="B80" s="20"/>
      <c r="C80" s="5"/>
      <c r="D80" s="21">
        <v>2292.3200000000002</v>
      </c>
      <c r="E80" s="21">
        <f>2520.59-D80</f>
        <v>228.26999999999998</v>
      </c>
      <c r="F80" s="21">
        <v>588</v>
      </c>
      <c r="G80" s="21">
        <v>3.8984999999999999</v>
      </c>
      <c r="H80" s="21"/>
      <c r="I80" s="21"/>
      <c r="J80" s="21">
        <f t="shared" si="1"/>
        <v>2520.59</v>
      </c>
      <c r="K80" s="48"/>
      <c r="L80" s="68"/>
      <c r="M80" s="68"/>
      <c r="N80" s="66"/>
      <c r="O80" s="36"/>
    </row>
    <row r="81" spans="2:15" s="33" customFormat="1" ht="15.75" thickBot="1">
      <c r="B81" s="20"/>
      <c r="C81" s="5"/>
      <c r="D81" s="21">
        <v>3914.83</v>
      </c>
      <c r="E81" s="21">
        <f>4306.2-D81</f>
        <v>391.36999999999989</v>
      </c>
      <c r="F81" s="21">
        <v>1044.3</v>
      </c>
      <c r="G81" s="21">
        <v>3.7488000000000001</v>
      </c>
      <c r="H81" s="21"/>
      <c r="I81" s="21"/>
      <c r="J81" s="21">
        <f t="shared" si="1"/>
        <v>4306.2</v>
      </c>
      <c r="K81" s="48"/>
      <c r="L81" s="68">
        <f>SUM(J79:J81)</f>
        <v>10779.150000000001</v>
      </c>
      <c r="M81" s="68">
        <f>'JDF Fuel GL'!E23</f>
        <v>10779.15</v>
      </c>
      <c r="N81" s="66">
        <f>M81-L81</f>
        <v>0</v>
      </c>
      <c r="O81" s="36"/>
    </row>
    <row r="82" spans="2:15" s="33" customFormat="1">
      <c r="B82" s="55">
        <v>45082</v>
      </c>
      <c r="C82" s="51"/>
      <c r="D82" s="52">
        <v>4149.8500000000004</v>
      </c>
      <c r="E82" s="52">
        <f>4564.74-D82</f>
        <v>414.88999999999942</v>
      </c>
      <c r="F82" s="52">
        <v>1107</v>
      </c>
      <c r="G82" s="52">
        <v>3.7486999999999999</v>
      </c>
      <c r="H82" s="52"/>
      <c r="I82" s="52"/>
      <c r="J82" s="52">
        <f t="shared" si="1"/>
        <v>4564.74</v>
      </c>
      <c r="K82" s="53"/>
      <c r="L82" s="71"/>
      <c r="M82" s="71"/>
      <c r="N82" s="72"/>
      <c r="O82" s="36"/>
    </row>
    <row r="83" spans="2:15" s="33" customFormat="1" ht="15.75" thickBot="1">
      <c r="B83" s="56"/>
      <c r="C83" s="5"/>
      <c r="D83" s="21">
        <v>3793.72</v>
      </c>
      <c r="E83" s="21">
        <v>379.2800000000002</v>
      </c>
      <c r="F83" s="21">
        <v>1012</v>
      </c>
      <c r="G83" s="21">
        <v>3.7486999999999999</v>
      </c>
      <c r="H83" s="21"/>
      <c r="I83" s="21"/>
      <c r="J83" s="21">
        <f t="shared" si="1"/>
        <v>4173</v>
      </c>
      <c r="K83" s="48"/>
      <c r="L83" s="68">
        <f>SUM(J82:J83)</f>
        <v>8737.74</v>
      </c>
      <c r="M83" s="68">
        <f>'JDF Fuel GL'!E24</f>
        <v>8737.74</v>
      </c>
      <c r="N83" s="73">
        <f>M83-L83</f>
        <v>0</v>
      </c>
      <c r="O83" s="36"/>
    </row>
    <row r="84" spans="2:15" s="33" customFormat="1">
      <c r="B84" s="55">
        <v>45119</v>
      </c>
      <c r="C84" s="51"/>
      <c r="D84" s="52">
        <v>3966.16</v>
      </c>
      <c r="E84" s="52">
        <f>4512.83-D84-H84</f>
        <v>408.67000000000007</v>
      </c>
      <c r="F84" s="52">
        <v>1058</v>
      </c>
      <c r="G84" s="52">
        <v>3.7486999999999999</v>
      </c>
      <c r="H84" s="52">
        <v>138</v>
      </c>
      <c r="I84" s="52"/>
      <c r="J84" s="52">
        <f t="shared" si="1"/>
        <v>4512.83</v>
      </c>
      <c r="K84" s="53"/>
      <c r="L84" s="71"/>
      <c r="M84" s="71"/>
      <c r="N84" s="72"/>
      <c r="O84" s="36"/>
    </row>
    <row r="85" spans="2:15" s="33" customFormat="1">
      <c r="B85" s="56"/>
      <c r="C85" s="5"/>
      <c r="D85" s="21"/>
      <c r="E85" s="21"/>
      <c r="F85" s="21"/>
      <c r="G85" s="21"/>
      <c r="H85" s="21">
        <v>430.01</v>
      </c>
      <c r="I85" s="21"/>
      <c r="J85" s="21">
        <f t="shared" si="1"/>
        <v>430.01</v>
      </c>
      <c r="K85" s="48"/>
      <c r="L85" s="68"/>
      <c r="M85" s="68"/>
      <c r="N85" s="73"/>
      <c r="O85" s="36"/>
    </row>
    <row r="86" spans="2:15" s="33" customFormat="1">
      <c r="B86" s="56"/>
      <c r="C86" s="5"/>
      <c r="D86" s="21">
        <v>4528.43</v>
      </c>
      <c r="E86" s="21">
        <f>5480.3-D86-H86</f>
        <v>493.11999999999989</v>
      </c>
      <c r="F86" s="21">
        <v>1208</v>
      </c>
      <c r="G86" s="21">
        <v>3.7486999999999999</v>
      </c>
      <c r="H86" s="21">
        <v>458.75</v>
      </c>
      <c r="I86" s="21"/>
      <c r="J86" s="21">
        <f t="shared" si="1"/>
        <v>5480.3</v>
      </c>
      <c r="K86" s="48"/>
      <c r="L86" s="68"/>
      <c r="M86" s="68"/>
      <c r="N86" s="73"/>
      <c r="O86" s="36"/>
    </row>
    <row r="87" spans="2:15" s="33" customFormat="1">
      <c r="B87" s="56"/>
      <c r="C87" s="5"/>
      <c r="D87" s="21"/>
      <c r="E87" s="21"/>
      <c r="F87" s="21"/>
      <c r="G87" s="21"/>
      <c r="H87" s="21">
        <v>197.74</v>
      </c>
      <c r="I87" s="21"/>
      <c r="J87" s="21">
        <f t="shared" si="1"/>
        <v>197.74</v>
      </c>
      <c r="K87" s="48"/>
      <c r="L87" s="68"/>
      <c r="M87" s="68"/>
      <c r="N87" s="73"/>
      <c r="O87" s="36"/>
    </row>
    <row r="88" spans="2:15" s="33" customFormat="1">
      <c r="B88" s="56"/>
      <c r="C88" s="5"/>
      <c r="D88" s="21">
        <v>4648.43</v>
      </c>
      <c r="E88" s="21">
        <f>5113.16-D88</f>
        <v>464.72999999999956</v>
      </c>
      <c r="F88" s="21">
        <v>1240</v>
      </c>
      <c r="G88" s="21"/>
      <c r="H88" s="21"/>
      <c r="I88" s="21"/>
      <c r="J88" s="21">
        <f t="shared" si="1"/>
        <v>5113.16</v>
      </c>
      <c r="K88" s="48"/>
      <c r="L88" s="68"/>
      <c r="M88" s="68"/>
      <c r="N88" s="73"/>
      <c r="O88" s="36"/>
    </row>
    <row r="89" spans="2:15" s="33" customFormat="1">
      <c r="B89" s="56"/>
      <c r="C89" s="5"/>
      <c r="D89" s="21"/>
      <c r="E89" s="21"/>
      <c r="F89" s="21"/>
      <c r="G89" s="21"/>
      <c r="H89" s="21">
        <v>825.46</v>
      </c>
      <c r="I89" s="21"/>
      <c r="J89" s="21">
        <f t="shared" si="1"/>
        <v>825.46</v>
      </c>
      <c r="K89" s="48"/>
      <c r="L89" s="68"/>
      <c r="M89" s="68"/>
      <c r="N89" s="73"/>
      <c r="O89" s="36"/>
    </row>
    <row r="90" spans="2:15" s="33" customFormat="1" ht="15.75" thickBot="1">
      <c r="B90" s="99"/>
      <c r="C90" s="24"/>
      <c r="D90" s="25">
        <v>3441.87</v>
      </c>
      <c r="E90" s="25">
        <f>4284.02-D90-H90</f>
        <v>383.45000000000056</v>
      </c>
      <c r="F90" s="25">
        <v>892</v>
      </c>
      <c r="G90" s="25">
        <v>3.8586</v>
      </c>
      <c r="H90" s="25">
        <v>458.7</v>
      </c>
      <c r="I90" s="25"/>
      <c r="J90" s="25">
        <f t="shared" si="1"/>
        <v>4284.0200000000004</v>
      </c>
      <c r="K90" s="49"/>
      <c r="L90" s="69">
        <f>SUM(J84:J90)</f>
        <v>20843.52</v>
      </c>
      <c r="M90" s="69">
        <f>'JDF Fuel GL'!E25</f>
        <v>20843.52</v>
      </c>
      <c r="N90" s="98">
        <f>M90-L90</f>
        <v>0</v>
      </c>
      <c r="O90" s="36"/>
    </row>
    <row r="91" spans="2:15">
      <c r="B91" s="15"/>
      <c r="C91" s="5"/>
      <c r="D91" s="11"/>
      <c r="E91" s="11"/>
      <c r="F91" s="11"/>
      <c r="G91" s="11"/>
      <c r="H91" s="11"/>
      <c r="I91" s="11"/>
      <c r="J91" s="11"/>
      <c r="K91" s="4"/>
      <c r="L91" s="61"/>
      <c r="M91" s="61"/>
      <c r="N91" s="61"/>
      <c r="O91" s="4"/>
    </row>
  </sheetData>
  <mergeCells count="7">
    <mergeCell ref="B8:C8"/>
    <mergeCell ref="F8:K8"/>
    <mergeCell ref="B4:N4"/>
    <mergeCell ref="B5:N5"/>
    <mergeCell ref="B1:N1"/>
    <mergeCell ref="B2:N2"/>
    <mergeCell ref="B3:N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0434-B8CF-4BBE-8644-318B80AE46DF}">
  <dimension ref="A1:M25"/>
  <sheetViews>
    <sheetView workbookViewId="0">
      <selection activeCell="B1" sqref="B1:F1"/>
    </sheetView>
  </sheetViews>
  <sheetFormatPr defaultColWidth="9.140625" defaultRowHeight="15"/>
  <cols>
    <col min="1" max="1" width="3.28515625" style="1" customWidth="1"/>
    <col min="2" max="2" width="12" style="1" bestFit="1" customWidth="1"/>
    <col min="3" max="3" width="15.28515625" style="1" bestFit="1" customWidth="1"/>
    <col min="4" max="4" width="24.5703125" style="1" bestFit="1" customWidth="1"/>
    <col min="5" max="5" width="10.5703125" style="1" bestFit="1" customWidth="1"/>
    <col min="6" max="6" width="11.5703125" style="1" bestFit="1" customWidth="1"/>
    <col min="7" max="7" width="9.140625" style="1"/>
    <col min="8" max="8" width="10.140625" style="1" bestFit="1" customWidth="1"/>
    <col min="9" max="9" width="9.140625" style="1" bestFit="1" customWidth="1"/>
    <col min="10" max="10" width="9.140625" style="1"/>
    <col min="11" max="11" width="10.140625" style="1" bestFit="1" customWidth="1"/>
    <col min="12" max="16384" width="9.140625" style="1"/>
  </cols>
  <sheetData>
    <row r="1" spans="1:13" ht="18.75">
      <c r="B1" s="113" t="s">
        <v>0</v>
      </c>
      <c r="C1" s="113"/>
      <c r="D1" s="113"/>
      <c r="E1" s="113"/>
      <c r="F1" s="113"/>
      <c r="G1" s="37"/>
      <c r="H1" s="37"/>
      <c r="I1" s="37"/>
    </row>
    <row r="2" spans="1:13" ht="15.75">
      <c r="B2" s="114" t="s">
        <v>36</v>
      </c>
      <c r="C2" s="114"/>
      <c r="D2" s="114"/>
      <c r="E2" s="114"/>
      <c r="F2" s="114"/>
      <c r="G2" s="38"/>
      <c r="H2" s="38"/>
      <c r="I2" s="38"/>
    </row>
    <row r="3" spans="1:13" ht="15.75">
      <c r="B3" s="114" t="s">
        <v>37</v>
      </c>
      <c r="C3" s="114"/>
      <c r="D3" s="114"/>
      <c r="E3" s="114"/>
      <c r="F3" s="114"/>
      <c r="G3" s="39"/>
      <c r="H3" s="39"/>
      <c r="I3" s="39"/>
    </row>
    <row r="4" spans="1:13" ht="15.75">
      <c r="B4" s="115" t="s">
        <v>40</v>
      </c>
      <c r="C4" s="115"/>
      <c r="D4" s="115"/>
      <c r="E4" s="115"/>
      <c r="F4" s="115"/>
    </row>
    <row r="5" spans="1:13">
      <c r="B5" s="119" t="s">
        <v>171</v>
      </c>
      <c r="C5" s="119"/>
      <c r="D5" s="119"/>
      <c r="E5" s="119"/>
      <c r="F5" s="119"/>
    </row>
    <row r="7" spans="1:13">
      <c r="A7" s="5"/>
      <c r="C7" s="6"/>
      <c r="D7" s="6"/>
      <c r="E7" s="6"/>
      <c r="F7" s="6"/>
      <c r="G7" s="6"/>
      <c r="H7" s="6" t="s">
        <v>15</v>
      </c>
      <c r="I7" s="6" t="s">
        <v>15</v>
      </c>
      <c r="J7" s="6"/>
      <c r="K7" s="6" t="s">
        <v>15</v>
      </c>
      <c r="L7" s="6"/>
      <c r="M7" s="6"/>
    </row>
    <row r="8" spans="1:13">
      <c r="A8" s="5"/>
      <c r="B8" s="124" t="s">
        <v>38</v>
      </c>
      <c r="C8" s="124"/>
      <c r="D8" s="101" t="s">
        <v>39</v>
      </c>
      <c r="E8" s="102"/>
      <c r="F8" s="103">
        <f>F15+F25</f>
        <v>184996.82</v>
      </c>
      <c r="G8" s="6"/>
      <c r="H8" s="6"/>
      <c r="I8" s="6"/>
      <c r="J8" s="6"/>
      <c r="K8" s="6"/>
      <c r="L8" s="6"/>
      <c r="M8" s="6"/>
    </row>
    <row r="9" spans="1:1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" customHeight="1">
      <c r="A10" s="5"/>
      <c r="B10" s="45" t="s">
        <v>25</v>
      </c>
      <c r="C10" s="43" t="s">
        <v>24</v>
      </c>
      <c r="D10" s="43" t="s">
        <v>23</v>
      </c>
      <c r="E10" s="43" t="s">
        <v>22</v>
      </c>
      <c r="F10" s="6"/>
      <c r="G10" s="6"/>
      <c r="H10" s="8"/>
      <c r="I10" s="6"/>
      <c r="J10" s="6"/>
      <c r="K10" s="6" t="s">
        <v>15</v>
      </c>
      <c r="L10" s="6"/>
      <c r="M10" s="6"/>
    </row>
    <row r="11" spans="1:13">
      <c r="A11" s="5"/>
      <c r="B11" s="7">
        <v>44807</v>
      </c>
      <c r="C11" s="6" t="s">
        <v>18</v>
      </c>
      <c r="D11" s="6" t="s">
        <v>16</v>
      </c>
      <c r="E11" s="34">
        <v>15373.32</v>
      </c>
      <c r="F11" s="6"/>
      <c r="G11" s="6"/>
      <c r="H11" s="8"/>
      <c r="I11" s="6"/>
      <c r="J11" s="6"/>
      <c r="K11" s="6" t="s">
        <v>15</v>
      </c>
      <c r="L11" s="6"/>
      <c r="M11" s="6"/>
    </row>
    <row r="12" spans="1:13">
      <c r="A12" s="5"/>
      <c r="B12" s="7">
        <v>44849</v>
      </c>
      <c r="C12" s="6" t="s">
        <v>19</v>
      </c>
      <c r="D12" s="6" t="s">
        <v>16</v>
      </c>
      <c r="E12" s="34">
        <v>14133.91</v>
      </c>
      <c r="F12" s="6"/>
      <c r="G12" s="6"/>
      <c r="H12" s="8"/>
      <c r="I12" s="6"/>
      <c r="J12" s="6"/>
      <c r="K12" s="6" t="s">
        <v>15</v>
      </c>
      <c r="L12" s="6"/>
      <c r="M12" s="6"/>
    </row>
    <row r="13" spans="1:13">
      <c r="A13" s="5"/>
      <c r="B13" s="7">
        <v>44870</v>
      </c>
      <c r="C13" s="6" t="s">
        <v>20</v>
      </c>
      <c r="D13" s="6" t="s">
        <v>16</v>
      </c>
      <c r="E13" s="34">
        <v>16166.1</v>
      </c>
      <c r="F13" s="6"/>
      <c r="G13" s="6"/>
      <c r="H13" s="8"/>
      <c r="I13" s="6"/>
      <c r="J13" s="6"/>
      <c r="K13" s="6" t="s">
        <v>15</v>
      </c>
      <c r="L13" s="6"/>
      <c r="M13" s="6"/>
    </row>
    <row r="14" spans="1:13">
      <c r="A14" s="5"/>
      <c r="B14" s="7">
        <v>44905</v>
      </c>
      <c r="C14" s="6" t="s">
        <v>21</v>
      </c>
      <c r="D14" s="6" t="s">
        <v>16</v>
      </c>
      <c r="E14" s="34">
        <v>6547.75</v>
      </c>
      <c r="F14" s="6"/>
      <c r="G14" s="6"/>
      <c r="H14" s="8"/>
      <c r="I14" s="6"/>
      <c r="J14" s="6"/>
      <c r="K14" s="6" t="s">
        <v>15</v>
      </c>
      <c r="L14" s="6"/>
      <c r="M14" s="6"/>
    </row>
    <row r="15" spans="1:13">
      <c r="A15" s="5"/>
      <c r="B15" s="7"/>
      <c r="C15" s="6"/>
      <c r="D15" s="6" t="s">
        <v>173</v>
      </c>
      <c r="E15" s="6"/>
      <c r="F15" s="44">
        <f>SUM(E11:E14)</f>
        <v>52221.08</v>
      </c>
      <c r="G15" s="6"/>
      <c r="H15" s="8"/>
      <c r="I15" s="6"/>
      <c r="J15" s="6"/>
      <c r="K15" s="6" t="s">
        <v>15</v>
      </c>
      <c r="L15" s="6"/>
      <c r="M15" s="6"/>
    </row>
    <row r="16" spans="1:13">
      <c r="A16" s="5"/>
      <c r="B16" s="7"/>
      <c r="C16" s="6"/>
      <c r="D16" s="6"/>
      <c r="E16" s="6"/>
      <c r="F16" s="6"/>
      <c r="G16" s="6"/>
      <c r="H16" s="9"/>
      <c r="I16" s="10"/>
      <c r="J16" s="10"/>
      <c r="K16" s="6" t="s">
        <v>15</v>
      </c>
      <c r="L16" s="6"/>
      <c r="M16" s="6"/>
    </row>
    <row r="18" spans="2:6">
      <c r="B18" s="7">
        <v>44933</v>
      </c>
      <c r="C18" s="6" t="s">
        <v>29</v>
      </c>
      <c r="D18" s="6" t="s">
        <v>16</v>
      </c>
      <c r="E18" s="34">
        <v>18128.63</v>
      </c>
    </row>
    <row r="19" spans="2:6">
      <c r="B19" s="7">
        <v>44964</v>
      </c>
      <c r="C19" s="6" t="s">
        <v>30</v>
      </c>
      <c r="D19" s="6" t="s">
        <v>16</v>
      </c>
      <c r="E19" s="34">
        <v>14823.64</v>
      </c>
    </row>
    <row r="20" spans="2:6">
      <c r="B20" s="7">
        <v>44992</v>
      </c>
      <c r="C20" s="6" t="s">
        <v>31</v>
      </c>
      <c r="D20" s="6" t="s">
        <v>16</v>
      </c>
      <c r="E20" s="34">
        <v>8945.51</v>
      </c>
    </row>
    <row r="21" spans="2:6">
      <c r="B21" s="7">
        <v>45020</v>
      </c>
      <c r="C21" s="6" t="s">
        <v>32</v>
      </c>
      <c r="D21" s="6" t="s">
        <v>16</v>
      </c>
      <c r="E21" s="34">
        <v>19618.91</v>
      </c>
    </row>
    <row r="22" spans="2:6">
      <c r="B22" s="7">
        <v>45068</v>
      </c>
      <c r="C22" s="6" t="s">
        <v>33</v>
      </c>
      <c r="D22" s="6" t="s">
        <v>16</v>
      </c>
      <c r="E22" s="34">
        <v>40920.589999999997</v>
      </c>
    </row>
    <row r="23" spans="2:6">
      <c r="B23" s="7">
        <v>45082</v>
      </c>
      <c r="C23" s="6" t="s">
        <v>34</v>
      </c>
      <c r="D23" s="6" t="s">
        <v>16</v>
      </c>
      <c r="E23" s="34">
        <v>2837.81</v>
      </c>
    </row>
    <row r="24" spans="2:6">
      <c r="B24" s="7">
        <v>45119</v>
      </c>
      <c r="C24" s="6" t="s">
        <v>35</v>
      </c>
      <c r="D24" s="6" t="s">
        <v>16</v>
      </c>
      <c r="E24" s="34">
        <v>27500.65</v>
      </c>
    </row>
    <row r="25" spans="2:6">
      <c r="D25" s="6" t="s">
        <v>174</v>
      </c>
      <c r="F25" s="44">
        <f>SUM(E18:E24)</f>
        <v>132775.74</v>
      </c>
    </row>
  </sheetData>
  <mergeCells count="6">
    <mergeCell ref="B4:F4"/>
    <mergeCell ref="B5:F5"/>
    <mergeCell ref="B8:C8"/>
    <mergeCell ref="B1:F1"/>
    <mergeCell ref="B2:F2"/>
    <mergeCell ref="B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1DF4-1D54-4B4D-A209-56FB170072B5}">
  <dimension ref="B1:M26"/>
  <sheetViews>
    <sheetView workbookViewId="0">
      <selection activeCell="B1" sqref="B1:F1"/>
    </sheetView>
  </sheetViews>
  <sheetFormatPr defaultColWidth="9.140625" defaultRowHeight="15"/>
  <cols>
    <col min="1" max="1" width="2.7109375" style="1" customWidth="1"/>
    <col min="2" max="2" width="12" style="1" bestFit="1" customWidth="1"/>
    <col min="3" max="3" width="15.28515625" style="1" bestFit="1" customWidth="1"/>
    <col min="4" max="4" width="24.5703125" style="1" bestFit="1" customWidth="1"/>
    <col min="5" max="5" width="10.5703125" style="1" bestFit="1" customWidth="1"/>
    <col min="6" max="6" width="11.5703125" style="1" bestFit="1" customWidth="1"/>
    <col min="7" max="7" width="9.140625" style="1"/>
    <col min="8" max="8" width="12.5703125" style="1" bestFit="1" customWidth="1"/>
    <col min="9" max="9" width="9.85546875" style="1" bestFit="1" customWidth="1"/>
    <col min="10" max="10" width="9.140625" style="1"/>
    <col min="11" max="11" width="11.28515625" style="1" bestFit="1" customWidth="1"/>
    <col min="12" max="16384" width="9.140625" style="1"/>
  </cols>
  <sheetData>
    <row r="1" spans="2:13" ht="18.75">
      <c r="B1" s="113" t="s">
        <v>0</v>
      </c>
      <c r="C1" s="113"/>
      <c r="D1" s="113"/>
      <c r="E1" s="113"/>
      <c r="F1" s="113"/>
      <c r="G1" s="37"/>
      <c r="H1" s="37"/>
      <c r="I1" s="37"/>
    </row>
    <row r="2" spans="2:13" ht="15.75">
      <c r="B2" s="114" t="s">
        <v>36</v>
      </c>
      <c r="C2" s="114"/>
      <c r="D2" s="114"/>
      <c r="E2" s="114"/>
      <c r="F2" s="114"/>
      <c r="G2" s="38"/>
      <c r="H2" s="38"/>
      <c r="I2" s="38"/>
    </row>
    <row r="3" spans="2:13" ht="15.75">
      <c r="B3" s="114" t="s">
        <v>37</v>
      </c>
      <c r="C3" s="114"/>
      <c r="D3" s="114"/>
      <c r="E3" s="114"/>
      <c r="F3" s="114"/>
      <c r="G3" s="38"/>
      <c r="H3" s="38"/>
      <c r="I3" s="38"/>
    </row>
    <row r="4" spans="2:13" ht="15.75">
      <c r="B4" s="115" t="s">
        <v>41</v>
      </c>
      <c r="C4" s="115"/>
      <c r="D4" s="115"/>
      <c r="E4" s="115"/>
      <c r="F4" s="115"/>
      <c r="G4" s="39"/>
      <c r="H4" s="39"/>
      <c r="I4" s="39"/>
    </row>
    <row r="5" spans="2:13">
      <c r="B5" s="119" t="s">
        <v>171</v>
      </c>
      <c r="C5" s="119"/>
      <c r="D5" s="119"/>
      <c r="E5" s="119"/>
      <c r="F5" s="119"/>
    </row>
    <row r="7" spans="2:13">
      <c r="C7" s="6"/>
      <c r="D7" s="6"/>
      <c r="E7" s="6"/>
      <c r="F7" s="6"/>
      <c r="G7" s="6"/>
      <c r="I7" s="6" t="s">
        <v>15</v>
      </c>
      <c r="J7" s="6"/>
      <c r="L7" s="10"/>
      <c r="M7" s="10"/>
    </row>
    <row r="8" spans="2:13">
      <c r="B8" s="124" t="s">
        <v>38</v>
      </c>
      <c r="C8" s="124"/>
      <c r="D8" s="101" t="s">
        <v>39</v>
      </c>
      <c r="E8" s="102"/>
      <c r="F8" s="103">
        <f>F16+F26</f>
        <v>326602.15000000002</v>
      </c>
      <c r="G8" s="6"/>
      <c r="I8" s="6"/>
      <c r="J8" s="6"/>
      <c r="L8" s="10"/>
      <c r="M8" s="10"/>
    </row>
    <row r="9" spans="2:13">
      <c r="B9" s="40"/>
      <c r="C9" s="40"/>
      <c r="D9" s="40"/>
      <c r="E9" s="40"/>
      <c r="F9" s="40"/>
      <c r="G9" s="6"/>
      <c r="I9" s="6"/>
      <c r="J9" s="6"/>
      <c r="L9" s="10"/>
      <c r="M9" s="10"/>
    </row>
    <row r="10" spans="2:13">
      <c r="B10" s="43" t="s">
        <v>25</v>
      </c>
      <c r="C10" s="43" t="s">
        <v>24</v>
      </c>
      <c r="D10" s="43" t="s">
        <v>23</v>
      </c>
      <c r="E10" s="43" t="s">
        <v>22</v>
      </c>
      <c r="F10" s="43" t="s">
        <v>13</v>
      </c>
      <c r="G10" s="6"/>
      <c r="I10" s="6" t="s">
        <v>15</v>
      </c>
      <c r="J10" s="6"/>
      <c r="K10" s="6" t="s">
        <v>15</v>
      </c>
      <c r="L10" s="6"/>
      <c r="M10" s="6"/>
    </row>
    <row r="11" spans="2:13">
      <c r="B11" s="7">
        <v>44779</v>
      </c>
      <c r="C11" s="6" t="s">
        <v>17</v>
      </c>
      <c r="D11" s="6" t="s">
        <v>16</v>
      </c>
      <c r="E11" s="8">
        <v>61119.7</v>
      </c>
      <c r="F11" s="6"/>
      <c r="G11" s="6"/>
      <c r="I11" s="6" t="s">
        <v>15</v>
      </c>
      <c r="J11" s="6"/>
      <c r="K11" s="6" t="s">
        <v>15</v>
      </c>
      <c r="L11" s="6"/>
      <c r="M11" s="6"/>
    </row>
    <row r="12" spans="2:13">
      <c r="B12" s="7">
        <v>44807</v>
      </c>
      <c r="C12" s="6" t="s">
        <v>18</v>
      </c>
      <c r="D12" s="6" t="s">
        <v>16</v>
      </c>
      <c r="E12" s="8">
        <v>41152.559999999998</v>
      </c>
      <c r="F12" s="6"/>
      <c r="G12" s="6"/>
      <c r="I12" s="6" t="s">
        <v>15</v>
      </c>
      <c r="J12" s="6"/>
      <c r="K12" s="6" t="s">
        <v>15</v>
      </c>
      <c r="L12" s="6"/>
      <c r="M12" s="6"/>
    </row>
    <row r="13" spans="2:13">
      <c r="B13" s="7">
        <v>44849</v>
      </c>
      <c r="C13" s="6" t="s">
        <v>19</v>
      </c>
      <c r="D13" s="6" t="s">
        <v>16</v>
      </c>
      <c r="E13" s="8">
        <v>30610.21</v>
      </c>
      <c r="F13" s="6"/>
      <c r="G13" s="6"/>
      <c r="I13" s="6" t="s">
        <v>15</v>
      </c>
      <c r="J13" s="6"/>
      <c r="K13" s="6" t="s">
        <v>15</v>
      </c>
      <c r="L13" s="6"/>
      <c r="M13" s="6"/>
    </row>
    <row r="14" spans="2:13">
      <c r="B14" s="7">
        <v>44870</v>
      </c>
      <c r="C14" s="6" t="s">
        <v>20</v>
      </c>
      <c r="D14" s="6" t="s">
        <v>16</v>
      </c>
      <c r="E14" s="8">
        <v>32534.47</v>
      </c>
      <c r="F14" s="6"/>
      <c r="G14" s="6"/>
      <c r="H14" s="9" t="s">
        <v>15</v>
      </c>
      <c r="I14" s="10"/>
      <c r="J14" s="10"/>
      <c r="K14" s="6" t="s">
        <v>15</v>
      </c>
      <c r="L14" s="6"/>
      <c r="M14" s="6"/>
    </row>
    <row r="15" spans="2:13">
      <c r="B15" s="7">
        <v>44905</v>
      </c>
      <c r="C15" s="6" t="s">
        <v>21</v>
      </c>
      <c r="D15" s="6" t="s">
        <v>16</v>
      </c>
      <c r="E15" s="8">
        <v>33467.269999999997</v>
      </c>
      <c r="F15" s="6"/>
      <c r="G15" s="6"/>
      <c r="H15" s="9" t="s">
        <v>15</v>
      </c>
      <c r="I15" s="10"/>
      <c r="J15" s="10"/>
      <c r="K15" s="6" t="s">
        <v>15</v>
      </c>
      <c r="L15" s="6"/>
      <c r="M15" s="6"/>
    </row>
    <row r="16" spans="2:13">
      <c r="B16" s="6"/>
      <c r="C16" s="6"/>
      <c r="D16" s="6" t="s">
        <v>170</v>
      </c>
      <c r="F16" s="41">
        <f>SUM(E11:E15)</f>
        <v>198884.21</v>
      </c>
      <c r="H16" s="10"/>
      <c r="I16" s="6" t="s">
        <v>15</v>
      </c>
      <c r="J16" s="6"/>
      <c r="L16" s="10"/>
      <c r="M16" s="10"/>
    </row>
    <row r="17" spans="2:13">
      <c r="B17" s="6" t="s">
        <v>15</v>
      </c>
      <c r="C17" s="6" t="s">
        <v>15</v>
      </c>
      <c r="D17" s="6" t="s">
        <v>15</v>
      </c>
      <c r="E17" s="6" t="s">
        <v>15</v>
      </c>
      <c r="F17" s="6" t="s">
        <v>15</v>
      </c>
      <c r="G17" s="6"/>
      <c r="H17" s="6"/>
      <c r="I17" s="6" t="s">
        <v>15</v>
      </c>
      <c r="J17" s="6"/>
      <c r="K17" s="6" t="s">
        <v>15</v>
      </c>
      <c r="L17" s="6"/>
      <c r="M17" s="6"/>
    </row>
    <row r="18" spans="2:13">
      <c r="B18" s="6"/>
      <c r="C18" s="6"/>
      <c r="D18" s="6"/>
      <c r="E18" s="6"/>
      <c r="F18" s="6" t="s">
        <v>15</v>
      </c>
      <c r="G18" s="6"/>
      <c r="H18" s="33"/>
    </row>
    <row r="19" spans="2:13">
      <c r="B19" s="7">
        <v>44933</v>
      </c>
      <c r="C19" s="6" t="s">
        <v>29</v>
      </c>
      <c r="D19" s="6" t="s">
        <v>16</v>
      </c>
      <c r="E19" s="34">
        <v>32168.27</v>
      </c>
      <c r="F19" s="34"/>
      <c r="G19" s="6"/>
      <c r="H19" s="33"/>
    </row>
    <row r="20" spans="2:13">
      <c r="B20" s="7">
        <v>44964</v>
      </c>
      <c r="C20" s="6" t="s">
        <v>30</v>
      </c>
      <c r="D20" s="6" t="s">
        <v>16</v>
      </c>
      <c r="E20" s="34">
        <v>22324.13</v>
      </c>
      <c r="F20" s="34"/>
      <c r="G20" s="6"/>
      <c r="H20" s="33"/>
    </row>
    <row r="21" spans="2:13">
      <c r="B21" s="7">
        <v>44992</v>
      </c>
      <c r="C21" s="6" t="s">
        <v>31</v>
      </c>
      <c r="D21" s="6" t="s">
        <v>16</v>
      </c>
      <c r="E21" s="35">
        <v>21033.79</v>
      </c>
      <c r="F21" s="34"/>
      <c r="G21" s="6"/>
      <c r="H21" s="33"/>
    </row>
    <row r="22" spans="2:13">
      <c r="B22" s="7">
        <v>45020</v>
      </c>
      <c r="C22" s="6" t="s">
        <v>32</v>
      </c>
      <c r="D22" s="6" t="s">
        <v>16</v>
      </c>
      <c r="E22" s="35">
        <v>11831.34</v>
      </c>
      <c r="F22" s="34"/>
      <c r="G22" s="6"/>
      <c r="H22" s="33"/>
    </row>
    <row r="23" spans="2:13">
      <c r="B23" s="7">
        <v>45068</v>
      </c>
      <c r="C23" s="6" t="s">
        <v>33</v>
      </c>
      <c r="D23" s="6" t="s">
        <v>16</v>
      </c>
      <c r="E23" s="35">
        <v>10779.15</v>
      </c>
      <c r="F23" s="36"/>
      <c r="G23" s="33"/>
      <c r="H23" s="33"/>
    </row>
    <row r="24" spans="2:13">
      <c r="B24" s="7">
        <v>45082</v>
      </c>
      <c r="C24" s="6" t="s">
        <v>34</v>
      </c>
      <c r="D24" s="6" t="s">
        <v>16</v>
      </c>
      <c r="E24" s="35">
        <v>8737.74</v>
      </c>
      <c r="F24" s="36"/>
      <c r="G24" s="33"/>
      <c r="H24" s="33"/>
    </row>
    <row r="25" spans="2:13">
      <c r="B25" s="7">
        <v>45119</v>
      </c>
      <c r="C25" s="6" t="s">
        <v>35</v>
      </c>
      <c r="D25" s="6" t="s">
        <v>16</v>
      </c>
      <c r="E25" s="35">
        <v>20843.52</v>
      </c>
      <c r="F25" s="36"/>
      <c r="G25" s="33"/>
      <c r="H25" s="33"/>
    </row>
    <row r="26" spans="2:13">
      <c r="B26" s="6"/>
      <c r="C26" s="6"/>
      <c r="D26" s="6" t="s">
        <v>172</v>
      </c>
      <c r="E26" s="34"/>
      <c r="F26" s="42">
        <f>SUM(E19:E25)</f>
        <v>127717.94</v>
      </c>
      <c r="G26" s="6"/>
      <c r="H26" s="6"/>
    </row>
  </sheetData>
  <mergeCells count="6">
    <mergeCell ref="B5:F5"/>
    <mergeCell ref="B3:F3"/>
    <mergeCell ref="B8:C8"/>
    <mergeCell ref="B1:F1"/>
    <mergeCell ref="B2:F2"/>
    <mergeCell ref="B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0334EC-234B-446A-9656-EA2DB196BC8D}">
  <ds:schemaRefs>
    <ds:schemaRef ds:uri="http://purl.org/dc/dcmitype/"/>
    <ds:schemaRef ds:uri="2885e403-5788-4c7b-bcd9-01ee995fefca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76ec7b13-eb81-41c9-922b-46251ffcc526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E29F94-CF1E-40F4-B168-2D0E56E6D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C939B-A048-4384-ADBE-C3BBD9E37B0E}"/>
</file>

<file path=customXml/itemProps4.xml><?xml version="1.0" encoding="utf-8"?>
<ds:datastoreItem xmlns:ds="http://schemas.openxmlformats.org/officeDocument/2006/customXml" ds:itemID="{2D5E848B-50C3-40B7-90FB-6EFB4AA5E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Appendix A - updated for Fuel</vt:lpstr>
      <vt:lpstr>Total Fuel</vt:lpstr>
      <vt:lpstr>Support for Fuel Costs --&gt;</vt:lpstr>
      <vt:lpstr>PS Fuel Invoices</vt:lpstr>
      <vt:lpstr>JdF Fuel Invoices</vt:lpstr>
      <vt:lpstr>PS Fuel GL</vt:lpstr>
      <vt:lpstr>JDF Fuel GL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Weldon Burton</dc:creator>
  <cp:keywords/>
  <dc:description/>
  <cp:lastModifiedBy>Ann LaRue</cp:lastModifiedBy>
  <cp:revision/>
  <dcterms:created xsi:type="dcterms:W3CDTF">2020-11-03T17:51:09Z</dcterms:created>
  <dcterms:modified xsi:type="dcterms:W3CDTF">2023-08-16T01:55:32Z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