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UG-200479 Cost Recovery Quarterly Report\Filed 10-28-21\Second Supplemental 12-9-21\"/>
    </mc:Choice>
  </mc:AlternateContent>
  <xr:revisionPtr revIDLastSave="0" documentId="8_{8AB34509-65A0-4FC2-8DBC-330006EABF96}" xr6:coauthVersionLast="46" xr6:coauthVersionMax="46" xr10:uidLastSave="{00000000-0000-0000-0000-000000000000}"/>
  <bookViews>
    <workbookView xWindow="-120" yWindow="-120" windowWidth="29040" windowHeight="15840" xr2:uid="{01F4E96C-049B-4C6B-9608-F796BC16834A}"/>
  </bookViews>
  <sheets>
    <sheet name="Sheet1" sheetId="1" r:id="rId1"/>
    <sheet name="Assistance Program 09-21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" i="1" l="1"/>
  <c r="I5" i="2"/>
  <c r="J5" i="2"/>
  <c r="I6" i="2"/>
  <c r="J6" i="2"/>
  <c r="C8" i="2"/>
  <c r="D8" i="2"/>
  <c r="F8" i="2"/>
  <c r="G8" i="2"/>
  <c r="C9" i="2"/>
  <c r="D9" i="2"/>
  <c r="F9" i="2"/>
  <c r="G9" i="2"/>
  <c r="C10" i="2"/>
  <c r="D10" i="2"/>
  <c r="D34" i="2" s="1"/>
  <c r="D42" i="2" s="1"/>
  <c r="F10" i="2"/>
  <c r="G10" i="2"/>
  <c r="C12" i="2"/>
  <c r="D12" i="2"/>
  <c r="F12" i="2"/>
  <c r="G12" i="2"/>
  <c r="C15" i="2"/>
  <c r="D15" i="2"/>
  <c r="F15" i="2"/>
  <c r="G15" i="2"/>
  <c r="I28" i="2"/>
  <c r="J28" i="2"/>
  <c r="I33" i="2"/>
  <c r="I34" i="2" s="1"/>
  <c r="I42" i="2" s="1"/>
  <c r="I46" i="2" s="1"/>
  <c r="J33" i="2"/>
  <c r="J34" i="2" s="1"/>
  <c r="J42" i="2" s="1"/>
  <c r="C34" i="2"/>
  <c r="C42" i="2" s="1"/>
  <c r="C46" i="2" s="1"/>
  <c r="F34" i="2"/>
  <c r="G34" i="2"/>
  <c r="I38" i="2"/>
  <c r="J38" i="2"/>
  <c r="I39" i="2"/>
  <c r="J39" i="2"/>
  <c r="E42" i="2"/>
  <c r="F42" i="2"/>
  <c r="F46" i="2" s="1"/>
  <c r="G42" i="2"/>
  <c r="H42" i="2"/>
  <c r="I44" i="2"/>
  <c r="C50" i="2"/>
  <c r="F50" i="2"/>
  <c r="R31" i="1"/>
  <c r="H28" i="1"/>
  <c r="G28" i="1"/>
  <c r="D28" i="1"/>
  <c r="Q24" i="1"/>
  <c r="P24" i="1"/>
  <c r="N24" i="1"/>
  <c r="M24" i="1"/>
  <c r="L24" i="1"/>
  <c r="K24" i="1"/>
  <c r="J24" i="1"/>
  <c r="I24" i="1"/>
  <c r="H24" i="1"/>
  <c r="G24" i="1"/>
  <c r="F24" i="1"/>
  <c r="D24" i="1"/>
  <c r="R23" i="1"/>
  <c r="R22" i="1"/>
  <c r="R21" i="1"/>
  <c r="R20" i="1"/>
  <c r="R19" i="1"/>
  <c r="E18" i="1"/>
  <c r="R18" i="1" s="1"/>
  <c r="V12" i="1" s="1"/>
  <c r="H17" i="1"/>
  <c r="R17" i="1" s="1"/>
  <c r="Q14" i="1"/>
  <c r="P14" i="1"/>
  <c r="P28" i="1" s="1"/>
  <c r="N14" i="1"/>
  <c r="N28" i="1" s="1"/>
  <c r="M14" i="1"/>
  <c r="M28" i="1" s="1"/>
  <c r="L14" i="1"/>
  <c r="L28" i="1" s="1"/>
  <c r="K14" i="1"/>
  <c r="K28" i="1" s="1"/>
  <c r="J14" i="1"/>
  <c r="J28" i="1" s="1"/>
  <c r="I14" i="1"/>
  <c r="I28" i="1" s="1"/>
  <c r="H14" i="1"/>
  <c r="G14" i="1"/>
  <c r="D14" i="1"/>
  <c r="K13" i="1"/>
  <c r="R13" i="1" s="1"/>
  <c r="K12" i="1"/>
  <c r="R12" i="1" s="1"/>
  <c r="V8" i="1" s="1"/>
  <c r="R11" i="1"/>
  <c r="V10" i="1"/>
  <c r="R10" i="1"/>
  <c r="R9" i="1"/>
  <c r="F8" i="1"/>
  <c r="F14" i="1" s="1"/>
  <c r="F28" i="1" s="1"/>
  <c r="E8" i="1"/>
  <c r="R8" i="1" s="1"/>
  <c r="K7" i="1"/>
  <c r="R7" i="1" s="1"/>
  <c r="V6" i="1" s="1"/>
  <c r="K6" i="1"/>
  <c r="R6" i="1" s="1"/>
  <c r="R5" i="1"/>
  <c r="R4" i="1"/>
  <c r="R14" i="1" s="1"/>
  <c r="V11" i="1" l="1"/>
  <c r="R24" i="1"/>
  <c r="R28" i="1" s="1"/>
  <c r="V13" i="1"/>
  <c r="V14" i="1" s="1"/>
  <c r="E14" i="1"/>
  <c r="E28" i="1" s="1"/>
  <c r="E24" i="1"/>
  <c r="V9" i="1"/>
  <c r="V15" i="1" l="1"/>
</calcChain>
</file>

<file path=xl/sharedStrings.xml><?xml version="1.0" encoding="utf-8"?>
<sst xmlns="http://schemas.openxmlformats.org/spreadsheetml/2006/main" count="59" uniqueCount="48">
  <si>
    <t>Washington - Covid-19 Costs &amp; Savings</t>
  </si>
  <si>
    <t>47WA.1860.20489</t>
  </si>
  <si>
    <t>Total</t>
  </si>
  <si>
    <t>O&amp;M Work Order - Costs</t>
  </si>
  <si>
    <t>Washington COVID-19 Deferral Summary as of 9/30/2021</t>
  </si>
  <si>
    <t>O&amp;M Work Order - Not Recoverable Mar-Apr-20</t>
  </si>
  <si>
    <t>WA</t>
  </si>
  <si>
    <t>4767000 - Credit &amp; Collections</t>
  </si>
  <si>
    <t>Bad Debt Expense</t>
  </si>
  <si>
    <t>4767000 - Credit &amp; Collections May-20-May-21</t>
  </si>
  <si>
    <t xml:space="preserve">Assistance Program </t>
  </si>
  <si>
    <t>Bad Debts - Costs</t>
  </si>
  <si>
    <t>Past Due Interest</t>
  </si>
  <si>
    <t>Bad Debts - True-up Jan-21</t>
  </si>
  <si>
    <t>Other Direct Costs</t>
  </si>
  <si>
    <t>Bad Debts - True-up Dec-20</t>
  </si>
  <si>
    <t>Reconnect Fees/Late Payment Fees</t>
  </si>
  <si>
    <t>Bad Debts - Not Recoverable Mar-Apr-20</t>
  </si>
  <si>
    <t>Total 186</t>
  </si>
  <si>
    <t>Interest - Past Due Bal</t>
  </si>
  <si>
    <t>Other Direct Benefits</t>
  </si>
  <si>
    <t>Interest - Past Due Bal Apr-20-May-21</t>
  </si>
  <si>
    <t xml:space="preserve">Cares Act Benefit </t>
  </si>
  <si>
    <t>Total WA Costs</t>
  </si>
  <si>
    <t>Total 253</t>
  </si>
  <si>
    <t>Total Ending Balance 9.30.2021</t>
  </si>
  <si>
    <t>47WA.2530.01290</t>
  </si>
  <si>
    <t>Savings - Care Act Credit</t>
  </si>
  <si>
    <t>Savings</t>
  </si>
  <si>
    <t xml:space="preserve">Savings - True-up Feb-21 </t>
  </si>
  <si>
    <t>Savings - True-up Jan-21</t>
  </si>
  <si>
    <t>Savings - True-up Dec-20</t>
  </si>
  <si>
    <t>Savings - True-up May-Nov-20</t>
  </si>
  <si>
    <t>Savings - Not Recoverable Mar-Apr-20</t>
  </si>
  <si>
    <t>Total WA Savings</t>
  </si>
  <si>
    <t>Total WA Booked</t>
  </si>
  <si>
    <t xml:space="preserve"> Waived LPC not booked</t>
  </si>
  <si>
    <t>OR</t>
  </si>
  <si>
    <t>% Distributed</t>
  </si>
  <si>
    <t>BH Funds</t>
  </si>
  <si>
    <t>Grand Total</t>
  </si>
  <si>
    <t>Auto Grants</t>
  </si>
  <si>
    <t xml:space="preserve"> </t>
  </si>
  <si>
    <t>Since 4/1/21</t>
  </si>
  <si>
    <t>Count</t>
  </si>
  <si>
    <t>Pledges</t>
  </si>
  <si>
    <t>Week Ending</t>
  </si>
  <si>
    <t>Big Heart Grant Running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</si>
</sst>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43" fontId="0" fillId="0" borderId="0" xfId="1" applyFont="1"/>
    <xf numFmtId="43" fontId="0" fillId="0" borderId="0" xfId="1" applyFont="1" applyBorder="1"/>
    <xf numFmtId="164" fontId="0" fillId="0" borderId="0" xfId="1" applyNumberFormat="1" applyFont="1" applyBorder="1"/>
    <xf numFmtId="0" fontId="0" fillId="0" borderId="0" xfId="0" applyAlignment="1">
      <alignment vertical="center"/>
    </xf>
    <xf numFmtId="17" fontId="4" fillId="2" borderId="0" xfId="2" applyNumberFormat="1" applyFont="1" applyFill="1" applyAlignment="1">
      <alignment horizontal="center" vertical="center"/>
    </xf>
    <xf numFmtId="43" fontId="0" fillId="0" borderId="1" xfId="1" applyFont="1" applyBorder="1"/>
    <xf numFmtId="164" fontId="0" fillId="0" borderId="1" xfId="1" applyNumberFormat="1" applyFont="1" applyBorder="1"/>
    <xf numFmtId="0" fontId="5" fillId="2" borderId="0" xfId="2" applyFont="1" applyFill="1" applyAlignment="1">
      <alignment horizontal="left" vertical="center"/>
    </xf>
    <xf numFmtId="17" fontId="4" fillId="2" borderId="2" xfId="2" applyNumberFormat="1" applyFont="1" applyFill="1" applyBorder="1" applyAlignment="1">
      <alignment horizontal="center" vertical="center"/>
    </xf>
    <xf numFmtId="17" fontId="4" fillId="3" borderId="2" xfId="2" applyNumberFormat="1" applyFont="1" applyFill="1" applyBorder="1" applyAlignment="1">
      <alignment horizontal="center" vertical="center"/>
    </xf>
    <xf numFmtId="43" fontId="0" fillId="0" borderId="2" xfId="1" applyFont="1" applyBorder="1"/>
    <xf numFmtId="0" fontId="0" fillId="0" borderId="3" xfId="0" applyBorder="1"/>
    <xf numFmtId="0" fontId="6" fillId="0" borderId="0" xfId="0" applyFont="1" applyAlignment="1">
      <alignment horizontal="left"/>
    </xf>
    <xf numFmtId="43" fontId="0" fillId="0" borderId="0" xfId="1" applyFont="1" applyFill="1"/>
    <xf numFmtId="43" fontId="3" fillId="0" borderId="0" xfId="1" applyFont="1" applyFill="1"/>
    <xf numFmtId="43" fontId="0" fillId="3" borderId="4" xfId="0" applyNumberFormat="1" applyFill="1" applyBorder="1"/>
    <xf numFmtId="43" fontId="0" fillId="0" borderId="0" xfId="0" applyNumberFormat="1"/>
    <xf numFmtId="0" fontId="0" fillId="0" borderId="2" xfId="0" applyBorder="1"/>
    <xf numFmtId="0" fontId="6" fillId="0" borderId="0" xfId="0" applyFont="1" applyAlignment="1">
      <alignment horizontal="left"/>
    </xf>
    <xf numFmtId="43" fontId="0" fillId="0" borderId="5" xfId="1" applyFont="1" applyBorder="1"/>
    <xf numFmtId="164" fontId="0" fillId="0" borderId="6" xfId="1" applyNumberFormat="1" applyFont="1" applyBorder="1" applyAlignment="1">
      <alignment horizontal="center"/>
    </xf>
    <xf numFmtId="164" fontId="0" fillId="0" borderId="2" xfId="1" applyNumberFormat="1" applyFont="1" applyBorder="1"/>
    <xf numFmtId="164" fontId="0" fillId="0" borderId="8" xfId="1" applyNumberFormat="1" applyFont="1" applyBorder="1"/>
    <xf numFmtId="43" fontId="3" fillId="0" borderId="0" xfId="1" applyFont="1" applyFill="1" applyBorder="1"/>
    <xf numFmtId="43" fontId="0" fillId="0" borderId="0" xfId="1" applyFont="1" applyFill="1" applyBorder="1"/>
    <xf numFmtId="0" fontId="6" fillId="0" borderId="1" xfId="0" applyFont="1" applyBorder="1" applyAlignment="1">
      <alignment horizontal="left"/>
    </xf>
    <xf numFmtId="43" fontId="0" fillId="0" borderId="1" xfId="1" applyFont="1" applyFill="1" applyBorder="1"/>
    <xf numFmtId="43" fontId="3" fillId="0" borderId="1" xfId="1" applyFont="1" applyFill="1" applyBorder="1"/>
    <xf numFmtId="43" fontId="0" fillId="0" borderId="9" xfId="1" applyFont="1" applyFill="1" applyBorder="1"/>
    <xf numFmtId="0" fontId="6" fillId="0" borderId="3" xfId="0" applyFont="1" applyBorder="1" applyAlignment="1">
      <alignment horizontal="left" indent="3"/>
    </xf>
    <xf numFmtId="43" fontId="0" fillId="0" borderId="10" xfId="0" applyNumberForma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indent="1"/>
    </xf>
    <xf numFmtId="0" fontId="6" fillId="0" borderId="0" xfId="0" applyFont="1"/>
    <xf numFmtId="43" fontId="0" fillId="0" borderId="11" xfId="1" applyFont="1" applyBorder="1"/>
    <xf numFmtId="0" fontId="0" fillId="0" borderId="9" xfId="0" applyBorder="1"/>
    <xf numFmtId="0" fontId="6" fillId="0" borderId="0" xfId="0" applyFont="1" applyAlignment="1">
      <alignment horizontal="left" indent="1"/>
    </xf>
    <xf numFmtId="43" fontId="0" fillId="3" borderId="7" xfId="0" applyNumberFormat="1" applyFill="1" applyBorder="1"/>
    <xf numFmtId="164" fontId="0" fillId="0" borderId="0" xfId="1" applyNumberFormat="1" applyFont="1"/>
    <xf numFmtId="0" fontId="6" fillId="0" borderId="0" xfId="0" applyFont="1" applyAlignment="1">
      <alignment horizontal="left" indent="1"/>
    </xf>
    <xf numFmtId="0" fontId="0" fillId="0" borderId="1" xfId="0" applyBorder="1"/>
    <xf numFmtId="43" fontId="0" fillId="0" borderId="3" xfId="0" applyNumberFormat="1" applyBorder="1"/>
    <xf numFmtId="43" fontId="0" fillId="3" borderId="12" xfId="0" applyNumberFormat="1" applyFill="1" applyBorder="1"/>
    <xf numFmtId="0" fontId="6" fillId="0" borderId="0" xfId="0" applyFont="1" applyAlignment="1">
      <alignment horizontal="left" indent="3"/>
    </xf>
    <xf numFmtId="43" fontId="0" fillId="3" borderId="0" xfId="0" applyNumberFormat="1" applyFill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3" fontId="0" fillId="3" borderId="1" xfId="0" applyNumberFormat="1" applyFill="1" applyBorder="1"/>
    <xf numFmtId="0" fontId="0" fillId="0" borderId="13" xfId="0" applyBorder="1"/>
    <xf numFmtId="0" fontId="8" fillId="0" borderId="1" xfId="0" applyFont="1" applyBorder="1" applyAlignment="1">
      <alignment horizontal="left" indent="3"/>
    </xf>
    <xf numFmtId="43" fontId="7" fillId="0" borderId="1" xfId="0" applyNumberFormat="1" applyFont="1" applyBorder="1"/>
    <xf numFmtId="0" fontId="6" fillId="0" borderId="0" xfId="0" applyFont="1" applyAlignment="1">
      <alignment horizontal="left" indent="2"/>
    </xf>
    <xf numFmtId="0" fontId="6" fillId="0" borderId="0" xfId="3"/>
    <xf numFmtId="0" fontId="6" fillId="0" borderId="0" xfId="3" applyAlignment="1">
      <alignment horizontal="center"/>
    </xf>
    <xf numFmtId="1" fontId="6" fillId="0" borderId="0" xfId="3" applyNumberFormat="1" applyAlignment="1">
      <alignment horizontal="center"/>
    </xf>
    <xf numFmtId="44" fontId="6" fillId="0" borderId="0" xfId="3" applyNumberFormat="1"/>
    <xf numFmtId="1" fontId="6" fillId="0" borderId="0" xfId="3" applyNumberFormat="1"/>
    <xf numFmtId="165" fontId="6" fillId="0" borderId="0" xfId="3" applyNumberFormat="1" applyAlignment="1">
      <alignment horizontal="center"/>
    </xf>
    <xf numFmtId="44" fontId="6" fillId="5" borderId="0" xfId="3" applyNumberFormat="1" applyFill="1"/>
    <xf numFmtId="1" fontId="6" fillId="5" borderId="0" xfId="3" applyNumberFormat="1" applyFill="1"/>
    <xf numFmtId="44" fontId="6" fillId="0" borderId="0" xfId="3" applyNumberFormat="1" applyAlignment="1">
      <alignment horizontal="center"/>
    </xf>
    <xf numFmtId="9" fontId="0" fillId="0" borderId="0" xfId="4" applyFont="1"/>
    <xf numFmtId="1" fontId="6" fillId="0" borderId="14" xfId="3" applyNumberFormat="1" applyBorder="1" applyAlignment="1">
      <alignment horizontal="center"/>
    </xf>
    <xf numFmtId="44" fontId="6" fillId="0" borderId="14" xfId="3" applyNumberFormat="1" applyBorder="1"/>
    <xf numFmtId="165" fontId="8" fillId="0" borderId="0" xfId="3" applyNumberFormat="1" applyFont="1" applyAlignment="1">
      <alignment horizontal="center"/>
    </xf>
    <xf numFmtId="0" fontId="8" fillId="0" borderId="0" xfId="3" applyFont="1" applyAlignment="1">
      <alignment horizontal="center"/>
    </xf>
    <xf numFmtId="1" fontId="8" fillId="0" borderId="0" xfId="3" applyNumberFormat="1" applyFont="1" applyAlignment="1">
      <alignment horizontal="center"/>
    </xf>
    <xf numFmtId="44" fontId="8" fillId="0" borderId="0" xfId="3" applyNumberFormat="1" applyFont="1" applyAlignment="1">
      <alignment horizontal="center"/>
    </xf>
    <xf numFmtId="0" fontId="8" fillId="0" borderId="0" xfId="3" applyFont="1" applyAlignment="1">
      <alignment horizontal="centerContinuous"/>
    </xf>
    <xf numFmtId="1" fontId="6" fillId="0" borderId="0" xfId="3" applyNumberFormat="1" applyAlignment="1">
      <alignment horizontal="centerContinuous"/>
    </xf>
    <xf numFmtId="44" fontId="8" fillId="0" borderId="0" xfId="3" applyNumberFormat="1" applyFont="1" applyAlignment="1">
      <alignment horizontal="centerContinuous"/>
    </xf>
    <xf numFmtId="1" fontId="8" fillId="0" borderId="0" xfId="3" applyNumberFormat="1" applyFont="1" applyAlignment="1">
      <alignment horizontal="centerContinuous"/>
    </xf>
    <xf numFmtId="165" fontId="8" fillId="0" borderId="0" xfId="3" applyNumberFormat="1" applyFont="1" applyAlignment="1">
      <alignment horizontal="left"/>
    </xf>
    <xf numFmtId="43" fontId="0" fillId="0" borderId="15" xfId="1" applyFont="1" applyBorder="1"/>
    <xf numFmtId="43" fontId="7" fillId="4" borderId="16" xfId="1" applyFont="1" applyFill="1" applyBorder="1" applyAlignment="1">
      <alignment horizontal="center" vertical="center"/>
    </xf>
    <xf numFmtId="43" fontId="7" fillId="4" borderId="17" xfId="1" applyFont="1" applyFill="1" applyBorder="1" applyAlignment="1">
      <alignment horizontal="center" vertical="center"/>
    </xf>
    <xf numFmtId="43" fontId="7" fillId="0" borderId="10" xfId="1" applyFont="1" applyBorder="1" applyAlignment="1">
      <alignment horizontal="left" indent="1"/>
    </xf>
    <xf numFmtId="43" fontId="7" fillId="0" borderId="15" xfId="1" applyFont="1" applyBorder="1" applyAlignment="1">
      <alignment horizontal="left" indent="1"/>
    </xf>
    <xf numFmtId="43" fontId="7" fillId="0" borderId="11" xfId="1" applyFont="1" applyBorder="1" applyAlignment="1">
      <alignment horizontal="left" indent="2"/>
    </xf>
    <xf numFmtId="164" fontId="0" fillId="0" borderId="18" xfId="1" applyNumberFormat="1" applyFont="1" applyBorder="1"/>
    <xf numFmtId="0" fontId="0" fillId="0" borderId="10" xfId="0" applyBorder="1"/>
    <xf numFmtId="0" fontId="0" fillId="0" borderId="8" xfId="0" applyBorder="1"/>
  </cellXfs>
  <cellStyles count="5">
    <cellStyle name="Comma" xfId="1" builtinId="3"/>
    <cellStyle name="Normal" xfId="0" builtinId="0"/>
    <cellStyle name="Normal 14" xfId="2" xr:uid="{83158BD3-2F81-4959-9A97-C4F923A3B761}"/>
    <cellStyle name="Normal 3" xfId="3" xr:uid="{7A5625A4-2F31-4A7C-B527-399FE158A747}"/>
    <cellStyle name="Percent 3" xfId="4" xr:uid="{F1998A8F-B865-495E-8ADF-3153888389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ian.hoyle\AppData\Local\Microsoft\Windows\INetCache\Content.Outlook\EBXQG224\WE%2010.15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H Running Total"/>
      <sheetName val="BHG DQs"/>
      <sheetName val="RevAdmin BHGs"/>
      <sheetName val="Big HEART"/>
      <sheetName val="PPC"/>
      <sheetName val="WEAF"/>
      <sheetName val="WH"/>
    </sheetNames>
    <sheetDataSet>
      <sheetData sheetId="0">
        <row r="3">
          <cell r="B3">
            <v>3460.2799999999997</v>
          </cell>
          <cell r="C3">
            <v>21</v>
          </cell>
        </row>
        <row r="4">
          <cell r="B4">
            <v>39471.919999999998</v>
          </cell>
          <cell r="C4">
            <v>165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0C930-4200-4BFE-B4EB-85F8FF4D9190}">
  <dimension ref="A1:W32"/>
  <sheetViews>
    <sheetView tabSelected="1" topLeftCell="C1" workbookViewId="0">
      <selection activeCell="V15" sqref="V15"/>
    </sheetView>
  </sheetViews>
  <sheetFormatPr defaultRowHeight="15" x14ac:dyDescent="0.25"/>
  <cols>
    <col min="1" max="1" width="17.85546875" bestFit="1" customWidth="1"/>
    <col min="4" max="4" width="13.5703125" bestFit="1" customWidth="1"/>
    <col min="5" max="5" width="12.7109375" bestFit="1" customWidth="1"/>
    <col min="6" max="6" width="12.28515625" bestFit="1" customWidth="1"/>
    <col min="7" max="7" width="11.5703125" bestFit="1" customWidth="1"/>
    <col min="8" max="10" width="12.28515625" bestFit="1" customWidth="1"/>
    <col min="11" max="11" width="12.7109375" bestFit="1" customWidth="1"/>
    <col min="12" max="12" width="13.5703125" bestFit="1" customWidth="1"/>
    <col min="13" max="13" width="11.5703125" bestFit="1" customWidth="1"/>
    <col min="14" max="14" width="13.5703125" bestFit="1" customWidth="1"/>
    <col min="15" max="15" width="2" customWidth="1"/>
    <col min="16" max="16" width="7.5703125" bestFit="1" customWidth="1"/>
    <col min="17" max="17" width="2" customWidth="1"/>
    <col min="18" max="18" width="14" bestFit="1" customWidth="1"/>
    <col min="21" max="21" width="37.140625" bestFit="1" customWidth="1"/>
    <col min="22" max="22" width="21.42578125" customWidth="1"/>
  </cols>
  <sheetData>
    <row r="1" spans="1:23" ht="15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4"/>
    </row>
    <row r="2" spans="1:23" x14ac:dyDescent="0.25">
      <c r="C2" s="5"/>
      <c r="D2" s="6">
        <v>43952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"/>
      <c r="T2" s="7"/>
      <c r="U2" s="7"/>
      <c r="V2" s="8"/>
    </row>
    <row r="3" spans="1:23" x14ac:dyDescent="0.25">
      <c r="A3" s="9" t="s">
        <v>1</v>
      </c>
      <c r="B3" s="9"/>
      <c r="C3" s="9"/>
      <c r="D3" s="6">
        <v>44156</v>
      </c>
      <c r="E3" s="6">
        <v>44186</v>
      </c>
      <c r="F3" s="6">
        <v>44197</v>
      </c>
      <c r="G3" s="6">
        <v>44228</v>
      </c>
      <c r="H3" s="6">
        <v>44256</v>
      </c>
      <c r="I3" s="6">
        <v>44287</v>
      </c>
      <c r="J3" s="6">
        <v>44317</v>
      </c>
      <c r="K3" s="6">
        <v>44348</v>
      </c>
      <c r="L3" s="6">
        <v>44378</v>
      </c>
      <c r="M3" s="6">
        <v>44409</v>
      </c>
      <c r="N3" s="6">
        <v>44440</v>
      </c>
      <c r="O3" s="6"/>
      <c r="P3" s="10">
        <v>44470</v>
      </c>
      <c r="Q3" s="11"/>
      <c r="R3" s="10" t="s">
        <v>2</v>
      </c>
      <c r="S3" s="12"/>
      <c r="T3" s="83"/>
      <c r="U3" s="13"/>
      <c r="V3" s="13"/>
      <c r="W3" s="84"/>
    </row>
    <row r="4" spans="1:23" ht="15.75" thickBot="1" x14ac:dyDescent="0.3">
      <c r="B4" s="14" t="s">
        <v>3</v>
      </c>
      <c r="C4" s="14"/>
      <c r="D4" s="15">
        <v>64076.89</v>
      </c>
      <c r="E4" s="15">
        <v>3023.96</v>
      </c>
      <c r="F4" s="15">
        <v>1120.47</v>
      </c>
      <c r="G4" s="15">
        <v>1596.99</v>
      </c>
      <c r="H4" s="15">
        <v>1889.89</v>
      </c>
      <c r="I4" s="15">
        <v>793.26</v>
      </c>
      <c r="J4" s="15">
        <v>732.38</v>
      </c>
      <c r="K4" s="16">
        <v>20735.18</v>
      </c>
      <c r="L4" s="15">
        <v>1611.76</v>
      </c>
      <c r="M4" s="15">
        <v>15855.71</v>
      </c>
      <c r="N4" s="15">
        <v>2330.2399999999998</v>
      </c>
      <c r="O4" s="15"/>
      <c r="P4" s="15"/>
      <c r="Q4" s="17"/>
      <c r="R4" s="18">
        <f t="shared" ref="R4:R13" si="0">SUM(D4:P4)</f>
        <v>113766.73000000003</v>
      </c>
      <c r="S4" s="12"/>
      <c r="T4" s="76"/>
      <c r="U4" s="77" t="s">
        <v>4</v>
      </c>
      <c r="V4" s="78"/>
      <c r="W4" s="19"/>
    </row>
    <row r="5" spans="1:23" x14ac:dyDescent="0.25">
      <c r="B5" s="14" t="s">
        <v>5</v>
      </c>
      <c r="C5" s="14"/>
      <c r="D5" s="20"/>
      <c r="E5" s="20"/>
      <c r="F5" s="15"/>
      <c r="G5" s="15"/>
      <c r="H5" s="15"/>
      <c r="I5" s="15"/>
      <c r="J5" s="15"/>
      <c r="K5" s="16">
        <v>-20394.830000000002</v>
      </c>
      <c r="L5" s="15"/>
      <c r="M5" s="15"/>
      <c r="N5" s="15"/>
      <c r="O5" s="15"/>
      <c r="P5" s="15"/>
      <c r="Q5" s="17"/>
      <c r="R5" s="18">
        <f t="shared" si="0"/>
        <v>-20394.830000000002</v>
      </c>
      <c r="S5" s="12"/>
      <c r="T5" s="76"/>
      <c r="U5" s="21"/>
      <c r="V5" s="22" t="s">
        <v>6</v>
      </c>
      <c r="W5" s="19"/>
    </row>
    <row r="6" spans="1:23" x14ac:dyDescent="0.25">
      <c r="B6" s="14" t="s">
        <v>7</v>
      </c>
      <c r="C6" s="14"/>
      <c r="D6" s="20"/>
      <c r="E6" s="20"/>
      <c r="F6" s="15"/>
      <c r="G6" s="15"/>
      <c r="H6" s="15"/>
      <c r="I6" s="15"/>
      <c r="J6" s="15"/>
      <c r="K6" s="16">
        <f>25049.67</f>
        <v>25049.67</v>
      </c>
      <c r="L6" s="15">
        <v>29351.72</v>
      </c>
      <c r="M6" s="15">
        <v>25225.040000000001</v>
      </c>
      <c r="N6" s="16">
        <v>25408.93</v>
      </c>
      <c r="O6" s="16"/>
      <c r="P6" s="16"/>
      <c r="Q6" s="17"/>
      <c r="R6" s="18">
        <f t="shared" si="0"/>
        <v>105035.35999999999</v>
      </c>
      <c r="S6" s="12"/>
      <c r="T6" s="76"/>
      <c r="U6" s="76" t="s">
        <v>8</v>
      </c>
      <c r="V6" s="23">
        <f>+R7+R8+R9+R10+R11</f>
        <v>599495.17000000004</v>
      </c>
      <c r="W6" s="19"/>
    </row>
    <row r="7" spans="1:23" x14ac:dyDescent="0.25">
      <c r="B7" s="14" t="s">
        <v>9</v>
      </c>
      <c r="C7" s="14"/>
      <c r="D7" s="20"/>
      <c r="E7" s="20"/>
      <c r="F7" s="15"/>
      <c r="G7" s="15"/>
      <c r="H7" s="15"/>
      <c r="I7" s="15"/>
      <c r="J7" s="15"/>
      <c r="K7" s="16">
        <f>314488.43</f>
        <v>314488.43</v>
      </c>
      <c r="L7" s="15"/>
      <c r="M7" s="15"/>
      <c r="N7" s="15"/>
      <c r="O7" s="15"/>
      <c r="P7" s="15"/>
      <c r="Q7" s="17"/>
      <c r="R7" s="18">
        <f t="shared" si="0"/>
        <v>314488.43</v>
      </c>
      <c r="S7" s="12"/>
      <c r="T7" s="76"/>
      <c r="U7" s="76" t="s">
        <v>10</v>
      </c>
      <c r="V7" s="23">
        <f>+'Assistance Program 09-21'!F50</f>
        <v>2137758.1900000004</v>
      </c>
      <c r="W7" s="19"/>
    </row>
    <row r="8" spans="1:23" x14ac:dyDescent="0.25">
      <c r="B8" s="14" t="s">
        <v>11</v>
      </c>
      <c r="C8" s="14"/>
      <c r="D8" s="15">
        <v>95087.75</v>
      </c>
      <c r="E8" s="15">
        <f>225943.22-E4-I10</f>
        <v>215508.29</v>
      </c>
      <c r="F8" s="15">
        <f>4122.11-F4-H9</f>
        <v>-4356.18</v>
      </c>
      <c r="G8" s="15">
        <v>55165.84</v>
      </c>
      <c r="H8" s="15">
        <v>-41970.52</v>
      </c>
      <c r="I8" s="15">
        <v>-76832.52</v>
      </c>
      <c r="J8" s="15">
        <v>32913.49</v>
      </c>
      <c r="K8" s="16">
        <v>206292.17</v>
      </c>
      <c r="L8" s="15">
        <v>-89920.36</v>
      </c>
      <c r="M8" s="15">
        <v>7792.44</v>
      </c>
      <c r="N8" s="15">
        <v>-81627.72</v>
      </c>
      <c r="O8" s="15"/>
      <c r="P8" s="15"/>
      <c r="Q8" s="17"/>
      <c r="R8" s="18">
        <f t="shared" si="0"/>
        <v>318052.68000000005</v>
      </c>
      <c r="S8" s="2"/>
      <c r="T8" s="76"/>
      <c r="U8" s="76" t="s">
        <v>12</v>
      </c>
      <c r="V8" s="23">
        <f>+R12+R13</f>
        <v>123254.04</v>
      </c>
      <c r="W8" s="19"/>
    </row>
    <row r="9" spans="1:23" x14ac:dyDescent="0.25">
      <c r="B9" s="14" t="s">
        <v>13</v>
      </c>
      <c r="C9" s="14"/>
      <c r="D9" s="20"/>
      <c r="E9" s="20"/>
      <c r="F9" s="15"/>
      <c r="G9" s="15"/>
      <c r="H9" s="15">
        <v>7357.82</v>
      </c>
      <c r="I9" s="15"/>
      <c r="J9" s="15"/>
      <c r="K9" s="16"/>
      <c r="L9" s="15"/>
      <c r="M9" s="15"/>
      <c r="N9" s="15"/>
      <c r="O9" s="15"/>
      <c r="P9" s="15"/>
      <c r="Q9" s="17"/>
      <c r="R9" s="18">
        <f t="shared" si="0"/>
        <v>7357.82</v>
      </c>
      <c r="S9" s="2"/>
      <c r="T9" s="76"/>
      <c r="U9" s="76" t="s">
        <v>14</v>
      </c>
      <c r="V9" s="23">
        <f>+R4+R5+R6</f>
        <v>198407.26</v>
      </c>
      <c r="W9" s="19"/>
    </row>
    <row r="10" spans="1:23" x14ac:dyDescent="0.25">
      <c r="B10" s="14" t="s">
        <v>15</v>
      </c>
      <c r="C10" s="14"/>
      <c r="D10" s="20"/>
      <c r="E10" s="20"/>
      <c r="F10" s="15"/>
      <c r="G10" s="15"/>
      <c r="H10" s="15"/>
      <c r="I10" s="15">
        <v>7410.97</v>
      </c>
      <c r="J10" s="15"/>
      <c r="K10" s="16"/>
      <c r="L10" s="15"/>
      <c r="M10" s="15"/>
      <c r="N10" s="15"/>
      <c r="O10" s="15"/>
      <c r="P10" s="15"/>
      <c r="Q10" s="17"/>
      <c r="R10" s="18">
        <f t="shared" si="0"/>
        <v>7410.97</v>
      </c>
      <c r="S10" s="2"/>
      <c r="T10" s="76"/>
      <c r="U10" s="76" t="s">
        <v>16</v>
      </c>
      <c r="V10" s="23">
        <f>+R31</f>
        <v>1831718.91</v>
      </c>
      <c r="W10" s="19"/>
    </row>
    <row r="11" spans="1:23" x14ac:dyDescent="0.25">
      <c r="B11" s="14" t="s">
        <v>17</v>
      </c>
      <c r="C11" s="14"/>
      <c r="D11" s="20"/>
      <c r="E11" s="20"/>
      <c r="F11" s="15"/>
      <c r="G11" s="15"/>
      <c r="H11" s="15"/>
      <c r="I11" s="15"/>
      <c r="J11" s="15"/>
      <c r="K11" s="16">
        <v>-47814.73</v>
      </c>
      <c r="L11" s="15"/>
      <c r="M11" s="15"/>
      <c r="N11" s="15"/>
      <c r="O11" s="15"/>
      <c r="P11" s="15"/>
      <c r="Q11" s="17"/>
      <c r="R11" s="18">
        <f t="shared" si="0"/>
        <v>-47814.73</v>
      </c>
      <c r="S11" s="2"/>
      <c r="T11" s="76"/>
      <c r="U11" s="79" t="s">
        <v>18</v>
      </c>
      <c r="V11" s="24">
        <f>SUM(V6:V10)</f>
        <v>4890633.57</v>
      </c>
      <c r="W11" s="19"/>
    </row>
    <row r="12" spans="1:23" x14ac:dyDescent="0.25">
      <c r="B12" s="14" t="s">
        <v>19</v>
      </c>
      <c r="C12" s="14"/>
      <c r="D12" s="20"/>
      <c r="E12" s="20"/>
      <c r="F12" s="15"/>
      <c r="G12" s="15"/>
      <c r="H12" s="15"/>
      <c r="I12" s="15"/>
      <c r="J12" s="15"/>
      <c r="K12" s="25">
        <f>7261.85</f>
        <v>7261.85</v>
      </c>
      <c r="L12" s="26">
        <v>6846.45</v>
      </c>
      <c r="M12" s="26">
        <v>6066.44</v>
      </c>
      <c r="N12" s="26">
        <v>5547.32</v>
      </c>
      <c r="O12" s="26"/>
      <c r="P12" s="26"/>
      <c r="Q12" s="17"/>
      <c r="R12" s="18">
        <f t="shared" si="0"/>
        <v>25722.059999999998</v>
      </c>
      <c r="S12" s="2"/>
      <c r="T12" s="76"/>
      <c r="U12" s="76" t="s">
        <v>20</v>
      </c>
      <c r="V12" s="23">
        <f>SUM(R18:R23)</f>
        <v>-888808.77</v>
      </c>
      <c r="W12" s="19"/>
    </row>
    <row r="13" spans="1:23" x14ac:dyDescent="0.25">
      <c r="B13" s="14" t="s">
        <v>21</v>
      </c>
      <c r="C13" s="14"/>
      <c r="D13" s="27"/>
      <c r="E13" s="27"/>
      <c r="F13" s="28"/>
      <c r="G13" s="28"/>
      <c r="H13" s="28"/>
      <c r="I13" s="28"/>
      <c r="J13" s="28"/>
      <c r="K13" s="29">
        <f>97531.98</f>
        <v>97531.98</v>
      </c>
      <c r="L13" s="28"/>
      <c r="M13" s="28"/>
      <c r="N13" s="28"/>
      <c r="O13" s="28"/>
      <c r="P13" s="30"/>
      <c r="Q13" s="17"/>
      <c r="R13" s="18">
        <f t="shared" si="0"/>
        <v>97531.98</v>
      </c>
      <c r="S13" s="2"/>
      <c r="T13" s="76"/>
      <c r="U13" s="76" t="s">
        <v>22</v>
      </c>
      <c r="V13" s="23">
        <f>+R17</f>
        <v>-96705.709999999992</v>
      </c>
      <c r="W13" s="19"/>
    </row>
    <row r="14" spans="1:23" x14ac:dyDescent="0.25">
      <c r="A14" s="13"/>
      <c r="B14" s="31" t="s">
        <v>23</v>
      </c>
      <c r="C14" s="31"/>
      <c r="D14" s="25">
        <f t="shared" ref="D14" si="1">SUM(D4:D13)</f>
        <v>159164.64000000001</v>
      </c>
      <c r="E14" s="25">
        <f>SUM(E4:E13)</f>
        <v>218532.25</v>
      </c>
      <c r="F14" s="18">
        <f>SUM(F4:F13)</f>
        <v>-3235.71</v>
      </c>
      <c r="G14" s="18">
        <f t="shared" ref="G14:Q14" si="2">SUM(G4:G13)</f>
        <v>56762.829999999994</v>
      </c>
      <c r="H14" s="18">
        <f t="shared" si="2"/>
        <v>-32722.809999999998</v>
      </c>
      <c r="I14" s="18">
        <f t="shared" si="2"/>
        <v>-68628.290000000008</v>
      </c>
      <c r="J14" s="18">
        <f t="shared" si="2"/>
        <v>33645.869999999995</v>
      </c>
      <c r="K14" s="18">
        <f t="shared" si="2"/>
        <v>603149.72</v>
      </c>
      <c r="L14" s="18">
        <f t="shared" si="2"/>
        <v>-52110.430000000008</v>
      </c>
      <c r="M14" s="18">
        <f t="shared" si="2"/>
        <v>54939.630000000005</v>
      </c>
      <c r="N14" s="18">
        <f t="shared" si="2"/>
        <v>-48341.23</v>
      </c>
      <c r="O14" s="18"/>
      <c r="P14" s="18">
        <f t="shared" si="2"/>
        <v>0</v>
      </c>
      <c r="Q14" s="17">
        <f t="shared" si="2"/>
        <v>0</v>
      </c>
      <c r="R14" s="32">
        <f>SUM(R4:R13)</f>
        <v>921156.47</v>
      </c>
      <c r="S14" s="2"/>
      <c r="T14" s="76"/>
      <c r="U14" s="80" t="s">
        <v>24</v>
      </c>
      <c r="V14" s="24">
        <f>+V13+V12</f>
        <v>-985514.48</v>
      </c>
      <c r="W14" s="19"/>
    </row>
    <row r="15" spans="1:23" x14ac:dyDescent="0.25">
      <c r="B15" s="33"/>
      <c r="C15" s="33"/>
      <c r="D15" s="34"/>
      <c r="E15" s="34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7"/>
      <c r="R15" s="18"/>
      <c r="S15" s="2"/>
      <c r="T15" s="76"/>
      <c r="U15" s="81" t="s">
        <v>25</v>
      </c>
      <c r="V15" s="82">
        <f>+V11+V14</f>
        <v>3905119.0900000003</v>
      </c>
      <c r="W15" s="19"/>
    </row>
    <row r="16" spans="1:23" x14ac:dyDescent="0.25">
      <c r="A16" s="35" t="s">
        <v>26</v>
      </c>
      <c r="C16" s="36"/>
      <c r="D16" s="36"/>
      <c r="E16" s="36"/>
      <c r="Q16" s="17"/>
      <c r="S16" s="2"/>
      <c r="T16" s="37"/>
      <c r="U16" s="7"/>
      <c r="V16" s="8"/>
      <c r="W16" s="38"/>
    </row>
    <row r="17" spans="1:22" x14ac:dyDescent="0.25">
      <c r="A17" s="35"/>
      <c r="B17" s="39" t="s">
        <v>27</v>
      </c>
      <c r="C17" s="39"/>
      <c r="D17" s="15"/>
      <c r="E17" s="15"/>
      <c r="F17" s="15"/>
      <c r="G17" s="15"/>
      <c r="H17" s="15">
        <f>+-60630.47</f>
        <v>-60630.47</v>
      </c>
      <c r="I17" s="15"/>
      <c r="J17" s="15"/>
      <c r="K17" s="16"/>
      <c r="L17" s="15">
        <v>-36075.24</v>
      </c>
      <c r="M17" s="15"/>
      <c r="N17" s="15"/>
      <c r="O17" s="15"/>
      <c r="P17" s="15"/>
      <c r="Q17" s="40"/>
      <c r="R17" s="18">
        <f t="shared" ref="R17:R23" si="3">SUM(D17:P17)</f>
        <v>-96705.709999999992</v>
      </c>
      <c r="S17" s="2"/>
      <c r="T17" s="3"/>
      <c r="U17" s="3"/>
      <c r="V17" s="4"/>
    </row>
    <row r="18" spans="1:22" x14ac:dyDescent="0.25">
      <c r="B18" s="39" t="s">
        <v>28</v>
      </c>
      <c r="C18" s="39"/>
      <c r="D18" s="15">
        <v>-589798.68000000005</v>
      </c>
      <c r="E18" s="15">
        <f>-74435.35-I21</f>
        <v>-45280.94</v>
      </c>
      <c r="F18" s="15">
        <v>-54563.8</v>
      </c>
      <c r="G18" s="15">
        <v>-54213.71</v>
      </c>
      <c r="H18" s="15">
        <v>-53307.5</v>
      </c>
      <c r="I18" s="15">
        <v>-52164.36</v>
      </c>
      <c r="J18" s="15">
        <v>-55635.519999999997</v>
      </c>
      <c r="K18" s="16">
        <v>-59690.81</v>
      </c>
      <c r="L18" s="15">
        <v>-50992.19</v>
      </c>
      <c r="M18" s="15">
        <v>459.77</v>
      </c>
      <c r="N18" s="15">
        <v>-73281.929999999993</v>
      </c>
      <c r="O18" s="15"/>
      <c r="P18" s="15"/>
      <c r="Q18" s="17"/>
      <c r="R18" s="18">
        <f t="shared" si="3"/>
        <v>-1088469.67</v>
      </c>
      <c r="S18" s="2"/>
      <c r="T18" s="2"/>
      <c r="U18" s="2"/>
      <c r="V18" s="41"/>
    </row>
    <row r="19" spans="1:22" x14ac:dyDescent="0.25">
      <c r="B19" s="39" t="s">
        <v>29</v>
      </c>
      <c r="C19" s="39"/>
      <c r="D19" s="42"/>
      <c r="E19" s="42"/>
      <c r="F19" s="26"/>
      <c r="G19" s="26"/>
      <c r="H19" s="26"/>
      <c r="I19" s="26">
        <v>5272.16</v>
      </c>
      <c r="J19" s="26"/>
      <c r="K19" s="25"/>
      <c r="L19" s="26"/>
      <c r="M19" s="26"/>
      <c r="N19" s="26"/>
      <c r="O19" s="26"/>
      <c r="P19" s="26"/>
      <c r="Q19" s="40"/>
      <c r="R19" s="18">
        <f t="shared" si="3"/>
        <v>5272.16</v>
      </c>
      <c r="S19" s="2"/>
    </row>
    <row r="20" spans="1:22" x14ac:dyDescent="0.25">
      <c r="B20" s="39" t="s">
        <v>30</v>
      </c>
      <c r="C20" s="39"/>
      <c r="D20" s="42"/>
      <c r="E20" s="42"/>
      <c r="F20" s="15"/>
      <c r="G20" s="15"/>
      <c r="H20" s="15">
        <v>-122.08</v>
      </c>
      <c r="I20" s="15">
        <v>62796.59</v>
      </c>
      <c r="J20" s="15"/>
      <c r="K20" s="16"/>
      <c r="L20" s="15"/>
      <c r="M20" s="15"/>
      <c r="N20" s="15"/>
      <c r="O20" s="15"/>
      <c r="P20" s="15"/>
      <c r="Q20" s="17"/>
      <c r="R20" s="18">
        <f t="shared" si="3"/>
        <v>62674.509999999995</v>
      </c>
      <c r="S20" s="2"/>
      <c r="T20" s="2"/>
      <c r="U20" s="2"/>
      <c r="V20" s="41"/>
    </row>
    <row r="21" spans="1:22" x14ac:dyDescent="0.25">
      <c r="B21" s="39" t="s">
        <v>31</v>
      </c>
      <c r="C21" s="39"/>
      <c r="D21" s="42"/>
      <c r="E21" s="42"/>
      <c r="F21" s="15"/>
      <c r="G21" s="15"/>
      <c r="H21" s="15"/>
      <c r="I21" s="15">
        <v>-29154.41</v>
      </c>
      <c r="J21" s="15"/>
      <c r="K21" s="16"/>
      <c r="L21" s="15"/>
      <c r="M21" s="15"/>
      <c r="N21" s="15"/>
      <c r="O21" s="15"/>
      <c r="P21" s="15"/>
      <c r="Q21" s="17"/>
      <c r="R21" s="18">
        <f t="shared" si="3"/>
        <v>-29154.41</v>
      </c>
      <c r="S21" s="2"/>
      <c r="T21" s="2"/>
      <c r="U21" s="2"/>
      <c r="V21" s="41"/>
    </row>
    <row r="22" spans="1:22" x14ac:dyDescent="0.25">
      <c r="B22" s="39" t="s">
        <v>32</v>
      </c>
      <c r="C22" s="39"/>
      <c r="D22" s="42"/>
      <c r="E22" s="42"/>
      <c r="F22" s="15"/>
      <c r="G22" s="15"/>
      <c r="H22" s="15"/>
      <c r="I22" s="15"/>
      <c r="J22" s="15"/>
      <c r="K22" s="25">
        <v>78885.58</v>
      </c>
      <c r="L22" s="26"/>
      <c r="M22" s="26"/>
      <c r="N22" s="26"/>
      <c r="O22" s="26"/>
      <c r="P22" s="26"/>
      <c r="Q22" s="17"/>
      <c r="R22" s="18">
        <f t="shared" si="3"/>
        <v>78885.58</v>
      </c>
      <c r="S22" s="2"/>
      <c r="T22" s="2"/>
      <c r="U22" s="2"/>
      <c r="V22" s="41"/>
    </row>
    <row r="23" spans="1:22" x14ac:dyDescent="0.25">
      <c r="A23" s="43"/>
      <c r="B23" s="39" t="s">
        <v>33</v>
      </c>
      <c r="C23" s="39"/>
      <c r="D23" s="42"/>
      <c r="E23" s="42"/>
      <c r="F23" s="43"/>
      <c r="G23" s="43"/>
      <c r="H23" s="43"/>
      <c r="I23" s="43"/>
      <c r="J23" s="28"/>
      <c r="K23" s="29">
        <v>81983.06</v>
      </c>
      <c r="L23" s="28"/>
      <c r="M23" s="28"/>
      <c r="N23" s="28"/>
      <c r="O23" s="28"/>
      <c r="P23" s="30"/>
      <c r="Q23" s="17"/>
      <c r="R23" s="18">
        <f t="shared" si="3"/>
        <v>81983.06</v>
      </c>
      <c r="S23" s="2"/>
      <c r="T23" s="2"/>
      <c r="U23" s="2"/>
      <c r="V23" s="41"/>
    </row>
    <row r="24" spans="1:22" x14ac:dyDescent="0.25">
      <c r="B24" s="31" t="s">
        <v>34</v>
      </c>
      <c r="C24" s="31"/>
      <c r="D24" s="44">
        <f t="shared" ref="D24:N24" si="4">SUM(D18:D23)</f>
        <v>-589798.68000000005</v>
      </c>
      <c r="E24" s="44">
        <f t="shared" si="4"/>
        <v>-45280.94</v>
      </c>
      <c r="F24" s="44">
        <f t="shared" si="4"/>
        <v>-54563.8</v>
      </c>
      <c r="G24" s="44">
        <f t="shared" si="4"/>
        <v>-54213.71</v>
      </c>
      <c r="H24" s="44">
        <f t="shared" si="4"/>
        <v>-53429.58</v>
      </c>
      <c r="I24" s="44">
        <f t="shared" si="4"/>
        <v>-13250.02</v>
      </c>
      <c r="J24" s="44">
        <f t="shared" si="4"/>
        <v>-55635.519999999997</v>
      </c>
      <c r="K24" s="44">
        <f t="shared" si="4"/>
        <v>101177.83</v>
      </c>
      <c r="L24" s="44">
        <f t="shared" si="4"/>
        <v>-50992.19</v>
      </c>
      <c r="M24" s="44">
        <f t="shared" si="4"/>
        <v>459.77</v>
      </c>
      <c r="N24" s="44">
        <f t="shared" si="4"/>
        <v>-73281.929999999993</v>
      </c>
      <c r="O24" s="44"/>
      <c r="P24" s="44">
        <f>SUM(P18:P23)</f>
        <v>0</v>
      </c>
      <c r="Q24" s="45">
        <f>SUM(Q18:Q23)</f>
        <v>0</v>
      </c>
      <c r="R24" s="32">
        <f>SUM(R17:R23)</f>
        <v>-985514.47999999975</v>
      </c>
      <c r="S24" s="2"/>
      <c r="T24" s="2"/>
      <c r="U24" s="2"/>
      <c r="V24" s="41"/>
    </row>
    <row r="25" spans="1:22" x14ac:dyDescent="0.25">
      <c r="B25" s="46"/>
      <c r="C25" s="4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47"/>
      <c r="R25" s="18"/>
      <c r="S25" s="2"/>
      <c r="T25" s="2"/>
      <c r="U25" s="2"/>
      <c r="V25" s="41"/>
    </row>
    <row r="26" spans="1:22" x14ac:dyDescent="0.25">
      <c r="B26" s="46"/>
      <c r="C26" s="46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47"/>
      <c r="R26" s="18"/>
      <c r="S26" s="2"/>
      <c r="T26" s="2"/>
      <c r="U26" s="2"/>
      <c r="V26" s="41"/>
    </row>
    <row r="27" spans="1:22" x14ac:dyDescent="0.25">
      <c r="A27" s="43"/>
      <c r="B27" s="48"/>
      <c r="C27" s="48"/>
      <c r="D27" s="49"/>
      <c r="E27" s="4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50"/>
      <c r="R27" s="28"/>
      <c r="S27" s="2"/>
      <c r="T27" s="2"/>
      <c r="U27" s="2"/>
      <c r="V27" s="41"/>
    </row>
    <row r="28" spans="1:22" x14ac:dyDescent="0.25">
      <c r="A28" s="51"/>
      <c r="B28" s="52" t="s">
        <v>35</v>
      </c>
      <c r="C28" s="52"/>
      <c r="D28" s="53">
        <f t="shared" ref="D28:N28" si="5">+D14+D24</f>
        <v>-430634.04000000004</v>
      </c>
      <c r="E28" s="53">
        <f t="shared" si="5"/>
        <v>173251.31</v>
      </c>
      <c r="F28" s="53">
        <f t="shared" si="5"/>
        <v>-57799.51</v>
      </c>
      <c r="G28" s="53">
        <f t="shared" si="5"/>
        <v>2549.1199999999953</v>
      </c>
      <c r="H28" s="53">
        <f t="shared" si="5"/>
        <v>-86152.39</v>
      </c>
      <c r="I28" s="53">
        <f t="shared" si="5"/>
        <v>-81878.310000000012</v>
      </c>
      <c r="J28" s="53">
        <f t="shared" si="5"/>
        <v>-21989.65</v>
      </c>
      <c r="K28" s="53">
        <f t="shared" si="5"/>
        <v>704327.54999999993</v>
      </c>
      <c r="L28" s="53">
        <f t="shared" si="5"/>
        <v>-103102.62000000001</v>
      </c>
      <c r="M28" s="53">
        <f t="shared" si="5"/>
        <v>55399.4</v>
      </c>
      <c r="N28" s="53">
        <f t="shared" si="5"/>
        <v>-121623.16</v>
      </c>
      <c r="O28" s="53"/>
      <c r="P28" s="53">
        <f>+P14+P24</f>
        <v>0</v>
      </c>
      <c r="Q28" s="17"/>
      <c r="R28" s="53">
        <f>+R14+R24</f>
        <v>-64358.009999999776</v>
      </c>
      <c r="S28" s="2"/>
      <c r="T28" s="2"/>
      <c r="U28" s="2"/>
      <c r="V28" s="41"/>
    </row>
    <row r="29" spans="1:22" x14ac:dyDescent="0.25">
      <c r="B29" s="34"/>
      <c r="C29" s="34"/>
      <c r="D29" s="34"/>
      <c r="E29" s="34"/>
      <c r="F29" s="15"/>
      <c r="G29" s="15"/>
      <c r="H29" s="15"/>
      <c r="I29" s="15"/>
      <c r="J29" s="15"/>
      <c r="K29" s="15"/>
      <c r="N29" s="15"/>
      <c r="O29" s="15"/>
      <c r="P29" s="15"/>
      <c r="Q29" s="17"/>
      <c r="R29" s="15"/>
      <c r="S29" s="2"/>
      <c r="T29" s="2"/>
      <c r="U29" s="2"/>
      <c r="V29" s="4"/>
    </row>
    <row r="30" spans="1:22" x14ac:dyDescent="0.25">
      <c r="B30" s="34"/>
      <c r="C30" s="34"/>
      <c r="D30" s="34"/>
      <c r="E30" s="3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0"/>
      <c r="R30" s="15"/>
      <c r="S30" s="2"/>
      <c r="T30" s="2"/>
      <c r="U30" s="2"/>
      <c r="V30" s="4"/>
    </row>
    <row r="31" spans="1:22" x14ac:dyDescent="0.25">
      <c r="B31" s="14" t="s">
        <v>36</v>
      </c>
      <c r="C31" s="14"/>
      <c r="D31" s="3">
        <v>274704.58999999997</v>
      </c>
      <c r="E31" s="3">
        <v>85717.04</v>
      </c>
      <c r="F31" s="15">
        <v>110279.5</v>
      </c>
      <c r="G31" s="15">
        <v>173644.32</v>
      </c>
      <c r="H31" s="15">
        <v>169823.35</v>
      </c>
      <c r="I31" s="15">
        <v>176527.62</v>
      </c>
      <c r="J31" s="15">
        <v>173084.35</v>
      </c>
      <c r="K31" s="15">
        <v>168228.91</v>
      </c>
      <c r="L31" s="15">
        <v>169463.26</v>
      </c>
      <c r="M31" s="15">
        <v>166165.07</v>
      </c>
      <c r="N31" s="15">
        <v>164080.9</v>
      </c>
      <c r="O31" s="15"/>
      <c r="P31" s="15"/>
      <c r="Q31" s="40"/>
      <c r="R31" s="18">
        <f>SUM(D31:P31)</f>
        <v>1831718.91</v>
      </c>
      <c r="S31" s="2"/>
      <c r="T31" s="2"/>
      <c r="U31" s="2"/>
      <c r="V31" s="4"/>
    </row>
    <row r="32" spans="1:22" x14ac:dyDescent="0.25">
      <c r="B32" s="54"/>
      <c r="C32" s="36"/>
      <c r="D32" s="36"/>
      <c r="E32" s="36"/>
      <c r="F32" s="26"/>
      <c r="G32" s="26"/>
      <c r="H32" s="26"/>
      <c r="I32" s="26"/>
      <c r="J32" s="26"/>
      <c r="K32" s="26"/>
      <c r="N32" s="26"/>
      <c r="O32" s="26"/>
      <c r="P32" s="26"/>
      <c r="R32" s="26"/>
      <c r="S32" s="2"/>
      <c r="T32" s="2"/>
      <c r="U32" s="2"/>
      <c r="V32" s="4"/>
    </row>
  </sheetData>
  <mergeCells count="26">
    <mergeCell ref="B28:C28"/>
    <mergeCell ref="B31:C31"/>
    <mergeCell ref="B20:C20"/>
    <mergeCell ref="B21:C21"/>
    <mergeCell ref="B22:C22"/>
    <mergeCell ref="B23:C23"/>
    <mergeCell ref="B24:C24"/>
    <mergeCell ref="B27:C27"/>
    <mergeCell ref="B13:C13"/>
    <mergeCell ref="B14:C14"/>
    <mergeCell ref="B15:C15"/>
    <mergeCell ref="B17:C17"/>
    <mergeCell ref="B18:C18"/>
    <mergeCell ref="B19:C19"/>
    <mergeCell ref="B7:C7"/>
    <mergeCell ref="B8:C8"/>
    <mergeCell ref="B9:C9"/>
    <mergeCell ref="B10:C10"/>
    <mergeCell ref="B11:C11"/>
    <mergeCell ref="B12:C12"/>
    <mergeCell ref="B1:R1"/>
    <mergeCell ref="A3:C3"/>
    <mergeCell ref="B4:C4"/>
    <mergeCell ref="U4:V4"/>
    <mergeCell ref="B5:C5"/>
    <mergeCell ref="B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94080-49F5-4F9F-96D1-DC15799FD9DF}">
  <dimension ref="A1:K50"/>
  <sheetViews>
    <sheetView workbookViewId="0">
      <selection activeCell="C51" sqref="C51"/>
    </sheetView>
  </sheetViews>
  <sheetFormatPr defaultRowHeight="12.75" x14ac:dyDescent="0.2"/>
  <cols>
    <col min="1" max="1" width="14.140625" style="60" customWidth="1"/>
    <col min="2" max="2" width="2.28515625" style="60" customWidth="1"/>
    <col min="3" max="3" width="12.85546875" style="58" bestFit="1" customWidth="1"/>
    <col min="4" max="4" width="9.140625" style="57"/>
    <col min="5" max="5" width="2.140625" style="59" customWidth="1"/>
    <col min="6" max="6" width="14.5703125" style="58" bestFit="1" customWidth="1"/>
    <col min="7" max="7" width="9.140625" style="57"/>
    <col min="8" max="8" width="2.140625" style="55" customWidth="1"/>
    <col min="9" max="9" width="14.5703125" style="55" bestFit="1" customWidth="1"/>
    <col min="10" max="10" width="9.140625" style="56"/>
    <col min="11" max="16384" width="9.140625" style="55"/>
  </cols>
  <sheetData>
    <row r="1" spans="1:10" x14ac:dyDescent="0.2">
      <c r="A1" s="75" t="s">
        <v>47</v>
      </c>
      <c r="B1" s="75"/>
    </row>
    <row r="3" spans="1:10" s="56" customFormat="1" x14ac:dyDescent="0.2">
      <c r="A3" s="67" t="s">
        <v>42</v>
      </c>
      <c r="B3" s="67"/>
      <c r="C3" s="73" t="s">
        <v>37</v>
      </c>
      <c r="D3" s="74"/>
      <c r="E3" s="69"/>
      <c r="F3" s="73" t="s">
        <v>6</v>
      </c>
      <c r="G3" s="72"/>
      <c r="I3" s="71" t="s">
        <v>2</v>
      </c>
      <c r="J3" s="68"/>
    </row>
    <row r="4" spans="1:10" s="56" customFormat="1" x14ac:dyDescent="0.2">
      <c r="A4" s="67" t="s">
        <v>46</v>
      </c>
      <c r="B4" s="67"/>
      <c r="C4" s="70" t="s">
        <v>45</v>
      </c>
      <c r="D4" s="69" t="s">
        <v>44</v>
      </c>
      <c r="E4" s="69"/>
      <c r="F4" s="70" t="s">
        <v>45</v>
      </c>
      <c r="G4" s="69" t="s">
        <v>44</v>
      </c>
      <c r="I4" s="68" t="s">
        <v>45</v>
      </c>
      <c r="J4" s="68" t="s">
        <v>44</v>
      </c>
    </row>
    <row r="5" spans="1:10" x14ac:dyDescent="0.2">
      <c r="A5" s="60">
        <v>44288</v>
      </c>
      <c r="C5" s="58">
        <v>6498.36</v>
      </c>
      <c r="D5" s="57">
        <v>18</v>
      </c>
      <c r="F5" s="58">
        <v>29337.23</v>
      </c>
      <c r="G5" s="57">
        <v>79</v>
      </c>
      <c r="I5" s="58">
        <f>SUM(C5,F5)</f>
        <v>35835.589999999997</v>
      </c>
      <c r="J5" s="57">
        <f>SUM(D5,G5)</f>
        <v>97</v>
      </c>
    </row>
    <row r="6" spans="1:10" x14ac:dyDescent="0.2">
      <c r="A6" s="60">
        <v>44295</v>
      </c>
      <c r="C6" s="58">
        <v>22234.739999999998</v>
      </c>
      <c r="D6" s="57">
        <v>73</v>
      </c>
      <c r="F6" s="58">
        <v>90508.43</v>
      </c>
      <c r="G6" s="57">
        <v>175</v>
      </c>
      <c r="I6" s="58">
        <f>SUM(C6,F6)</f>
        <v>112743.16999999998</v>
      </c>
      <c r="J6" s="57">
        <f>SUM(D6,G6)</f>
        <v>248</v>
      </c>
    </row>
    <row r="7" spans="1:10" x14ac:dyDescent="0.2">
      <c r="A7" s="60">
        <v>44302</v>
      </c>
      <c r="B7" s="55"/>
      <c r="C7" s="58">
        <v>20469.785000000003</v>
      </c>
      <c r="D7" s="57">
        <v>88</v>
      </c>
      <c r="E7" s="55"/>
      <c r="F7" s="58">
        <v>101686.06300000002</v>
      </c>
      <c r="G7" s="57">
        <v>259</v>
      </c>
      <c r="I7" s="58">
        <v>122155.84800000003</v>
      </c>
      <c r="J7" s="57">
        <v>347</v>
      </c>
    </row>
    <row r="8" spans="1:10" x14ac:dyDescent="0.2">
      <c r="A8" s="60">
        <v>44309</v>
      </c>
      <c r="C8" s="58">
        <f>SUM(19034.94+522+398)</f>
        <v>19954.939999999999</v>
      </c>
      <c r="D8" s="57">
        <f>SUM(77+2)</f>
        <v>79</v>
      </c>
      <c r="E8" s="55"/>
      <c r="F8" s="58">
        <f>SUM(138119.805-522-398)</f>
        <v>137199.80499999999</v>
      </c>
      <c r="G8" s="57">
        <f>SUM(365-2)</f>
        <v>363</v>
      </c>
      <c r="I8" s="58">
        <v>157154.74500000008</v>
      </c>
      <c r="J8" s="57">
        <v>442</v>
      </c>
    </row>
    <row r="9" spans="1:10" x14ac:dyDescent="0.2">
      <c r="A9" s="60">
        <v>44316</v>
      </c>
      <c r="C9" s="58">
        <f>SUM(10702.8+534)</f>
        <v>11236.8</v>
      </c>
      <c r="D9" s="57">
        <f>SUM(34+1)</f>
        <v>35</v>
      </c>
      <c r="E9" s="55"/>
      <c r="F9" s="58">
        <f>SUM(129855.22-534)</f>
        <v>129321.22</v>
      </c>
      <c r="G9" s="57">
        <f>SUM(340-1)</f>
        <v>339</v>
      </c>
      <c r="I9" s="58">
        <v>140558.01999999999</v>
      </c>
      <c r="J9" s="57">
        <v>374</v>
      </c>
    </row>
    <row r="10" spans="1:10" x14ac:dyDescent="0.2">
      <c r="A10" s="60">
        <v>44323</v>
      </c>
      <c r="C10" s="58">
        <f>SUM(10929.01+525)</f>
        <v>11454.01</v>
      </c>
      <c r="D10" s="57">
        <f>SUM(42+1)</f>
        <v>43</v>
      </c>
      <c r="E10" s="55"/>
      <c r="F10" s="58">
        <f>SUM(82898.832-525)</f>
        <v>82373.831999999995</v>
      </c>
      <c r="G10" s="57">
        <f>SUM(251-1)</f>
        <v>250</v>
      </c>
      <c r="I10" s="58">
        <v>93827.841999999946</v>
      </c>
      <c r="J10" s="57">
        <v>293</v>
      </c>
    </row>
    <row r="11" spans="1:10" x14ac:dyDescent="0.2">
      <c r="A11" s="60">
        <v>44330</v>
      </c>
      <c r="C11" s="58">
        <v>24450.82</v>
      </c>
      <c r="D11" s="57">
        <v>107</v>
      </c>
      <c r="E11" s="55"/>
      <c r="F11" s="58">
        <v>90149.21</v>
      </c>
      <c r="G11" s="57">
        <v>286</v>
      </c>
      <c r="I11" s="58">
        <v>114600.03</v>
      </c>
      <c r="J11" s="57">
        <v>393</v>
      </c>
    </row>
    <row r="12" spans="1:10" x14ac:dyDescent="0.2">
      <c r="A12" s="60">
        <v>44337</v>
      </c>
      <c r="C12" s="58">
        <f>SUM(28796.49+628)</f>
        <v>29424.49</v>
      </c>
      <c r="D12" s="57">
        <f>SUM(110+3)</f>
        <v>113</v>
      </c>
      <c r="E12" s="55"/>
      <c r="F12" s="58">
        <f>SUM(112143.74-628)</f>
        <v>111515.74</v>
      </c>
      <c r="G12" s="57">
        <f>SUM(381-3)</f>
        <v>378</v>
      </c>
      <c r="I12" s="58">
        <v>140940.23000000001</v>
      </c>
      <c r="J12" s="57">
        <v>491</v>
      </c>
    </row>
    <row r="13" spans="1:10" x14ac:dyDescent="0.2">
      <c r="A13" s="60">
        <v>44344</v>
      </c>
      <c r="C13" s="58">
        <v>21846.65</v>
      </c>
      <c r="D13" s="57">
        <v>64</v>
      </c>
      <c r="E13" s="55"/>
      <c r="F13" s="58">
        <v>33777.22</v>
      </c>
      <c r="G13" s="57">
        <v>119</v>
      </c>
      <c r="I13" s="58">
        <v>55623.87</v>
      </c>
      <c r="J13" s="57">
        <v>183</v>
      </c>
    </row>
    <row r="14" spans="1:10" x14ac:dyDescent="0.2">
      <c r="A14" s="60">
        <v>44351</v>
      </c>
      <c r="C14" s="58">
        <v>8044.6</v>
      </c>
      <c r="D14" s="57">
        <v>31</v>
      </c>
      <c r="E14" s="55"/>
      <c r="F14" s="58">
        <v>36303.550000000003</v>
      </c>
      <c r="G14" s="57">
        <v>106</v>
      </c>
      <c r="I14" s="58">
        <v>44348.15</v>
      </c>
      <c r="J14" s="57">
        <v>137</v>
      </c>
    </row>
    <row r="15" spans="1:10" x14ac:dyDescent="0.2">
      <c r="A15" s="60">
        <v>44358</v>
      </c>
      <c r="C15" s="58">
        <f>SUM(20037.98+458.57)</f>
        <v>20496.55</v>
      </c>
      <c r="D15" s="57">
        <f>SUM(61+1)</f>
        <v>62</v>
      </c>
      <c r="E15" s="55"/>
      <c r="F15" s="58">
        <f>SUM(49059.33-458.57)</f>
        <v>48600.76</v>
      </c>
      <c r="G15" s="57">
        <f>SUM(134-1)</f>
        <v>133</v>
      </c>
      <c r="I15" s="58">
        <v>69097.31</v>
      </c>
      <c r="J15" s="57">
        <v>195</v>
      </c>
    </row>
    <row r="16" spans="1:10" x14ac:dyDescent="0.2">
      <c r="A16" s="60">
        <v>44365</v>
      </c>
      <c r="C16" s="58">
        <v>33544.959999999999</v>
      </c>
      <c r="D16" s="57">
        <v>98</v>
      </c>
      <c r="E16" s="55"/>
      <c r="F16" s="58">
        <v>62642.64</v>
      </c>
      <c r="G16" s="57">
        <v>192</v>
      </c>
      <c r="I16" s="58">
        <v>96187.6</v>
      </c>
      <c r="J16" s="57">
        <v>290</v>
      </c>
    </row>
    <row r="17" spans="1:10" x14ac:dyDescent="0.2">
      <c r="A17" s="60">
        <v>44372</v>
      </c>
      <c r="C17" s="58">
        <v>19092.61</v>
      </c>
      <c r="D17" s="57">
        <v>74</v>
      </c>
      <c r="E17" s="55"/>
      <c r="F17" s="58">
        <v>71490.22</v>
      </c>
      <c r="G17" s="57">
        <v>182</v>
      </c>
      <c r="I17" s="58">
        <v>90582.83</v>
      </c>
      <c r="J17" s="57">
        <v>256</v>
      </c>
    </row>
    <row r="18" spans="1:10" x14ac:dyDescent="0.2">
      <c r="A18" s="60">
        <v>44379</v>
      </c>
      <c r="C18" s="58">
        <v>9281.99</v>
      </c>
      <c r="D18" s="57">
        <v>27</v>
      </c>
      <c r="E18" s="55"/>
      <c r="F18" s="58">
        <v>43029.83</v>
      </c>
      <c r="G18" s="57">
        <v>96</v>
      </c>
      <c r="I18" s="58">
        <v>52311.82</v>
      </c>
      <c r="J18" s="57">
        <v>123</v>
      </c>
    </row>
    <row r="19" spans="1:10" x14ac:dyDescent="0.2">
      <c r="A19" s="60">
        <v>44386</v>
      </c>
      <c r="C19" s="58">
        <v>15663.73</v>
      </c>
      <c r="D19" s="57">
        <v>54</v>
      </c>
      <c r="E19" s="55"/>
      <c r="F19" s="58">
        <v>62319.05</v>
      </c>
      <c r="G19" s="57">
        <v>158</v>
      </c>
      <c r="H19" s="55" t="s">
        <v>42</v>
      </c>
      <c r="I19" s="58">
        <v>77982.78</v>
      </c>
      <c r="J19" s="57">
        <v>212</v>
      </c>
    </row>
    <row r="20" spans="1:10" x14ac:dyDescent="0.2">
      <c r="A20" s="60">
        <v>44393</v>
      </c>
      <c r="C20" s="58">
        <v>10260.24</v>
      </c>
      <c r="D20" s="57">
        <v>39</v>
      </c>
      <c r="E20" s="55"/>
      <c r="F20" s="58">
        <v>48250.21</v>
      </c>
      <c r="G20" s="57">
        <v>129</v>
      </c>
      <c r="I20" s="58">
        <v>58510.45</v>
      </c>
      <c r="J20" s="57">
        <v>168</v>
      </c>
    </row>
    <row r="21" spans="1:10" x14ac:dyDescent="0.2">
      <c r="A21" s="60">
        <v>44400</v>
      </c>
      <c r="C21" s="58">
        <v>5647.8499999999995</v>
      </c>
      <c r="D21" s="57">
        <v>40</v>
      </c>
      <c r="E21" s="55"/>
      <c r="F21" s="58">
        <v>50027.599999999991</v>
      </c>
      <c r="G21" s="57">
        <v>149</v>
      </c>
      <c r="I21" s="58">
        <v>55675.44999999999</v>
      </c>
      <c r="J21" s="57">
        <v>189</v>
      </c>
    </row>
    <row r="22" spans="1:10" x14ac:dyDescent="0.2">
      <c r="A22" s="60">
        <v>44406</v>
      </c>
      <c r="C22" s="58">
        <v>4102.6099999999997</v>
      </c>
      <c r="D22" s="57">
        <v>23</v>
      </c>
      <c r="E22" s="55"/>
      <c r="F22" s="58">
        <v>28272.14</v>
      </c>
      <c r="G22" s="57">
        <v>99</v>
      </c>
      <c r="I22" s="58">
        <v>32374.75</v>
      </c>
      <c r="J22" s="57">
        <v>122</v>
      </c>
    </row>
    <row r="23" spans="1:10" x14ac:dyDescent="0.2">
      <c r="A23" s="60">
        <v>44414</v>
      </c>
      <c r="C23" s="58">
        <v>20183.27</v>
      </c>
      <c r="D23" s="57">
        <v>72</v>
      </c>
      <c r="E23" s="55"/>
      <c r="F23" s="58">
        <v>62193.99</v>
      </c>
      <c r="G23" s="57">
        <v>146</v>
      </c>
      <c r="I23" s="58">
        <v>82377.259999999995</v>
      </c>
      <c r="J23" s="57">
        <v>218</v>
      </c>
    </row>
    <row r="24" spans="1:10" x14ac:dyDescent="0.2">
      <c r="A24" s="60">
        <v>44421</v>
      </c>
      <c r="C24" s="58">
        <v>12493.62</v>
      </c>
      <c r="D24" s="57">
        <v>74</v>
      </c>
      <c r="E24" s="55"/>
      <c r="F24" s="58">
        <v>43211.79</v>
      </c>
      <c r="G24" s="57">
        <v>121</v>
      </c>
      <c r="I24" s="58">
        <v>55705.41</v>
      </c>
      <c r="J24" s="57">
        <v>195</v>
      </c>
    </row>
    <row r="25" spans="1:10" x14ac:dyDescent="0.2">
      <c r="A25" s="60">
        <v>44428</v>
      </c>
      <c r="C25" s="58">
        <v>22122.84</v>
      </c>
      <c r="D25" s="57">
        <v>61</v>
      </c>
      <c r="E25" s="55"/>
      <c r="F25" s="58">
        <v>36837.730000000003</v>
      </c>
      <c r="G25" s="57">
        <v>142</v>
      </c>
      <c r="I25" s="58">
        <v>58960.57</v>
      </c>
      <c r="J25" s="57">
        <v>203</v>
      </c>
    </row>
    <row r="26" spans="1:10" x14ac:dyDescent="0.2">
      <c r="A26" s="60">
        <v>44435</v>
      </c>
      <c r="C26" s="58">
        <v>24999.710000000003</v>
      </c>
      <c r="D26" s="57">
        <v>72</v>
      </c>
      <c r="E26" s="55"/>
      <c r="F26" s="58">
        <v>39214.179999999978</v>
      </c>
      <c r="G26" s="57">
        <v>141</v>
      </c>
      <c r="I26" s="58">
        <v>64213.889999999985</v>
      </c>
      <c r="J26" s="57">
        <v>213</v>
      </c>
    </row>
    <row r="27" spans="1:10" x14ac:dyDescent="0.2">
      <c r="A27" s="60">
        <v>44441</v>
      </c>
      <c r="C27" s="58">
        <v>15029.71</v>
      </c>
      <c r="D27" s="57">
        <v>35</v>
      </c>
      <c r="E27" s="55"/>
      <c r="F27" s="58">
        <v>16420.11</v>
      </c>
      <c r="G27" s="57">
        <v>71</v>
      </c>
      <c r="I27" s="58">
        <v>31449.82</v>
      </c>
      <c r="J27" s="57">
        <v>106</v>
      </c>
    </row>
    <row r="28" spans="1:10" x14ac:dyDescent="0.2">
      <c r="A28" s="60">
        <v>44449</v>
      </c>
      <c r="C28" s="58">
        <v>14336.25</v>
      </c>
      <c r="D28" s="57">
        <v>70</v>
      </c>
      <c r="E28" s="55"/>
      <c r="F28" s="58">
        <v>42262.75</v>
      </c>
      <c r="G28" s="57">
        <v>151</v>
      </c>
      <c r="I28" s="58">
        <f>SUM(C28,F28)</f>
        <v>56599</v>
      </c>
      <c r="J28" s="57">
        <f>SUM(D28,G28)</f>
        <v>221</v>
      </c>
    </row>
    <row r="29" spans="1:10" x14ac:dyDescent="0.2">
      <c r="A29" s="60">
        <v>44456</v>
      </c>
      <c r="C29" s="58">
        <v>25820.47</v>
      </c>
      <c r="D29" s="57">
        <v>69</v>
      </c>
      <c r="E29" s="55"/>
      <c r="F29" s="58">
        <v>22840.02</v>
      </c>
      <c r="G29" s="57">
        <v>98</v>
      </c>
      <c r="I29" s="58">
        <v>48660.49</v>
      </c>
      <c r="J29" s="57">
        <v>167</v>
      </c>
    </row>
    <row r="30" spans="1:10" x14ac:dyDescent="0.2">
      <c r="A30" s="60">
        <v>44463</v>
      </c>
      <c r="C30" s="58">
        <v>18215.21</v>
      </c>
      <c r="D30" s="57">
        <v>51</v>
      </c>
      <c r="E30" s="55"/>
      <c r="F30" s="58">
        <v>19867.060000000001</v>
      </c>
      <c r="G30" s="57">
        <v>77</v>
      </c>
      <c r="I30" s="58">
        <v>38082.269999999997</v>
      </c>
      <c r="J30" s="57">
        <v>128</v>
      </c>
    </row>
    <row r="31" spans="1:10" x14ac:dyDescent="0.2">
      <c r="A31" s="60">
        <v>44470</v>
      </c>
      <c r="C31" s="58">
        <v>5958.61</v>
      </c>
      <c r="D31" s="57">
        <v>17</v>
      </c>
      <c r="E31" s="55"/>
      <c r="F31" s="58">
        <v>40996.37999999999</v>
      </c>
      <c r="G31" s="57">
        <v>113</v>
      </c>
      <c r="I31" s="58">
        <v>46954.989999999991</v>
      </c>
      <c r="J31" s="57">
        <v>130</v>
      </c>
    </row>
    <row r="32" spans="1:10" x14ac:dyDescent="0.2">
      <c r="A32" s="60">
        <v>44477</v>
      </c>
      <c r="C32" s="58">
        <v>2010.06</v>
      </c>
      <c r="D32" s="57">
        <v>13</v>
      </c>
      <c r="E32" s="55"/>
      <c r="F32" s="58">
        <v>25581.759999999998</v>
      </c>
      <c r="G32" s="57">
        <v>92</v>
      </c>
      <c r="I32" s="58">
        <v>27591.82</v>
      </c>
      <c r="J32" s="57">
        <v>105</v>
      </c>
    </row>
    <row r="33" spans="1:11" x14ac:dyDescent="0.2">
      <c r="A33" s="60">
        <v>44484</v>
      </c>
      <c r="C33" s="58">
        <v>3460.28</v>
      </c>
      <c r="D33" s="57">
        <v>21</v>
      </c>
      <c r="E33" s="55"/>
      <c r="F33" s="58">
        <v>39471.919999999998</v>
      </c>
      <c r="G33" s="57">
        <v>165</v>
      </c>
      <c r="I33" s="58">
        <f>SUM([1]Summary!B3:B4)</f>
        <v>42932.2</v>
      </c>
      <c r="J33" s="57">
        <f>SUM([1]Summary!C3:C4)</f>
        <v>186</v>
      </c>
    </row>
    <row r="34" spans="1:11" ht="13.5" thickBot="1" x14ac:dyDescent="0.25">
      <c r="A34" s="67" t="s">
        <v>43</v>
      </c>
      <c r="B34" s="55"/>
      <c r="C34" s="66">
        <f>SUM(C5:C33)</f>
        <v>458335.76500000001</v>
      </c>
      <c r="D34" s="65">
        <f>SUM(D5:D33)</f>
        <v>1623</v>
      </c>
      <c r="E34" s="55" t="s">
        <v>42</v>
      </c>
      <c r="F34" s="66">
        <f>SUM(F5:F33)</f>
        <v>1645702.44</v>
      </c>
      <c r="G34" s="65">
        <f>SUM(G5:G33)</f>
        <v>4809</v>
      </c>
      <c r="I34" s="66">
        <f>SUM(I5:I33)</f>
        <v>2104038.2050000005</v>
      </c>
      <c r="J34" s="65">
        <f>SUM(J5:J33)</f>
        <v>6432</v>
      </c>
      <c r="K34" s="65" t="s">
        <v>42</v>
      </c>
    </row>
    <row r="35" spans="1:11" ht="13.5" thickTop="1" x14ac:dyDescent="0.2"/>
    <row r="37" spans="1:11" x14ac:dyDescent="0.2">
      <c r="A37" s="60" t="s">
        <v>41</v>
      </c>
    </row>
    <row r="38" spans="1:11" x14ac:dyDescent="0.2">
      <c r="A38" s="60">
        <v>44288</v>
      </c>
      <c r="C38" s="58">
        <v>88841.7</v>
      </c>
      <c r="D38" s="57">
        <v>276</v>
      </c>
      <c r="F38" s="58">
        <v>480111.76</v>
      </c>
      <c r="G38" s="57">
        <v>1129</v>
      </c>
      <c r="I38" s="58">
        <f>C38+F38</f>
        <v>568953.46</v>
      </c>
      <c r="J38" s="57">
        <f>D38+G38</f>
        <v>1405</v>
      </c>
    </row>
    <row r="39" spans="1:11" x14ac:dyDescent="0.2">
      <c r="A39" s="60">
        <v>44378</v>
      </c>
      <c r="C39" s="58">
        <v>3852.44</v>
      </c>
      <c r="D39" s="57">
        <v>53</v>
      </c>
      <c r="F39" s="58">
        <v>117994.05</v>
      </c>
      <c r="G39" s="57">
        <v>1003</v>
      </c>
      <c r="I39" s="58">
        <f>C39+F39</f>
        <v>121846.49</v>
      </c>
      <c r="J39" s="57">
        <f>D39+G39</f>
        <v>1056</v>
      </c>
    </row>
    <row r="40" spans="1:11" x14ac:dyDescent="0.2">
      <c r="A40" s="60">
        <v>44476</v>
      </c>
      <c r="C40" s="58">
        <v>551.27</v>
      </c>
      <c r="D40" s="57">
        <v>19</v>
      </c>
      <c r="F40" s="58">
        <v>54054.12</v>
      </c>
      <c r="G40" s="57">
        <v>896</v>
      </c>
      <c r="I40" s="58">
        <v>54605.39</v>
      </c>
      <c r="J40" s="57">
        <v>915</v>
      </c>
    </row>
    <row r="42" spans="1:11" x14ac:dyDescent="0.2">
      <c r="A42" s="60" t="s">
        <v>40</v>
      </c>
      <c r="C42" s="58">
        <f>SUM(C34,C38,C39,C40)</f>
        <v>551581.17499999993</v>
      </c>
      <c r="D42" s="57">
        <f>SUM(D34,D38,D39,D40)</f>
        <v>1971</v>
      </c>
      <c r="E42" s="58">
        <f>SUM(E35,E38)</f>
        <v>0</v>
      </c>
      <c r="F42" s="58">
        <f>SUM(F34,F38,F39,F40)</f>
        <v>2297862.37</v>
      </c>
      <c r="G42" s="57">
        <f>SUM(G34,G38,G39,G40)</f>
        <v>7837</v>
      </c>
      <c r="H42" s="58">
        <f>SUM(H35,H38)</f>
        <v>0</v>
      </c>
      <c r="I42" s="58">
        <f>SUM(I34,I38,I39,I40)</f>
        <v>2849443.5450000009</v>
      </c>
      <c r="J42" s="57">
        <f>SUM(J34,J38,J39,J40)</f>
        <v>9808</v>
      </c>
    </row>
    <row r="44" spans="1:11" x14ac:dyDescent="0.2">
      <c r="A44" s="60" t="s">
        <v>39</v>
      </c>
      <c r="C44" s="58">
        <v>707517</v>
      </c>
      <c r="F44" s="58">
        <v>2437250</v>
      </c>
      <c r="I44" s="58">
        <f>SUM(C44,F44)</f>
        <v>3144767</v>
      </c>
    </row>
    <row r="46" spans="1:11" ht="15" x14ac:dyDescent="0.25">
      <c r="A46" s="55" t="s">
        <v>38</v>
      </c>
      <c r="C46" s="64">
        <f>C42/C44</f>
        <v>0.77960130286622076</v>
      </c>
      <c r="F46" s="64">
        <f>F42/F44</f>
        <v>0.94280946558621403</v>
      </c>
      <c r="I46" s="64">
        <f>I42/I44</f>
        <v>0.90609051322403245</v>
      </c>
    </row>
    <row r="49" spans="3:6" x14ac:dyDescent="0.2">
      <c r="C49" s="63" t="s">
        <v>37</v>
      </c>
      <c r="E49" s="57"/>
      <c r="F49" s="63" t="s">
        <v>6</v>
      </c>
    </row>
    <row r="50" spans="3:6" x14ac:dyDescent="0.2">
      <c r="C50" s="61">
        <f>SUM(C5:C30)+SUM(C38:C39)</f>
        <v>539600.95499999996</v>
      </c>
      <c r="E50" s="62"/>
      <c r="F50" s="61">
        <f>SUM(F5:F30)+SUM(F38:F39)</f>
        <v>2137758.1900000004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7A3B8E360FE040B2ACCDE0622B3ACE" ma:contentTypeVersion="44" ma:contentTypeDescription="" ma:contentTypeScope="" ma:versionID="c5fd6ed931435a07b70fb01214121ad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2020-05-27T07:00:00+00:00</OpenedDate>
    <SignificantOrder xmlns="dc463f71-b30c-4ab2-9473-d307f9d35888">false</SignificantOrder>
    <Date1 xmlns="dc463f71-b30c-4ab2-9473-d307f9d35888">2021-12-10T08:00:00+00:00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200479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7B4CB27-A35E-477B-B1DD-48291BE47C01}"/>
</file>

<file path=customXml/itemProps2.xml><?xml version="1.0" encoding="utf-8"?>
<ds:datastoreItem xmlns:ds="http://schemas.openxmlformats.org/officeDocument/2006/customXml" ds:itemID="{573A0DCF-B017-4638-AC22-E8089D3BEE2E}"/>
</file>

<file path=customXml/itemProps3.xml><?xml version="1.0" encoding="utf-8"?>
<ds:datastoreItem xmlns:ds="http://schemas.openxmlformats.org/officeDocument/2006/customXml" ds:itemID="{181AB460-4E54-4BEE-810A-6EC2F339F7C2}"/>
</file>

<file path=customXml/itemProps4.xml><?xml version="1.0" encoding="utf-8"?>
<ds:datastoreItem xmlns:ds="http://schemas.openxmlformats.org/officeDocument/2006/customXml" ds:itemID="{45344C7B-C66E-44C7-8A75-3669AE24DD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Assistance Program 09-21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2021-12-10T16:48:29Z</dcterms:created>
  <dcterms:modified xsi:type="dcterms:W3CDTF">2021-12-10T17:09:21Z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0x0101006E56B4D1795A2E4DB2F0B01679ED314A00997A3B8E360FE040B2ACCDE0622B3ACE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