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80" yWindow="1820" windowWidth="12820" windowHeight="11640" tabRatio="797" firstSheet="4" activeTab="11"/>
  </bookViews>
  <sheets>
    <sheet name="Earnings" sheetId="1" r:id="rId1"/>
    <sheet name="$perShare" sheetId="2" r:id="rId2"/>
    <sheet name="DATA" sheetId="3" r:id="rId3"/>
    <sheet name="Ex9" sheetId="4" r:id="rId4"/>
    <sheet name="Ex10,p1" sheetId="5" r:id="rId5"/>
    <sheet name="Ex10,p2" sheetId="6" r:id="rId6"/>
    <sheet name="Ex11" sheetId="7" r:id="rId7"/>
    <sheet name="Ex12" sheetId="8" r:id="rId8"/>
    <sheet name="Ex13" sheetId="9" r:id="rId9"/>
    <sheet name="Ex15" sheetId="10" r:id="rId10"/>
    <sheet name="Ex16,p1" sheetId="11" r:id="rId11"/>
    <sheet name="Ex16,p2" sheetId="12" r:id="rId12"/>
  </sheets>
  <definedNames>
    <definedName name="_xlnm.Print_Area" localSheetId="4">'Ex10,p1'!$A$1:$L$41</definedName>
    <definedName name="_xlnm.Print_Area" localSheetId="5">'Ex10,p2'!$A$1:$M$31</definedName>
    <definedName name="_xlnm.Print_Area" localSheetId="6">'Ex11'!$A$1:$E$35</definedName>
    <definedName name="_xlnm.Print_Area" localSheetId="7">'Ex12'!$A$1:$E$33</definedName>
    <definedName name="_xlnm.Print_Area" localSheetId="8">'Ex13'!$A$1:$E$52</definedName>
    <definedName name="_xlnm.Print_Area" localSheetId="9">'Ex15'!$A$1:$G$40</definedName>
    <definedName name="_xlnm.Print_Area" localSheetId="10">'Ex16,p1'!$A$1:$K$34</definedName>
    <definedName name="_xlnm.Print_Area" localSheetId="11">'Ex16,p2'!$A$1:$K$34</definedName>
    <definedName name="_xlnm.Print_Area" localSheetId="3">'Ex9'!$A$1:$K$261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<sst xmlns="http://schemas.openxmlformats.org/spreadsheetml/2006/main" count="1161" uniqueCount="249">
  <si>
    <t>Projected</t>
  </si>
  <si>
    <t>nmf</t>
  </si>
  <si>
    <t>AEE</t>
  </si>
  <si>
    <t>MARKET</t>
  </si>
  <si>
    <t>BTEA</t>
  </si>
  <si>
    <t>CURRENT</t>
  </si>
  <si>
    <t>5YR HIST</t>
  </si>
  <si>
    <t>5YR PROJ</t>
  </si>
  <si>
    <t>TICKER</t>
  </si>
  <si>
    <t>CV</t>
  </si>
  <si>
    <t>FE</t>
  </si>
  <si>
    <t>Note: Equity returns and retention ratios based on Value Line current year projections.</t>
  </si>
  <si>
    <t>EQUITY CAPITAL</t>
  </si>
  <si>
    <t>CNL</t>
  </si>
  <si>
    <t>EDE</t>
  </si>
  <si>
    <t>ETR</t>
  </si>
  <si>
    <t>HE</t>
  </si>
  <si>
    <t>n/a</t>
  </si>
  <si>
    <t>PUGET SOUND ENERGY</t>
  </si>
  <si>
    <t>High</t>
  </si>
  <si>
    <t>Low</t>
  </si>
  <si>
    <t>Close</t>
  </si>
  <si>
    <t>Volume</t>
  </si>
  <si>
    <t>Data from Value Line Ratings &amp; Reports March 1 and March 29, 2002.</t>
  </si>
  <si>
    <t>Exhibit No.___ (SGH-9)</t>
  </si>
  <si>
    <t>Docket Nos. UE-072300 and UG-072301</t>
  </si>
  <si>
    <t>Exhibit No. ___ (SGH-9)</t>
  </si>
  <si>
    <t>Exhibit No. ___(SGH-9)</t>
  </si>
  <si>
    <t>Exhibit No. ___(SGH-10)</t>
  </si>
  <si>
    <t>Exhbit No. ___(SGH-10)</t>
  </si>
  <si>
    <t>*Current dividend increased by 1+g (growth rate) derived in Exhibit No. ___(SGH-10)</t>
  </si>
  <si>
    <t>Page 1 of 1</t>
  </si>
  <si>
    <t>Docket Nos. UE-072300 and UG072301</t>
  </si>
  <si>
    <t>Exhibit No. ___(SGH-11)</t>
  </si>
  <si>
    <t>Exhibit No. ___(SGH-12)</t>
  </si>
  <si>
    <t>Exhibit No. ___(SGH-15)</t>
  </si>
  <si>
    <t>Exhibit No. ___(SGH-16)</t>
  </si>
  <si>
    <t xml:space="preserve">  Zack's growth rates: </t>
  </si>
  <si>
    <t xml:space="preserve">HE-4.5%, PNM-5.8%, PNW-6.7%, PSD-5.5%, UNS-n/a, XEL-5.2%. </t>
  </si>
  <si>
    <t>Zack's average earnings growth = 7.0%.</t>
  </si>
  <si>
    <t>MARKET-TO-BOOK</t>
  </si>
  <si>
    <t>Pinnacle West Capital</t>
  </si>
  <si>
    <t>High - Low</t>
  </si>
  <si>
    <t>volatility</t>
  </si>
  <si>
    <t>SD/avg</t>
  </si>
  <si>
    <t>Northeast Utilities</t>
  </si>
  <si>
    <t>Ameren</t>
  </si>
  <si>
    <t>American Electric Power</t>
  </si>
  <si>
    <t>Cleco  Corporation</t>
  </si>
  <si>
    <t>Entergy</t>
  </si>
  <si>
    <t>Puget Energy, Inc.</t>
  </si>
  <si>
    <t>Xcel Energy, Inc.</t>
  </si>
  <si>
    <t>NU</t>
  </si>
  <si>
    <t>AEP</t>
  </si>
  <si>
    <t>XEL</t>
  </si>
  <si>
    <t>2011-2013</t>
  </si>
  <si>
    <t>y</t>
  </si>
  <si>
    <t>2008?</t>
  </si>
  <si>
    <t>2010-2012</t>
  </si>
  <si>
    <t>Note: Companies in West &amp; Central Region (AEE, AEP, CNL, EDE, ETR, HE, PNM, PNW, PSD, UNS, XEL) have data from 2002 through 20010-12.</t>
  </si>
  <si>
    <t>Page 1 of 5</t>
  </si>
  <si>
    <t>Page 3 of 5</t>
  </si>
  <si>
    <t>Page 4 of 5</t>
  </si>
  <si>
    <t>Page 5 of 5</t>
  </si>
  <si>
    <t>Page 2 of 5</t>
  </si>
  <si>
    <t>Data from Value Line Ratings &amp; Reports Dec. 28, 2007, Feb. 8 and Feb. 29, 2008.</t>
  </si>
  <si>
    <t>Page 2 of 2</t>
  </si>
  <si>
    <t>*</t>
  </si>
  <si>
    <t>NR</t>
  </si>
  <si>
    <t>Baa1</t>
  </si>
  <si>
    <t>Baa2</t>
  </si>
  <si>
    <t>8.59%/8.84% /9.83%</t>
  </si>
  <si>
    <r>
      <t>Principles of Corporate Finance</t>
    </r>
    <r>
      <rPr>
        <sz val="10"/>
        <rFont val="Helv"/>
        <family val="0"/>
      </rPr>
      <t>, 8th Edition, McGraw-Hill, Irwin, Boston MA, 2006, pp. 149, 154, 222.</t>
    </r>
  </si>
  <si>
    <r>
      <t xml:space="preserve">k = rf + </t>
    </r>
    <r>
      <rPr>
        <b/>
        <sz val="10"/>
        <rFont val="Symbol"/>
        <family val="1"/>
      </rPr>
      <t xml:space="preserve">b </t>
    </r>
    <r>
      <rPr>
        <b/>
        <sz val="10"/>
        <rFont val="Helv"/>
        <family val="0"/>
      </rPr>
      <t>(rm - rf)</t>
    </r>
  </si>
  <si>
    <t>k(mid-point)</t>
  </si>
  <si>
    <t xml:space="preserve">CV-n/a, FE-6.5%, NU-10%, AEE-5.0%, AEP-5.4%, CNL-9.5%, EDE-n/a, ETR-13.3%, </t>
  </si>
  <si>
    <t xml:space="preserve">EQUITY </t>
  </si>
  <si>
    <t>BOOK VALUE</t>
  </si>
  <si>
    <t>SHARES OUTST.</t>
  </si>
  <si>
    <t>PNM</t>
  </si>
  <si>
    <t>FirstEnergy Corp.</t>
  </si>
  <si>
    <t>Empire District Electric</t>
  </si>
  <si>
    <t>Hawaiian Electric</t>
  </si>
  <si>
    <t>MEDIAN</t>
  </si>
  <si>
    <t>No. analysts</t>
  </si>
  <si>
    <t>5-year Growth</t>
  </si>
  <si>
    <t>Zack's</t>
  </si>
  <si>
    <t>NAME/</t>
  </si>
  <si>
    <t>MODIFIED EARNINGS-PRICE RATIO ANALYSIS</t>
  </si>
  <si>
    <t>MAXIMUM</t>
  </si>
  <si>
    <t>MINIMUM</t>
  </si>
  <si>
    <t>Exhibit__(SGH-13)</t>
  </si>
  <si>
    <t>($/SHARE)</t>
  </si>
  <si>
    <t>(MILLIONS)</t>
  </si>
  <si>
    <t>AVERAGE GROWTH</t>
  </si>
  <si>
    <t>-</t>
  </si>
  <si>
    <t>Page 1 of 2</t>
  </si>
  <si>
    <t>DCF GROWTH RATES</t>
  </si>
  <si>
    <t>br</t>
  </si>
  <si>
    <t>+</t>
  </si>
  <si>
    <t>DIV GROWTH</t>
  </si>
  <si>
    <t>EXTERNAL</t>
  </si>
  <si>
    <t>RETENTION</t>
  </si>
  <si>
    <t>Reuters</t>
  </si>
  <si>
    <t>REUTERS</t>
  </si>
  <si>
    <t>MEAN</t>
  </si>
  <si>
    <t>EARN GROWTH</t>
  </si>
  <si>
    <t>average beta</t>
  </si>
  <si>
    <t>k</t>
  </si>
  <si>
    <t>T-BONDS</t>
  </si>
  <si>
    <t>g*= expected growth in number of shares outstanding</t>
  </si>
  <si>
    <t>Value Line Projected</t>
  </si>
  <si>
    <t>Value Line Historic</t>
  </si>
  <si>
    <t>VALUE LINE</t>
  </si>
  <si>
    <t>DIVIDEND</t>
  </si>
  <si>
    <t>EPS</t>
  </si>
  <si>
    <t>DPS</t>
  </si>
  <si>
    <t>2004-2006</t>
  </si>
  <si>
    <t xml:space="preserve">Market </t>
  </si>
  <si>
    <t>Price</t>
  </si>
  <si>
    <t>Earnings-Price</t>
  </si>
  <si>
    <t>Ratio</t>
  </si>
  <si>
    <t>k=</t>
  </si>
  <si>
    <t>CAPM COST OF EQUITY CAPITAL</t>
  </si>
  <si>
    <t>"g"</t>
  </si>
  <si>
    <t>PNW</t>
  </si>
  <si>
    <t>Average</t>
  </si>
  <si>
    <t>value line</t>
  </si>
  <si>
    <t>30-year</t>
  </si>
  <si>
    <t>DCF</t>
  </si>
  <si>
    <t>Growth</t>
  </si>
  <si>
    <t>ROE(decimal)</t>
  </si>
  <si>
    <t>BVPS</t>
  </si>
  <si>
    <t>SHARES OUTST</t>
  </si>
  <si>
    <t>eq ratio</t>
  </si>
  <si>
    <t>Business Rank</t>
  </si>
  <si>
    <t>S&amp;P</t>
  </si>
  <si>
    <t>bond rating</t>
  </si>
  <si>
    <t>BBB</t>
  </si>
  <si>
    <t>A-</t>
  </si>
  <si>
    <t>BBB-</t>
  </si>
  <si>
    <t>BBB+</t>
  </si>
  <si>
    <t>6.50% (arithmetic mean)</t>
  </si>
  <si>
    <t>Unisource Energy</t>
  </si>
  <si>
    <t>UNS</t>
  </si>
  <si>
    <t>sv=g*(1-(1/(M/B)))</t>
  </si>
  <si>
    <t>(</t>
  </si>
  <si>
    <t>(1/</t>
  </si>
  <si>
    <t>)))</t>
  </si>
  <si>
    <t>5-yr Compound Hist.</t>
  </si>
  <si>
    <t>Exhibit__(SGH-10)</t>
  </si>
  <si>
    <t>Current</t>
  </si>
  <si>
    <t>A3</t>
  </si>
  <si>
    <t>Moody's</t>
  </si>
  <si>
    <t>BBB-=0</t>
  </si>
  <si>
    <t>BBB=1</t>
  </si>
  <si>
    <t>BBB+=2</t>
  </si>
  <si>
    <t>A-=3</t>
  </si>
  <si>
    <t>S&amp;P num.</t>
  </si>
  <si>
    <t>Moody's num</t>
  </si>
  <si>
    <t>Mean</t>
  </si>
  <si>
    <t>Median</t>
  </si>
  <si>
    <t>Puget</t>
  </si>
  <si>
    <t>2009 Earnings</t>
  </si>
  <si>
    <t>2008/2009</t>
  </si>
  <si>
    <t>2010-2013</t>
  </si>
  <si>
    <t>[2008]</t>
  </si>
  <si>
    <t>[2010-2013]</t>
  </si>
  <si>
    <t xml:space="preserve">Standard </t>
  </si>
  <si>
    <t>Deviation</t>
  </si>
  <si>
    <t>COST OF EQUITY</t>
  </si>
  <si>
    <t>T-BILLS</t>
  </si>
  <si>
    <t>[rf]*</t>
  </si>
  <si>
    <t>[rm - rf]†</t>
  </si>
  <si>
    <t>6.70% (geometric mean)</t>
  </si>
  <si>
    <t>PROJECTED M.E.P.R.</t>
  </si>
  <si>
    <t>=</t>
  </si>
  <si>
    <t>AVERAGES</t>
  </si>
  <si>
    <t>&amp; VL</t>
  </si>
  <si>
    <t>AVGS.</t>
  </si>
  <si>
    <t>GROWTH RATE COMPARISON</t>
  </si>
  <si>
    <t>STOCK PRICE, DIVIDENDS, YIELDS</t>
  </si>
  <si>
    <t>AVG. STOCK PRICE</t>
  </si>
  <si>
    <t>ANNUALIZED</t>
  </si>
  <si>
    <t>YIELD</t>
  </si>
  <si>
    <t>(PER SHARE)</t>
  </si>
  <si>
    <t>AVERAGE</t>
  </si>
  <si>
    <t>DCF COST OF EQUITY CAPITAL</t>
  </si>
  <si>
    <t>SHARE</t>
  </si>
  <si>
    <t>Average Market-to-Book Ratio</t>
  </si>
  <si>
    <t>average</t>
  </si>
  <si>
    <t>DIVIDEND YIELD</t>
  </si>
  <si>
    <t>GROWTH RATE</t>
  </si>
  <si>
    <t>DCF COST OF</t>
  </si>
  <si>
    <t>PNM Resources</t>
  </si>
  <si>
    <t>Central Vermont P. S.</t>
  </si>
  <si>
    <t>AVERAGE W/O PUGET</t>
  </si>
  <si>
    <t>AV W/O PSD</t>
  </si>
  <si>
    <t>[CURRENT M.E.P.R. W/O PUGET]</t>
  </si>
  <si>
    <t>[POJECTED M.E.P.R. W/O PUGET]</t>
  </si>
  <si>
    <t>Note: Average beta of sample group is 0.82 with and without Puget Energy.</t>
  </si>
  <si>
    <t>†Geometric and arithmetric market risk premiums from Morningstar 2007 SBBI Yearbook, p. 28.</t>
  </si>
  <si>
    <t>5.00% (geometric mean)</t>
  </si>
  <si>
    <t>8.50% (arithmetic mean)</t>
  </si>
  <si>
    <t>*Current T-Bill &amp; T-Bond yields, six-week average yield from Value Line Selection &amp; Opinion (2/1/08-3/7/08)</t>
  </si>
  <si>
    <t>[rm-rf]††</t>
  </si>
  <si>
    <t xml:space="preserve">†† Mid-point long- and short-term market risk premium from Brealey, R., Meyers, S., Allen, F., </t>
  </si>
  <si>
    <t>2.15% + 0.82 (6.5%/6.7%/8.60%)</t>
  </si>
  <si>
    <t>7.50%/7.66%/9.15%</t>
  </si>
  <si>
    <t>4.48% + 0.82 (5.0%/5.3%/6.50%)</t>
  </si>
  <si>
    <t>2.15% + 5.35%/5.51%/7.00%</t>
  </si>
  <si>
    <t>4.48% + 4.11%/4.36%/5.32%</t>
  </si>
  <si>
    <t>Exhibit__(SGH-11)</t>
  </si>
  <si>
    <t>RATIO</t>
  </si>
  <si>
    <t>RETURN</t>
  </si>
  <si>
    <t>n</t>
  </si>
  <si>
    <t>Schedule 4</t>
  </si>
  <si>
    <t xml:space="preserve">Value Line </t>
  </si>
  <si>
    <t xml:space="preserve">Year-ahead </t>
  </si>
  <si>
    <t>Dividend Yield</t>
  </si>
  <si>
    <t>STANDARD DEVIATION</t>
  </si>
  <si>
    <t>R.O.E.</t>
  </si>
  <si>
    <t xml:space="preserve"> AVERAGE</t>
  </si>
  <si>
    <t>INCR?</t>
  </si>
  <si>
    <t>MARKET-TO-BOOK RATIO ANALYSIS</t>
  </si>
  <si>
    <t>k = R.O.E.(1-b)/(M/B) + g</t>
  </si>
  <si>
    <t>First Call</t>
  </si>
  <si>
    <t>PRICE</t>
  </si>
  <si>
    <t>(Per Share)</t>
  </si>
  <si>
    <t>(Per share)</t>
  </si>
  <si>
    <t>DCF GROWTH RATE PARAMETERS</t>
  </si>
  <si>
    <t>COMPANY</t>
  </si>
  <si>
    <t xml:space="preserve">INTERNAL </t>
  </si>
  <si>
    <t>GROWTH</t>
  </si>
  <si>
    <t>BV GROWTH</t>
  </si>
  <si>
    <t>PROJ 5-YR EPS</t>
  </si>
  <si>
    <t>From Puget 2006</t>
  </si>
  <si>
    <t>Note: Equity returns and retention ratios based on Value Line three- to five-year projections.</t>
  </si>
  <si>
    <t>Page 6 of 6</t>
  </si>
  <si>
    <t>CURRENT M.E.P.R.</t>
  </si>
  <si>
    <t>sel &amp; opin</t>
  </si>
  <si>
    <t>T-Bill</t>
  </si>
  <si>
    <t xml:space="preserve"> T-Bonds</t>
  </si>
  <si>
    <t>Date</t>
  </si>
  <si>
    <t>Open</t>
  </si>
  <si>
    <t>PSD</t>
  </si>
  <si>
    <t>g</t>
  </si>
  <si>
    <t>(1-</t>
  </si>
  <si>
    <t>)/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</si>
</sst>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0.0000%"/>
    <numFmt numFmtId="168" formatCode="0.00000%"/>
    <numFmt numFmtId="169" formatCode="0.0000000000000000%"/>
    <numFmt numFmtId="170" formatCode="0.000%"/>
    <numFmt numFmtId="171" formatCode="0.0"/>
  </numFmts>
  <fonts count="3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1"/>
    </font>
    <font>
      <b/>
      <sz val="10"/>
      <name val="Times"/>
      <family val="1"/>
    </font>
    <font>
      <sz val="10"/>
      <color indexed="12"/>
      <name val="Times"/>
      <family val="1"/>
    </font>
    <font>
      <sz val="10"/>
      <color indexed="8"/>
      <name val="Times"/>
      <family val="1"/>
    </font>
    <font>
      <sz val="9"/>
      <name val="Courier"/>
      <family val="3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sz val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0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left"/>
    </xf>
    <xf numFmtId="10" fontId="1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0" fontId="12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right"/>
    </xf>
    <xf numFmtId="10" fontId="12" fillId="0" borderId="13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2" fontId="13" fillId="0" borderId="0" xfId="0" applyNumberFormat="1" applyFont="1" applyAlignment="1">
      <alignment/>
    </xf>
    <xf numFmtId="1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0" fontId="15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center"/>
    </xf>
    <xf numFmtId="10" fontId="12" fillId="0" borderId="13" xfId="0" applyNumberFormat="1" applyFont="1" applyBorder="1" applyAlignment="1">
      <alignment/>
    </xf>
    <xf numFmtId="10" fontId="12" fillId="0" borderId="14" xfId="0" applyNumberFormat="1" applyFont="1" applyBorder="1" applyAlignment="1">
      <alignment horizontal="center"/>
    </xf>
    <xf numFmtId="10" fontId="13" fillId="0" borderId="0" xfId="0" applyNumberFormat="1" applyFont="1" applyAlignment="1">
      <alignment/>
    </xf>
    <xf numFmtId="10" fontId="12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 horizontal="center"/>
    </xf>
    <xf numFmtId="10" fontId="12" fillId="0" borderId="15" xfId="0" applyNumberFormat="1" applyFont="1" applyBorder="1" applyAlignment="1">
      <alignment/>
    </xf>
    <xf numFmtId="10" fontId="12" fillId="0" borderId="16" xfId="0" applyNumberFormat="1" applyFont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5" fontId="13" fillId="0" borderId="0" xfId="0" applyNumberFormat="1" applyFont="1" applyAlignment="1">
      <alignment/>
    </xf>
    <xf numFmtId="7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14" fontId="12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24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2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D1">
      <selection activeCell="L22" sqref="L22"/>
    </sheetView>
  </sheetViews>
  <sheetFormatPr defaultColWidth="10.875" defaultRowHeight="12"/>
  <cols>
    <col min="1" max="4" width="10.875" style="22" customWidth="1"/>
    <col min="5" max="5" width="12.375" style="22" customWidth="1"/>
    <col min="6" max="16384" width="10.875" style="22" customWidth="1"/>
  </cols>
  <sheetData>
    <row r="2" ht="12">
      <c r="B2" s="22" t="s">
        <v>104</v>
      </c>
    </row>
    <row r="3" ht="12">
      <c r="B3" s="76">
        <v>38057</v>
      </c>
    </row>
    <row r="4" spans="9:12" ht="12">
      <c r="I4" s="22" t="s">
        <v>105</v>
      </c>
      <c r="J4" s="22" t="s">
        <v>168</v>
      </c>
      <c r="L4" s="22" t="s">
        <v>44</v>
      </c>
    </row>
    <row r="5" spans="5:12" ht="12">
      <c r="E5" s="22" t="s">
        <v>163</v>
      </c>
      <c r="F5" s="22" t="s">
        <v>19</v>
      </c>
      <c r="G5" s="22" t="s">
        <v>20</v>
      </c>
      <c r="H5" s="22" t="s">
        <v>84</v>
      </c>
      <c r="I5" s="22" t="s">
        <v>85</v>
      </c>
      <c r="J5" s="22" t="s">
        <v>169</v>
      </c>
      <c r="K5" s="22" t="s">
        <v>42</v>
      </c>
      <c r="L5" s="22" t="s">
        <v>43</v>
      </c>
    </row>
    <row r="6" spans="2:9" ht="12">
      <c r="B6" s="22" t="s">
        <v>195</v>
      </c>
      <c r="D6" s="22" t="s">
        <v>9</v>
      </c>
      <c r="E6" s="22">
        <v>1.75</v>
      </c>
      <c r="F6" s="22" t="s">
        <v>17</v>
      </c>
      <c r="G6" s="22" t="s">
        <v>17</v>
      </c>
      <c r="H6" s="22" t="s">
        <v>17</v>
      </c>
      <c r="I6" s="22" t="s">
        <v>17</v>
      </c>
    </row>
    <row r="7" spans="2:12" ht="12">
      <c r="B7" s="22" t="s">
        <v>80</v>
      </c>
      <c r="D7" s="22" t="s">
        <v>10</v>
      </c>
      <c r="E7" s="22">
        <v>5.19</v>
      </c>
      <c r="F7" s="22">
        <v>0.21</v>
      </c>
      <c r="G7" s="22">
        <v>0.05</v>
      </c>
      <c r="H7" s="22">
        <v>4</v>
      </c>
      <c r="I7" s="22">
        <v>0.1125</v>
      </c>
      <c r="J7" s="22">
        <v>0.0593</v>
      </c>
      <c r="K7" s="22">
        <f>F7-G7</f>
        <v>0.15999999999999998</v>
      </c>
      <c r="L7" s="83">
        <f>J7/I7</f>
        <v>0.5271111111111111</v>
      </c>
    </row>
    <row r="8" spans="2:12" ht="12">
      <c r="B8" s="22" t="s">
        <v>45</v>
      </c>
      <c r="D8" s="22" t="s">
        <v>52</v>
      </c>
      <c r="E8" s="22">
        <v>1.95</v>
      </c>
      <c r="F8" s="22">
        <v>0.1</v>
      </c>
      <c r="G8" s="22">
        <v>0.05</v>
      </c>
      <c r="H8" s="22">
        <v>6</v>
      </c>
      <c r="I8" s="22">
        <v>0.0824</v>
      </c>
      <c r="J8" s="22">
        <v>0.0198</v>
      </c>
      <c r="K8" s="22">
        <f aca="true" t="shared" si="0" ref="K8:K19">F8-G8</f>
        <v>0.05</v>
      </c>
      <c r="L8" s="83">
        <f aca="true" t="shared" si="1" ref="L8:L19">J8/I8</f>
        <v>0.24029126213592233</v>
      </c>
    </row>
    <row r="9" spans="2:12" ht="12">
      <c r="B9" s="22" t="s">
        <v>46</v>
      </c>
      <c r="D9" s="22" t="s">
        <v>2</v>
      </c>
      <c r="E9" s="22">
        <v>3.61</v>
      </c>
      <c r="F9" s="22">
        <v>0.07</v>
      </c>
      <c r="G9" s="22">
        <v>0.04</v>
      </c>
      <c r="H9" s="22">
        <v>5</v>
      </c>
      <c r="I9" s="22">
        <v>0.07</v>
      </c>
      <c r="J9" s="22">
        <v>0.0219</v>
      </c>
      <c r="K9" s="22">
        <f t="shared" si="0"/>
        <v>0.030000000000000006</v>
      </c>
      <c r="L9" s="83">
        <f t="shared" si="1"/>
        <v>0.31285714285714283</v>
      </c>
    </row>
    <row r="10" spans="2:12" ht="12">
      <c r="B10" s="22" t="s">
        <v>47</v>
      </c>
      <c r="D10" s="22" t="s">
        <v>53</v>
      </c>
      <c r="E10" s="22">
        <v>3.41</v>
      </c>
      <c r="F10" s="22">
        <v>0.065</v>
      </c>
      <c r="G10" s="22">
        <v>0.05</v>
      </c>
      <c r="H10" s="22">
        <v>6</v>
      </c>
      <c r="I10" s="22">
        <v>0.0578</v>
      </c>
      <c r="J10" s="22">
        <v>0.0052</v>
      </c>
      <c r="K10" s="22">
        <f t="shared" si="0"/>
        <v>0.015</v>
      </c>
      <c r="L10" s="83">
        <f t="shared" si="1"/>
        <v>0.08996539792387544</v>
      </c>
    </row>
    <row r="11" spans="2:12" ht="12">
      <c r="B11" s="22" t="s">
        <v>48</v>
      </c>
      <c r="D11" s="22" t="s">
        <v>13</v>
      </c>
      <c r="E11" s="22">
        <v>1.97</v>
      </c>
      <c r="F11" s="22">
        <v>0.17</v>
      </c>
      <c r="G11" s="22">
        <v>0.14</v>
      </c>
      <c r="H11" s="22">
        <v>2</v>
      </c>
      <c r="I11" s="22">
        <v>0.155</v>
      </c>
      <c r="J11" s="22">
        <v>0.015</v>
      </c>
      <c r="K11" s="22">
        <f t="shared" si="0"/>
        <v>0.03</v>
      </c>
      <c r="L11" s="83">
        <f t="shared" si="1"/>
        <v>0.0967741935483871</v>
      </c>
    </row>
    <row r="12" spans="2:12" ht="12">
      <c r="B12" s="22" t="s">
        <v>81</v>
      </c>
      <c r="D12" s="22" t="s">
        <v>14</v>
      </c>
      <c r="E12" s="22">
        <v>1.64</v>
      </c>
      <c r="F12" s="22">
        <v>0.06</v>
      </c>
      <c r="G12" s="22">
        <v>0.06</v>
      </c>
      <c r="H12" s="22">
        <v>1</v>
      </c>
      <c r="I12" s="22">
        <v>0.06</v>
      </c>
      <c r="J12" s="22" t="s">
        <v>95</v>
      </c>
      <c r="K12" s="22">
        <f t="shared" si="0"/>
        <v>0</v>
      </c>
      <c r="L12" s="83"/>
    </row>
    <row r="13" spans="2:12" ht="12">
      <c r="B13" s="22" t="s">
        <v>49</v>
      </c>
      <c r="D13" s="22" t="s">
        <v>15</v>
      </c>
      <c r="E13" s="22">
        <v>7.86</v>
      </c>
      <c r="F13" s="22">
        <v>0.14</v>
      </c>
      <c r="G13" s="22">
        <v>0.06</v>
      </c>
      <c r="H13" s="22">
        <v>5</v>
      </c>
      <c r="I13" s="22">
        <v>0.0988</v>
      </c>
      <c r="J13" s="22">
        <v>0.0321</v>
      </c>
      <c r="K13" s="22">
        <f t="shared" si="0"/>
        <v>0.08000000000000002</v>
      </c>
      <c r="L13" s="83">
        <f t="shared" si="1"/>
        <v>0.3248987854251012</v>
      </c>
    </row>
    <row r="14" spans="2:12" ht="12">
      <c r="B14" s="22" t="s">
        <v>82</v>
      </c>
      <c r="D14" s="22" t="s">
        <v>16</v>
      </c>
      <c r="E14" s="22">
        <v>1.64</v>
      </c>
      <c r="F14" s="22">
        <v>0.07</v>
      </c>
      <c r="G14" s="22">
        <v>0.019</v>
      </c>
      <c r="H14" s="22">
        <v>4</v>
      </c>
      <c r="I14" s="22">
        <v>0.036</v>
      </c>
      <c r="J14" s="22">
        <v>0.02</v>
      </c>
      <c r="K14" s="22">
        <f t="shared" si="0"/>
        <v>0.051000000000000004</v>
      </c>
      <c r="L14" s="83">
        <f t="shared" si="1"/>
        <v>0.5555555555555556</v>
      </c>
    </row>
    <row r="15" spans="2:12" ht="12">
      <c r="B15" s="22" t="s">
        <v>194</v>
      </c>
      <c r="D15" s="22" t="s">
        <v>79</v>
      </c>
      <c r="E15" s="22">
        <v>1.04</v>
      </c>
      <c r="F15" s="22">
        <v>0.22</v>
      </c>
      <c r="G15" s="22">
        <v>0.04</v>
      </c>
      <c r="H15" s="22">
        <v>5</v>
      </c>
      <c r="I15" s="22">
        <v>0.1225</v>
      </c>
      <c r="J15" s="22">
        <v>0.065</v>
      </c>
      <c r="K15" s="22">
        <f t="shared" si="0"/>
        <v>0.18</v>
      </c>
      <c r="L15" s="83">
        <f t="shared" si="1"/>
        <v>0.5306122448979592</v>
      </c>
    </row>
    <row r="16" spans="2:12" ht="12">
      <c r="B16" s="22" t="s">
        <v>41</v>
      </c>
      <c r="D16" s="22" t="s">
        <v>125</v>
      </c>
      <c r="E16" s="22">
        <v>2.7</v>
      </c>
      <c r="F16" s="22">
        <v>0.12</v>
      </c>
      <c r="G16" s="22">
        <v>0.019</v>
      </c>
      <c r="H16" s="22">
        <v>5</v>
      </c>
      <c r="I16" s="22">
        <v>0.0558</v>
      </c>
      <c r="J16" s="22">
        <v>0.0325</v>
      </c>
      <c r="K16" s="22">
        <f t="shared" si="0"/>
        <v>0.10099999999999999</v>
      </c>
      <c r="L16" s="83">
        <f t="shared" si="1"/>
        <v>0.5824372759856631</v>
      </c>
    </row>
    <row r="17" spans="2:12" ht="12">
      <c r="B17" s="22" t="s">
        <v>50</v>
      </c>
      <c r="D17" s="22" t="s">
        <v>245</v>
      </c>
      <c r="E17" s="22">
        <v>1.74</v>
      </c>
      <c r="F17" s="22">
        <v>0.08</v>
      </c>
      <c r="G17" s="22">
        <v>0.03</v>
      </c>
      <c r="H17" s="22">
        <v>6</v>
      </c>
      <c r="I17" s="22">
        <v>0.0567</v>
      </c>
      <c r="J17" s="22">
        <v>0.018</v>
      </c>
      <c r="K17" s="22">
        <f t="shared" si="0"/>
        <v>0.05</v>
      </c>
      <c r="L17" s="83">
        <f t="shared" si="1"/>
        <v>0.31746031746031744</v>
      </c>
    </row>
    <row r="18" spans="2:12" ht="12">
      <c r="B18" s="22" t="s">
        <v>143</v>
      </c>
      <c r="D18" s="22" t="s">
        <v>144</v>
      </c>
      <c r="E18" s="22">
        <v>2.63</v>
      </c>
      <c r="F18" s="22" t="s">
        <v>17</v>
      </c>
      <c r="G18" s="22" t="s">
        <v>17</v>
      </c>
      <c r="H18" s="22" t="s">
        <v>17</v>
      </c>
      <c r="I18" s="22" t="s">
        <v>17</v>
      </c>
      <c r="L18" s="83"/>
    </row>
    <row r="19" spans="2:12" ht="12">
      <c r="B19" s="22" t="s">
        <v>51</v>
      </c>
      <c r="D19" s="22" t="s">
        <v>54</v>
      </c>
      <c r="E19" s="22">
        <v>1.63</v>
      </c>
      <c r="F19" s="22">
        <v>0.09</v>
      </c>
      <c r="G19" s="22">
        <v>0.04</v>
      </c>
      <c r="H19" s="22">
        <v>6</v>
      </c>
      <c r="I19" s="22">
        <v>0.0612</v>
      </c>
      <c r="J19" s="22">
        <v>0.0147</v>
      </c>
      <c r="K19" s="22">
        <f t="shared" si="0"/>
        <v>0.049999999999999996</v>
      </c>
      <c r="L19" s="83">
        <f t="shared" si="1"/>
        <v>0.24019607843137256</v>
      </c>
    </row>
    <row r="20" spans="2:4" ht="12">
      <c r="B20" s="79"/>
      <c r="D20" s="23"/>
    </row>
    <row r="21" spans="2:10" ht="12">
      <c r="B21" s="79"/>
      <c r="D21" s="23" t="s">
        <v>126</v>
      </c>
      <c r="E21" s="62">
        <f aca="true" t="shared" si="2" ref="E21:J21">AVERAGE(E6:E19)</f>
        <v>2.768571428571429</v>
      </c>
      <c r="F21" s="62">
        <f t="shared" si="2"/>
        <v>0.11625000000000002</v>
      </c>
      <c r="G21" s="62">
        <f t="shared" si="2"/>
        <v>0.04983333333333334</v>
      </c>
      <c r="H21" s="62">
        <f t="shared" si="2"/>
        <v>4.583333333333333</v>
      </c>
      <c r="I21" s="62">
        <f t="shared" si="2"/>
        <v>0.080725</v>
      </c>
      <c r="J21" s="62">
        <f t="shared" si="2"/>
        <v>0.02759090909090909</v>
      </c>
    </row>
    <row r="27" ht="12">
      <c r="B27" s="22" t="s">
        <v>86</v>
      </c>
    </row>
    <row r="28" ht="12">
      <c r="B28" s="76">
        <v>38057</v>
      </c>
    </row>
    <row r="30" spans="5:7" ht="12.75">
      <c r="E30" s="22" t="s">
        <v>163</v>
      </c>
      <c r="F30" s="22" t="s">
        <v>85</v>
      </c>
      <c r="G30"/>
    </row>
    <row r="31" spans="2:7" ht="12.75">
      <c r="B31" s="22" t="s">
        <v>195</v>
      </c>
      <c r="D31" s="22" t="s">
        <v>9</v>
      </c>
      <c r="E31" s="22" t="s">
        <v>17</v>
      </c>
      <c r="F31" s="22" t="s">
        <v>17</v>
      </c>
      <c r="G31"/>
    </row>
    <row r="32" spans="2:7" ht="12.75">
      <c r="B32" s="22" t="s">
        <v>80</v>
      </c>
      <c r="D32" s="22" t="s">
        <v>10</v>
      </c>
      <c r="E32" s="22">
        <v>4.01</v>
      </c>
      <c r="F32" s="22">
        <v>0.065</v>
      </c>
      <c r="G32"/>
    </row>
    <row r="33" spans="2:7" ht="12.75">
      <c r="B33" s="22" t="s">
        <v>45</v>
      </c>
      <c r="D33" s="22" t="s">
        <v>52</v>
      </c>
      <c r="E33" s="22">
        <v>2.02</v>
      </c>
      <c r="F33" s="22">
        <v>0.1</v>
      </c>
      <c r="G33"/>
    </row>
    <row r="34" spans="2:7" ht="12.75">
      <c r="B34" s="22" t="s">
        <v>46</v>
      </c>
      <c r="D34" s="22" t="s">
        <v>2</v>
      </c>
      <c r="E34" s="22">
        <v>3.62</v>
      </c>
      <c r="F34" s="22">
        <v>0.05</v>
      </c>
      <c r="G34"/>
    </row>
    <row r="35" spans="2:7" ht="12.75">
      <c r="B35" s="22" t="s">
        <v>47</v>
      </c>
      <c r="D35" s="22" t="s">
        <v>53</v>
      </c>
      <c r="E35" s="22">
        <v>3.41</v>
      </c>
      <c r="F35" s="22">
        <v>0.054</v>
      </c>
      <c r="G35"/>
    </row>
    <row r="36" spans="2:7" ht="12.75">
      <c r="B36" s="22" t="s">
        <v>48</v>
      </c>
      <c r="D36" s="22" t="s">
        <v>13</v>
      </c>
      <c r="E36" s="22">
        <v>2</v>
      </c>
      <c r="F36" s="22">
        <v>0.095</v>
      </c>
      <c r="G36"/>
    </row>
    <row r="37" spans="2:7" ht="12.75">
      <c r="B37" s="22" t="s">
        <v>81</v>
      </c>
      <c r="D37" s="22" t="s">
        <v>14</v>
      </c>
      <c r="E37" s="22">
        <v>1.64</v>
      </c>
      <c r="F37" s="22" t="s">
        <v>17</v>
      </c>
      <c r="G37"/>
    </row>
    <row r="38" spans="2:7" ht="12.75">
      <c r="B38" s="22" t="s">
        <v>49</v>
      </c>
      <c r="D38" s="22" t="s">
        <v>15</v>
      </c>
      <c r="E38" s="22">
        <v>7.9</v>
      </c>
      <c r="F38" s="22">
        <v>0.133</v>
      </c>
      <c r="G38"/>
    </row>
    <row r="39" spans="2:7" ht="12.75">
      <c r="B39" s="22" t="s">
        <v>82</v>
      </c>
      <c r="D39" s="22" t="s">
        <v>16</v>
      </c>
      <c r="E39" s="22">
        <v>1.64</v>
      </c>
      <c r="F39" s="22">
        <v>0.045</v>
      </c>
      <c r="G39"/>
    </row>
    <row r="40" spans="2:7" ht="12.75">
      <c r="B40" s="22" t="s">
        <v>194</v>
      </c>
      <c r="D40" s="22" t="s">
        <v>79</v>
      </c>
      <c r="E40" s="22">
        <v>0.93</v>
      </c>
      <c r="F40" s="22">
        <v>0.058</v>
      </c>
      <c r="G40"/>
    </row>
    <row r="41" spans="2:7" ht="12.75">
      <c r="B41" s="22" t="s">
        <v>41</v>
      </c>
      <c r="D41" s="22" t="s">
        <v>125</v>
      </c>
      <c r="E41" s="22">
        <v>2.66</v>
      </c>
      <c r="F41" s="22">
        <v>0.067</v>
      </c>
      <c r="G41"/>
    </row>
    <row r="42" spans="2:7" ht="12.75">
      <c r="B42" s="22" t="s">
        <v>50</v>
      </c>
      <c r="D42" s="22" t="s">
        <v>245</v>
      </c>
      <c r="E42" s="22">
        <v>1.66</v>
      </c>
      <c r="F42" s="22">
        <v>0.055</v>
      </c>
      <c r="G42"/>
    </row>
    <row r="43" spans="2:7" ht="12.75">
      <c r="B43" s="22" t="s">
        <v>143</v>
      </c>
      <c r="D43" s="22" t="s">
        <v>144</v>
      </c>
      <c r="E43" s="22">
        <v>2.65</v>
      </c>
      <c r="F43" s="22" t="s">
        <v>17</v>
      </c>
      <c r="G43"/>
    </row>
    <row r="44" spans="2:7" ht="12.75">
      <c r="B44" s="22" t="s">
        <v>51</v>
      </c>
      <c r="D44" s="22" t="s">
        <v>54</v>
      </c>
      <c r="E44" s="22">
        <v>1.62</v>
      </c>
      <c r="F44" s="22">
        <v>0.052</v>
      </c>
      <c r="G44"/>
    </row>
    <row r="45" ht="12.75">
      <c r="G45"/>
    </row>
    <row r="46" spans="4:7" ht="12.75">
      <c r="D46" s="80" t="s">
        <v>126</v>
      </c>
      <c r="E46" s="22">
        <f>AVERAGE(E31:E44)</f>
        <v>2.7507692307692304</v>
      </c>
      <c r="F46" s="22">
        <f>AVERAGE(F31:F44)</f>
        <v>0.07036363636363638</v>
      </c>
      <c r="G46"/>
    </row>
    <row r="47" ht="12.75">
      <c r="G4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G4" sqref="G4"/>
    </sheetView>
  </sheetViews>
  <sheetFormatPr defaultColWidth="10.875" defaultRowHeight="12"/>
  <cols>
    <col min="1" max="1" width="12.125" style="28" customWidth="1"/>
    <col min="2" max="2" width="14.50390625" style="28" customWidth="1"/>
    <col min="3" max="3" width="12.125" style="28" customWidth="1"/>
    <col min="4" max="4" width="15.375" style="28" customWidth="1"/>
    <col min="5" max="5" width="8.125" style="28" customWidth="1"/>
    <col min="6" max="6" width="13.50390625" style="28" customWidth="1"/>
    <col min="7" max="7" width="18.125" style="28" customWidth="1"/>
    <col min="8" max="16384" width="10.875" style="28" customWidth="1"/>
  </cols>
  <sheetData>
    <row r="1" spans="1:7" ht="12">
      <c r="A1" s="23"/>
      <c r="B1" s="23"/>
      <c r="C1" s="23"/>
      <c r="D1" s="23"/>
      <c r="E1" s="23"/>
      <c r="F1" s="23"/>
      <c r="G1" s="62" t="s">
        <v>25</v>
      </c>
    </row>
    <row r="2" spans="1:7" ht="12">
      <c r="A2" s="23"/>
      <c r="B2" s="23"/>
      <c r="C2" s="23"/>
      <c r="D2" s="23"/>
      <c r="E2" s="23"/>
      <c r="F2" s="23"/>
      <c r="G2" s="62" t="s">
        <v>35</v>
      </c>
    </row>
    <row r="3" spans="1:7" ht="12">
      <c r="A3" s="23"/>
      <c r="B3" s="23"/>
      <c r="C3" s="23"/>
      <c r="D3" s="23"/>
      <c r="E3" s="23"/>
      <c r="F3" s="23"/>
      <c r="G3" s="62" t="s">
        <v>31</v>
      </c>
    </row>
    <row r="4" spans="1:7" ht="12">
      <c r="A4" s="23"/>
      <c r="B4" s="23"/>
      <c r="C4" s="23"/>
      <c r="D4" s="23"/>
      <c r="E4" s="23"/>
      <c r="F4" s="23"/>
      <c r="G4" s="22"/>
    </row>
    <row r="5" spans="1:7" ht="12">
      <c r="A5" s="23"/>
      <c r="B5" s="23"/>
      <c r="C5" s="23"/>
      <c r="D5" s="32" t="str">
        <f>DATA!A1</f>
        <v>PUGET SOUND ENERGY</v>
      </c>
      <c r="E5" s="23"/>
      <c r="F5" s="23"/>
      <c r="G5" s="23"/>
    </row>
    <row r="6" spans="1:7" ht="12">
      <c r="A6" s="23"/>
      <c r="B6" s="23"/>
      <c r="C6" s="23"/>
      <c r="D6" s="32"/>
      <c r="E6" s="23"/>
      <c r="F6" s="23"/>
      <c r="G6" s="23"/>
    </row>
    <row r="7" spans="1:7" ht="12">
      <c r="A7" s="23"/>
      <c r="B7" s="23"/>
      <c r="C7" s="23"/>
      <c r="D7" s="32" t="s">
        <v>88</v>
      </c>
      <c r="E7" s="23"/>
      <c r="F7" s="23"/>
      <c r="G7" s="23"/>
    </row>
    <row r="8" spans="1:7" ht="12">
      <c r="A8" s="23"/>
      <c r="B8" s="23"/>
      <c r="C8" s="23"/>
      <c r="D8" s="23"/>
      <c r="E8" s="23"/>
      <c r="F8" s="23"/>
      <c r="G8" s="23"/>
    </row>
    <row r="9" spans="1:7" ht="12">
      <c r="A9" s="23"/>
      <c r="B9" s="23"/>
      <c r="C9" s="23"/>
      <c r="D9" s="23"/>
      <c r="E9" s="23"/>
      <c r="F9" s="23"/>
      <c r="G9" s="23"/>
    </row>
    <row r="10" spans="1:7" ht="12">
      <c r="A10" s="23"/>
      <c r="C10" s="23"/>
      <c r="D10" s="23"/>
      <c r="E10" s="23"/>
      <c r="F10" s="23"/>
      <c r="G10" s="23"/>
    </row>
    <row r="11" spans="1:7" ht="12">
      <c r="A11" s="23"/>
      <c r="B11" s="23" t="s">
        <v>103</v>
      </c>
      <c r="C11" s="23" t="s">
        <v>118</v>
      </c>
      <c r="D11" s="23" t="s">
        <v>120</v>
      </c>
      <c r="E11" s="23"/>
      <c r="F11" s="23" t="s">
        <v>151</v>
      </c>
      <c r="G11" s="23" t="s">
        <v>0</v>
      </c>
    </row>
    <row r="12" spans="1:7" ht="12">
      <c r="A12" s="42" t="s">
        <v>231</v>
      </c>
      <c r="B12" s="42" t="s">
        <v>163</v>
      </c>
      <c r="C12" s="42" t="s">
        <v>119</v>
      </c>
      <c r="D12" s="42" t="s">
        <v>121</v>
      </c>
      <c r="E12" s="42"/>
      <c r="F12" s="42" t="s">
        <v>221</v>
      </c>
      <c r="G12" s="42" t="s">
        <v>221</v>
      </c>
    </row>
    <row r="13" spans="1:7" ht="12">
      <c r="A13" s="23"/>
      <c r="B13" s="23" t="s">
        <v>228</v>
      </c>
      <c r="C13" s="23" t="s">
        <v>229</v>
      </c>
      <c r="D13" s="23"/>
      <c r="E13" s="23"/>
      <c r="F13" s="23" t="s">
        <v>164</v>
      </c>
      <c r="G13" s="23" t="s">
        <v>165</v>
      </c>
    </row>
    <row r="14" spans="1:7" ht="12">
      <c r="A14" s="23"/>
      <c r="B14" s="23"/>
      <c r="C14" s="23"/>
      <c r="D14" s="23"/>
      <c r="E14" s="23"/>
      <c r="F14" s="23"/>
      <c r="G14" s="23"/>
    </row>
    <row r="15" spans="1:7" ht="21.75" customHeight="1">
      <c r="A15" s="23" t="str">
        <f>DATA!A5</f>
        <v>CV</v>
      </c>
      <c r="B15" s="64">
        <f>DATA!L5</f>
        <v>1.55</v>
      </c>
      <c r="C15" s="64">
        <f>DATA!B5</f>
        <v>26.923</v>
      </c>
      <c r="D15" s="26">
        <f aca="true" t="shared" si="0" ref="D15:D25">B15/C15</f>
        <v>0.057571593061694466</v>
      </c>
      <c r="E15" s="23"/>
      <c r="F15" s="26">
        <f>DATA!AB5</f>
        <v>0.08</v>
      </c>
      <c r="G15" s="26">
        <f>DATA!AC5</f>
        <v>0.075</v>
      </c>
    </row>
    <row r="16" spans="1:7" ht="21.75" customHeight="1">
      <c r="A16" s="23" t="str">
        <f>DATA!A6</f>
        <v>FE</v>
      </c>
      <c r="B16" s="64">
        <f>DATA!AZ6</f>
        <v>4.65</v>
      </c>
      <c r="C16" s="64">
        <f>DATA!B6</f>
        <v>70.22333333333334</v>
      </c>
      <c r="D16" s="26">
        <f t="shared" si="0"/>
        <v>0.0662173066881853</v>
      </c>
      <c r="E16" s="23"/>
      <c r="F16" s="26">
        <f>DATA!AB6</f>
        <v>0.14</v>
      </c>
      <c r="G16" s="26">
        <f>DATA!AC6</f>
        <v>0.14</v>
      </c>
    </row>
    <row r="17" spans="1:7" ht="21.75" customHeight="1">
      <c r="A17" s="23" t="str">
        <f>DATA!A7</f>
        <v>NU</v>
      </c>
      <c r="B17" s="64">
        <f>DATA!AZ7</f>
        <v>1.95</v>
      </c>
      <c r="C17" s="64">
        <f>DATA!B7</f>
        <v>26.699666666666666</v>
      </c>
      <c r="D17" s="26">
        <f t="shared" si="0"/>
        <v>0.07303461965817301</v>
      </c>
      <c r="E17" s="23"/>
      <c r="F17" s="26">
        <f>DATA!AB7</f>
        <v>0.085</v>
      </c>
      <c r="G17" s="26">
        <f>DATA!AC7</f>
        <v>0.085</v>
      </c>
    </row>
    <row r="18" spans="1:7" ht="21.75" customHeight="1">
      <c r="A18" s="23" t="str">
        <f>DATA!A8</f>
        <v>AEE</v>
      </c>
      <c r="B18" s="64">
        <f>DATA!L8</f>
        <v>3.3</v>
      </c>
      <c r="C18" s="64">
        <f>DATA!B8</f>
        <v>43.69666666666667</v>
      </c>
      <c r="D18" s="26">
        <f t="shared" si="0"/>
        <v>0.07552063467846516</v>
      </c>
      <c r="E18" s="23"/>
      <c r="F18" s="26">
        <f>DATA!AB8</f>
        <v>0.1</v>
      </c>
      <c r="G18" s="26">
        <f>DATA!AC8</f>
        <v>0.09</v>
      </c>
    </row>
    <row r="19" spans="1:7" ht="21.75" customHeight="1">
      <c r="A19" s="23" t="str">
        <f>DATA!A9</f>
        <v>AEP</v>
      </c>
      <c r="B19" s="64">
        <f>DATA!AZ9</f>
        <v>3.15</v>
      </c>
      <c r="C19" s="64">
        <f>DATA!B9</f>
        <v>42.55266666666667</v>
      </c>
      <c r="D19" s="26">
        <f t="shared" si="0"/>
        <v>0.07402591298626016</v>
      </c>
      <c r="E19" s="23"/>
      <c r="F19" s="26">
        <f>DATA!AB9</f>
        <v>0.12</v>
      </c>
      <c r="G19" s="26">
        <f>DATA!AC9</f>
        <v>0.125</v>
      </c>
    </row>
    <row r="20" spans="1:7" ht="21.75" customHeight="1">
      <c r="A20" s="23" t="str">
        <f>DATA!A10</f>
        <v>CNL</v>
      </c>
      <c r="B20" s="64">
        <f>DATA!AZ10</f>
        <v>1.97</v>
      </c>
      <c r="C20" s="64">
        <f>DATA!B10</f>
        <v>24.349333333333334</v>
      </c>
      <c r="D20" s="26">
        <f t="shared" si="0"/>
        <v>0.08090570583725769</v>
      </c>
      <c r="E20" s="23"/>
      <c r="F20" s="26">
        <f>DATA!AB10</f>
        <v>0.09</v>
      </c>
      <c r="G20" s="26">
        <f>DATA!AC10</f>
        <v>0.105</v>
      </c>
    </row>
    <row r="21" spans="1:7" ht="21.75" customHeight="1">
      <c r="A21" s="23" t="str">
        <f>DATA!A11</f>
        <v>EDE</v>
      </c>
      <c r="B21" s="64">
        <f>DATA!AZ11</f>
        <v>1.5</v>
      </c>
      <c r="C21" s="64">
        <f>DATA!B11</f>
        <v>21.443999999999996</v>
      </c>
      <c r="D21" s="26">
        <f t="shared" si="0"/>
        <v>0.06994963626189145</v>
      </c>
      <c r="E21" s="23"/>
      <c r="F21" s="26">
        <f>DATA!AB11</f>
        <v>0.085</v>
      </c>
      <c r="G21" s="26">
        <f>DATA!AC11</f>
        <v>0.105</v>
      </c>
    </row>
    <row r="22" spans="1:7" ht="21.75" customHeight="1">
      <c r="A22" s="23" t="str">
        <f>DATA!A12</f>
        <v>ETR</v>
      </c>
      <c r="B22" s="64">
        <f>DATA!AZ12</f>
        <v>6.6</v>
      </c>
      <c r="C22" s="64">
        <f>DATA!B12</f>
        <v>106.26433333333335</v>
      </c>
      <c r="D22" s="26">
        <f t="shared" si="0"/>
        <v>0.06210926839673391</v>
      </c>
      <c r="E22" s="23"/>
      <c r="F22" s="26">
        <f>DATA!AB12</f>
        <v>0.145</v>
      </c>
      <c r="G22" s="26">
        <f>DATA!AC12</f>
        <v>0.14</v>
      </c>
    </row>
    <row r="23" spans="1:7" ht="21.75" customHeight="1">
      <c r="A23" s="23" t="str">
        <f>DATA!A13</f>
        <v>HE</v>
      </c>
      <c r="B23" s="64">
        <f>DATA!AZ13</f>
        <v>1.25</v>
      </c>
      <c r="C23" s="64">
        <f>DATA!B13</f>
        <v>22.684000000000005</v>
      </c>
      <c r="D23" s="26">
        <f t="shared" si="0"/>
        <v>0.05510491976723681</v>
      </c>
      <c r="E23" s="23"/>
      <c r="F23" s="26">
        <f>DATA!AB13</f>
        <v>0.09</v>
      </c>
      <c r="G23" s="26">
        <f>DATA!AC13</f>
        <v>0.11</v>
      </c>
    </row>
    <row r="24" spans="1:7" ht="21.75" customHeight="1">
      <c r="A24" s="23" t="str">
        <f>DATA!A14</f>
        <v>PNM</v>
      </c>
      <c r="B24" s="64">
        <f>DATA!AZ14</f>
        <v>1.65</v>
      </c>
      <c r="C24" s="64">
        <f>DATA!B14</f>
        <v>14.473333333333331</v>
      </c>
      <c r="D24" s="26">
        <f t="shared" si="0"/>
        <v>0.11400276370336251</v>
      </c>
      <c r="E24" s="23"/>
      <c r="F24" s="26">
        <f>DATA!AB14</f>
        <v>0.07</v>
      </c>
      <c r="G24" s="26">
        <f>DATA!AC14</f>
        <v>0.07</v>
      </c>
    </row>
    <row r="25" spans="1:7" ht="21.75" customHeight="1">
      <c r="A25" s="23" t="str">
        <f>DATA!A15</f>
        <v>PNW</v>
      </c>
      <c r="B25" s="64">
        <f>DATA!AZ15</f>
        <v>2.55</v>
      </c>
      <c r="C25" s="64">
        <f>DATA!B15</f>
        <v>36.852</v>
      </c>
      <c r="D25" s="26">
        <f t="shared" si="0"/>
        <v>0.0691957017258222</v>
      </c>
      <c r="E25" s="23"/>
      <c r="F25" s="26">
        <f>DATA!AB15</f>
        <v>0.07</v>
      </c>
      <c r="G25" s="26">
        <f>DATA!AC15</f>
        <v>0.08</v>
      </c>
    </row>
    <row r="26" spans="1:7" ht="21.75" customHeight="1">
      <c r="A26" s="23" t="str">
        <f>DATA!A16</f>
        <v>PSD</v>
      </c>
      <c r="B26" s="64">
        <f>DATA!AZ16</f>
        <v>1.6</v>
      </c>
      <c r="C26" s="64">
        <f>DATA!B16</f>
        <v>26.488333333333337</v>
      </c>
      <c r="D26" s="26">
        <f>B26/C26</f>
        <v>0.06040395142515573</v>
      </c>
      <c r="E26" s="23"/>
      <c r="F26" s="26">
        <f>DATA!AB16</f>
        <v>0.08</v>
      </c>
      <c r="G26" s="26">
        <f>DATA!AC16</f>
        <v>0.09</v>
      </c>
    </row>
    <row r="27" spans="1:7" ht="21.75" customHeight="1">
      <c r="A27" s="23" t="str">
        <f>DATA!A17</f>
        <v>UNS</v>
      </c>
      <c r="B27" s="64">
        <f>DATA!AZ17</f>
        <v>1.75</v>
      </c>
      <c r="C27" s="64">
        <f>DATA!B17</f>
        <v>26.894666666666662</v>
      </c>
      <c r="D27" s="26">
        <f>B27/C27</f>
        <v>0.06506866293193199</v>
      </c>
      <c r="E27" s="23"/>
      <c r="F27" s="26">
        <f>DATA!AB17</f>
        <v>0.085</v>
      </c>
      <c r="G27" s="26">
        <f>DATA!AC17</f>
        <v>0.085</v>
      </c>
    </row>
    <row r="28" spans="1:7" ht="21.75" customHeight="1">
      <c r="A28" s="23" t="str">
        <f>DATA!A18</f>
        <v>XEL</v>
      </c>
      <c r="B28" s="64">
        <f>DATA!AZ18</f>
        <v>1.5</v>
      </c>
      <c r="C28" s="64">
        <f>DATA!B18</f>
        <v>20.492666666666665</v>
      </c>
      <c r="D28" s="41">
        <f>B28/C28</f>
        <v>0.07319691596994048</v>
      </c>
      <c r="E28" s="42"/>
      <c r="F28" s="41">
        <f>DATA!AB18</f>
        <v>0.1</v>
      </c>
      <c r="G28" s="41">
        <f>DATA!AC18</f>
        <v>0.1</v>
      </c>
    </row>
    <row r="29" spans="1:7" ht="21.75" customHeight="1">
      <c r="A29" s="23"/>
      <c r="B29" s="64"/>
      <c r="C29" s="64"/>
      <c r="D29" s="41"/>
      <c r="E29" s="42"/>
      <c r="F29" s="41"/>
      <c r="G29" s="41"/>
    </row>
    <row r="30" spans="1:7" ht="12">
      <c r="A30" s="22"/>
      <c r="B30" s="22"/>
      <c r="C30" s="62" t="s">
        <v>222</v>
      </c>
      <c r="D30" s="26">
        <f>AVERAGE(D15:D28)</f>
        <v>0.07116482807800793</v>
      </c>
      <c r="E30" s="23"/>
      <c r="F30" s="26">
        <f>AVERAGE(F15:F28)</f>
        <v>0.09571428571428572</v>
      </c>
      <c r="G30" s="26"/>
    </row>
    <row r="31" spans="1:7" ht="12">
      <c r="A31" s="22"/>
      <c r="B31" s="22"/>
      <c r="C31" s="62" t="s">
        <v>196</v>
      </c>
      <c r="D31" s="26">
        <f>AVERAGE(D15:D25,D27:D28)</f>
        <v>0.07199258782053503</v>
      </c>
      <c r="E31" s="23"/>
      <c r="F31" s="26">
        <f>AVERAGE(F15:F25,F27:F28)</f>
        <v>0.09692307692307692</v>
      </c>
      <c r="G31" s="26"/>
    </row>
    <row r="32" spans="1:7" ht="12">
      <c r="A32" s="22"/>
      <c r="B32" s="23"/>
      <c r="C32" s="23"/>
      <c r="D32" s="23"/>
      <c r="E32" s="23"/>
      <c r="F32" s="23"/>
      <c r="G32" s="23"/>
    </row>
    <row r="33" spans="1:7" ht="12">
      <c r="A33" s="22"/>
      <c r="B33" s="23"/>
      <c r="C33" s="62" t="s">
        <v>239</v>
      </c>
      <c r="D33" s="23"/>
      <c r="E33" s="52">
        <f>(D30+F30)/2</f>
        <v>0.08343955689614682</v>
      </c>
      <c r="F33" s="23"/>
      <c r="G33" s="23"/>
    </row>
    <row r="34" spans="1:7" ht="12">
      <c r="A34" s="22"/>
      <c r="B34" s="23"/>
      <c r="C34" s="62" t="s">
        <v>198</v>
      </c>
      <c r="D34" s="23"/>
      <c r="E34" s="52">
        <f>(AVERAGE(D15:D25,D27:D28)+AVERAGE(F15:F25,F27:F28))/2</f>
        <v>0.08445783237180597</v>
      </c>
      <c r="F34" s="23"/>
      <c r="G34" s="23"/>
    </row>
    <row r="35" spans="1:7" ht="12.75" customHeight="1">
      <c r="A35" s="22"/>
      <c r="B35" s="23"/>
      <c r="C35" s="23"/>
      <c r="D35" s="23"/>
      <c r="E35" s="23"/>
      <c r="F35" s="23"/>
      <c r="G35" s="23"/>
    </row>
    <row r="36" spans="1:7" ht="12">
      <c r="A36" s="22"/>
      <c r="B36" s="23"/>
      <c r="C36" s="62" t="s">
        <v>222</v>
      </c>
      <c r="D36" s="26">
        <f>D30</f>
        <v>0.07116482807800793</v>
      </c>
      <c r="E36" s="26"/>
      <c r="F36" s="26"/>
      <c r="G36" s="26">
        <f>AVERAGE(G15:G28)</f>
        <v>0.1</v>
      </c>
    </row>
    <row r="37" spans="1:7" ht="12">
      <c r="A37" s="22"/>
      <c r="B37" s="23"/>
      <c r="C37" s="62" t="s">
        <v>196</v>
      </c>
      <c r="D37" s="26">
        <v>0.072</v>
      </c>
      <c r="E37" s="26"/>
      <c r="F37" s="26"/>
      <c r="G37" s="26">
        <f>AVERAGE(G15:G25,G27:G28)</f>
        <v>0.10076923076923078</v>
      </c>
    </row>
    <row r="38" spans="1:7" ht="12">
      <c r="A38" s="22"/>
      <c r="B38" s="23"/>
      <c r="C38" s="23"/>
      <c r="D38" s="26"/>
      <c r="E38" s="26"/>
      <c r="F38" s="26"/>
      <c r="G38" s="26"/>
    </row>
    <row r="39" spans="1:7" ht="12">
      <c r="A39" s="22"/>
      <c r="B39" s="23"/>
      <c r="C39" s="62" t="s">
        <v>175</v>
      </c>
      <c r="D39" s="26"/>
      <c r="E39" s="26"/>
      <c r="F39" s="52">
        <f>(D36+G36)/2</f>
        <v>0.08558241403900396</v>
      </c>
      <c r="G39" s="26"/>
    </row>
    <row r="40" spans="3:6" ht="12">
      <c r="C40" s="62" t="s">
        <v>199</v>
      </c>
      <c r="F40" s="52">
        <f>(AVERAGE(D15:D25,D27:D28)+AVERAGE(G15:G25,G27:G28))/2</f>
        <v>0.0863809092948829</v>
      </c>
    </row>
    <row r="42" ht="12">
      <c r="A42" s="22"/>
    </row>
    <row r="43" ht="12">
      <c r="A43" s="22"/>
    </row>
  </sheetData>
  <sheetProtection/>
  <printOptions/>
  <pageMargins left="1.01" right="0.75" top="1" bottom="1" header="0.5" footer="0.5"/>
  <pageSetup fitToHeight="1" fitToWidth="1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10.875" defaultRowHeight="12"/>
  <cols>
    <col min="1" max="1" width="13.625" style="28" customWidth="1"/>
    <col min="2" max="2" width="10.875" style="28" customWidth="1"/>
    <col min="3" max="3" width="6.625" style="28" customWidth="1"/>
    <col min="4" max="4" width="3.625" style="28" customWidth="1"/>
    <col min="5" max="5" width="9.375" style="28" customWidth="1"/>
    <col min="6" max="6" width="2.125" style="28" customWidth="1"/>
    <col min="7" max="7" width="5.875" style="28" customWidth="1"/>
    <col min="8" max="8" width="3.125" style="28" customWidth="1"/>
    <col min="9" max="9" width="7.375" style="28" customWidth="1"/>
    <col min="10" max="10" width="10.375" style="28" customWidth="1"/>
    <col min="11" max="11" width="22.125" style="28" customWidth="1"/>
    <col min="12" max="16384" width="10.875" style="28" customWidth="1"/>
  </cols>
  <sheetData>
    <row r="1" spans="1:11" ht="12">
      <c r="A1" s="23"/>
      <c r="B1" s="23"/>
      <c r="C1" s="73"/>
      <c r="D1" s="23"/>
      <c r="E1" s="22"/>
      <c r="F1" s="23"/>
      <c r="G1" s="27"/>
      <c r="H1" s="23"/>
      <c r="I1" s="23"/>
      <c r="J1" s="23"/>
      <c r="K1" s="62" t="s">
        <v>25</v>
      </c>
    </row>
    <row r="2" spans="1:11" ht="12">
      <c r="A2" s="23"/>
      <c r="B2" s="23"/>
      <c r="C2" s="73"/>
      <c r="D2" s="23"/>
      <c r="E2" s="24"/>
      <c r="F2" s="23"/>
      <c r="G2" s="27"/>
      <c r="H2" s="23"/>
      <c r="I2" s="23"/>
      <c r="J2" s="23"/>
      <c r="K2" s="84" t="s">
        <v>36</v>
      </c>
    </row>
    <row r="3" spans="1:11" ht="12">
      <c r="A3" s="23"/>
      <c r="B3" s="23"/>
      <c r="C3" s="73"/>
      <c r="D3" s="23"/>
      <c r="E3" s="24"/>
      <c r="F3" s="23"/>
      <c r="G3" s="27"/>
      <c r="H3" s="23"/>
      <c r="I3" s="23"/>
      <c r="J3" s="23"/>
      <c r="K3" s="62" t="s">
        <v>96</v>
      </c>
    </row>
    <row r="4" spans="1:11" ht="12">
      <c r="A4" s="23"/>
      <c r="B4" s="23"/>
      <c r="C4" s="22"/>
      <c r="D4" s="23"/>
      <c r="E4" s="24"/>
      <c r="F4" s="74" t="str">
        <f>DATA!A1</f>
        <v>PUGET SOUND ENERGY</v>
      </c>
      <c r="G4" s="27"/>
      <c r="H4" s="23"/>
      <c r="I4" s="23"/>
      <c r="J4" s="23"/>
      <c r="K4" s="23"/>
    </row>
    <row r="5" spans="1:11" ht="12">
      <c r="A5" s="23"/>
      <c r="B5" s="23"/>
      <c r="C5" s="22"/>
      <c r="D5" s="23"/>
      <c r="E5" s="24"/>
      <c r="F5" s="74"/>
      <c r="G5" s="27"/>
      <c r="H5" s="23"/>
      <c r="I5" s="23"/>
      <c r="J5" s="23"/>
      <c r="K5" s="23"/>
    </row>
    <row r="6" spans="1:11" ht="12">
      <c r="A6" s="23"/>
      <c r="B6" s="23"/>
      <c r="C6" s="22"/>
      <c r="D6" s="23"/>
      <c r="E6" s="24"/>
      <c r="F6" s="74" t="s">
        <v>224</v>
      </c>
      <c r="G6" s="27"/>
      <c r="H6" s="23"/>
      <c r="I6" s="23"/>
      <c r="J6" s="23"/>
      <c r="K6" s="23"/>
    </row>
    <row r="7" spans="1:11" ht="12">
      <c r="A7" s="23"/>
      <c r="B7" s="23"/>
      <c r="C7" s="73"/>
      <c r="D7" s="23"/>
      <c r="E7" s="24"/>
      <c r="F7" s="23"/>
      <c r="G7" s="27"/>
      <c r="H7" s="23"/>
      <c r="I7" s="23"/>
      <c r="J7" s="23"/>
      <c r="K7" s="23"/>
    </row>
    <row r="8" spans="1:11" ht="12">
      <c r="A8" s="23"/>
      <c r="B8" s="23"/>
      <c r="C8" s="73"/>
      <c r="D8" s="23"/>
      <c r="E8" s="24"/>
      <c r="F8" s="23"/>
      <c r="G8" s="27"/>
      <c r="H8" s="23"/>
      <c r="I8" s="23"/>
      <c r="J8" s="23"/>
      <c r="K8" s="23"/>
    </row>
    <row r="9" spans="1:11" ht="12">
      <c r="A9" s="23"/>
      <c r="B9" s="23"/>
      <c r="C9" s="22"/>
      <c r="D9" s="23"/>
      <c r="E9" s="24"/>
      <c r="F9" s="25" t="s">
        <v>225</v>
      </c>
      <c r="G9" s="27"/>
      <c r="H9" s="23"/>
      <c r="I9" s="23"/>
      <c r="J9" s="23"/>
      <c r="K9" s="23"/>
    </row>
    <row r="10" spans="1:11" ht="12">
      <c r="A10" s="23"/>
      <c r="B10" s="23"/>
      <c r="C10" s="73"/>
      <c r="D10" s="23"/>
      <c r="E10" s="24"/>
      <c r="F10" s="32" t="s">
        <v>166</v>
      </c>
      <c r="G10" s="27"/>
      <c r="H10" s="23"/>
      <c r="I10" s="23"/>
      <c r="J10" s="23"/>
      <c r="K10" s="23" t="s">
        <v>40</v>
      </c>
    </row>
    <row r="11" spans="1:11" ht="12">
      <c r="A11" s="42" t="s">
        <v>231</v>
      </c>
      <c r="B11" s="23"/>
      <c r="C11" s="73"/>
      <c r="D11" s="23"/>
      <c r="E11" s="24"/>
      <c r="F11" s="23"/>
      <c r="G11" s="27"/>
      <c r="H11" s="23"/>
      <c r="I11" s="23"/>
      <c r="J11" s="23"/>
      <c r="K11" s="42" t="s">
        <v>170</v>
      </c>
    </row>
    <row r="12" spans="1:11" ht="12">
      <c r="A12" s="23"/>
      <c r="B12" s="23"/>
      <c r="C12" s="73"/>
      <c r="D12" s="23"/>
      <c r="E12" s="24"/>
      <c r="F12" s="23"/>
      <c r="G12" s="27"/>
      <c r="H12" s="23"/>
      <c r="I12" s="23"/>
      <c r="J12" s="23"/>
      <c r="K12" s="23"/>
    </row>
    <row r="13" spans="1:11" ht="21.75" customHeight="1">
      <c r="A13" s="23" t="str">
        <f>DATA!A5</f>
        <v>CV</v>
      </c>
      <c r="B13" s="62" t="s">
        <v>122</v>
      </c>
      <c r="C13" s="73">
        <f>DATA!AA5</f>
        <v>0.08</v>
      </c>
      <c r="D13" s="45" t="s">
        <v>247</v>
      </c>
      <c r="E13" s="24">
        <f>'Ex9'!C22</f>
        <v>0.40645161290322585</v>
      </c>
      <c r="F13" s="45" t="s">
        <v>248</v>
      </c>
      <c r="G13" s="27">
        <f>'Ex10,p1'!I11</f>
        <v>1.4169999999999998</v>
      </c>
      <c r="H13" s="23" t="s">
        <v>99</v>
      </c>
      <c r="I13" s="26">
        <f>'Ex10,p1'!L11</f>
        <v>0.04823570924488356</v>
      </c>
      <c r="J13" s="23" t="s">
        <v>176</v>
      </c>
      <c r="K13" s="26">
        <f aca="true" t="shared" si="0" ref="K13:K23">(C13*(1-E13)/G13)+I13</f>
        <v>0.08174585107109522</v>
      </c>
    </row>
    <row r="14" spans="1:11" ht="21.75" customHeight="1">
      <c r="A14" s="23" t="str">
        <f>DATA!A6</f>
        <v>FE</v>
      </c>
      <c r="B14" s="62" t="s">
        <v>122</v>
      </c>
      <c r="C14" s="73">
        <f>DATA!AA6</f>
        <v>0.14</v>
      </c>
      <c r="D14" s="45" t="s">
        <v>247</v>
      </c>
      <c r="E14" s="24">
        <f>'Ex9'!C37</f>
        <v>0.4767441860465116</v>
      </c>
      <c r="F14" s="45" t="s">
        <v>248</v>
      </c>
      <c r="G14" s="27">
        <f>'Ex10,p1'!I12</f>
        <v>2.2689283791060855</v>
      </c>
      <c r="H14" s="23" t="s">
        <v>99</v>
      </c>
      <c r="I14" s="26">
        <f>'Ex10,p1'!L12</f>
        <v>0.065</v>
      </c>
      <c r="J14" s="23" t="s">
        <v>176</v>
      </c>
      <c r="K14" s="26">
        <f t="shared" si="0"/>
        <v>0.09728652549286276</v>
      </c>
    </row>
    <row r="15" spans="1:11" ht="21.75" customHeight="1">
      <c r="A15" s="23" t="str">
        <f>DATA!A7</f>
        <v>NU</v>
      </c>
      <c r="B15" s="62" t="s">
        <v>122</v>
      </c>
      <c r="C15" s="73">
        <f>DATA!AA7</f>
        <v>0.09</v>
      </c>
      <c r="D15" s="45" t="s">
        <v>247</v>
      </c>
      <c r="E15" s="24">
        <f>'Ex9'!C53</f>
        <v>0.538888888888889</v>
      </c>
      <c r="F15" s="45" t="s">
        <v>248</v>
      </c>
      <c r="G15" s="27">
        <f>'Ex10,p1'!I13</f>
        <v>1.3250454921422663</v>
      </c>
      <c r="H15" s="23" t="s">
        <v>99</v>
      </c>
      <c r="I15" s="26">
        <f>'Ex10,p1'!L13</f>
        <v>0.06235926790596637</v>
      </c>
      <c r="J15" s="23" t="s">
        <v>176</v>
      </c>
      <c r="K15" s="26">
        <f t="shared" si="0"/>
        <v>0.0936789473027129</v>
      </c>
    </row>
    <row r="16" spans="1:11" ht="21.75" customHeight="1">
      <c r="A16" s="23" t="str">
        <f>DATA!A8</f>
        <v>AEE</v>
      </c>
      <c r="B16" s="62" t="s">
        <v>122</v>
      </c>
      <c r="C16" s="73">
        <f>DATA!AA8</f>
        <v>0.1</v>
      </c>
      <c r="D16" s="45" t="s">
        <v>247</v>
      </c>
      <c r="E16" s="24">
        <f>'Ex9'!C76</f>
        <v>0.21846153846153848</v>
      </c>
      <c r="F16" s="45" t="s">
        <v>248</v>
      </c>
      <c r="G16" s="27">
        <f>'Ex10,p1'!I14</f>
        <v>1.336289500509684</v>
      </c>
      <c r="H16" s="23" t="s">
        <v>99</v>
      </c>
      <c r="I16" s="26">
        <f>'Ex10,p1'!L14</f>
        <v>0.040033183309176906</v>
      </c>
      <c r="J16" s="23" t="s">
        <v>176</v>
      </c>
      <c r="K16" s="26">
        <f t="shared" si="0"/>
        <v>0.09851889776254717</v>
      </c>
    </row>
    <row r="17" spans="1:11" ht="21.75" customHeight="1">
      <c r="A17" s="23" t="str">
        <f>DATA!A9</f>
        <v>AEP</v>
      </c>
      <c r="B17" s="62" t="s">
        <v>122</v>
      </c>
      <c r="C17" s="73">
        <f>DATA!AA9</f>
        <v>0.11</v>
      </c>
      <c r="D17" s="45" t="s">
        <v>247</v>
      </c>
      <c r="E17" s="24">
        <f>'Ex9'!C92</f>
        <v>0.4357142857142856</v>
      </c>
      <c r="F17" s="45" t="s">
        <v>248</v>
      </c>
      <c r="G17" s="27">
        <f>'Ex10,p1'!I15</f>
        <v>1.708942436412316</v>
      </c>
      <c r="H17" s="23" t="s">
        <v>99</v>
      </c>
      <c r="I17" s="26">
        <f>'Ex10,p1'!L15</f>
        <v>0.06225974870356735</v>
      </c>
      <c r="J17" s="23" t="s">
        <v>176</v>
      </c>
      <c r="K17" s="26">
        <f t="shared" si="0"/>
        <v>0.09858129309785298</v>
      </c>
    </row>
    <row r="18" spans="1:11" ht="21.75" customHeight="1">
      <c r="A18" s="23" t="str">
        <f>DATA!A10</f>
        <v>CNL</v>
      </c>
      <c r="B18" s="62" t="s">
        <v>122</v>
      </c>
      <c r="C18" s="73">
        <f>DATA!AA10</f>
        <v>0.08</v>
      </c>
      <c r="D18" s="45" t="s">
        <v>247</v>
      </c>
      <c r="E18" s="24">
        <f>'Ex9'!C108</f>
        <v>0.3076923076923077</v>
      </c>
      <c r="F18" s="45" t="s">
        <v>248</v>
      </c>
      <c r="G18" s="27">
        <f>'Ex10,p1'!I16</f>
        <v>1.4984205128205128</v>
      </c>
      <c r="H18" s="23" t="s">
        <v>99</v>
      </c>
      <c r="I18" s="26">
        <f>'Ex10,p1'!L16</f>
        <v>0.06331576497645383</v>
      </c>
      <c r="J18" s="23" t="s">
        <v>176</v>
      </c>
      <c r="K18" s="26">
        <f t="shared" si="0"/>
        <v>0.10027776256707918</v>
      </c>
    </row>
    <row r="19" spans="1:11" ht="21.75" customHeight="1">
      <c r="A19" s="23" t="str">
        <f>DATA!A11</f>
        <v>EDE</v>
      </c>
      <c r="B19" s="62" t="s">
        <v>122</v>
      </c>
      <c r="C19" s="73">
        <f>DATA!AA11</f>
        <v>0.07</v>
      </c>
      <c r="D19" s="45" t="s">
        <v>247</v>
      </c>
      <c r="E19" s="24">
        <f>'Ex9'!C131</f>
        <v>-0.02400000000000002</v>
      </c>
      <c r="F19" s="45" t="s">
        <v>248</v>
      </c>
      <c r="G19" s="27">
        <f>'Ex10,p1'!I17</f>
        <v>1.331925465838509</v>
      </c>
      <c r="H19" s="23" t="s">
        <v>99</v>
      </c>
      <c r="I19" s="26">
        <f>'Ex10,p1'!L17</f>
        <v>0.04496828949822793</v>
      </c>
      <c r="J19" s="23" t="s">
        <v>176</v>
      </c>
      <c r="K19" s="26">
        <f t="shared" si="0"/>
        <v>0.09878511471740348</v>
      </c>
    </row>
    <row r="20" spans="1:11" ht="21.75" customHeight="1">
      <c r="A20" s="23" t="str">
        <f>DATA!A12</f>
        <v>ETR</v>
      </c>
      <c r="B20" s="62" t="s">
        <v>122</v>
      </c>
      <c r="C20" s="73">
        <f>DATA!AA12</f>
        <v>0.14</v>
      </c>
      <c r="D20" s="45" t="s">
        <v>247</v>
      </c>
      <c r="E20" s="24">
        <f>'Ex9'!C147</f>
        <v>0.5392857142857143</v>
      </c>
      <c r="F20" s="45" t="s">
        <v>248</v>
      </c>
      <c r="G20" s="27">
        <f>'Ex10,p1'!I18</f>
        <v>2.610917280917281</v>
      </c>
      <c r="H20" s="23" t="s">
        <v>99</v>
      </c>
      <c r="I20" s="26">
        <f>'Ex10,p1'!L18</f>
        <v>0.07383007155113193</v>
      </c>
      <c r="J20" s="23" t="s">
        <v>176</v>
      </c>
      <c r="K20" s="26">
        <f t="shared" si="0"/>
        <v>0.09853403305593285</v>
      </c>
    </row>
    <row r="21" spans="1:11" ht="21.75" customHeight="1">
      <c r="A21" s="23" t="str">
        <f>DATA!A13</f>
        <v>HE</v>
      </c>
      <c r="B21" s="62" t="s">
        <v>122</v>
      </c>
      <c r="C21" s="73">
        <f>DATA!AA13</f>
        <v>0.065</v>
      </c>
      <c r="D21" s="45" t="s">
        <v>247</v>
      </c>
      <c r="E21" s="24">
        <f>'Ex9'!C163</f>
        <v>-0.37777777777777777</v>
      </c>
      <c r="F21" s="45" t="s">
        <v>248</v>
      </c>
      <c r="G21" s="27">
        <f>'Ex10,p1'!I19</f>
        <v>1.6679411764705887</v>
      </c>
      <c r="H21" s="23" t="s">
        <v>99</v>
      </c>
      <c r="I21" s="26">
        <f>'Ex10,p1'!L19</f>
        <v>0.03600687709398695</v>
      </c>
      <c r="J21" s="23" t="s">
        <v>176</v>
      </c>
      <c r="K21" s="26">
        <f t="shared" si="0"/>
        <v>0.08969915162914632</v>
      </c>
    </row>
    <row r="22" spans="1:11" ht="21.75" customHeight="1">
      <c r="A22" s="23" t="str">
        <f>DATA!A14</f>
        <v>PNM</v>
      </c>
      <c r="B22" s="62" t="s">
        <v>122</v>
      </c>
      <c r="C22" s="73">
        <f>DATA!AA14</f>
        <v>0.055</v>
      </c>
      <c r="D22" s="45" t="s">
        <v>247</v>
      </c>
      <c r="E22" s="24">
        <f>'Ex9'!C186</f>
        <v>0.3111111111111111</v>
      </c>
      <c r="F22" s="45" t="s">
        <v>248</v>
      </c>
      <c r="G22" s="27">
        <f>'Ex10,p1'!I20</f>
        <v>0.6446919079435782</v>
      </c>
      <c r="H22" s="23" t="s">
        <v>99</v>
      </c>
      <c r="I22" s="26">
        <f>'Ex10,p1'!L20</f>
        <v>0.030966144633809298</v>
      </c>
      <c r="J22" s="23" t="s">
        <v>176</v>
      </c>
      <c r="K22" s="26">
        <f t="shared" si="0"/>
        <v>0.08973668048518349</v>
      </c>
    </row>
    <row r="23" spans="1:11" ht="21.75" customHeight="1">
      <c r="A23" s="23" t="str">
        <f>DATA!A15</f>
        <v>PNW</v>
      </c>
      <c r="B23" s="62" t="s">
        <v>122</v>
      </c>
      <c r="C23" s="73">
        <f>DATA!AA15</f>
        <v>0.085</v>
      </c>
      <c r="D23" s="45" t="s">
        <v>247</v>
      </c>
      <c r="E23" s="24">
        <f>'Ex9'!C202</f>
        <v>0.2857142857142857</v>
      </c>
      <c r="F23" s="45" t="s">
        <v>248</v>
      </c>
      <c r="G23" s="27">
        <f>'Ex10,p1'!I21</f>
        <v>1.0439660056657223</v>
      </c>
      <c r="H23" s="23" t="s">
        <v>99</v>
      </c>
      <c r="I23" s="26">
        <f>'Ex10,p1'!L21</f>
        <v>0.03521057201780094</v>
      </c>
      <c r="J23" s="23" t="s">
        <v>176</v>
      </c>
      <c r="K23" s="26">
        <f t="shared" si="0"/>
        <v>0.09336791180164675</v>
      </c>
    </row>
    <row r="24" spans="1:11" ht="21.75" customHeight="1">
      <c r="A24" s="23" t="str">
        <f>DATA!A16</f>
        <v>PSD</v>
      </c>
      <c r="B24" s="62" t="s">
        <v>122</v>
      </c>
      <c r="C24" s="73">
        <f>DATA!AA16</f>
        <v>0.075</v>
      </c>
      <c r="D24" s="45" t="s">
        <v>247</v>
      </c>
      <c r="E24" s="24">
        <f>'Ex9'!C218</f>
        <v>0.375</v>
      </c>
      <c r="F24" s="45" t="s">
        <v>248</v>
      </c>
      <c r="G24" s="27">
        <f>'Ex10,p1'!I22</f>
        <v>1.3832027850304616</v>
      </c>
      <c r="H24" s="23" t="s">
        <v>99</v>
      </c>
      <c r="I24" s="26">
        <f>'Ex10,p1'!L22</f>
        <v>0.053311206191405024</v>
      </c>
      <c r="J24" s="23" t="s">
        <v>176</v>
      </c>
      <c r="K24" s="26">
        <f>(C24*(1-E24)/G24)+I24</f>
        <v>0.08719994651733468</v>
      </c>
    </row>
    <row r="25" spans="1:11" ht="21.75" customHeight="1">
      <c r="A25" s="23" t="str">
        <f>DATA!A17</f>
        <v>UNS</v>
      </c>
      <c r="B25" s="62" t="s">
        <v>122</v>
      </c>
      <c r="C25" s="73">
        <f>DATA!AA17</f>
        <v>0.08</v>
      </c>
      <c r="D25" s="45" t="s">
        <v>247</v>
      </c>
      <c r="E25" s="24">
        <f>'Ex9'!C241</f>
        <v>0.4375</v>
      </c>
      <c r="F25" s="45" t="s">
        <v>248</v>
      </c>
      <c r="G25" s="27">
        <f>'Ex10,p1'!I23</f>
        <v>1.3756862745098037</v>
      </c>
      <c r="H25" s="23" t="s">
        <v>99</v>
      </c>
      <c r="I25" s="26">
        <f>'Ex10,p1'!L23</f>
        <v>0.04841362599771949</v>
      </c>
      <c r="J25" s="23" t="s">
        <v>176</v>
      </c>
      <c r="K25" s="26">
        <f>(C25*(1-E25)/G25)+I25</f>
        <v>0.0811245724059293</v>
      </c>
    </row>
    <row r="26" spans="1:11" ht="21.75" customHeight="1">
      <c r="A26" s="23" t="str">
        <f>DATA!A18</f>
        <v>XEL</v>
      </c>
      <c r="B26" s="62" t="s">
        <v>122</v>
      </c>
      <c r="C26" s="73">
        <f>DATA!AA18</f>
        <v>0.09</v>
      </c>
      <c r="D26" s="45" t="s">
        <v>247</v>
      </c>
      <c r="E26" s="24">
        <f>'Ex9'!C257</f>
        <v>0.32592592592592595</v>
      </c>
      <c r="F26" s="45" t="s">
        <v>248</v>
      </c>
      <c r="G26" s="27">
        <f>'Ex10,p1'!I24</f>
        <v>1.3940589569160997</v>
      </c>
      <c r="H26" s="23" t="s">
        <v>99</v>
      </c>
      <c r="I26" s="26">
        <f>'Ex10,p1'!L24</f>
        <v>0.04532670223494584</v>
      </c>
      <c r="J26" s="23" t="s">
        <v>176</v>
      </c>
      <c r="K26" s="41">
        <f>(C26*(1-E26)/G26)+I26</f>
        <v>0.08884470867627445</v>
      </c>
    </row>
    <row r="27" spans="1:11" ht="21.75" customHeight="1">
      <c r="A27" s="23"/>
      <c r="B27" s="62"/>
      <c r="C27" s="73"/>
      <c r="D27" s="45"/>
      <c r="E27" s="24"/>
      <c r="F27" s="45"/>
      <c r="G27" s="27"/>
      <c r="H27" s="23"/>
      <c r="I27" s="26"/>
      <c r="J27" s="23"/>
      <c r="K27" s="41"/>
    </row>
    <row r="28" spans="1:11" ht="12">
      <c r="A28" s="23"/>
      <c r="B28" s="23"/>
      <c r="C28" s="73"/>
      <c r="D28" s="23"/>
      <c r="E28" s="24"/>
      <c r="F28" s="23"/>
      <c r="G28" s="27"/>
      <c r="H28" s="23"/>
      <c r="I28" s="23"/>
      <c r="J28" s="62" t="s">
        <v>186</v>
      </c>
      <c r="K28" s="52">
        <f>AVERAGE(K13:K26)</f>
        <v>0.09267009975592869</v>
      </c>
    </row>
    <row r="29" spans="1:11" ht="12">
      <c r="A29" s="23"/>
      <c r="B29" s="23"/>
      <c r="C29" s="73"/>
      <c r="D29" s="23"/>
      <c r="E29" s="24"/>
      <c r="F29" s="23"/>
      <c r="G29" s="27"/>
      <c r="H29" s="23"/>
      <c r="I29" s="23"/>
      <c r="J29" s="62"/>
      <c r="K29" s="52"/>
    </row>
    <row r="30" spans="1:11" ht="12">
      <c r="A30" s="23"/>
      <c r="B30" s="23"/>
      <c r="C30" s="73"/>
      <c r="D30" s="23"/>
      <c r="E30" s="24"/>
      <c r="F30" s="23"/>
      <c r="G30" s="27"/>
      <c r="H30" s="23"/>
      <c r="I30" s="23"/>
      <c r="J30" s="62" t="s">
        <v>220</v>
      </c>
      <c r="K30" s="52">
        <f>STDEV(K13:K23)</f>
        <v>0.005647182521602249</v>
      </c>
    </row>
    <row r="31" spans="1:11" ht="12">
      <c r="A31" s="22"/>
      <c r="B31" s="23"/>
      <c r="C31" s="73"/>
      <c r="D31" s="23"/>
      <c r="E31" s="24"/>
      <c r="F31" s="23"/>
      <c r="G31" s="27"/>
      <c r="H31" s="23"/>
      <c r="I31" s="23"/>
      <c r="J31" s="23"/>
      <c r="K31" s="26"/>
    </row>
    <row r="32" spans="1:11" ht="12">
      <c r="A32" s="23"/>
      <c r="B32" s="23"/>
      <c r="C32" s="73"/>
      <c r="D32" s="23"/>
      <c r="E32" s="24"/>
      <c r="F32" s="23"/>
      <c r="G32" s="27"/>
      <c r="H32" s="23"/>
      <c r="I32" s="23"/>
      <c r="J32" s="62" t="s">
        <v>196</v>
      </c>
      <c r="K32" s="52">
        <f>AVERAGE(K13:K23,K25:K26)</f>
        <v>0.09309088077428207</v>
      </c>
    </row>
    <row r="33" spans="1:11" ht="12">
      <c r="A33" s="22"/>
      <c r="C33" s="73"/>
      <c r="D33" s="23"/>
      <c r="E33" s="24"/>
      <c r="F33" s="23"/>
      <c r="G33" s="27"/>
      <c r="H33" s="23"/>
      <c r="I33" s="23"/>
      <c r="J33" s="23"/>
      <c r="K33" s="23"/>
    </row>
    <row r="34" ht="12">
      <c r="A34" s="22" t="s">
        <v>11</v>
      </c>
    </row>
  </sheetData>
  <sheetProtection/>
  <printOptions/>
  <pageMargins left="0.77" right="0.75" top="1" bottom="1" header="0.5" footer="0.5"/>
  <pageSetup orientation="portrait" scale="9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E28" sqref="E28"/>
    </sheetView>
  </sheetViews>
  <sheetFormatPr defaultColWidth="10.875" defaultRowHeight="12"/>
  <cols>
    <col min="1" max="1" width="15.375" style="28" customWidth="1"/>
    <col min="2" max="2" width="10.875" style="28" customWidth="1"/>
    <col min="3" max="3" width="7.125" style="28" customWidth="1"/>
    <col min="4" max="4" width="2.625" style="28" customWidth="1"/>
    <col min="5" max="5" width="8.50390625" style="28" customWidth="1"/>
    <col min="6" max="6" width="2.00390625" style="28" customWidth="1"/>
    <col min="7" max="7" width="5.875" style="28" customWidth="1"/>
    <col min="8" max="8" width="2.625" style="28" customWidth="1"/>
    <col min="9" max="9" width="6.625" style="28" customWidth="1"/>
    <col min="10" max="10" width="11.50390625" style="28" customWidth="1"/>
    <col min="11" max="11" width="21.00390625" style="28" customWidth="1"/>
    <col min="12" max="16384" width="10.875" style="28" customWidth="1"/>
  </cols>
  <sheetData>
    <row r="1" spans="1:11" ht="12">
      <c r="A1" s="23"/>
      <c r="B1" s="23"/>
      <c r="C1" s="73"/>
      <c r="D1" s="23"/>
      <c r="E1" s="22"/>
      <c r="F1" s="23"/>
      <c r="G1" s="27"/>
      <c r="H1" s="23"/>
      <c r="I1" s="23"/>
      <c r="J1" s="23"/>
      <c r="K1" s="62" t="s">
        <v>25</v>
      </c>
    </row>
    <row r="2" spans="1:11" ht="12">
      <c r="A2" s="23"/>
      <c r="B2" s="23"/>
      <c r="C2" s="73"/>
      <c r="D2" s="23"/>
      <c r="E2" s="24"/>
      <c r="F2" s="23"/>
      <c r="G2" s="27"/>
      <c r="H2" s="23"/>
      <c r="I2" s="23"/>
      <c r="J2" s="23"/>
      <c r="K2" s="84" t="s">
        <v>36</v>
      </c>
    </row>
    <row r="3" spans="1:11" ht="12">
      <c r="A3" s="23"/>
      <c r="B3" s="23"/>
      <c r="C3" s="73"/>
      <c r="D3" s="23"/>
      <c r="E3" s="24"/>
      <c r="F3" s="23"/>
      <c r="G3" s="27"/>
      <c r="H3" s="23"/>
      <c r="I3" s="23"/>
      <c r="J3" s="23"/>
      <c r="K3" s="62" t="s">
        <v>66</v>
      </c>
    </row>
    <row r="4" spans="1:11" ht="12">
      <c r="A4" s="23"/>
      <c r="B4" s="23"/>
      <c r="C4" s="22"/>
      <c r="D4" s="23"/>
      <c r="E4" s="24"/>
      <c r="F4" s="74" t="str">
        <f>DATA!A1</f>
        <v>PUGET SOUND ENERGY</v>
      </c>
      <c r="G4" s="27"/>
      <c r="H4" s="23"/>
      <c r="I4" s="23"/>
      <c r="J4" s="23"/>
      <c r="K4" s="23"/>
    </row>
    <row r="5" spans="1:11" ht="12">
      <c r="A5" s="23"/>
      <c r="B5" s="23"/>
      <c r="C5" s="22"/>
      <c r="D5" s="23"/>
      <c r="E5" s="24"/>
      <c r="F5" s="74"/>
      <c r="G5" s="27"/>
      <c r="H5" s="23"/>
      <c r="I5" s="23"/>
      <c r="J5" s="23"/>
      <c r="K5" s="23"/>
    </row>
    <row r="6" spans="1:11" ht="12">
      <c r="A6" s="23"/>
      <c r="B6" s="23"/>
      <c r="C6" s="22"/>
      <c r="D6" s="23"/>
      <c r="E6" s="24"/>
      <c r="F6" s="74" t="s">
        <v>224</v>
      </c>
      <c r="G6" s="27"/>
      <c r="H6" s="23"/>
      <c r="I6" s="23"/>
      <c r="J6" s="23"/>
      <c r="K6" s="23"/>
    </row>
    <row r="7" spans="1:11" ht="12">
      <c r="A7" s="23"/>
      <c r="B7" s="23"/>
      <c r="C7" s="73"/>
      <c r="D7" s="23"/>
      <c r="E7" s="24"/>
      <c r="F7" s="23"/>
      <c r="G7" s="27"/>
      <c r="H7" s="23"/>
      <c r="I7" s="23"/>
      <c r="J7" s="23"/>
      <c r="K7" s="23"/>
    </row>
    <row r="8" spans="1:11" ht="12">
      <c r="A8" s="23"/>
      <c r="B8" s="23"/>
      <c r="C8" s="73"/>
      <c r="D8" s="23"/>
      <c r="E8" s="24"/>
      <c r="F8" s="23"/>
      <c r="G8" s="27"/>
      <c r="H8" s="23"/>
      <c r="I8" s="23"/>
      <c r="J8" s="23"/>
      <c r="K8" s="23"/>
    </row>
    <row r="9" spans="1:11" ht="12">
      <c r="A9" s="23"/>
      <c r="B9" s="23"/>
      <c r="C9" s="22"/>
      <c r="D9" s="23"/>
      <c r="E9" s="24"/>
      <c r="F9" s="25" t="s">
        <v>225</v>
      </c>
      <c r="G9" s="27"/>
      <c r="H9" s="23"/>
      <c r="I9" s="23"/>
      <c r="J9" s="23"/>
      <c r="K9" s="23"/>
    </row>
    <row r="10" spans="1:11" ht="12">
      <c r="A10" s="23"/>
      <c r="B10" s="23"/>
      <c r="C10" s="73"/>
      <c r="D10" s="23"/>
      <c r="E10" s="24"/>
      <c r="F10" s="32" t="s">
        <v>167</v>
      </c>
      <c r="G10" s="27"/>
      <c r="H10" s="23"/>
      <c r="I10" s="23"/>
      <c r="J10" s="23"/>
      <c r="K10" s="23" t="s">
        <v>40</v>
      </c>
    </row>
    <row r="11" spans="1:11" ht="12">
      <c r="A11" s="42" t="s">
        <v>231</v>
      </c>
      <c r="B11" s="23"/>
      <c r="C11" s="73"/>
      <c r="D11" s="23"/>
      <c r="E11" s="24"/>
      <c r="F11" s="23"/>
      <c r="G11" s="27"/>
      <c r="H11" s="23"/>
      <c r="I11" s="23"/>
      <c r="J11" s="23"/>
      <c r="K11" s="42" t="s">
        <v>170</v>
      </c>
    </row>
    <row r="12" spans="1:11" ht="12">
      <c r="A12" s="23"/>
      <c r="B12" s="23"/>
      <c r="C12" s="73"/>
      <c r="D12" s="23"/>
      <c r="E12" s="24"/>
      <c r="F12" s="23"/>
      <c r="G12" s="27"/>
      <c r="H12" s="23"/>
      <c r="I12" s="23"/>
      <c r="J12" s="23"/>
      <c r="K12" s="23"/>
    </row>
    <row r="13" spans="1:11" ht="21.75" customHeight="1">
      <c r="A13" s="23" t="str">
        <f>DATA!A5</f>
        <v>CV</v>
      </c>
      <c r="B13" s="62" t="s">
        <v>122</v>
      </c>
      <c r="C13" s="73">
        <f>DATA!AC5</f>
        <v>0.075</v>
      </c>
      <c r="D13" s="45" t="s">
        <v>247</v>
      </c>
      <c r="E13" s="24">
        <f>'Ex9'!C23</f>
        <v>0.4424242424242424</v>
      </c>
      <c r="F13" s="45" t="s">
        <v>248</v>
      </c>
      <c r="G13" s="27">
        <f>'Ex10,p1'!I11</f>
        <v>1.4169999999999998</v>
      </c>
      <c r="H13" s="23" t="s">
        <v>99</v>
      </c>
      <c r="I13" s="26">
        <f>'Ex10,p1'!L11</f>
        <v>0.04823570924488356</v>
      </c>
      <c r="J13" s="23" t="s">
        <v>176</v>
      </c>
      <c r="K13" s="26">
        <f aca="true" t="shared" si="0" ref="K13:K23">(C13*(1-E13)/G13)+I13</f>
        <v>0.07774748187592224</v>
      </c>
    </row>
    <row r="14" spans="1:11" ht="21.75" customHeight="1">
      <c r="A14" s="23" t="str">
        <f>DATA!A6</f>
        <v>FE</v>
      </c>
      <c r="B14" s="62" t="s">
        <v>122</v>
      </c>
      <c r="C14" s="73">
        <f>DATA!AC6</f>
        <v>0.14</v>
      </c>
      <c r="D14" s="45" t="s">
        <v>247</v>
      </c>
      <c r="E14" s="24">
        <f>'Ex9'!C39</f>
        <v>0.4545454545454546</v>
      </c>
      <c r="F14" s="45" t="s">
        <v>248</v>
      </c>
      <c r="G14" s="27">
        <f>'Ex10,p1'!I12</f>
        <v>2.2689283791060855</v>
      </c>
      <c r="H14" s="23" t="s">
        <v>99</v>
      </c>
      <c r="I14" s="26">
        <f>'Ex10,p1'!L12</f>
        <v>0.065</v>
      </c>
      <c r="J14" s="23" t="s">
        <v>176</v>
      </c>
      <c r="K14" s="26">
        <f t="shared" si="0"/>
        <v>0.09865625687740845</v>
      </c>
    </row>
    <row r="15" spans="1:11" ht="21.75" customHeight="1">
      <c r="A15" s="23" t="str">
        <f>DATA!A7</f>
        <v>NU</v>
      </c>
      <c r="B15" s="62" t="s">
        <v>122</v>
      </c>
      <c r="C15" s="73">
        <f>DATA!AC7</f>
        <v>0.085</v>
      </c>
      <c r="D15" s="45" t="s">
        <v>247</v>
      </c>
      <c r="E15" s="24">
        <f>'Ex9'!C55</f>
        <v>0.5708333333333333</v>
      </c>
      <c r="F15" s="45" t="s">
        <v>248</v>
      </c>
      <c r="G15" s="27">
        <f>'Ex10,p1'!I13</f>
        <v>1.3250454921422663</v>
      </c>
      <c r="H15" s="23" t="s">
        <v>99</v>
      </c>
      <c r="I15" s="26">
        <f>'Ex10,p1'!L13</f>
        <v>0.06235926790596637</v>
      </c>
      <c r="J15" s="23" t="s">
        <v>176</v>
      </c>
      <c r="K15" s="26">
        <f t="shared" si="0"/>
        <v>0.08988976922308643</v>
      </c>
    </row>
    <row r="16" spans="1:11" ht="21.75" customHeight="1">
      <c r="A16" s="23" t="str">
        <f>DATA!A8</f>
        <v>AEE</v>
      </c>
      <c r="B16" s="62" t="s">
        <v>122</v>
      </c>
      <c r="C16" s="73">
        <f>DATA!AC8</f>
        <v>0.09</v>
      </c>
      <c r="D16" s="45" t="s">
        <v>247</v>
      </c>
      <c r="E16" s="24">
        <f>'Ex9'!C78</f>
        <v>0.2529411764705882</v>
      </c>
      <c r="F16" s="45" t="s">
        <v>248</v>
      </c>
      <c r="G16" s="27">
        <f>'Ex10,p1'!I14</f>
        <v>1.336289500509684</v>
      </c>
      <c r="H16" s="23" t="s">
        <v>99</v>
      </c>
      <c r="I16" s="26">
        <f>'Ex10,p1'!L14</f>
        <v>0.040033183309176906</v>
      </c>
      <c r="J16" s="23" t="s">
        <v>176</v>
      </c>
      <c r="K16" s="26">
        <f t="shared" si="0"/>
        <v>0.0903480994197969</v>
      </c>
    </row>
    <row r="17" spans="1:11" ht="21.75" customHeight="1">
      <c r="A17" s="23" t="str">
        <f>DATA!A9</f>
        <v>AEP</v>
      </c>
      <c r="B17" s="62" t="s">
        <v>122</v>
      </c>
      <c r="C17" s="73">
        <f>DATA!AC9</f>
        <v>0.125</v>
      </c>
      <c r="D17" s="45" t="s">
        <v>247</v>
      </c>
      <c r="E17" s="24">
        <f>'Ex9'!C94</f>
        <v>0.44999999999999996</v>
      </c>
      <c r="F17" s="45" t="s">
        <v>248</v>
      </c>
      <c r="G17" s="27">
        <f>'Ex10,p1'!I15</f>
        <v>1.708942436412316</v>
      </c>
      <c r="H17" s="23" t="s">
        <v>99</v>
      </c>
      <c r="I17" s="26">
        <f>'Ex10,p1'!L15</f>
        <v>0.06225974870356735</v>
      </c>
      <c r="J17" s="23" t="s">
        <v>176</v>
      </c>
      <c r="K17" s="26">
        <f t="shared" si="0"/>
        <v>0.10248930736812421</v>
      </c>
    </row>
    <row r="18" spans="1:11" ht="21.75" customHeight="1">
      <c r="A18" s="23" t="str">
        <f>DATA!A10</f>
        <v>CNL</v>
      </c>
      <c r="B18" s="62" t="s">
        <v>122</v>
      </c>
      <c r="C18" s="73">
        <f>DATA!AC10</f>
        <v>0.105</v>
      </c>
      <c r="D18" s="45" t="s">
        <v>247</v>
      </c>
      <c r="E18" s="24">
        <f>'Ex9'!C110</f>
        <v>0.35</v>
      </c>
      <c r="F18" s="45" t="s">
        <v>248</v>
      </c>
      <c r="G18" s="27">
        <f>'Ex10,p1'!I16</f>
        <v>1.4984205128205128</v>
      </c>
      <c r="H18" s="23" t="s">
        <v>99</v>
      </c>
      <c r="I18" s="26">
        <f>'Ex10,p1'!L16</f>
        <v>0.06331576497645383</v>
      </c>
      <c r="J18" s="23" t="s">
        <v>176</v>
      </c>
      <c r="K18" s="26">
        <f t="shared" si="0"/>
        <v>0.10886372659073486</v>
      </c>
    </row>
    <row r="19" spans="1:11" ht="21.75" customHeight="1">
      <c r="A19" s="23" t="str">
        <f>DATA!A11</f>
        <v>EDE</v>
      </c>
      <c r="B19" s="62" t="s">
        <v>122</v>
      </c>
      <c r="C19" s="73">
        <f>DATA!AC11</f>
        <v>0.105</v>
      </c>
      <c r="D19" s="45" t="s">
        <v>247</v>
      </c>
      <c r="E19" s="24">
        <f>'Ex9'!C133</f>
        <v>0.22857142857142854</v>
      </c>
      <c r="F19" s="45" t="s">
        <v>248</v>
      </c>
      <c r="G19" s="27">
        <f>'Ex10,p1'!I17</f>
        <v>1.331925465838509</v>
      </c>
      <c r="H19" s="23" t="s">
        <v>99</v>
      </c>
      <c r="I19" s="26">
        <f>'Ex10,p1'!L17</f>
        <v>0.04496828949822793</v>
      </c>
      <c r="J19" s="23" t="s">
        <v>176</v>
      </c>
      <c r="K19" s="26">
        <f t="shared" si="0"/>
        <v>0.10578250326431637</v>
      </c>
    </row>
    <row r="20" spans="1:11" ht="21.75" customHeight="1">
      <c r="A20" s="23" t="str">
        <f>DATA!A12</f>
        <v>ETR</v>
      </c>
      <c r="B20" s="62" t="s">
        <v>122</v>
      </c>
      <c r="C20" s="73">
        <f>DATA!AC12</f>
        <v>0.14</v>
      </c>
      <c r="D20" s="45" t="s">
        <v>247</v>
      </c>
      <c r="E20" s="24">
        <f>'Ex9'!C149</f>
        <v>0.5256410256410255</v>
      </c>
      <c r="F20" s="45" t="s">
        <v>248</v>
      </c>
      <c r="G20" s="27">
        <f>'Ex10,p1'!I18</f>
        <v>2.610917280917281</v>
      </c>
      <c r="H20" s="23" t="s">
        <v>99</v>
      </c>
      <c r="I20" s="26">
        <f>'Ex10,p1'!L18</f>
        <v>0.07383007155113193</v>
      </c>
      <c r="J20" s="23" t="s">
        <v>176</v>
      </c>
      <c r="K20" s="26">
        <f t="shared" si="0"/>
        <v>0.0992656749291619</v>
      </c>
    </row>
    <row r="21" spans="1:11" ht="21.75" customHeight="1">
      <c r="A21" s="23" t="str">
        <f>DATA!A13</f>
        <v>HE</v>
      </c>
      <c r="B21" s="62" t="s">
        <v>122</v>
      </c>
      <c r="C21" s="73">
        <f>DATA!AC13</f>
        <v>0.11</v>
      </c>
      <c r="D21" s="45" t="s">
        <v>247</v>
      </c>
      <c r="E21" s="24">
        <f>'Ex9'!C165</f>
        <v>0.17333333333333334</v>
      </c>
      <c r="F21" s="45" t="s">
        <v>248</v>
      </c>
      <c r="G21" s="27">
        <f>'Ex10,p1'!I19</f>
        <v>1.6679411764705887</v>
      </c>
      <c r="H21" s="23" t="s">
        <v>99</v>
      </c>
      <c r="I21" s="26">
        <f>'Ex10,p1'!L19</f>
        <v>0.03600687709398695</v>
      </c>
      <c r="J21" s="23" t="s">
        <v>176</v>
      </c>
      <c r="K21" s="26">
        <f t="shared" si="0"/>
        <v>0.09052518662199494</v>
      </c>
    </row>
    <row r="22" spans="1:11" ht="21.75" customHeight="1">
      <c r="A22" s="23" t="str">
        <f>DATA!A14</f>
        <v>PNM</v>
      </c>
      <c r="B22" s="62" t="s">
        <v>122</v>
      </c>
      <c r="C22" s="73">
        <f>DATA!AC14</f>
        <v>0.07</v>
      </c>
      <c r="D22" s="45" t="s">
        <v>247</v>
      </c>
      <c r="E22" s="24">
        <f>'Ex9'!C188</f>
        <v>0.41081081081081083</v>
      </c>
      <c r="F22" s="45" t="s">
        <v>248</v>
      </c>
      <c r="G22" s="27">
        <f>'Ex10,p1'!I20</f>
        <v>0.6446919079435782</v>
      </c>
      <c r="H22" s="23" t="s">
        <v>99</v>
      </c>
      <c r="I22" s="26">
        <f>'Ex10,p1'!L20</f>
        <v>0.030966144633809298</v>
      </c>
      <c r="J22" s="23" t="s">
        <v>176</v>
      </c>
      <c r="K22" s="26">
        <f t="shared" si="0"/>
        <v>0.09493971516426607</v>
      </c>
    </row>
    <row r="23" spans="1:11" ht="21.75" customHeight="1">
      <c r="A23" s="23" t="str">
        <f>DATA!A15</f>
        <v>PNW</v>
      </c>
      <c r="B23" s="62" t="s">
        <v>122</v>
      </c>
      <c r="C23" s="73">
        <f>DATA!AC15</f>
        <v>0.08</v>
      </c>
      <c r="D23" s="45" t="s">
        <v>247</v>
      </c>
      <c r="E23" s="24">
        <f>'Ex9'!C204</f>
        <v>0.2271186440677967</v>
      </c>
      <c r="F23" s="45" t="s">
        <v>248</v>
      </c>
      <c r="G23" s="27">
        <f>'Ex10,p1'!I21</f>
        <v>1.0439660056657223</v>
      </c>
      <c r="H23" s="23" t="s">
        <v>99</v>
      </c>
      <c r="I23" s="26">
        <f>'Ex10,p1'!L21</f>
        <v>0.03521057201780094</v>
      </c>
      <c r="J23" s="23" t="s">
        <v>176</v>
      </c>
      <c r="K23" s="26">
        <f t="shared" si="0"/>
        <v>0.09443712550614736</v>
      </c>
    </row>
    <row r="24" spans="1:11" ht="21.75" customHeight="1">
      <c r="A24" s="23" t="str">
        <f>DATA!A16</f>
        <v>PSD</v>
      </c>
      <c r="B24" s="62" t="s">
        <v>122</v>
      </c>
      <c r="C24" s="73">
        <f>DATA!AC16</f>
        <v>0.09</v>
      </c>
      <c r="D24" s="45" t="s">
        <v>247</v>
      </c>
      <c r="E24" s="24">
        <f>'Ex9'!C220</f>
        <v>0.4</v>
      </c>
      <c r="F24" s="45" t="s">
        <v>248</v>
      </c>
      <c r="G24" s="27">
        <f>'Ex10,p1'!I22</f>
        <v>1.3832027850304616</v>
      </c>
      <c r="H24" s="23" t="s">
        <v>99</v>
      </c>
      <c r="I24" s="26">
        <f>'Ex10,p1'!L22</f>
        <v>0.053311206191405024</v>
      </c>
      <c r="J24" s="23" t="s">
        <v>176</v>
      </c>
      <c r="K24" s="26">
        <f>(C24*(1-E24)/G24)+I24</f>
        <v>0.09235103504687597</v>
      </c>
    </row>
    <row r="25" spans="1:11" ht="21.75" customHeight="1">
      <c r="A25" s="23" t="str">
        <f>DATA!A17</f>
        <v>UNS</v>
      </c>
      <c r="B25" s="62" t="s">
        <v>122</v>
      </c>
      <c r="C25" s="73">
        <f>DATA!AC17</f>
        <v>0.085</v>
      </c>
      <c r="D25" s="45" t="s">
        <v>247</v>
      </c>
      <c r="E25" s="24">
        <f>'Ex9'!C243</f>
        <v>0.4</v>
      </c>
      <c r="F25" s="45" t="s">
        <v>248</v>
      </c>
      <c r="G25" s="27">
        <f>'Ex10,p1'!I23</f>
        <v>1.3756862745098037</v>
      </c>
      <c r="H25" s="23" t="s">
        <v>99</v>
      </c>
      <c r="I25" s="26">
        <f>'Ex10,p1'!L23</f>
        <v>0.04841362599771949</v>
      </c>
      <c r="J25" s="23" t="s">
        <v>176</v>
      </c>
      <c r="K25" s="26">
        <f>(C25*(1-E25)/G25)+I25</f>
        <v>0.08548603192702395</v>
      </c>
    </row>
    <row r="26" spans="1:11" ht="21.75" customHeight="1">
      <c r="A26" s="23" t="str">
        <f>DATA!A18</f>
        <v>XEL</v>
      </c>
      <c r="B26" s="62" t="s">
        <v>122</v>
      </c>
      <c r="C26" s="73">
        <f>DATA!AC18</f>
        <v>0.1</v>
      </c>
      <c r="D26" s="45" t="s">
        <v>247</v>
      </c>
      <c r="E26" s="24">
        <f>'Ex9'!C259</f>
        <v>0.37142857142857133</v>
      </c>
      <c r="F26" s="45" t="s">
        <v>248</v>
      </c>
      <c r="G26" s="27">
        <f>'Ex10,p1'!I24</f>
        <v>1.3940589569160997</v>
      </c>
      <c r="H26" s="23" t="s">
        <v>99</v>
      </c>
      <c r="I26" s="26">
        <f>'Ex10,p1'!L24</f>
        <v>0.04532670223494584</v>
      </c>
      <c r="J26" s="23" t="s">
        <v>176</v>
      </c>
      <c r="K26" s="41">
        <f>(C26*(1-E26)/G26)+I26</f>
        <v>0.09041600247242917</v>
      </c>
    </row>
    <row r="27" spans="1:11" ht="21.75" customHeight="1">
      <c r="A27" s="23"/>
      <c r="B27" s="62"/>
      <c r="C27" s="73"/>
      <c r="D27" s="45"/>
      <c r="E27" s="24"/>
      <c r="F27" s="45"/>
      <c r="G27" s="27"/>
      <c r="H27" s="23"/>
      <c r="I27" s="26"/>
      <c r="J27" s="23"/>
      <c r="K27" s="26"/>
    </row>
    <row r="28" spans="1:11" ht="12">
      <c r="A28" s="23"/>
      <c r="B28" s="23"/>
      <c r="C28" s="73"/>
      <c r="D28" s="23"/>
      <c r="E28" s="24"/>
      <c r="F28" s="23"/>
      <c r="G28" s="27"/>
      <c r="H28" s="23"/>
      <c r="I28" s="23"/>
      <c r="J28" s="62" t="s">
        <v>186</v>
      </c>
      <c r="K28" s="52">
        <f>AVERAGE(K13:K26)</f>
        <v>0.09437127973480633</v>
      </c>
    </row>
    <row r="29" spans="1:11" ht="12">
      <c r="A29" s="23"/>
      <c r="B29" s="23"/>
      <c r="C29" s="73"/>
      <c r="D29" s="23"/>
      <c r="E29" s="24"/>
      <c r="F29" s="23"/>
      <c r="G29" s="27"/>
      <c r="H29" s="23"/>
      <c r="I29" s="23"/>
      <c r="J29" s="62"/>
      <c r="K29" s="52"/>
    </row>
    <row r="30" spans="1:11" ht="12">
      <c r="A30" s="23"/>
      <c r="B30" s="23"/>
      <c r="C30" s="73"/>
      <c r="D30" s="23"/>
      <c r="E30" s="24"/>
      <c r="F30" s="23"/>
      <c r="G30" s="27"/>
      <c r="H30" s="23"/>
      <c r="I30" s="23"/>
      <c r="J30" s="62" t="s">
        <v>220</v>
      </c>
      <c r="K30" s="52">
        <f>STDEV(K13:K23)</f>
        <v>0.008695570215977277</v>
      </c>
    </row>
    <row r="31" spans="1:11" ht="12">
      <c r="A31" s="22"/>
      <c r="B31" s="23"/>
      <c r="C31" s="73"/>
      <c r="D31" s="23"/>
      <c r="E31" s="24"/>
      <c r="F31" s="23"/>
      <c r="G31" s="27"/>
      <c r="H31" s="23"/>
      <c r="I31" s="23"/>
      <c r="J31" s="23"/>
      <c r="K31" s="26"/>
    </row>
    <row r="32" spans="1:11" ht="12">
      <c r="A32" s="23"/>
      <c r="B32" s="23"/>
      <c r="C32" s="73"/>
      <c r="D32" s="23"/>
      <c r="E32" s="24"/>
      <c r="F32" s="23"/>
      <c r="G32" s="27"/>
      <c r="H32" s="23"/>
      <c r="I32" s="23"/>
      <c r="J32" s="62" t="s">
        <v>196</v>
      </c>
      <c r="K32" s="52">
        <f>AVERAGE(K13:K23,K25:K26)</f>
        <v>0.09452668317233945</v>
      </c>
    </row>
    <row r="33" spans="3:11" ht="12">
      <c r="C33" s="73"/>
      <c r="D33" s="23"/>
      <c r="E33" s="24"/>
      <c r="F33" s="23"/>
      <c r="G33" s="27"/>
      <c r="H33" s="23"/>
      <c r="I33" s="23"/>
      <c r="J33" s="23"/>
      <c r="K33" s="23"/>
    </row>
    <row r="34" ht="12">
      <c r="A34" s="22" t="s">
        <v>237</v>
      </c>
    </row>
  </sheetData>
  <sheetProtection/>
  <printOptions/>
  <pageMargins left="0.73" right="0.75" top="1" bottom="1" header="0.5" footer="0.5"/>
  <pageSetup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0"/>
  <sheetViews>
    <sheetView zoomScalePageLayoutView="0" workbookViewId="0" topLeftCell="A430">
      <selection activeCell="B457" sqref="B457:G486"/>
    </sheetView>
  </sheetViews>
  <sheetFormatPr defaultColWidth="10.875" defaultRowHeight="12"/>
  <cols>
    <col min="1" max="16384" width="10.875" style="22" customWidth="1"/>
  </cols>
  <sheetData>
    <row r="1" spans="1:7" s="75" customFormat="1" ht="12">
      <c r="A1" s="75" t="s">
        <v>9</v>
      </c>
      <c r="B1" s="22" t="s">
        <v>243</v>
      </c>
      <c r="C1" s="22" t="s">
        <v>244</v>
      </c>
      <c r="D1" s="22" t="s">
        <v>19</v>
      </c>
      <c r="E1" s="22" t="s">
        <v>20</v>
      </c>
      <c r="F1" s="22" t="s">
        <v>21</v>
      </c>
      <c r="G1" s="22" t="s">
        <v>22</v>
      </c>
    </row>
    <row r="2" spans="2:7" s="75" customFormat="1" ht="12">
      <c r="B2" s="76">
        <v>38056</v>
      </c>
      <c r="C2" s="22">
        <v>23.5</v>
      </c>
      <c r="D2" s="22">
        <v>25.14</v>
      </c>
      <c r="E2" s="22">
        <v>23.35</v>
      </c>
      <c r="F2" s="22">
        <v>25.14</v>
      </c>
      <c r="G2" s="22">
        <v>57200</v>
      </c>
    </row>
    <row r="3" spans="2:7" s="75" customFormat="1" ht="12">
      <c r="B3" s="76">
        <v>38055</v>
      </c>
      <c r="C3" s="22">
        <v>23.41</v>
      </c>
      <c r="D3" s="22">
        <v>23.5</v>
      </c>
      <c r="E3" s="22">
        <v>22.54</v>
      </c>
      <c r="F3" s="22">
        <v>22.59</v>
      </c>
      <c r="G3" s="22">
        <v>46000</v>
      </c>
    </row>
    <row r="4" spans="2:7" s="75" customFormat="1" ht="12">
      <c r="B4" s="76">
        <v>38052</v>
      </c>
      <c r="C4" s="22">
        <v>22.66</v>
      </c>
      <c r="D4" s="22">
        <v>23.66</v>
      </c>
      <c r="E4" s="22">
        <v>22.59</v>
      </c>
      <c r="F4" s="22">
        <v>23.32</v>
      </c>
      <c r="G4" s="22">
        <v>49800</v>
      </c>
    </row>
    <row r="5" spans="2:7" s="75" customFormat="1" ht="12">
      <c r="B5" s="76">
        <v>38051</v>
      </c>
      <c r="C5" s="22">
        <v>24.3</v>
      </c>
      <c r="D5" s="22">
        <v>24.45</v>
      </c>
      <c r="E5" s="22">
        <v>22.78</v>
      </c>
      <c r="F5" s="22">
        <v>22.86</v>
      </c>
      <c r="G5" s="22">
        <v>83900</v>
      </c>
    </row>
    <row r="6" spans="2:7" s="75" customFormat="1" ht="12">
      <c r="B6" s="76">
        <v>38050</v>
      </c>
      <c r="C6" s="22">
        <v>24.3</v>
      </c>
      <c r="D6" s="22">
        <v>24.59</v>
      </c>
      <c r="E6" s="22">
        <v>24.11</v>
      </c>
      <c r="F6" s="22">
        <v>24.47</v>
      </c>
      <c r="G6" s="22">
        <v>45900</v>
      </c>
    </row>
    <row r="7" spans="2:7" s="75" customFormat="1" ht="12">
      <c r="B7" s="76">
        <v>38049</v>
      </c>
      <c r="C7" s="22">
        <v>24.17</v>
      </c>
      <c r="D7" s="22">
        <v>24.42</v>
      </c>
      <c r="E7" s="22">
        <v>23.91</v>
      </c>
      <c r="F7" s="22">
        <v>24.3</v>
      </c>
      <c r="G7" s="22">
        <v>59400</v>
      </c>
    </row>
    <row r="8" spans="2:7" s="75" customFormat="1" ht="12">
      <c r="B8" s="76">
        <v>38048</v>
      </c>
      <c r="C8" s="22">
        <v>23.77</v>
      </c>
      <c r="D8" s="22">
        <v>24.42</v>
      </c>
      <c r="E8" s="22">
        <v>23.33</v>
      </c>
      <c r="F8" s="22">
        <v>24.38</v>
      </c>
      <c r="G8" s="22">
        <v>62100</v>
      </c>
    </row>
    <row r="9" spans="2:7" s="75" customFormat="1" ht="12">
      <c r="B9" s="76">
        <v>38045</v>
      </c>
      <c r="C9" s="22">
        <v>25.07</v>
      </c>
      <c r="D9" s="22">
        <v>25.15</v>
      </c>
      <c r="E9" s="22">
        <v>23.9</v>
      </c>
      <c r="F9" s="22">
        <v>23.95</v>
      </c>
      <c r="G9" s="22">
        <v>70200</v>
      </c>
    </row>
    <row r="10" spans="2:7" s="75" customFormat="1" ht="12">
      <c r="B10" s="76">
        <v>38044</v>
      </c>
      <c r="C10" s="22">
        <v>26.13</v>
      </c>
      <c r="D10" s="22">
        <v>26.29</v>
      </c>
      <c r="E10" s="22">
        <v>25.03</v>
      </c>
      <c r="F10" s="22">
        <v>25.33</v>
      </c>
      <c r="G10" s="22">
        <v>52200</v>
      </c>
    </row>
    <row r="11" spans="2:7" s="75" customFormat="1" ht="12">
      <c r="B11" s="76">
        <v>38043</v>
      </c>
      <c r="C11" s="22">
        <v>26.21</v>
      </c>
      <c r="D11" s="22">
        <v>26.42</v>
      </c>
      <c r="E11" s="22">
        <v>25.78</v>
      </c>
      <c r="F11" s="22">
        <v>26.17</v>
      </c>
      <c r="G11" s="22">
        <v>62800</v>
      </c>
    </row>
    <row r="12" spans="2:7" s="75" customFormat="1" ht="12">
      <c r="B12" s="76">
        <v>38042</v>
      </c>
      <c r="C12" s="22">
        <v>26.49</v>
      </c>
      <c r="D12" s="22">
        <v>26.7</v>
      </c>
      <c r="E12" s="22">
        <v>26.3</v>
      </c>
      <c r="F12" s="22">
        <v>26.36</v>
      </c>
      <c r="G12" s="22">
        <v>77000</v>
      </c>
    </row>
    <row r="13" spans="2:7" s="75" customFormat="1" ht="12">
      <c r="B13" s="76">
        <v>38041</v>
      </c>
      <c r="C13" s="22">
        <v>26.72</v>
      </c>
      <c r="D13" s="22">
        <v>27.45</v>
      </c>
      <c r="E13" s="22">
        <v>26.22</v>
      </c>
      <c r="F13" s="22">
        <v>26.56</v>
      </c>
      <c r="G13" s="22">
        <v>163500</v>
      </c>
    </row>
    <row r="14" spans="2:7" s="75" customFormat="1" ht="12">
      <c r="B14" s="76">
        <v>38038</v>
      </c>
      <c r="C14" s="22">
        <v>26.5</v>
      </c>
      <c r="D14" s="22">
        <v>26.66</v>
      </c>
      <c r="E14" s="22">
        <v>25.86</v>
      </c>
      <c r="F14" s="22">
        <v>26.61</v>
      </c>
      <c r="G14" s="22">
        <v>146000</v>
      </c>
    </row>
    <row r="15" spans="2:7" s="75" customFormat="1" ht="12">
      <c r="B15" s="76">
        <v>38037</v>
      </c>
      <c r="C15" s="22">
        <v>27.25</v>
      </c>
      <c r="D15" s="22">
        <v>27.5</v>
      </c>
      <c r="E15" s="22">
        <v>26.45</v>
      </c>
      <c r="F15" s="22">
        <v>26.51</v>
      </c>
      <c r="G15" s="22">
        <v>45700</v>
      </c>
    </row>
    <row r="16" spans="2:7" s="75" customFormat="1" ht="12">
      <c r="B16" s="76">
        <v>38036</v>
      </c>
      <c r="C16" s="22">
        <v>26.89</v>
      </c>
      <c r="D16" s="22">
        <v>27.32</v>
      </c>
      <c r="E16" s="22">
        <v>26.15</v>
      </c>
      <c r="F16" s="22">
        <v>27.1</v>
      </c>
      <c r="G16" s="22">
        <v>113100</v>
      </c>
    </row>
    <row r="17" spans="2:7" s="75" customFormat="1" ht="12">
      <c r="B17" s="76">
        <v>38035</v>
      </c>
      <c r="C17" s="22">
        <v>27.15</v>
      </c>
      <c r="D17" s="22">
        <v>27.57</v>
      </c>
      <c r="E17" s="22">
        <v>26.5</v>
      </c>
      <c r="F17" s="22">
        <v>27.03</v>
      </c>
      <c r="G17" s="22">
        <v>66300</v>
      </c>
    </row>
    <row r="18" spans="2:7" s="75" customFormat="1" ht="12">
      <c r="B18" s="76">
        <v>38031</v>
      </c>
      <c r="C18" s="22">
        <v>27.21</v>
      </c>
      <c r="D18" s="22">
        <v>27.37</v>
      </c>
      <c r="E18" s="22">
        <v>26.25</v>
      </c>
      <c r="F18" s="22">
        <v>26.94</v>
      </c>
      <c r="G18" s="22">
        <v>63500</v>
      </c>
    </row>
    <row r="19" spans="2:7" s="75" customFormat="1" ht="12">
      <c r="B19" s="76">
        <v>38030</v>
      </c>
      <c r="C19" s="22">
        <v>28.48</v>
      </c>
      <c r="D19" s="22">
        <v>28.61</v>
      </c>
      <c r="E19" s="22">
        <v>27.02</v>
      </c>
      <c r="F19" s="22">
        <v>27.34</v>
      </c>
      <c r="G19" s="22">
        <v>85600</v>
      </c>
    </row>
    <row r="20" spans="2:7" s="75" customFormat="1" ht="12">
      <c r="B20" s="76">
        <v>38029</v>
      </c>
      <c r="C20" s="22">
        <v>28.75</v>
      </c>
      <c r="D20" s="22">
        <v>29.23</v>
      </c>
      <c r="E20" s="22">
        <v>28.26</v>
      </c>
      <c r="F20" s="22">
        <v>28.5</v>
      </c>
      <c r="G20" s="22">
        <v>47400</v>
      </c>
    </row>
    <row r="21" spans="2:7" s="75" customFormat="1" ht="12">
      <c r="B21" s="76">
        <v>38028</v>
      </c>
      <c r="C21" s="22">
        <v>28.27</v>
      </c>
      <c r="D21" s="22">
        <v>29.27</v>
      </c>
      <c r="E21" s="22">
        <v>28.26</v>
      </c>
      <c r="F21" s="22">
        <v>28.41</v>
      </c>
      <c r="G21" s="22">
        <v>47500</v>
      </c>
    </row>
    <row r="22" spans="2:7" s="75" customFormat="1" ht="12">
      <c r="B22" s="76">
        <v>38027</v>
      </c>
      <c r="C22" s="22">
        <v>28.1</v>
      </c>
      <c r="D22" s="22">
        <v>28.65</v>
      </c>
      <c r="E22" s="22">
        <v>28.08</v>
      </c>
      <c r="F22" s="22">
        <v>28.08</v>
      </c>
      <c r="G22" s="22">
        <v>52700</v>
      </c>
    </row>
    <row r="23" spans="2:7" s="75" customFormat="1" ht="12">
      <c r="B23" s="76">
        <v>38024</v>
      </c>
      <c r="C23" s="22">
        <v>28.4</v>
      </c>
      <c r="D23" s="22">
        <v>28.64</v>
      </c>
      <c r="E23" s="22">
        <v>27.88</v>
      </c>
      <c r="F23" s="22">
        <v>28.37</v>
      </c>
      <c r="G23" s="22">
        <v>50500</v>
      </c>
    </row>
    <row r="24" spans="2:7" s="75" customFormat="1" ht="12">
      <c r="B24" s="76">
        <v>38023</v>
      </c>
      <c r="C24" s="22">
        <v>28.76</v>
      </c>
      <c r="D24" s="22">
        <v>29.24</v>
      </c>
      <c r="E24" s="22">
        <v>28.09</v>
      </c>
      <c r="F24" s="22">
        <v>28.89</v>
      </c>
      <c r="G24" s="22">
        <v>63100</v>
      </c>
    </row>
    <row r="25" spans="2:7" s="75" customFormat="1" ht="12">
      <c r="B25" s="76">
        <v>38022</v>
      </c>
      <c r="C25" s="22">
        <v>29.28</v>
      </c>
      <c r="D25" s="22">
        <v>30.68</v>
      </c>
      <c r="E25" s="22">
        <v>28.76</v>
      </c>
      <c r="F25" s="22">
        <v>28.87</v>
      </c>
      <c r="G25" s="22">
        <v>51700</v>
      </c>
    </row>
    <row r="26" spans="2:7" s="75" customFormat="1" ht="12">
      <c r="B26" s="76">
        <v>38021</v>
      </c>
      <c r="C26" s="22">
        <v>29.79</v>
      </c>
      <c r="D26" s="22">
        <v>30.2</v>
      </c>
      <c r="E26" s="22">
        <v>28.88</v>
      </c>
      <c r="F26" s="22">
        <v>29.1</v>
      </c>
      <c r="G26" s="22">
        <v>51500</v>
      </c>
    </row>
    <row r="27" spans="2:7" s="75" customFormat="1" ht="12">
      <c r="B27" s="76">
        <v>38020</v>
      </c>
      <c r="C27" s="22">
        <v>29.34</v>
      </c>
      <c r="D27" s="22">
        <v>30.64</v>
      </c>
      <c r="E27" s="22">
        <v>29.34</v>
      </c>
      <c r="F27" s="22">
        <v>30.3</v>
      </c>
      <c r="G27" s="22">
        <v>52300</v>
      </c>
    </row>
    <row r="28" spans="2:7" s="75" customFormat="1" ht="12">
      <c r="B28" s="76">
        <v>38017</v>
      </c>
      <c r="C28" s="22">
        <v>29.06</v>
      </c>
      <c r="D28" s="22">
        <v>29.81</v>
      </c>
      <c r="E28" s="22">
        <v>27.91</v>
      </c>
      <c r="F28" s="22">
        <v>29.56</v>
      </c>
      <c r="G28" s="22">
        <v>83400</v>
      </c>
    </row>
    <row r="29" spans="2:7" s="75" customFormat="1" ht="12">
      <c r="B29" s="76">
        <v>38016</v>
      </c>
      <c r="C29" s="22">
        <v>29.5</v>
      </c>
      <c r="D29" s="22">
        <v>30.9</v>
      </c>
      <c r="E29" s="22">
        <v>28.74</v>
      </c>
      <c r="F29" s="22">
        <v>29.13</v>
      </c>
      <c r="G29" s="22">
        <v>124300</v>
      </c>
    </row>
    <row r="30" spans="2:7" s="75" customFormat="1" ht="12">
      <c r="B30" s="76">
        <v>38015</v>
      </c>
      <c r="C30" s="22">
        <v>31.58</v>
      </c>
      <c r="D30" s="22">
        <v>32.09</v>
      </c>
      <c r="E30" s="22">
        <v>29.79</v>
      </c>
      <c r="F30" s="22">
        <v>29.81</v>
      </c>
      <c r="G30" s="22">
        <v>63400</v>
      </c>
    </row>
    <row r="31" spans="2:7" s="75" customFormat="1" ht="12">
      <c r="B31" s="76">
        <v>38014</v>
      </c>
      <c r="C31" s="22">
        <v>31.29</v>
      </c>
      <c r="D31" s="22">
        <v>32.43</v>
      </c>
      <c r="E31" s="22">
        <v>30.95</v>
      </c>
      <c r="F31" s="22">
        <v>31.71</v>
      </c>
      <c r="G31" s="22">
        <v>87500</v>
      </c>
    </row>
    <row r="32" spans="2:7" s="75" customFormat="1" ht="12">
      <c r="B32" s="75" t="s">
        <v>186</v>
      </c>
      <c r="C32" s="77">
        <f>AVERAGE(C2:C31)</f>
        <v>27.077666666666666</v>
      </c>
      <c r="D32" s="77">
        <f>AVERAGE(D2:D31)</f>
        <v>27.63333333333333</v>
      </c>
      <c r="E32" s="77">
        <f>AVERAGE(E2:E31)</f>
        <v>26.433666666666667</v>
      </c>
      <c r="F32" s="78">
        <f>AVERAGE(F2:F31)</f>
        <v>26.923</v>
      </c>
      <c r="G32" s="77">
        <f>AVERAGE(G2:G31)</f>
        <v>70850</v>
      </c>
    </row>
    <row r="33" spans="2:7" s="75" customFormat="1" ht="12">
      <c r="B33" s="75" t="s">
        <v>83</v>
      </c>
      <c r="C33" s="75">
        <f>MEDIAN(C2:C31)</f>
        <v>27.18</v>
      </c>
      <c r="D33" s="75">
        <f>MEDIAN(D2:D31)</f>
        <v>27.475</v>
      </c>
      <c r="E33" s="75">
        <f>MEDIAN(E2:E31)</f>
        <v>26.375</v>
      </c>
      <c r="F33" s="75">
        <f>MEDIAN(F2:F31)</f>
        <v>26.985</v>
      </c>
      <c r="G33" s="75">
        <f>MEDIAN(G2:G31)</f>
        <v>62450</v>
      </c>
    </row>
    <row r="34" spans="2:7" s="75" customFormat="1" ht="12">
      <c r="B34" s="75" t="s">
        <v>89</v>
      </c>
      <c r="C34" s="75">
        <f>MAX(C2:C31)</f>
        <v>31.58</v>
      </c>
      <c r="D34" s="75">
        <f>MAX(D2:D31)</f>
        <v>32.43</v>
      </c>
      <c r="E34" s="75">
        <f>MAX(E2:E31)</f>
        <v>30.95</v>
      </c>
      <c r="F34" s="75">
        <f>MAX(F2:F31)</f>
        <v>31.71</v>
      </c>
      <c r="G34" s="75">
        <f>MAX(G2:G31)</f>
        <v>163500</v>
      </c>
    </row>
    <row r="35" spans="2:7" s="75" customFormat="1" ht="12">
      <c r="B35" s="75" t="s">
        <v>90</v>
      </c>
      <c r="C35" s="75">
        <f>MIN(C2:C31)</f>
        <v>22.66</v>
      </c>
      <c r="D35" s="75">
        <f>MIN(D2:D31)</f>
        <v>23.5</v>
      </c>
      <c r="E35" s="75">
        <f>MIN(E2:E31)</f>
        <v>22.54</v>
      </c>
      <c r="F35" s="75">
        <f>MIN(F2:F31)</f>
        <v>22.59</v>
      </c>
      <c r="G35" s="75">
        <f>MIN(G2:G31)</f>
        <v>45700</v>
      </c>
    </row>
    <row r="36" spans="1:7" s="75" customFormat="1" ht="12">
      <c r="A36" s="75" t="s">
        <v>10</v>
      </c>
      <c r="B36" s="22" t="s">
        <v>243</v>
      </c>
      <c r="C36" s="22" t="s">
        <v>244</v>
      </c>
      <c r="D36" s="22" t="s">
        <v>19</v>
      </c>
      <c r="E36" s="22" t="s">
        <v>20</v>
      </c>
      <c r="F36" s="22" t="s">
        <v>21</v>
      </c>
      <c r="G36" s="22" t="s">
        <v>22</v>
      </c>
    </row>
    <row r="37" spans="2:7" s="75" customFormat="1" ht="12">
      <c r="B37" s="76">
        <v>38056</v>
      </c>
      <c r="C37" s="22">
        <v>68.76</v>
      </c>
      <c r="D37" s="22">
        <v>70.08</v>
      </c>
      <c r="E37" s="22">
        <v>68.48</v>
      </c>
      <c r="F37" s="22">
        <v>69.97</v>
      </c>
      <c r="G37" s="22">
        <v>2012900</v>
      </c>
    </row>
    <row r="38" spans="2:7" s="75" customFormat="1" ht="12">
      <c r="B38" s="76">
        <v>38055</v>
      </c>
      <c r="C38" s="22">
        <v>68.62</v>
      </c>
      <c r="D38" s="22">
        <v>68.62</v>
      </c>
      <c r="E38" s="22">
        <v>66.5</v>
      </c>
      <c r="F38" s="22">
        <v>67.75</v>
      </c>
      <c r="G38" s="22">
        <v>2953600</v>
      </c>
    </row>
    <row r="39" spans="2:7" s="75" customFormat="1" ht="12">
      <c r="B39" s="76">
        <v>38052</v>
      </c>
      <c r="C39" s="22">
        <v>68.48</v>
      </c>
      <c r="D39" s="22">
        <v>68.94</v>
      </c>
      <c r="E39" s="22">
        <v>67.63</v>
      </c>
      <c r="F39" s="22">
        <v>68.42</v>
      </c>
      <c r="G39" s="22">
        <v>1964800</v>
      </c>
    </row>
    <row r="40" spans="2:7" s="75" customFormat="1" ht="12">
      <c r="B40" s="76">
        <v>38051</v>
      </c>
      <c r="C40" s="22">
        <v>70.44</v>
      </c>
      <c r="D40" s="22">
        <v>70.51</v>
      </c>
      <c r="E40" s="22">
        <v>68.72</v>
      </c>
      <c r="F40" s="22">
        <v>68.89</v>
      </c>
      <c r="G40" s="22">
        <v>1886500</v>
      </c>
    </row>
    <row r="41" spans="2:7" s="75" customFormat="1" ht="12">
      <c r="B41" s="76">
        <v>38050</v>
      </c>
      <c r="C41" s="22">
        <v>69.44</v>
      </c>
      <c r="D41" s="22">
        <v>70.53</v>
      </c>
      <c r="E41" s="22">
        <v>68.89</v>
      </c>
      <c r="F41" s="22">
        <v>70.44</v>
      </c>
      <c r="G41" s="22">
        <v>2304800</v>
      </c>
    </row>
    <row r="42" spans="2:7" s="75" customFormat="1" ht="12">
      <c r="B42" s="76">
        <v>38049</v>
      </c>
      <c r="C42" s="22">
        <v>67.09</v>
      </c>
      <c r="D42" s="22">
        <v>71.06</v>
      </c>
      <c r="E42" s="22">
        <v>67</v>
      </c>
      <c r="F42" s="22">
        <v>69.44</v>
      </c>
      <c r="G42" s="22">
        <v>4665200</v>
      </c>
    </row>
    <row r="43" spans="2:7" s="75" customFormat="1" ht="12">
      <c r="B43" s="76">
        <v>38048</v>
      </c>
      <c r="C43" s="22">
        <v>67.15</v>
      </c>
      <c r="D43" s="22">
        <v>67.45</v>
      </c>
      <c r="E43" s="22">
        <v>66.16</v>
      </c>
      <c r="F43" s="22">
        <v>67.37</v>
      </c>
      <c r="G43" s="22">
        <v>2523800</v>
      </c>
    </row>
    <row r="44" spans="2:7" s="75" customFormat="1" ht="12">
      <c r="B44" s="76">
        <v>38045</v>
      </c>
      <c r="C44" s="22">
        <v>69.4</v>
      </c>
      <c r="D44" s="22">
        <v>69.73</v>
      </c>
      <c r="E44" s="22">
        <v>67.3</v>
      </c>
      <c r="F44" s="22">
        <v>67.59</v>
      </c>
      <c r="G44" s="22">
        <v>2683900</v>
      </c>
    </row>
    <row r="45" spans="2:7" s="75" customFormat="1" ht="12">
      <c r="B45" s="76">
        <v>38044</v>
      </c>
      <c r="C45" s="22">
        <v>69.84</v>
      </c>
      <c r="D45" s="22">
        <v>70</v>
      </c>
      <c r="E45" s="22">
        <v>68.8</v>
      </c>
      <c r="F45" s="22">
        <v>69.94</v>
      </c>
      <c r="G45" s="22">
        <v>1545100</v>
      </c>
    </row>
    <row r="46" spans="2:7" s="75" customFormat="1" ht="12">
      <c r="B46" s="76">
        <v>38043</v>
      </c>
      <c r="C46" s="22">
        <v>71.26</v>
      </c>
      <c r="D46" s="22">
        <v>71.36</v>
      </c>
      <c r="E46" s="22">
        <v>69.53</v>
      </c>
      <c r="F46" s="22">
        <v>69.7</v>
      </c>
      <c r="G46" s="22">
        <v>1585700</v>
      </c>
    </row>
    <row r="47" spans="2:7" s="75" customFormat="1" ht="12">
      <c r="B47" s="76">
        <v>38042</v>
      </c>
      <c r="C47" s="22">
        <v>71</v>
      </c>
      <c r="D47" s="22">
        <v>71.31</v>
      </c>
      <c r="E47" s="22">
        <v>70.05</v>
      </c>
      <c r="F47" s="22">
        <v>71.22</v>
      </c>
      <c r="G47" s="22">
        <v>1907700</v>
      </c>
    </row>
    <row r="48" spans="2:7" s="75" customFormat="1" ht="12">
      <c r="B48" s="76">
        <v>38041</v>
      </c>
      <c r="C48" s="22">
        <v>70.6</v>
      </c>
      <c r="D48" s="22">
        <v>71.32</v>
      </c>
      <c r="E48" s="22">
        <v>69.86</v>
      </c>
      <c r="F48" s="22">
        <v>71.23</v>
      </c>
      <c r="G48" s="22">
        <v>1825200</v>
      </c>
    </row>
    <row r="49" spans="2:7" s="75" customFormat="1" ht="12">
      <c r="B49" s="76">
        <v>38038</v>
      </c>
      <c r="C49" s="22">
        <v>69.98</v>
      </c>
      <c r="D49" s="22">
        <v>70.51</v>
      </c>
      <c r="E49" s="22">
        <v>69.15</v>
      </c>
      <c r="F49" s="22">
        <v>70.4</v>
      </c>
      <c r="G49" s="22">
        <v>1346500</v>
      </c>
    </row>
    <row r="50" spans="2:7" s="75" customFormat="1" ht="12">
      <c r="B50" s="76">
        <v>38037</v>
      </c>
      <c r="C50" s="22">
        <v>71.16</v>
      </c>
      <c r="D50" s="22">
        <v>71.17</v>
      </c>
      <c r="E50" s="22">
        <v>69.51</v>
      </c>
      <c r="F50" s="22">
        <v>69.66</v>
      </c>
      <c r="G50" s="22">
        <v>1096600</v>
      </c>
    </row>
    <row r="51" spans="2:7" s="75" customFormat="1" ht="12">
      <c r="B51" s="76">
        <v>38036</v>
      </c>
      <c r="C51" s="22">
        <v>70.4</v>
      </c>
      <c r="D51" s="22">
        <v>71.08</v>
      </c>
      <c r="E51" s="22">
        <v>70.09</v>
      </c>
      <c r="F51" s="22">
        <v>71</v>
      </c>
      <c r="G51" s="22">
        <v>1204600</v>
      </c>
    </row>
    <row r="52" spans="2:7" s="75" customFormat="1" ht="12">
      <c r="B52" s="76">
        <v>38035</v>
      </c>
      <c r="C52" s="22">
        <v>72.06</v>
      </c>
      <c r="D52" s="22">
        <v>72.15</v>
      </c>
      <c r="E52" s="22">
        <v>70.93</v>
      </c>
      <c r="F52" s="22">
        <v>71.34</v>
      </c>
      <c r="G52" s="22">
        <v>1191600</v>
      </c>
    </row>
    <row r="53" spans="2:7" s="75" customFormat="1" ht="12">
      <c r="B53" s="76">
        <v>38031</v>
      </c>
      <c r="C53" s="22">
        <v>70.76</v>
      </c>
      <c r="D53" s="22">
        <v>71.39</v>
      </c>
      <c r="E53" s="22">
        <v>70.2</v>
      </c>
      <c r="F53" s="22">
        <v>71.38</v>
      </c>
      <c r="G53" s="22">
        <v>1009500</v>
      </c>
    </row>
    <row r="54" spans="2:7" s="75" customFormat="1" ht="12">
      <c r="B54" s="76">
        <v>38030</v>
      </c>
      <c r="C54" s="22">
        <v>71.55</v>
      </c>
      <c r="D54" s="22">
        <v>72.33</v>
      </c>
      <c r="E54" s="22">
        <v>70.64</v>
      </c>
      <c r="F54" s="22">
        <v>70.91</v>
      </c>
      <c r="G54" s="22">
        <v>1244800</v>
      </c>
    </row>
    <row r="55" spans="2:7" s="75" customFormat="1" ht="12">
      <c r="B55" s="76">
        <v>38029</v>
      </c>
      <c r="C55" s="22">
        <v>71.49</v>
      </c>
      <c r="D55" s="22">
        <v>72.2</v>
      </c>
      <c r="E55" s="22">
        <v>70.78</v>
      </c>
      <c r="F55" s="22">
        <v>71.31</v>
      </c>
      <c r="G55" s="22">
        <v>1680400</v>
      </c>
    </row>
    <row r="56" spans="2:7" s="75" customFormat="1" ht="12">
      <c r="B56" s="76">
        <v>38028</v>
      </c>
      <c r="C56" s="22">
        <v>70.25</v>
      </c>
      <c r="D56" s="22">
        <v>71.48</v>
      </c>
      <c r="E56" s="22">
        <v>70.12</v>
      </c>
      <c r="F56" s="22">
        <v>71.16</v>
      </c>
      <c r="G56" s="22">
        <v>1988100</v>
      </c>
    </row>
    <row r="57" spans="2:7" s="75" customFormat="1" ht="12">
      <c r="B57" s="76">
        <v>38027</v>
      </c>
      <c r="C57" s="22">
        <v>69.81</v>
      </c>
      <c r="D57" s="22">
        <v>70.55</v>
      </c>
      <c r="E57" s="22">
        <v>69.5</v>
      </c>
      <c r="F57" s="22">
        <v>70.25</v>
      </c>
      <c r="G57" s="22">
        <v>1278600</v>
      </c>
    </row>
    <row r="58" spans="2:7" s="75" customFormat="1" ht="12">
      <c r="B58" s="76">
        <v>38024</v>
      </c>
      <c r="C58" s="22">
        <v>69.88</v>
      </c>
      <c r="D58" s="22">
        <v>70.72</v>
      </c>
      <c r="E58" s="22">
        <v>69.59</v>
      </c>
      <c r="F58" s="22">
        <v>69.97</v>
      </c>
      <c r="G58" s="22">
        <v>1310900</v>
      </c>
    </row>
    <row r="59" spans="2:7" s="75" customFormat="1" ht="12">
      <c r="B59" s="76">
        <v>38023</v>
      </c>
      <c r="C59" s="22">
        <v>69.82</v>
      </c>
      <c r="D59" s="22">
        <v>70.72</v>
      </c>
      <c r="E59" s="22">
        <v>69.11</v>
      </c>
      <c r="F59" s="22">
        <v>70.47</v>
      </c>
      <c r="G59" s="22">
        <v>2265800</v>
      </c>
    </row>
    <row r="60" spans="2:7" s="75" customFormat="1" ht="12">
      <c r="B60" s="76">
        <v>38022</v>
      </c>
      <c r="C60" s="22">
        <v>70.37</v>
      </c>
      <c r="D60" s="22">
        <v>71.32</v>
      </c>
      <c r="E60" s="22">
        <v>69.82</v>
      </c>
      <c r="F60" s="22">
        <v>70.13</v>
      </c>
      <c r="G60" s="22">
        <v>1675900</v>
      </c>
    </row>
    <row r="61" spans="2:7" s="75" customFormat="1" ht="12">
      <c r="B61" s="76">
        <v>38021</v>
      </c>
      <c r="C61" s="22">
        <v>71.68</v>
      </c>
      <c r="D61" s="22">
        <v>72.36</v>
      </c>
      <c r="E61" s="22">
        <v>69.97</v>
      </c>
      <c r="F61" s="22">
        <v>69.97</v>
      </c>
      <c r="G61" s="22">
        <v>2198600</v>
      </c>
    </row>
    <row r="62" spans="2:7" s="75" customFormat="1" ht="12">
      <c r="B62" s="76">
        <v>38020</v>
      </c>
      <c r="C62" s="22">
        <v>72.18</v>
      </c>
      <c r="D62" s="22">
        <v>74.15</v>
      </c>
      <c r="E62" s="22">
        <v>72.18</v>
      </c>
      <c r="F62" s="22">
        <v>73.49</v>
      </c>
      <c r="G62" s="22">
        <v>2271000</v>
      </c>
    </row>
    <row r="63" spans="2:7" s="75" customFormat="1" ht="12">
      <c r="B63" s="76">
        <v>38017</v>
      </c>
      <c r="C63" s="22">
        <v>71.9</v>
      </c>
      <c r="D63" s="22">
        <v>72.39</v>
      </c>
      <c r="E63" s="22">
        <v>70.84</v>
      </c>
      <c r="F63" s="22">
        <v>72.39</v>
      </c>
      <c r="G63" s="22">
        <v>2584000</v>
      </c>
    </row>
    <row r="64" spans="2:7" s="75" customFormat="1" ht="12">
      <c r="B64" s="76">
        <v>38016</v>
      </c>
      <c r="C64" s="22">
        <v>69</v>
      </c>
      <c r="D64" s="22">
        <v>71.67</v>
      </c>
      <c r="E64" s="22">
        <v>66.88</v>
      </c>
      <c r="F64" s="22">
        <v>71.22</v>
      </c>
      <c r="G64" s="22">
        <v>2074400</v>
      </c>
    </row>
    <row r="65" spans="2:7" s="75" customFormat="1" ht="12">
      <c r="B65" s="76">
        <v>38015</v>
      </c>
      <c r="C65" s="22">
        <v>71.21</v>
      </c>
      <c r="D65" s="22">
        <v>71.21</v>
      </c>
      <c r="E65" s="22">
        <v>69.15</v>
      </c>
      <c r="F65" s="22">
        <v>69.33</v>
      </c>
      <c r="G65" s="22">
        <v>2160500</v>
      </c>
    </row>
    <row r="66" spans="2:7" s="75" customFormat="1" ht="12">
      <c r="B66" s="76">
        <v>38014</v>
      </c>
      <c r="C66" s="22">
        <v>69.79</v>
      </c>
      <c r="D66" s="22">
        <v>71.68</v>
      </c>
      <c r="E66" s="22">
        <v>69.64</v>
      </c>
      <c r="F66" s="22">
        <v>70.36</v>
      </c>
      <c r="G66" s="22">
        <v>2688300</v>
      </c>
    </row>
    <row r="67" spans="2:7" s="75" customFormat="1" ht="12">
      <c r="B67" s="75" t="s">
        <v>186</v>
      </c>
      <c r="C67" s="77">
        <f>AVERAGE(C37:C66)</f>
        <v>70.17900000000002</v>
      </c>
      <c r="D67" s="77">
        <f>AVERAGE(D37:D66)</f>
        <v>70.99966666666666</v>
      </c>
      <c r="E67" s="77">
        <f>AVERAGE(E37:E66)</f>
        <v>69.234</v>
      </c>
      <c r="F67" s="78">
        <f>AVERAGE(F37:F66)</f>
        <v>70.22333333333334</v>
      </c>
      <c r="G67" s="77">
        <f>AVERAGE(G37:G66)</f>
        <v>1970976.6666666667</v>
      </c>
    </row>
    <row r="68" spans="2:7" s="75" customFormat="1" ht="12">
      <c r="B68" s="75" t="s">
        <v>83</v>
      </c>
      <c r="C68" s="75">
        <f>MEDIAN(C37:C66)</f>
        <v>70.31</v>
      </c>
      <c r="D68" s="75">
        <f>MEDIAN(D37:D66)</f>
        <v>71.19</v>
      </c>
      <c r="E68" s="75">
        <f>MEDIAN(E37:E66)</f>
        <v>69.52000000000001</v>
      </c>
      <c r="F68" s="75">
        <f>MEDIAN(F37:F66)</f>
        <v>70.305</v>
      </c>
      <c r="G68" s="75">
        <f>MEDIAN(G37:G66)</f>
        <v>1936250</v>
      </c>
    </row>
    <row r="69" spans="2:7" s="75" customFormat="1" ht="12">
      <c r="B69" s="75" t="s">
        <v>89</v>
      </c>
      <c r="C69" s="75">
        <f>MAX(C37:C66)</f>
        <v>72.18</v>
      </c>
      <c r="D69" s="75">
        <f>MAX(D37:D66)</f>
        <v>74.15</v>
      </c>
      <c r="E69" s="75">
        <f>MAX(E37:E66)</f>
        <v>72.18</v>
      </c>
      <c r="F69" s="75">
        <f>MAX(F37:F66)</f>
        <v>73.49</v>
      </c>
      <c r="G69" s="75">
        <f>MAX(G37:G66)</f>
        <v>4665200</v>
      </c>
    </row>
    <row r="70" spans="2:7" s="75" customFormat="1" ht="12">
      <c r="B70" s="75" t="s">
        <v>90</v>
      </c>
      <c r="C70" s="75">
        <f>MIN(C37:C66)</f>
        <v>67.09</v>
      </c>
      <c r="D70" s="75">
        <f>MIN(D37:D66)</f>
        <v>67.45</v>
      </c>
      <c r="E70" s="75">
        <f>MIN(E37:E66)</f>
        <v>66.16</v>
      </c>
      <c r="F70" s="75">
        <f>MIN(F37:F66)</f>
        <v>67.37</v>
      </c>
      <c r="G70" s="75">
        <f>MIN(G37:G66)</f>
        <v>1009500</v>
      </c>
    </row>
    <row r="71" spans="1:7" s="75" customFormat="1" ht="12">
      <c r="A71" s="75" t="s">
        <v>52</v>
      </c>
      <c r="B71" s="22" t="s">
        <v>243</v>
      </c>
      <c r="C71" s="22" t="s">
        <v>244</v>
      </c>
      <c r="D71" s="22" t="s">
        <v>19</v>
      </c>
      <c r="E71" s="22" t="s">
        <v>20</v>
      </c>
      <c r="F71" s="22" t="s">
        <v>21</v>
      </c>
      <c r="G71" s="22" t="s">
        <v>22</v>
      </c>
    </row>
    <row r="72" spans="2:7" s="75" customFormat="1" ht="12.75">
      <c r="B72" s="19">
        <v>38056</v>
      </c>
      <c r="C72">
        <v>25.04</v>
      </c>
      <c r="D72">
        <v>25.04</v>
      </c>
      <c r="E72">
        <v>24.46</v>
      </c>
      <c r="F72">
        <v>24.62</v>
      </c>
      <c r="G72">
        <v>1056100</v>
      </c>
    </row>
    <row r="73" spans="2:7" s="75" customFormat="1" ht="12.75">
      <c r="B73" s="19">
        <v>38055</v>
      </c>
      <c r="C73">
        <v>24.75</v>
      </c>
      <c r="D73">
        <v>24.77</v>
      </c>
      <c r="E73">
        <v>24.32</v>
      </c>
      <c r="F73">
        <v>24.53</v>
      </c>
      <c r="G73">
        <v>867700</v>
      </c>
    </row>
    <row r="74" spans="2:7" s="75" customFormat="1" ht="12.75">
      <c r="B74" s="19">
        <v>38052</v>
      </c>
      <c r="C74">
        <v>24.66</v>
      </c>
      <c r="D74">
        <v>24.96</v>
      </c>
      <c r="E74">
        <v>24.43</v>
      </c>
      <c r="F74">
        <v>24.76</v>
      </c>
      <c r="G74">
        <v>1166900</v>
      </c>
    </row>
    <row r="75" spans="2:7" s="75" customFormat="1" ht="12.75">
      <c r="B75" s="19">
        <v>38051</v>
      </c>
      <c r="C75">
        <v>25.23</v>
      </c>
      <c r="D75">
        <v>25.32</v>
      </c>
      <c r="E75">
        <v>24.75</v>
      </c>
      <c r="F75">
        <v>24.85</v>
      </c>
      <c r="G75">
        <v>1428600</v>
      </c>
    </row>
    <row r="76" spans="2:7" s="75" customFormat="1" ht="12.75">
      <c r="B76" s="19">
        <v>38050</v>
      </c>
      <c r="C76">
        <v>25.29</v>
      </c>
      <c r="D76">
        <v>25.51</v>
      </c>
      <c r="E76">
        <v>25.11</v>
      </c>
      <c r="F76">
        <v>25.41</v>
      </c>
      <c r="G76">
        <v>1101800</v>
      </c>
    </row>
    <row r="77" spans="2:7" s="75" customFormat="1" ht="12.75">
      <c r="B77" s="19">
        <v>38049</v>
      </c>
      <c r="C77">
        <v>25.17</v>
      </c>
      <c r="D77">
        <v>25.66</v>
      </c>
      <c r="E77">
        <v>24.94</v>
      </c>
      <c r="F77">
        <v>25.36</v>
      </c>
      <c r="G77">
        <v>1566400</v>
      </c>
    </row>
    <row r="78" spans="2:7" s="75" customFormat="1" ht="12.75">
      <c r="B78" s="19">
        <v>38048</v>
      </c>
      <c r="C78">
        <v>25.45</v>
      </c>
      <c r="D78">
        <v>25.71</v>
      </c>
      <c r="E78">
        <v>25.06</v>
      </c>
      <c r="F78">
        <v>25.42</v>
      </c>
      <c r="G78">
        <v>1529700</v>
      </c>
    </row>
    <row r="79" spans="2:7" s="75" customFormat="1" ht="12.75">
      <c r="B79" s="19">
        <v>38045</v>
      </c>
      <c r="C79">
        <v>25.75</v>
      </c>
      <c r="D79">
        <v>25.8</v>
      </c>
      <c r="E79">
        <v>25.18</v>
      </c>
      <c r="F79">
        <v>25.37</v>
      </c>
      <c r="G79">
        <v>1584000</v>
      </c>
    </row>
    <row r="80" spans="2:7" s="75" customFormat="1" ht="12.75">
      <c r="B80" s="19">
        <v>38044</v>
      </c>
      <c r="C80">
        <v>25.73</v>
      </c>
      <c r="D80">
        <v>26.13</v>
      </c>
      <c r="E80">
        <v>25.72</v>
      </c>
      <c r="F80">
        <v>25.97</v>
      </c>
      <c r="G80">
        <v>1952600</v>
      </c>
    </row>
    <row r="81" spans="2:7" s="75" customFormat="1" ht="12.75">
      <c r="B81" s="19">
        <v>38043</v>
      </c>
      <c r="C81">
        <v>26.31</v>
      </c>
      <c r="D81">
        <v>26.31</v>
      </c>
      <c r="E81">
        <v>25.69</v>
      </c>
      <c r="F81">
        <v>25.83</v>
      </c>
      <c r="G81">
        <v>1433400</v>
      </c>
    </row>
    <row r="82" spans="2:7" s="75" customFormat="1" ht="12.75">
      <c r="B82" s="19">
        <v>38042</v>
      </c>
      <c r="C82">
        <v>26.42</v>
      </c>
      <c r="D82">
        <v>26.58</v>
      </c>
      <c r="E82">
        <v>26.06</v>
      </c>
      <c r="F82">
        <v>26.29</v>
      </c>
      <c r="G82">
        <v>1906400</v>
      </c>
    </row>
    <row r="83" spans="2:7" s="75" customFormat="1" ht="12.75">
      <c r="B83" s="19">
        <v>38041</v>
      </c>
      <c r="C83">
        <v>26.99</v>
      </c>
      <c r="D83">
        <v>27.16</v>
      </c>
      <c r="E83">
        <v>26.46</v>
      </c>
      <c r="F83">
        <v>26.56</v>
      </c>
      <c r="G83">
        <v>1526900</v>
      </c>
    </row>
    <row r="84" spans="2:7" s="75" customFormat="1" ht="12.75">
      <c r="B84" s="19">
        <v>38038</v>
      </c>
      <c r="C84">
        <v>27.28</v>
      </c>
      <c r="D84">
        <v>27.36</v>
      </c>
      <c r="E84">
        <v>26.79</v>
      </c>
      <c r="F84">
        <v>27.12</v>
      </c>
      <c r="G84">
        <v>1650000</v>
      </c>
    </row>
    <row r="85" spans="2:7" s="75" customFormat="1" ht="12.75">
      <c r="B85" s="19">
        <v>38037</v>
      </c>
      <c r="C85">
        <v>27</v>
      </c>
      <c r="D85">
        <v>27.2</v>
      </c>
      <c r="E85">
        <v>26.41</v>
      </c>
      <c r="F85">
        <v>26.65</v>
      </c>
      <c r="G85">
        <v>1494300</v>
      </c>
    </row>
    <row r="86" spans="2:7" s="75" customFormat="1" ht="12.75">
      <c r="B86" s="19">
        <v>38036</v>
      </c>
      <c r="C86">
        <v>27.07</v>
      </c>
      <c r="D86">
        <v>27.46</v>
      </c>
      <c r="E86">
        <v>26.79</v>
      </c>
      <c r="F86">
        <v>27.3</v>
      </c>
      <c r="G86">
        <v>1728600</v>
      </c>
    </row>
    <row r="87" spans="2:7" s="75" customFormat="1" ht="12.75">
      <c r="B87" s="19">
        <v>38035</v>
      </c>
      <c r="C87">
        <v>28.02</v>
      </c>
      <c r="D87">
        <v>28.08</v>
      </c>
      <c r="E87">
        <v>27.33</v>
      </c>
      <c r="F87">
        <v>27.45</v>
      </c>
      <c r="G87">
        <v>1004000</v>
      </c>
    </row>
    <row r="88" spans="2:7" s="75" customFormat="1" ht="12.75">
      <c r="B88" s="19">
        <v>38031</v>
      </c>
      <c r="C88">
        <v>27.46</v>
      </c>
      <c r="D88">
        <v>27.86</v>
      </c>
      <c r="E88">
        <v>27.34</v>
      </c>
      <c r="F88">
        <v>27.79</v>
      </c>
      <c r="G88">
        <v>649200</v>
      </c>
    </row>
    <row r="89" spans="2:7" s="75" customFormat="1" ht="12.75">
      <c r="B89" s="19">
        <v>38030</v>
      </c>
      <c r="C89">
        <v>27.55</v>
      </c>
      <c r="D89">
        <v>27.95</v>
      </c>
      <c r="E89">
        <v>27.42</v>
      </c>
      <c r="F89">
        <v>27.55</v>
      </c>
      <c r="G89">
        <v>685400</v>
      </c>
    </row>
    <row r="90" spans="2:7" s="75" customFormat="1" ht="12.75">
      <c r="B90" s="19">
        <v>38029</v>
      </c>
      <c r="C90">
        <v>27.77</v>
      </c>
      <c r="D90">
        <v>27.89</v>
      </c>
      <c r="E90">
        <v>27.5</v>
      </c>
      <c r="F90">
        <v>27.67</v>
      </c>
      <c r="G90">
        <v>933700</v>
      </c>
    </row>
    <row r="91" spans="2:7" s="75" customFormat="1" ht="12.75">
      <c r="B91" s="19">
        <v>38028</v>
      </c>
      <c r="C91">
        <v>27.5</v>
      </c>
      <c r="D91">
        <v>27.72</v>
      </c>
      <c r="E91">
        <v>27.31</v>
      </c>
      <c r="F91">
        <v>27.68</v>
      </c>
      <c r="G91">
        <v>1308600</v>
      </c>
    </row>
    <row r="92" spans="2:7" s="75" customFormat="1" ht="12.75">
      <c r="B92" s="19">
        <v>38027</v>
      </c>
      <c r="C92">
        <v>27.49</v>
      </c>
      <c r="D92">
        <v>27.91</v>
      </c>
      <c r="E92">
        <v>27.36</v>
      </c>
      <c r="F92">
        <v>27.41</v>
      </c>
      <c r="G92">
        <v>1561700</v>
      </c>
    </row>
    <row r="93" spans="2:7" s="75" customFormat="1" ht="12.75">
      <c r="B93" s="19">
        <v>38024</v>
      </c>
      <c r="C93">
        <v>27.32</v>
      </c>
      <c r="D93">
        <v>27.54</v>
      </c>
      <c r="E93">
        <v>27.11</v>
      </c>
      <c r="F93">
        <v>27.23</v>
      </c>
      <c r="G93">
        <v>1129600</v>
      </c>
    </row>
    <row r="94" spans="2:7" s="75" customFormat="1" ht="12.75">
      <c r="B94" s="19">
        <v>38023</v>
      </c>
      <c r="C94">
        <v>27.3</v>
      </c>
      <c r="D94">
        <v>27.68</v>
      </c>
      <c r="E94">
        <v>27.19</v>
      </c>
      <c r="F94">
        <v>27.49</v>
      </c>
      <c r="G94">
        <v>1288600</v>
      </c>
    </row>
    <row r="95" spans="2:7" s="75" customFormat="1" ht="12.75">
      <c r="B95" s="19">
        <v>38022</v>
      </c>
      <c r="C95">
        <v>27.91</v>
      </c>
      <c r="D95">
        <v>28.09</v>
      </c>
      <c r="E95">
        <v>27.39</v>
      </c>
      <c r="F95">
        <v>27.52</v>
      </c>
      <c r="G95">
        <v>1450400</v>
      </c>
    </row>
    <row r="96" spans="2:7" s="75" customFormat="1" ht="12.75">
      <c r="B96" s="19">
        <v>38021</v>
      </c>
      <c r="C96">
        <v>28.45</v>
      </c>
      <c r="D96">
        <v>28.52</v>
      </c>
      <c r="E96">
        <v>27.77</v>
      </c>
      <c r="F96">
        <v>27.82</v>
      </c>
      <c r="G96">
        <v>862200</v>
      </c>
    </row>
    <row r="97" spans="2:7" s="75" customFormat="1" ht="12.75">
      <c r="B97" s="19">
        <v>38020</v>
      </c>
      <c r="C97">
        <v>27.88</v>
      </c>
      <c r="D97">
        <v>28.91</v>
      </c>
      <c r="E97">
        <v>27.88</v>
      </c>
      <c r="F97">
        <v>28.68</v>
      </c>
      <c r="G97">
        <v>1056100</v>
      </c>
    </row>
    <row r="98" spans="2:7" s="75" customFormat="1" ht="12.75">
      <c r="B98" s="19">
        <v>38017</v>
      </c>
      <c r="C98">
        <v>27.93</v>
      </c>
      <c r="D98">
        <v>28.15</v>
      </c>
      <c r="E98">
        <v>27.6</v>
      </c>
      <c r="F98">
        <v>27.98</v>
      </c>
      <c r="G98">
        <v>1210300</v>
      </c>
    </row>
    <row r="99" spans="2:7" s="75" customFormat="1" ht="12.75">
      <c r="B99" s="19">
        <v>38016</v>
      </c>
      <c r="C99">
        <v>26.97</v>
      </c>
      <c r="D99">
        <v>27.88</v>
      </c>
      <c r="E99">
        <v>26.82</v>
      </c>
      <c r="F99">
        <v>27.79</v>
      </c>
      <c r="G99">
        <v>1164200</v>
      </c>
    </row>
    <row r="100" spans="2:7" s="75" customFormat="1" ht="12.75">
      <c r="B100" s="19">
        <v>38015</v>
      </c>
      <c r="C100">
        <v>27.52</v>
      </c>
      <c r="D100">
        <v>27.87</v>
      </c>
      <c r="E100">
        <v>27.04</v>
      </c>
      <c r="F100">
        <v>27.18</v>
      </c>
      <c r="G100">
        <v>1200900</v>
      </c>
    </row>
    <row r="101" spans="2:7" s="75" customFormat="1" ht="12.75">
      <c r="B101" s="19">
        <v>38014</v>
      </c>
      <c r="C101">
        <v>28.58</v>
      </c>
      <c r="D101">
        <v>28.58</v>
      </c>
      <c r="E101">
        <v>27.56</v>
      </c>
      <c r="F101">
        <v>27.71</v>
      </c>
      <c r="G101">
        <v>2122800</v>
      </c>
    </row>
    <row r="102" spans="2:7" s="75" customFormat="1" ht="12">
      <c r="B102" s="75" t="s">
        <v>186</v>
      </c>
      <c r="C102" s="77">
        <f>AVERAGE(C72:C101)</f>
        <v>26.792999999999996</v>
      </c>
      <c r="D102" s="77">
        <f>AVERAGE(D72:D101)</f>
        <v>27.05333333333333</v>
      </c>
      <c r="E102" s="77">
        <f>AVERAGE(E72:E101)</f>
        <v>26.426333333333336</v>
      </c>
      <c r="F102" s="78">
        <f>AVERAGE(F72:F101)</f>
        <v>26.699666666666666</v>
      </c>
      <c r="G102" s="77">
        <f>AVERAGE(G72:G101)</f>
        <v>1320703.3333333333</v>
      </c>
    </row>
    <row r="103" spans="2:7" s="75" customFormat="1" ht="12">
      <c r="B103" s="75" t="s">
        <v>83</v>
      </c>
      <c r="C103" s="75">
        <f>MEDIAN(C72:C101)</f>
        <v>27.175</v>
      </c>
      <c r="D103" s="75">
        <f>MEDIAN(D72:D101)</f>
        <v>27.5</v>
      </c>
      <c r="E103" s="75">
        <f>MEDIAN(E72:E101)</f>
        <v>26.805</v>
      </c>
      <c r="F103" s="75">
        <f>MEDIAN(F72:F101)</f>
        <v>27.205</v>
      </c>
      <c r="G103" s="75">
        <f>MEDIAN(G72:G101)</f>
        <v>1298600</v>
      </c>
    </row>
    <row r="104" spans="2:7" s="75" customFormat="1" ht="12">
      <c r="B104" s="75" t="s">
        <v>89</v>
      </c>
      <c r="C104" s="75">
        <f>MAX(C72:C101)</f>
        <v>28.58</v>
      </c>
      <c r="D104" s="75">
        <f>MAX(D72:D101)</f>
        <v>28.91</v>
      </c>
      <c r="E104" s="75">
        <f>MAX(E72:E101)</f>
        <v>27.88</v>
      </c>
      <c r="F104" s="75">
        <f>MAX(F72:F101)</f>
        <v>28.68</v>
      </c>
      <c r="G104" s="75">
        <f>MAX(G72:G101)</f>
        <v>2122800</v>
      </c>
    </row>
    <row r="105" spans="2:7" s="75" customFormat="1" ht="12">
      <c r="B105" s="75" t="s">
        <v>90</v>
      </c>
      <c r="C105" s="75">
        <f>MIN(C72:C101)</f>
        <v>24.66</v>
      </c>
      <c r="D105" s="75">
        <f>MIN(D72:D101)</f>
        <v>24.77</v>
      </c>
      <c r="E105" s="75">
        <f>MIN(E72:E101)</f>
        <v>24.32</v>
      </c>
      <c r="F105" s="75">
        <f>MIN(F72:F101)</f>
        <v>24.53</v>
      </c>
      <c r="G105" s="75">
        <f>MIN(G72:G101)</f>
        <v>649200</v>
      </c>
    </row>
    <row r="106" spans="1:7" s="75" customFormat="1" ht="12">
      <c r="A106" s="75" t="s">
        <v>2</v>
      </c>
      <c r="B106" s="22" t="s">
        <v>243</v>
      </c>
      <c r="C106" s="22" t="s">
        <v>244</v>
      </c>
      <c r="D106" s="22" t="s">
        <v>19</v>
      </c>
      <c r="E106" s="22" t="s">
        <v>20</v>
      </c>
      <c r="F106" s="22" t="s">
        <v>21</v>
      </c>
      <c r="G106" s="22" t="s">
        <v>22</v>
      </c>
    </row>
    <row r="107" spans="2:7" s="75" customFormat="1" ht="12.75">
      <c r="B107" s="19">
        <v>38056</v>
      </c>
      <c r="C107">
        <v>41.61</v>
      </c>
      <c r="D107">
        <v>42.53</v>
      </c>
      <c r="E107">
        <v>41.61</v>
      </c>
      <c r="F107">
        <v>42.49</v>
      </c>
      <c r="G107">
        <v>1747800</v>
      </c>
    </row>
    <row r="108" spans="2:7" s="75" customFormat="1" ht="12.75">
      <c r="B108" s="19">
        <v>38055</v>
      </c>
      <c r="C108">
        <v>41.61</v>
      </c>
      <c r="D108">
        <v>41.86</v>
      </c>
      <c r="E108">
        <v>41.1</v>
      </c>
      <c r="F108">
        <v>41.54</v>
      </c>
      <c r="G108">
        <v>1220200</v>
      </c>
    </row>
    <row r="109" spans="2:7" s="75" customFormat="1" ht="12.75">
      <c r="B109" s="19">
        <v>38052</v>
      </c>
      <c r="C109">
        <v>41.6</v>
      </c>
      <c r="D109">
        <v>41.62</v>
      </c>
      <c r="E109">
        <v>41.05</v>
      </c>
      <c r="F109">
        <v>41.49</v>
      </c>
      <c r="G109">
        <v>1573100</v>
      </c>
    </row>
    <row r="110" spans="2:7" s="75" customFormat="1" ht="12.75">
      <c r="B110" s="19">
        <v>38051</v>
      </c>
      <c r="C110">
        <v>42.28</v>
      </c>
      <c r="D110">
        <v>42.49</v>
      </c>
      <c r="E110">
        <v>41.66</v>
      </c>
      <c r="F110">
        <v>41.66</v>
      </c>
      <c r="G110">
        <v>1296100</v>
      </c>
    </row>
    <row r="111" spans="2:7" s="75" customFormat="1" ht="12.75">
      <c r="B111" s="19">
        <v>38050</v>
      </c>
      <c r="C111">
        <v>42.14</v>
      </c>
      <c r="D111">
        <v>42.49</v>
      </c>
      <c r="E111">
        <v>41.7</v>
      </c>
      <c r="F111">
        <v>42.4</v>
      </c>
      <c r="G111">
        <v>2496400</v>
      </c>
    </row>
    <row r="112" spans="2:7" s="75" customFormat="1" ht="12.75">
      <c r="B112" s="19">
        <v>38049</v>
      </c>
      <c r="C112">
        <v>41.51</v>
      </c>
      <c r="D112">
        <v>42.52</v>
      </c>
      <c r="E112">
        <v>41.5</v>
      </c>
      <c r="F112">
        <v>42.42</v>
      </c>
      <c r="G112">
        <v>1553900</v>
      </c>
    </row>
    <row r="113" spans="2:7" s="75" customFormat="1" ht="12.75">
      <c r="B113" s="19">
        <v>38048</v>
      </c>
      <c r="C113">
        <v>42.59</v>
      </c>
      <c r="D113">
        <v>42.59</v>
      </c>
      <c r="E113">
        <v>41.41</v>
      </c>
      <c r="F113">
        <v>41.77</v>
      </c>
      <c r="G113">
        <v>2088000</v>
      </c>
    </row>
    <row r="114" spans="2:7" s="75" customFormat="1" ht="12.75">
      <c r="B114" s="19">
        <v>38045</v>
      </c>
      <c r="C114">
        <v>43.08</v>
      </c>
      <c r="D114">
        <v>43.15</v>
      </c>
      <c r="E114">
        <v>42.37</v>
      </c>
      <c r="F114">
        <v>42.7</v>
      </c>
      <c r="G114">
        <v>1643600</v>
      </c>
    </row>
    <row r="115" spans="2:7" s="75" customFormat="1" ht="12.75">
      <c r="B115" s="19">
        <v>38044</v>
      </c>
      <c r="C115">
        <v>43.25</v>
      </c>
      <c r="D115">
        <v>43.42</v>
      </c>
      <c r="E115">
        <v>42.83</v>
      </c>
      <c r="F115">
        <v>43.33</v>
      </c>
      <c r="G115">
        <v>1001300</v>
      </c>
    </row>
    <row r="116" spans="2:7" s="75" customFormat="1" ht="12.75">
      <c r="B116" s="19">
        <v>38043</v>
      </c>
      <c r="C116">
        <v>43.89</v>
      </c>
      <c r="D116">
        <v>44.19</v>
      </c>
      <c r="E116">
        <v>43.34</v>
      </c>
      <c r="F116">
        <v>43.48</v>
      </c>
      <c r="G116">
        <v>1128000</v>
      </c>
    </row>
    <row r="117" spans="2:7" s="75" customFormat="1" ht="12.75">
      <c r="B117" s="19">
        <v>38042</v>
      </c>
      <c r="C117">
        <v>43.75</v>
      </c>
      <c r="D117">
        <v>44.1</v>
      </c>
      <c r="E117">
        <v>43.51</v>
      </c>
      <c r="F117">
        <v>44.1</v>
      </c>
      <c r="G117">
        <v>1036000</v>
      </c>
    </row>
    <row r="118" spans="2:7" s="75" customFormat="1" ht="12.75">
      <c r="B118" s="19">
        <v>38041</v>
      </c>
      <c r="C118">
        <v>43.76</v>
      </c>
      <c r="D118">
        <v>43.97</v>
      </c>
      <c r="E118">
        <v>43.39</v>
      </c>
      <c r="F118">
        <v>43.87</v>
      </c>
      <c r="G118">
        <v>1024800</v>
      </c>
    </row>
    <row r="119" spans="2:7" s="75" customFormat="1" ht="12.75">
      <c r="B119" s="19">
        <v>38038</v>
      </c>
      <c r="C119">
        <v>43.19</v>
      </c>
      <c r="D119">
        <v>43.7</v>
      </c>
      <c r="E119">
        <v>42.87</v>
      </c>
      <c r="F119">
        <v>43.65</v>
      </c>
      <c r="G119">
        <v>1143700</v>
      </c>
    </row>
    <row r="120" spans="2:7" s="75" customFormat="1" ht="12.75">
      <c r="B120" s="19">
        <v>38037</v>
      </c>
      <c r="C120">
        <v>44.19</v>
      </c>
      <c r="D120">
        <v>44.19</v>
      </c>
      <c r="E120">
        <v>43</v>
      </c>
      <c r="F120">
        <v>43.06</v>
      </c>
      <c r="G120">
        <v>829500</v>
      </c>
    </row>
    <row r="121" spans="2:7" s="75" customFormat="1" ht="12.75">
      <c r="B121" s="19">
        <v>38036</v>
      </c>
      <c r="C121">
        <v>43.91</v>
      </c>
      <c r="D121">
        <v>44.1</v>
      </c>
      <c r="E121">
        <v>43.5</v>
      </c>
      <c r="F121">
        <v>43.96</v>
      </c>
      <c r="G121">
        <v>818400</v>
      </c>
    </row>
    <row r="122" spans="2:7" s="75" customFormat="1" ht="12.75">
      <c r="B122" s="19">
        <v>38035</v>
      </c>
      <c r="C122">
        <v>44.53</v>
      </c>
      <c r="D122">
        <v>44.69</v>
      </c>
      <c r="E122">
        <v>43.96</v>
      </c>
      <c r="F122">
        <v>44.21</v>
      </c>
      <c r="G122">
        <v>1265600</v>
      </c>
    </row>
    <row r="123" spans="2:7" s="75" customFormat="1" ht="12.75">
      <c r="B123" s="19">
        <v>38031</v>
      </c>
      <c r="C123">
        <v>43.92</v>
      </c>
      <c r="D123">
        <v>44.11</v>
      </c>
      <c r="E123">
        <v>43.46</v>
      </c>
      <c r="F123">
        <v>44.09</v>
      </c>
      <c r="G123">
        <v>854800</v>
      </c>
    </row>
    <row r="124" spans="2:7" s="75" customFormat="1" ht="12.75">
      <c r="B124" s="19">
        <v>38030</v>
      </c>
      <c r="C124">
        <v>45.88</v>
      </c>
      <c r="D124">
        <v>45.88</v>
      </c>
      <c r="E124">
        <v>43.82</v>
      </c>
      <c r="F124">
        <v>44</v>
      </c>
      <c r="G124">
        <v>1085700</v>
      </c>
    </row>
    <row r="125" spans="2:7" s="75" customFormat="1" ht="12.75">
      <c r="B125" s="19">
        <v>38029</v>
      </c>
      <c r="C125">
        <v>44.6</v>
      </c>
      <c r="D125">
        <v>44.8</v>
      </c>
      <c r="E125">
        <v>44.13</v>
      </c>
      <c r="F125">
        <v>44.46</v>
      </c>
      <c r="G125">
        <v>1087800</v>
      </c>
    </row>
    <row r="126" spans="2:7" s="75" customFormat="1" ht="12.75">
      <c r="B126" s="19">
        <v>38028</v>
      </c>
      <c r="C126">
        <v>44.16</v>
      </c>
      <c r="D126">
        <v>44.67</v>
      </c>
      <c r="E126">
        <v>44.01</v>
      </c>
      <c r="F126">
        <v>44.32</v>
      </c>
      <c r="G126">
        <v>1219900</v>
      </c>
    </row>
    <row r="127" spans="2:7" s="75" customFormat="1" ht="12.75">
      <c r="B127" s="19">
        <v>38027</v>
      </c>
      <c r="C127">
        <v>44.37</v>
      </c>
      <c r="D127">
        <v>44.41</v>
      </c>
      <c r="E127">
        <v>43.9</v>
      </c>
      <c r="F127">
        <v>44.16</v>
      </c>
      <c r="G127">
        <v>779600</v>
      </c>
    </row>
    <row r="128" spans="2:7" s="75" customFormat="1" ht="12.75">
      <c r="B128" s="19">
        <v>38024</v>
      </c>
      <c r="C128">
        <v>44.35</v>
      </c>
      <c r="D128">
        <v>44.68</v>
      </c>
      <c r="E128">
        <v>44.05</v>
      </c>
      <c r="F128">
        <v>44.3</v>
      </c>
      <c r="G128">
        <v>1368500</v>
      </c>
    </row>
    <row r="129" spans="2:7" s="75" customFormat="1" ht="12.75">
      <c r="B129" s="19">
        <v>38023</v>
      </c>
      <c r="C129">
        <v>44.93</v>
      </c>
      <c r="D129">
        <v>44.96</v>
      </c>
      <c r="E129">
        <v>44.09</v>
      </c>
      <c r="F129">
        <v>44.5</v>
      </c>
      <c r="G129">
        <v>1436700</v>
      </c>
    </row>
    <row r="130" spans="2:7" s="75" customFormat="1" ht="12.75">
      <c r="B130" s="19">
        <v>38022</v>
      </c>
      <c r="C130">
        <v>45.23</v>
      </c>
      <c r="D130">
        <v>45.68</v>
      </c>
      <c r="E130">
        <v>44.9</v>
      </c>
      <c r="F130">
        <v>45</v>
      </c>
      <c r="G130">
        <v>1364000</v>
      </c>
    </row>
    <row r="131" spans="2:7" s="75" customFormat="1" ht="12.75">
      <c r="B131" s="19">
        <v>38021</v>
      </c>
      <c r="C131">
        <v>46.01</v>
      </c>
      <c r="D131">
        <v>46.11</v>
      </c>
      <c r="E131">
        <v>45</v>
      </c>
      <c r="F131">
        <v>45.01</v>
      </c>
      <c r="G131">
        <v>1579000</v>
      </c>
    </row>
    <row r="132" spans="2:7" s="75" customFormat="1" ht="12.75">
      <c r="B132" s="19">
        <v>38020</v>
      </c>
      <c r="C132">
        <v>45.55</v>
      </c>
      <c r="D132">
        <v>46.75</v>
      </c>
      <c r="E132">
        <v>45.31</v>
      </c>
      <c r="F132">
        <v>46.35</v>
      </c>
      <c r="G132">
        <v>1760300</v>
      </c>
    </row>
    <row r="133" spans="2:7" s="75" customFormat="1" ht="12.75">
      <c r="B133" s="19">
        <v>38017</v>
      </c>
      <c r="C133">
        <v>44.67</v>
      </c>
      <c r="D133">
        <v>45.54</v>
      </c>
      <c r="E133">
        <v>44.52</v>
      </c>
      <c r="F133">
        <v>45.54</v>
      </c>
      <c r="G133">
        <v>1335900</v>
      </c>
    </row>
    <row r="134" spans="2:7" s="75" customFormat="1" ht="12.75">
      <c r="B134" s="19">
        <v>38016</v>
      </c>
      <c r="C134">
        <v>44.1</v>
      </c>
      <c r="D134">
        <v>45.09</v>
      </c>
      <c r="E134">
        <v>43.65</v>
      </c>
      <c r="F134">
        <v>44.74</v>
      </c>
      <c r="G134">
        <v>1645100</v>
      </c>
    </row>
    <row r="135" spans="2:7" s="75" customFormat="1" ht="12.75">
      <c r="B135" s="19">
        <v>38015</v>
      </c>
      <c r="C135">
        <v>44.07</v>
      </c>
      <c r="D135">
        <v>45.04</v>
      </c>
      <c r="E135">
        <v>43.6</v>
      </c>
      <c r="F135">
        <v>44.13</v>
      </c>
      <c r="G135">
        <v>2287200</v>
      </c>
    </row>
    <row r="136" spans="2:7" s="75" customFormat="1" ht="12.75">
      <c r="B136" s="19">
        <v>38014</v>
      </c>
      <c r="C136">
        <v>45.19</v>
      </c>
      <c r="D136">
        <v>45.28</v>
      </c>
      <c r="E136">
        <v>43.94</v>
      </c>
      <c r="F136">
        <v>44.17</v>
      </c>
      <c r="G136">
        <v>2024400</v>
      </c>
    </row>
    <row r="137" spans="2:7" s="75" customFormat="1" ht="12">
      <c r="B137" s="75" t="s">
        <v>186</v>
      </c>
      <c r="C137" s="77">
        <f>AVERAGE(C107:C136)</f>
        <v>43.79733333333333</v>
      </c>
      <c r="D137" s="77">
        <f>AVERAGE(D107:D136)</f>
        <v>44.15366666666666</v>
      </c>
      <c r="E137" s="77">
        <f>AVERAGE(E107:E136)</f>
        <v>43.239333333333335</v>
      </c>
      <c r="F137" s="78">
        <f>AVERAGE(F107:F136)</f>
        <v>43.69666666666667</v>
      </c>
      <c r="G137" s="77">
        <f>AVERAGE(G107:G136)</f>
        <v>1389843.3333333333</v>
      </c>
    </row>
    <row r="138" spans="2:7" s="75" customFormat="1" ht="12">
      <c r="B138" s="75" t="s">
        <v>83</v>
      </c>
      <c r="C138" s="75">
        <f>MEDIAN(C107:C136)</f>
        <v>43.995000000000005</v>
      </c>
      <c r="D138" s="75">
        <f>MEDIAN(D107:D136)</f>
        <v>44.19</v>
      </c>
      <c r="E138" s="75">
        <f>MEDIAN(E107:E136)</f>
        <v>43.504999999999995</v>
      </c>
      <c r="F138" s="75">
        <f>MEDIAN(F107:F136)</f>
        <v>44.045</v>
      </c>
      <c r="G138" s="75">
        <f>MEDIAN(G107:G136)</f>
        <v>1316000</v>
      </c>
    </row>
    <row r="139" spans="2:7" s="75" customFormat="1" ht="12">
      <c r="B139" s="75" t="s">
        <v>89</v>
      </c>
      <c r="C139" s="75">
        <f>MAX(C107:C136)</f>
        <v>46.01</v>
      </c>
      <c r="D139" s="75">
        <f>MAX(D107:D136)</f>
        <v>46.75</v>
      </c>
      <c r="E139" s="75">
        <f>MAX(E107:E136)</f>
        <v>45.31</v>
      </c>
      <c r="F139" s="75">
        <f>MAX(F107:F136)</f>
        <v>46.35</v>
      </c>
      <c r="G139" s="75">
        <f>MAX(G107:G136)</f>
        <v>2496400</v>
      </c>
    </row>
    <row r="140" spans="2:7" s="75" customFormat="1" ht="12">
      <c r="B140" s="75" t="s">
        <v>90</v>
      </c>
      <c r="C140" s="75">
        <f>MIN(C107:C136)</f>
        <v>41.51</v>
      </c>
      <c r="D140" s="75">
        <f>MIN(D107:D136)</f>
        <v>41.62</v>
      </c>
      <c r="E140" s="75">
        <f>MIN(E107:E136)</f>
        <v>41.05</v>
      </c>
      <c r="F140" s="75">
        <f>MIN(F107:F136)</f>
        <v>41.49</v>
      </c>
      <c r="G140" s="75">
        <f>MIN(G107:G136)</f>
        <v>779600</v>
      </c>
    </row>
    <row r="141" spans="1:7" s="75" customFormat="1" ht="12">
      <c r="A141" s="75" t="s">
        <v>53</v>
      </c>
      <c r="B141" s="22" t="s">
        <v>243</v>
      </c>
      <c r="C141" s="22" t="s">
        <v>244</v>
      </c>
      <c r="D141" s="22" t="s">
        <v>19</v>
      </c>
      <c r="E141" s="22" t="s">
        <v>20</v>
      </c>
      <c r="F141" s="22" t="s">
        <v>21</v>
      </c>
      <c r="G141" s="22" t="s">
        <v>22</v>
      </c>
    </row>
    <row r="142" spans="2:7" s="75" customFormat="1" ht="12.75">
      <c r="B142" s="19">
        <v>38056</v>
      </c>
      <c r="C142">
        <v>41.12</v>
      </c>
      <c r="D142">
        <v>41.9</v>
      </c>
      <c r="E142">
        <v>40.66</v>
      </c>
      <c r="F142">
        <v>41.86</v>
      </c>
      <c r="G142">
        <v>2446400</v>
      </c>
    </row>
    <row r="143" spans="2:7" s="75" customFormat="1" ht="12.75">
      <c r="B143" s="19">
        <v>38055</v>
      </c>
      <c r="C143">
        <v>40.59</v>
      </c>
      <c r="D143">
        <v>40.76</v>
      </c>
      <c r="E143">
        <v>39.83</v>
      </c>
      <c r="F143">
        <v>40.29</v>
      </c>
      <c r="G143">
        <v>2343500</v>
      </c>
    </row>
    <row r="144" spans="2:7" s="75" customFormat="1" ht="12.75">
      <c r="B144" s="19">
        <v>38052</v>
      </c>
      <c r="C144">
        <v>40.84</v>
      </c>
      <c r="D144">
        <v>40.97</v>
      </c>
      <c r="E144">
        <v>40.28</v>
      </c>
      <c r="F144">
        <v>40.64</v>
      </c>
      <c r="G144">
        <v>3170400</v>
      </c>
    </row>
    <row r="145" spans="2:7" s="75" customFormat="1" ht="12.75">
      <c r="B145" s="19">
        <v>38051</v>
      </c>
      <c r="C145">
        <v>41.77</v>
      </c>
      <c r="D145">
        <v>41.82</v>
      </c>
      <c r="E145">
        <v>41.12</v>
      </c>
      <c r="F145">
        <v>41.2</v>
      </c>
      <c r="G145">
        <v>2515600</v>
      </c>
    </row>
    <row r="146" spans="2:7" s="75" customFormat="1" ht="12.75">
      <c r="B146" s="19">
        <v>38050</v>
      </c>
      <c r="C146">
        <v>42.22</v>
      </c>
      <c r="D146">
        <v>42.5</v>
      </c>
      <c r="E146">
        <v>41.36</v>
      </c>
      <c r="F146">
        <v>41.89</v>
      </c>
      <c r="G146">
        <v>2511200</v>
      </c>
    </row>
    <row r="147" spans="2:7" s="75" customFormat="1" ht="12.75">
      <c r="B147" s="19">
        <v>38049</v>
      </c>
      <c r="C147">
        <v>41.12</v>
      </c>
      <c r="D147">
        <v>42.3</v>
      </c>
      <c r="E147">
        <v>41.01</v>
      </c>
      <c r="F147">
        <v>42.22</v>
      </c>
      <c r="G147">
        <v>3514600</v>
      </c>
    </row>
    <row r="148" spans="2:7" s="75" customFormat="1" ht="12.75">
      <c r="B148" s="19">
        <v>38048</v>
      </c>
      <c r="C148">
        <v>41.06</v>
      </c>
      <c r="D148">
        <v>41.5</v>
      </c>
      <c r="E148">
        <v>40.68</v>
      </c>
      <c r="F148">
        <v>41.2</v>
      </c>
      <c r="G148">
        <v>3574700</v>
      </c>
    </row>
    <row r="149" spans="2:7" s="75" customFormat="1" ht="12.75">
      <c r="B149" s="19">
        <v>38045</v>
      </c>
      <c r="C149">
        <v>41.66</v>
      </c>
      <c r="D149">
        <v>41.9</v>
      </c>
      <c r="E149">
        <v>40.75</v>
      </c>
      <c r="F149">
        <v>40.92</v>
      </c>
      <c r="G149">
        <v>3364500</v>
      </c>
    </row>
    <row r="150" spans="2:7" s="75" customFormat="1" ht="12.75">
      <c r="B150" s="19">
        <v>38044</v>
      </c>
      <c r="C150">
        <v>42.26</v>
      </c>
      <c r="D150">
        <v>42.26</v>
      </c>
      <c r="E150">
        <v>41.47</v>
      </c>
      <c r="F150">
        <v>42.03</v>
      </c>
      <c r="G150">
        <v>1646400</v>
      </c>
    </row>
    <row r="151" spans="2:7" s="75" customFormat="1" ht="12.75">
      <c r="B151" s="19">
        <v>38043</v>
      </c>
      <c r="C151">
        <v>42.7</v>
      </c>
      <c r="D151">
        <v>42.9</v>
      </c>
      <c r="E151">
        <v>42.11</v>
      </c>
      <c r="F151">
        <v>42.3</v>
      </c>
      <c r="G151">
        <v>1761100</v>
      </c>
    </row>
    <row r="152" spans="2:7" s="75" customFormat="1" ht="12.75">
      <c r="B152" s="19">
        <v>38042</v>
      </c>
      <c r="C152">
        <v>42.73</v>
      </c>
      <c r="D152">
        <v>42.88</v>
      </c>
      <c r="E152">
        <v>42</v>
      </c>
      <c r="F152">
        <v>42.88</v>
      </c>
      <c r="G152">
        <v>2521900</v>
      </c>
    </row>
    <row r="153" spans="2:7" s="75" customFormat="1" ht="12.75">
      <c r="B153" s="19">
        <v>38041</v>
      </c>
      <c r="C153">
        <v>42.24</v>
      </c>
      <c r="D153">
        <v>42.99</v>
      </c>
      <c r="E153">
        <v>41.99</v>
      </c>
      <c r="F153">
        <v>42.85</v>
      </c>
      <c r="G153">
        <v>3245500</v>
      </c>
    </row>
    <row r="154" spans="2:7" s="75" customFormat="1" ht="12.75">
      <c r="B154" s="19">
        <v>38038</v>
      </c>
      <c r="C154">
        <v>41.71</v>
      </c>
      <c r="D154">
        <v>42.3</v>
      </c>
      <c r="E154">
        <v>41.3</v>
      </c>
      <c r="F154">
        <v>42.3</v>
      </c>
      <c r="G154">
        <v>2082400</v>
      </c>
    </row>
    <row r="155" spans="2:7" s="75" customFormat="1" ht="12.75">
      <c r="B155" s="19">
        <v>38037</v>
      </c>
      <c r="C155">
        <v>42.26</v>
      </c>
      <c r="D155">
        <v>42.5</v>
      </c>
      <c r="E155">
        <v>41.4</v>
      </c>
      <c r="F155">
        <v>41.48</v>
      </c>
      <c r="G155">
        <v>2486500</v>
      </c>
    </row>
    <row r="156" spans="2:7" s="75" customFormat="1" ht="12.75">
      <c r="B156" s="19">
        <v>38036</v>
      </c>
      <c r="C156">
        <v>42.37</v>
      </c>
      <c r="D156">
        <v>42.48</v>
      </c>
      <c r="E156">
        <v>41.86</v>
      </c>
      <c r="F156">
        <v>42.25</v>
      </c>
      <c r="G156">
        <v>3459300</v>
      </c>
    </row>
    <row r="157" spans="2:7" s="75" customFormat="1" ht="12.75">
      <c r="B157" s="19">
        <v>38035</v>
      </c>
      <c r="C157">
        <v>43.51</v>
      </c>
      <c r="D157">
        <v>43.51</v>
      </c>
      <c r="E157">
        <v>42.45</v>
      </c>
      <c r="F157">
        <v>42.66</v>
      </c>
      <c r="G157">
        <v>3461700</v>
      </c>
    </row>
    <row r="158" spans="2:7" s="75" customFormat="1" ht="12.75">
      <c r="B158" s="19">
        <v>38031</v>
      </c>
      <c r="C158">
        <v>42.95</v>
      </c>
      <c r="D158">
        <v>43.23</v>
      </c>
      <c r="E158">
        <v>42.55</v>
      </c>
      <c r="F158">
        <v>43.1</v>
      </c>
      <c r="G158">
        <v>11887400</v>
      </c>
    </row>
    <row r="159" spans="2:7" s="75" customFormat="1" ht="12.75">
      <c r="B159" s="19">
        <v>38030</v>
      </c>
      <c r="C159">
        <v>43.98</v>
      </c>
      <c r="D159">
        <v>44.37</v>
      </c>
      <c r="E159">
        <v>42.81</v>
      </c>
      <c r="F159">
        <v>43.04</v>
      </c>
      <c r="G159">
        <v>3625600</v>
      </c>
    </row>
    <row r="160" spans="2:7" s="75" customFormat="1" ht="12.75">
      <c r="B160" s="19">
        <v>38029</v>
      </c>
      <c r="C160">
        <v>44.3</v>
      </c>
      <c r="D160">
        <v>44.55</v>
      </c>
      <c r="E160">
        <v>43.6</v>
      </c>
      <c r="F160">
        <v>43.86</v>
      </c>
      <c r="G160">
        <v>2681500</v>
      </c>
    </row>
    <row r="161" spans="2:7" s="75" customFormat="1" ht="12.75">
      <c r="B161" s="19">
        <v>38028</v>
      </c>
      <c r="C161">
        <v>43.78</v>
      </c>
      <c r="D161">
        <v>44.22</v>
      </c>
      <c r="E161">
        <v>43.49</v>
      </c>
      <c r="F161">
        <v>43.89</v>
      </c>
      <c r="G161">
        <v>3772800</v>
      </c>
    </row>
    <row r="162" spans="2:7" s="75" customFormat="1" ht="12.75">
      <c r="B162" s="19">
        <v>38027</v>
      </c>
      <c r="C162">
        <v>43.13</v>
      </c>
      <c r="D162">
        <v>43.64</v>
      </c>
      <c r="E162">
        <v>42.76</v>
      </c>
      <c r="F162">
        <v>43.43</v>
      </c>
      <c r="G162">
        <v>3886900</v>
      </c>
    </row>
    <row r="163" spans="2:7" s="75" customFormat="1" ht="12.75">
      <c r="B163" s="19">
        <v>38024</v>
      </c>
      <c r="C163">
        <v>43.37</v>
      </c>
      <c r="D163">
        <v>43.57</v>
      </c>
      <c r="E163">
        <v>42.94</v>
      </c>
      <c r="F163">
        <v>43.16</v>
      </c>
      <c r="G163">
        <v>2836500</v>
      </c>
    </row>
    <row r="164" spans="2:7" s="75" customFormat="1" ht="12.75">
      <c r="B164" s="19">
        <v>38023</v>
      </c>
      <c r="C164">
        <v>43.23</v>
      </c>
      <c r="D164">
        <v>43.73</v>
      </c>
      <c r="E164">
        <v>43.05</v>
      </c>
      <c r="F164">
        <v>43.68</v>
      </c>
      <c r="G164">
        <v>2943500</v>
      </c>
    </row>
    <row r="165" spans="2:7" s="75" customFormat="1" ht="12.75">
      <c r="B165" s="19">
        <v>38022</v>
      </c>
      <c r="C165">
        <v>43.37</v>
      </c>
      <c r="D165">
        <v>44.14</v>
      </c>
      <c r="E165">
        <v>43.25</v>
      </c>
      <c r="F165">
        <v>43.65</v>
      </c>
      <c r="G165">
        <v>3632800</v>
      </c>
    </row>
    <row r="166" spans="2:7" s="75" customFormat="1" ht="12.75">
      <c r="B166" s="19">
        <v>38021</v>
      </c>
      <c r="C166">
        <v>44.21</v>
      </c>
      <c r="D166">
        <v>44.77</v>
      </c>
      <c r="E166">
        <v>43.31</v>
      </c>
      <c r="F166">
        <v>43.41</v>
      </c>
      <c r="G166">
        <v>3719700</v>
      </c>
    </row>
    <row r="167" spans="2:7" s="75" customFormat="1" ht="12.75">
      <c r="B167" s="19">
        <v>38020</v>
      </c>
      <c r="C167">
        <v>43.83</v>
      </c>
      <c r="D167">
        <v>45.08</v>
      </c>
      <c r="E167">
        <v>43.74</v>
      </c>
      <c r="F167">
        <v>44.9</v>
      </c>
      <c r="G167">
        <v>6210600</v>
      </c>
    </row>
    <row r="168" spans="2:7" s="75" customFormat="1" ht="12.75">
      <c r="B168" s="19">
        <v>38017</v>
      </c>
      <c r="C168">
        <v>42.82</v>
      </c>
      <c r="D168">
        <v>44.01</v>
      </c>
      <c r="E168">
        <v>42.67</v>
      </c>
      <c r="F168">
        <v>43.96</v>
      </c>
      <c r="G168">
        <v>3354500</v>
      </c>
    </row>
    <row r="169" spans="2:7" s="75" customFormat="1" ht="12.75">
      <c r="B169" s="19">
        <v>38016</v>
      </c>
      <c r="C169">
        <v>41.51</v>
      </c>
      <c r="D169">
        <v>43.08</v>
      </c>
      <c r="E169">
        <v>41.4</v>
      </c>
      <c r="F169">
        <v>42.73</v>
      </c>
      <c r="G169">
        <v>3967900</v>
      </c>
    </row>
    <row r="170" spans="2:7" s="75" customFormat="1" ht="12.75">
      <c r="B170" s="19">
        <v>38015</v>
      </c>
      <c r="C170">
        <v>43.01</v>
      </c>
      <c r="D170">
        <v>43.34</v>
      </c>
      <c r="E170">
        <v>42.02</v>
      </c>
      <c r="F170">
        <v>42.07</v>
      </c>
      <c r="G170">
        <v>3512400</v>
      </c>
    </row>
    <row r="171" spans="2:7" s="75" customFormat="1" ht="12.75">
      <c r="B171" s="19">
        <v>38014</v>
      </c>
      <c r="C171">
        <v>43.19</v>
      </c>
      <c r="D171">
        <v>43.77</v>
      </c>
      <c r="E171">
        <v>41.79</v>
      </c>
      <c r="F171">
        <v>42.73</v>
      </c>
      <c r="G171">
        <v>3629800</v>
      </c>
    </row>
    <row r="172" spans="2:7" s="75" customFormat="1" ht="12">
      <c r="B172" s="75" t="s">
        <v>186</v>
      </c>
      <c r="C172" s="77">
        <f>AVERAGE(C142:C171)</f>
        <v>42.56133333333333</v>
      </c>
      <c r="D172" s="77">
        <f>AVERAGE(D142:D171)</f>
        <v>43.03233333333333</v>
      </c>
      <c r="E172" s="77">
        <f>AVERAGE(E142:E171)</f>
        <v>41.98833333333333</v>
      </c>
      <c r="F172" s="78">
        <f>AVERAGE(F142:F171)</f>
        <v>42.55266666666667</v>
      </c>
      <c r="G172" s="77">
        <f>AVERAGE(G142:G171)</f>
        <v>3458920</v>
      </c>
    </row>
    <row r="173" spans="2:7" s="75" customFormat="1" ht="12">
      <c r="B173" s="75" t="s">
        <v>83</v>
      </c>
      <c r="C173" s="75">
        <f>MEDIAN(C142:C171)</f>
        <v>42.715</v>
      </c>
      <c r="D173" s="75">
        <f>MEDIAN(D142:D171)</f>
        <v>43.035</v>
      </c>
      <c r="E173" s="75">
        <f>MEDIAN(E142:E171)</f>
        <v>41.995000000000005</v>
      </c>
      <c r="F173" s="75">
        <f>MEDIAN(F142:F171)</f>
        <v>42.69499999999999</v>
      </c>
      <c r="G173" s="75">
        <f>MEDIAN(G142:G171)</f>
        <v>3359500</v>
      </c>
    </row>
    <row r="174" spans="2:7" s="75" customFormat="1" ht="12">
      <c r="B174" s="75" t="s">
        <v>89</v>
      </c>
      <c r="C174" s="75">
        <f>MAX(C142:C171)</f>
        <v>44.3</v>
      </c>
      <c r="D174" s="75">
        <f>MAX(D142:D171)</f>
        <v>45.08</v>
      </c>
      <c r="E174" s="75">
        <f>MAX(E142:E171)</f>
        <v>43.74</v>
      </c>
      <c r="F174" s="75">
        <f>MAX(F142:F171)</f>
        <v>44.9</v>
      </c>
      <c r="G174" s="75">
        <f>MAX(G142:G171)</f>
        <v>11887400</v>
      </c>
    </row>
    <row r="175" spans="2:7" s="75" customFormat="1" ht="12">
      <c r="B175" s="75" t="s">
        <v>90</v>
      </c>
      <c r="C175" s="75">
        <f>MIN(C142:C171)</f>
        <v>40.59</v>
      </c>
      <c r="D175" s="75">
        <f>MIN(D142:D171)</f>
        <v>40.76</v>
      </c>
      <c r="E175" s="75">
        <f>MIN(E142:E171)</f>
        <v>39.83</v>
      </c>
      <c r="F175" s="75">
        <f>MIN(F142:F171)</f>
        <v>40.29</v>
      </c>
      <c r="G175" s="75">
        <f>MIN(G142:G171)</f>
        <v>1646400</v>
      </c>
    </row>
    <row r="176" spans="1:7" s="75" customFormat="1" ht="12">
      <c r="A176" s="75" t="s">
        <v>13</v>
      </c>
      <c r="B176" s="22" t="s">
        <v>243</v>
      </c>
      <c r="C176" s="22" t="s">
        <v>244</v>
      </c>
      <c r="D176" s="22" t="s">
        <v>19</v>
      </c>
      <c r="E176" s="22" t="s">
        <v>20</v>
      </c>
      <c r="F176" s="22" t="s">
        <v>21</v>
      </c>
      <c r="G176" s="22" t="s">
        <v>22</v>
      </c>
    </row>
    <row r="177" spans="2:7" s="75" customFormat="1" ht="12.75">
      <c r="B177" s="19">
        <v>38056</v>
      </c>
      <c r="C177">
        <v>22.14</v>
      </c>
      <c r="D177">
        <v>22.72</v>
      </c>
      <c r="E177">
        <v>22.12</v>
      </c>
      <c r="F177">
        <v>22.55</v>
      </c>
      <c r="G177">
        <v>547500</v>
      </c>
    </row>
    <row r="178" spans="2:7" s="75" customFormat="1" ht="12.75">
      <c r="B178" s="19">
        <v>38055</v>
      </c>
      <c r="C178">
        <v>21.96</v>
      </c>
      <c r="D178">
        <v>21.96</v>
      </c>
      <c r="E178">
        <v>21.53</v>
      </c>
      <c r="F178">
        <v>21.73</v>
      </c>
      <c r="G178">
        <v>582600</v>
      </c>
    </row>
    <row r="179" spans="2:7" s="75" customFormat="1" ht="12.75">
      <c r="B179" s="19">
        <v>38052</v>
      </c>
      <c r="C179">
        <v>22.05</v>
      </c>
      <c r="D179">
        <v>22.09</v>
      </c>
      <c r="E179">
        <v>21.67</v>
      </c>
      <c r="F179">
        <v>21.97</v>
      </c>
      <c r="G179">
        <v>453400</v>
      </c>
    </row>
    <row r="180" spans="2:7" s="75" customFormat="1" ht="12.75">
      <c r="B180" s="19">
        <v>38051</v>
      </c>
      <c r="C180">
        <v>22.43</v>
      </c>
      <c r="D180">
        <v>22.6</v>
      </c>
      <c r="E180">
        <v>22.02</v>
      </c>
      <c r="F180">
        <v>22.1</v>
      </c>
      <c r="G180">
        <v>488300</v>
      </c>
    </row>
    <row r="181" spans="2:7" s="75" customFormat="1" ht="12.75">
      <c r="B181" s="19">
        <v>38050</v>
      </c>
      <c r="C181">
        <v>22.75</v>
      </c>
      <c r="D181">
        <v>22.77</v>
      </c>
      <c r="E181">
        <v>22.35</v>
      </c>
      <c r="F181">
        <v>22.6</v>
      </c>
      <c r="G181">
        <v>459500</v>
      </c>
    </row>
    <row r="182" spans="2:7" s="75" customFormat="1" ht="12.75">
      <c r="B182" s="19">
        <v>38049</v>
      </c>
      <c r="C182">
        <v>22.55</v>
      </c>
      <c r="D182">
        <v>22.86</v>
      </c>
      <c r="E182">
        <v>22.33</v>
      </c>
      <c r="F182">
        <v>22.69</v>
      </c>
      <c r="G182">
        <v>696600</v>
      </c>
    </row>
    <row r="183" spans="2:7" s="75" customFormat="1" ht="12.75">
      <c r="B183" s="19">
        <v>38048</v>
      </c>
      <c r="C183">
        <v>22.8</v>
      </c>
      <c r="D183">
        <v>22.98</v>
      </c>
      <c r="E183">
        <v>22.48</v>
      </c>
      <c r="F183">
        <v>22.83</v>
      </c>
      <c r="G183">
        <v>736000</v>
      </c>
    </row>
    <row r="184" spans="2:7" s="75" customFormat="1" ht="12.75">
      <c r="B184" s="19">
        <v>38045</v>
      </c>
      <c r="C184">
        <v>23.21</v>
      </c>
      <c r="D184">
        <v>23.41</v>
      </c>
      <c r="E184">
        <v>22.77</v>
      </c>
      <c r="F184">
        <v>22.91</v>
      </c>
      <c r="G184">
        <v>1038600</v>
      </c>
    </row>
    <row r="185" spans="2:7" s="75" customFormat="1" ht="12.75">
      <c r="B185" s="19">
        <v>38044</v>
      </c>
      <c r="C185">
        <v>24.05</v>
      </c>
      <c r="D185">
        <v>24.16</v>
      </c>
      <c r="E185">
        <v>23.15</v>
      </c>
      <c r="F185">
        <v>23.6</v>
      </c>
      <c r="G185">
        <v>1275700</v>
      </c>
    </row>
    <row r="186" spans="2:7" s="75" customFormat="1" ht="12.75">
      <c r="B186" s="19">
        <v>38043</v>
      </c>
      <c r="C186">
        <v>24.58</v>
      </c>
      <c r="D186">
        <v>24.65</v>
      </c>
      <c r="E186">
        <v>24.03</v>
      </c>
      <c r="F186">
        <v>24.21</v>
      </c>
      <c r="G186">
        <v>375400</v>
      </c>
    </row>
    <row r="187" spans="2:7" s="75" customFormat="1" ht="12.75">
      <c r="B187" s="19">
        <v>38042</v>
      </c>
      <c r="C187">
        <v>24.15</v>
      </c>
      <c r="D187">
        <v>24.74</v>
      </c>
      <c r="E187">
        <v>24.15</v>
      </c>
      <c r="F187">
        <v>24.63</v>
      </c>
      <c r="G187">
        <v>325300</v>
      </c>
    </row>
    <row r="188" spans="2:7" s="75" customFormat="1" ht="12.75">
      <c r="B188" s="19">
        <v>38041</v>
      </c>
      <c r="C188">
        <v>24.29</v>
      </c>
      <c r="D188">
        <v>24.45</v>
      </c>
      <c r="E188">
        <v>24.05</v>
      </c>
      <c r="F188">
        <v>24.32</v>
      </c>
      <c r="G188">
        <v>268700</v>
      </c>
    </row>
    <row r="189" spans="2:7" s="75" customFormat="1" ht="12.75">
      <c r="B189" s="19">
        <v>38038</v>
      </c>
      <c r="C189">
        <v>24.29</v>
      </c>
      <c r="D189">
        <v>24.39</v>
      </c>
      <c r="E189">
        <v>24.01</v>
      </c>
      <c r="F189">
        <v>24.23</v>
      </c>
      <c r="G189">
        <v>358500</v>
      </c>
    </row>
    <row r="190" spans="2:7" s="75" customFormat="1" ht="12.75">
      <c r="B190" s="19">
        <v>38037</v>
      </c>
      <c r="C190">
        <v>24.92</v>
      </c>
      <c r="D190">
        <v>24.92</v>
      </c>
      <c r="E190">
        <v>24.1</v>
      </c>
      <c r="F190">
        <v>24.2</v>
      </c>
      <c r="G190">
        <v>360200</v>
      </c>
    </row>
    <row r="191" spans="2:7" s="75" customFormat="1" ht="12.75">
      <c r="B191" s="19">
        <v>38036</v>
      </c>
      <c r="C191">
        <v>24.58</v>
      </c>
      <c r="D191">
        <v>24.86</v>
      </c>
      <c r="E191">
        <v>24.31</v>
      </c>
      <c r="F191">
        <v>24.73</v>
      </c>
      <c r="G191">
        <v>292700</v>
      </c>
    </row>
    <row r="192" spans="2:7" s="75" customFormat="1" ht="12.75">
      <c r="B192" s="19">
        <v>38035</v>
      </c>
      <c r="C192">
        <v>24.76</v>
      </c>
      <c r="D192">
        <v>24.92</v>
      </c>
      <c r="E192">
        <v>24.57</v>
      </c>
      <c r="F192">
        <v>24.7</v>
      </c>
      <c r="G192">
        <v>333600</v>
      </c>
    </row>
    <row r="193" spans="2:7" s="75" customFormat="1" ht="12.75">
      <c r="B193" s="19">
        <v>38031</v>
      </c>
      <c r="C193">
        <v>24.64</v>
      </c>
      <c r="D193">
        <v>24.83</v>
      </c>
      <c r="E193">
        <v>24.27</v>
      </c>
      <c r="F193">
        <v>24.49</v>
      </c>
      <c r="G193">
        <v>526500</v>
      </c>
    </row>
    <row r="194" spans="2:7" s="75" customFormat="1" ht="12.75">
      <c r="B194" s="19">
        <v>38030</v>
      </c>
      <c r="C194">
        <v>25.56</v>
      </c>
      <c r="D194">
        <v>25.62</v>
      </c>
      <c r="E194">
        <v>24.52</v>
      </c>
      <c r="F194">
        <v>24.67</v>
      </c>
      <c r="G194">
        <v>606300</v>
      </c>
    </row>
    <row r="195" spans="2:7" s="75" customFormat="1" ht="12.75">
      <c r="B195" s="19">
        <v>38029</v>
      </c>
      <c r="C195">
        <v>25.75</v>
      </c>
      <c r="D195">
        <v>25.95</v>
      </c>
      <c r="E195">
        <v>25.24</v>
      </c>
      <c r="F195">
        <v>25.4</v>
      </c>
      <c r="G195">
        <v>637100</v>
      </c>
    </row>
    <row r="196" spans="2:7" s="75" customFormat="1" ht="12.75">
      <c r="B196" s="19">
        <v>38028</v>
      </c>
      <c r="C196">
        <v>25.63</v>
      </c>
      <c r="D196">
        <v>25.86</v>
      </c>
      <c r="E196">
        <v>25.36</v>
      </c>
      <c r="F196">
        <v>25.59</v>
      </c>
      <c r="G196">
        <v>568300</v>
      </c>
    </row>
    <row r="197" spans="2:7" s="75" customFormat="1" ht="12.75">
      <c r="B197" s="19">
        <v>38027</v>
      </c>
      <c r="C197">
        <v>25.56</v>
      </c>
      <c r="D197">
        <v>25.81</v>
      </c>
      <c r="E197">
        <v>25.26</v>
      </c>
      <c r="F197">
        <v>25.6</v>
      </c>
      <c r="G197">
        <v>375500</v>
      </c>
    </row>
    <row r="198" spans="2:7" s="75" customFormat="1" ht="12.75">
      <c r="B198" s="19">
        <v>38024</v>
      </c>
      <c r="C198">
        <v>25.66</v>
      </c>
      <c r="D198">
        <v>25.84</v>
      </c>
      <c r="E198">
        <v>25.36</v>
      </c>
      <c r="F198">
        <v>25.5</v>
      </c>
      <c r="G198">
        <v>401100</v>
      </c>
    </row>
    <row r="199" spans="2:7" s="75" customFormat="1" ht="12.75">
      <c r="B199" s="19">
        <v>38023</v>
      </c>
      <c r="C199">
        <v>25.35</v>
      </c>
      <c r="D199">
        <v>25.76</v>
      </c>
      <c r="E199">
        <v>25.2</v>
      </c>
      <c r="F199">
        <v>25.62</v>
      </c>
      <c r="G199">
        <v>648700</v>
      </c>
    </row>
    <row r="200" spans="2:7" s="75" customFormat="1" ht="12.75">
      <c r="B200" s="19">
        <v>38022</v>
      </c>
      <c r="C200">
        <v>25.57</v>
      </c>
      <c r="D200">
        <v>25.79</v>
      </c>
      <c r="E200">
        <v>25.34</v>
      </c>
      <c r="F200">
        <v>25.39</v>
      </c>
      <c r="G200">
        <v>393000</v>
      </c>
    </row>
    <row r="201" spans="2:7" s="75" customFormat="1" ht="12.75">
      <c r="B201" s="19">
        <v>38021</v>
      </c>
      <c r="C201">
        <v>25.87</v>
      </c>
      <c r="D201">
        <v>26.07</v>
      </c>
      <c r="E201">
        <v>25.39</v>
      </c>
      <c r="F201">
        <v>25.4</v>
      </c>
      <c r="G201">
        <v>418700</v>
      </c>
    </row>
    <row r="202" spans="2:7" s="75" customFormat="1" ht="12.75">
      <c r="B202" s="19">
        <v>38020</v>
      </c>
      <c r="C202">
        <v>25.99</v>
      </c>
      <c r="D202">
        <v>26.48</v>
      </c>
      <c r="E202">
        <v>25.68</v>
      </c>
      <c r="F202">
        <v>26.31</v>
      </c>
      <c r="G202">
        <v>349500</v>
      </c>
    </row>
    <row r="203" spans="2:7" s="75" customFormat="1" ht="12.75">
      <c r="B203" s="19">
        <v>38017</v>
      </c>
      <c r="C203">
        <v>25.93</v>
      </c>
      <c r="D203">
        <v>26.05</v>
      </c>
      <c r="E203">
        <v>25.41</v>
      </c>
      <c r="F203">
        <v>26</v>
      </c>
      <c r="G203">
        <v>440000</v>
      </c>
    </row>
    <row r="204" spans="2:7" s="75" customFormat="1" ht="12.75">
      <c r="B204" s="19">
        <v>38016</v>
      </c>
      <c r="C204">
        <v>24.92</v>
      </c>
      <c r="D204">
        <v>26.08</v>
      </c>
      <c r="E204">
        <v>24.81</v>
      </c>
      <c r="F204">
        <v>25.85</v>
      </c>
      <c r="G204">
        <v>615800</v>
      </c>
    </row>
    <row r="205" spans="2:7" s="75" customFormat="1" ht="12.75">
      <c r="B205" s="19">
        <v>38015</v>
      </c>
      <c r="C205">
        <v>25.15</v>
      </c>
      <c r="D205">
        <v>26.12</v>
      </c>
      <c r="E205">
        <v>24.98</v>
      </c>
      <c r="F205">
        <v>25.33</v>
      </c>
      <c r="G205">
        <v>509200</v>
      </c>
    </row>
    <row r="206" spans="2:7" s="75" customFormat="1" ht="12.75">
      <c r="B206" s="19">
        <v>38014</v>
      </c>
      <c r="C206">
        <v>25.5</v>
      </c>
      <c r="D206">
        <v>25.64</v>
      </c>
      <c r="E206">
        <v>25.16</v>
      </c>
      <c r="F206">
        <v>25.33</v>
      </c>
      <c r="G206">
        <v>417600</v>
      </c>
    </row>
    <row r="207" spans="2:7" s="75" customFormat="1" ht="12">
      <c r="B207" s="75" t="s">
        <v>186</v>
      </c>
      <c r="C207" s="77">
        <f>AVERAGE(C177:C206)</f>
        <v>24.419666666666668</v>
      </c>
      <c r="D207" s="77">
        <f>AVERAGE(D177:D206)</f>
        <v>24.679333333333332</v>
      </c>
      <c r="E207" s="77">
        <f>AVERAGE(E177:E206)</f>
        <v>24.053999999999995</v>
      </c>
      <c r="F207" s="78">
        <f>AVERAGE(F177:F206)</f>
        <v>24.349333333333334</v>
      </c>
      <c r="G207" s="77">
        <f>AVERAGE(G177:G206)</f>
        <v>516663.3333333333</v>
      </c>
    </row>
    <row r="208" spans="2:7" s="75" customFormat="1" ht="12">
      <c r="B208" s="75" t="s">
        <v>83</v>
      </c>
      <c r="C208" s="75">
        <f>MEDIAN(C177:C206)</f>
        <v>24.700000000000003</v>
      </c>
      <c r="D208" s="75">
        <f>MEDIAN(D177:D206)</f>
        <v>24.89</v>
      </c>
      <c r="E208" s="75">
        <f>MEDIAN(E177:E206)</f>
        <v>24.29</v>
      </c>
      <c r="F208" s="75">
        <f>MEDIAN(F177:F206)</f>
        <v>24.65</v>
      </c>
      <c r="G208" s="75">
        <f>MEDIAN(G177:G206)</f>
        <v>456450</v>
      </c>
    </row>
    <row r="209" spans="2:7" s="75" customFormat="1" ht="12">
      <c r="B209" s="75" t="s">
        <v>89</v>
      </c>
      <c r="C209" s="75">
        <f>MAX(C177:C206)</f>
        <v>25.99</v>
      </c>
      <c r="D209" s="75">
        <f>MAX(D177:D206)</f>
        <v>26.48</v>
      </c>
      <c r="E209" s="75">
        <f>MAX(E177:E206)</f>
        <v>25.68</v>
      </c>
      <c r="F209" s="75">
        <f>MAX(F177:F206)</f>
        <v>26.31</v>
      </c>
      <c r="G209" s="75">
        <f>MAX(G177:G206)</f>
        <v>1275700</v>
      </c>
    </row>
    <row r="210" spans="2:7" s="75" customFormat="1" ht="12">
      <c r="B210" s="75" t="s">
        <v>90</v>
      </c>
      <c r="C210" s="75">
        <f>MIN(C177:C206)</f>
        <v>21.96</v>
      </c>
      <c r="D210" s="75">
        <f>MIN(D177:D206)</f>
        <v>21.96</v>
      </c>
      <c r="E210" s="75">
        <f>MIN(E177:E206)</f>
        <v>21.53</v>
      </c>
      <c r="F210" s="75">
        <f>MIN(F177:F206)</f>
        <v>21.73</v>
      </c>
      <c r="G210" s="75">
        <f>MIN(G177:G206)</f>
        <v>268700</v>
      </c>
    </row>
    <row r="211" spans="1:7" s="75" customFormat="1" ht="12">
      <c r="A211" s="75" t="s">
        <v>14</v>
      </c>
      <c r="B211" s="22" t="s">
        <v>243</v>
      </c>
      <c r="C211" s="22" t="s">
        <v>244</v>
      </c>
      <c r="D211" s="22" t="s">
        <v>19</v>
      </c>
      <c r="E211" s="22" t="s">
        <v>20</v>
      </c>
      <c r="F211" s="22" t="s">
        <v>21</v>
      </c>
      <c r="G211" s="22" t="s">
        <v>22</v>
      </c>
    </row>
    <row r="212" spans="2:7" s="75" customFormat="1" ht="12.75">
      <c r="B212" s="19">
        <v>38056</v>
      </c>
      <c r="C212">
        <v>20.05</v>
      </c>
      <c r="D212">
        <v>20.36</v>
      </c>
      <c r="E212">
        <v>19.69</v>
      </c>
      <c r="F212">
        <v>20.36</v>
      </c>
      <c r="G212">
        <v>187200</v>
      </c>
    </row>
    <row r="213" spans="2:7" s="75" customFormat="1" ht="12.75">
      <c r="B213" s="19">
        <v>38055</v>
      </c>
      <c r="C213">
        <v>19.65</v>
      </c>
      <c r="D213">
        <v>19.86</v>
      </c>
      <c r="E213">
        <v>19.37</v>
      </c>
      <c r="F213">
        <v>19.58</v>
      </c>
      <c r="G213">
        <v>151900</v>
      </c>
    </row>
    <row r="214" spans="2:7" s="75" customFormat="1" ht="12.75">
      <c r="B214" s="19">
        <v>38052</v>
      </c>
      <c r="C214">
        <v>19.43</v>
      </c>
      <c r="D214">
        <v>19.76</v>
      </c>
      <c r="E214">
        <v>19.33</v>
      </c>
      <c r="F214">
        <v>19.55</v>
      </c>
      <c r="G214">
        <v>277100</v>
      </c>
    </row>
    <row r="215" spans="2:7" s="75" customFormat="1" ht="12.75">
      <c r="B215" s="19">
        <v>38051</v>
      </c>
      <c r="C215">
        <v>19.96</v>
      </c>
      <c r="D215">
        <v>20.11</v>
      </c>
      <c r="E215">
        <v>19.54</v>
      </c>
      <c r="F215">
        <v>19.54</v>
      </c>
      <c r="G215">
        <v>161700</v>
      </c>
    </row>
    <row r="216" spans="2:7" s="75" customFormat="1" ht="12.75">
      <c r="B216" s="19">
        <v>38050</v>
      </c>
      <c r="C216">
        <v>19.97</v>
      </c>
      <c r="D216">
        <v>20.2</v>
      </c>
      <c r="E216">
        <v>19.75</v>
      </c>
      <c r="F216">
        <v>20.03</v>
      </c>
      <c r="G216">
        <v>222600</v>
      </c>
    </row>
    <row r="217" spans="2:7" s="75" customFormat="1" ht="12.75">
      <c r="B217" s="19">
        <v>38049</v>
      </c>
      <c r="C217">
        <v>19.99</v>
      </c>
      <c r="D217">
        <v>20.28</v>
      </c>
      <c r="E217">
        <v>19.94</v>
      </c>
      <c r="F217">
        <v>20.06</v>
      </c>
      <c r="G217">
        <v>241900</v>
      </c>
    </row>
    <row r="218" spans="2:7" s="75" customFormat="1" ht="12.75">
      <c r="B218" s="19">
        <v>38048</v>
      </c>
      <c r="C218">
        <v>20.43</v>
      </c>
      <c r="D218">
        <v>20.5</v>
      </c>
      <c r="E218">
        <v>19.86</v>
      </c>
      <c r="F218">
        <v>20.14</v>
      </c>
      <c r="G218">
        <v>266100</v>
      </c>
    </row>
    <row r="219" spans="2:7" s="75" customFormat="1" ht="12.75">
      <c r="B219" s="19">
        <v>38045</v>
      </c>
      <c r="C219">
        <v>20.73</v>
      </c>
      <c r="D219">
        <v>20.77</v>
      </c>
      <c r="E219">
        <v>20.37</v>
      </c>
      <c r="F219">
        <v>20.51</v>
      </c>
      <c r="G219">
        <v>210500</v>
      </c>
    </row>
    <row r="220" spans="2:7" s="75" customFormat="1" ht="12.75">
      <c r="B220" s="19">
        <v>38044</v>
      </c>
      <c r="C220">
        <v>21.11</v>
      </c>
      <c r="D220">
        <v>21.15</v>
      </c>
      <c r="E220">
        <v>20.71</v>
      </c>
      <c r="F220">
        <v>20.91</v>
      </c>
      <c r="G220">
        <v>174700</v>
      </c>
    </row>
    <row r="221" spans="2:7" s="75" customFormat="1" ht="12.75">
      <c r="B221" s="19">
        <v>38043</v>
      </c>
      <c r="C221">
        <v>21.57</v>
      </c>
      <c r="D221">
        <v>21.71</v>
      </c>
      <c r="E221">
        <v>21.14</v>
      </c>
      <c r="F221">
        <v>21.19</v>
      </c>
      <c r="G221">
        <v>173200</v>
      </c>
    </row>
    <row r="222" spans="2:7" s="75" customFormat="1" ht="12.75">
      <c r="B222" s="19">
        <v>38042</v>
      </c>
      <c r="C222">
        <v>21.6</v>
      </c>
      <c r="D222">
        <v>21.94</v>
      </c>
      <c r="E222">
        <v>21.53</v>
      </c>
      <c r="F222">
        <v>21.92</v>
      </c>
      <c r="G222">
        <v>145300</v>
      </c>
    </row>
    <row r="223" spans="2:7" s="75" customFormat="1" ht="12.75">
      <c r="B223" s="19">
        <v>38041</v>
      </c>
      <c r="C223">
        <v>21.41</v>
      </c>
      <c r="D223">
        <v>21.85</v>
      </c>
      <c r="E223">
        <v>21.33</v>
      </c>
      <c r="F223">
        <v>21.7</v>
      </c>
      <c r="G223">
        <v>190300</v>
      </c>
    </row>
    <row r="224" spans="2:7" s="75" customFormat="1" ht="12.75">
      <c r="B224" s="19">
        <v>38038</v>
      </c>
      <c r="C224">
        <v>21.35</v>
      </c>
      <c r="D224">
        <v>21.57</v>
      </c>
      <c r="E224">
        <v>21.18</v>
      </c>
      <c r="F224">
        <v>21.45</v>
      </c>
      <c r="G224">
        <v>201400</v>
      </c>
    </row>
    <row r="225" spans="2:7" s="75" customFormat="1" ht="12.75">
      <c r="B225" s="19">
        <v>38037</v>
      </c>
      <c r="C225">
        <v>21.98</v>
      </c>
      <c r="D225">
        <v>22.07</v>
      </c>
      <c r="E225">
        <v>21.27</v>
      </c>
      <c r="F225">
        <v>21.32</v>
      </c>
      <c r="G225">
        <v>141000</v>
      </c>
    </row>
    <row r="226" spans="2:7" s="75" customFormat="1" ht="12.75">
      <c r="B226" s="19">
        <v>38036</v>
      </c>
      <c r="C226">
        <v>21.83</v>
      </c>
      <c r="D226">
        <v>21.95</v>
      </c>
      <c r="E226">
        <v>21.63</v>
      </c>
      <c r="F226">
        <v>21.81</v>
      </c>
      <c r="G226">
        <v>223100</v>
      </c>
    </row>
    <row r="227" spans="2:7" s="75" customFormat="1" ht="12.75">
      <c r="B227" s="19">
        <v>38035</v>
      </c>
      <c r="C227">
        <v>22.07</v>
      </c>
      <c r="D227">
        <v>22.3</v>
      </c>
      <c r="E227">
        <v>21.8</v>
      </c>
      <c r="F227">
        <v>22.01</v>
      </c>
      <c r="G227">
        <v>196100</v>
      </c>
    </row>
    <row r="228" spans="2:7" s="75" customFormat="1" ht="12.75">
      <c r="B228" s="19">
        <v>38031</v>
      </c>
      <c r="C228">
        <v>21.82</v>
      </c>
      <c r="D228">
        <v>21.94</v>
      </c>
      <c r="E228">
        <v>21.55</v>
      </c>
      <c r="F228">
        <v>21.88</v>
      </c>
      <c r="G228">
        <v>232000</v>
      </c>
    </row>
    <row r="229" spans="2:7" s="75" customFormat="1" ht="12.75">
      <c r="B229" s="19">
        <v>38030</v>
      </c>
      <c r="C229">
        <v>22.59</v>
      </c>
      <c r="D229">
        <v>22.71</v>
      </c>
      <c r="E229">
        <v>21.75</v>
      </c>
      <c r="F229">
        <v>21.9</v>
      </c>
      <c r="G229">
        <v>279400</v>
      </c>
    </row>
    <row r="230" spans="2:7" s="75" customFormat="1" ht="12.75">
      <c r="B230" s="19">
        <v>38029</v>
      </c>
      <c r="C230">
        <v>22.56</v>
      </c>
      <c r="D230">
        <v>22.74</v>
      </c>
      <c r="E230">
        <v>22.32</v>
      </c>
      <c r="F230">
        <v>22.5</v>
      </c>
      <c r="G230">
        <v>143700</v>
      </c>
    </row>
    <row r="231" spans="2:7" s="75" customFormat="1" ht="12.75">
      <c r="B231" s="19">
        <v>38028</v>
      </c>
      <c r="C231">
        <v>22.19</v>
      </c>
      <c r="D231">
        <v>22.54</v>
      </c>
      <c r="E231">
        <v>22.03</v>
      </c>
      <c r="F231">
        <v>22.41</v>
      </c>
      <c r="G231">
        <v>234400</v>
      </c>
    </row>
    <row r="232" spans="2:7" s="75" customFormat="1" ht="12.75">
      <c r="B232" s="19">
        <v>38027</v>
      </c>
      <c r="C232">
        <v>22.31</v>
      </c>
      <c r="D232">
        <v>22.31</v>
      </c>
      <c r="E232">
        <v>21.91</v>
      </c>
      <c r="F232">
        <v>22.08</v>
      </c>
      <c r="G232">
        <v>192000</v>
      </c>
    </row>
    <row r="233" spans="2:7" s="75" customFormat="1" ht="12.75">
      <c r="B233" s="19">
        <v>38024</v>
      </c>
      <c r="C233">
        <v>22.52</v>
      </c>
      <c r="D233">
        <v>22.82</v>
      </c>
      <c r="E233">
        <v>22.1</v>
      </c>
      <c r="F233">
        <v>22.26</v>
      </c>
      <c r="G233">
        <v>252200</v>
      </c>
    </row>
    <row r="234" spans="2:7" s="75" customFormat="1" ht="12.75">
      <c r="B234" s="19">
        <v>38023</v>
      </c>
      <c r="C234">
        <v>22.2</v>
      </c>
      <c r="D234">
        <v>22.65</v>
      </c>
      <c r="E234">
        <v>22.17</v>
      </c>
      <c r="F234">
        <v>22.53</v>
      </c>
      <c r="G234">
        <v>262300</v>
      </c>
    </row>
    <row r="235" spans="2:7" s="75" customFormat="1" ht="12.75">
      <c r="B235" s="19">
        <v>38022</v>
      </c>
      <c r="C235">
        <v>22.63</v>
      </c>
      <c r="D235">
        <v>22.87</v>
      </c>
      <c r="E235">
        <v>22.26</v>
      </c>
      <c r="F235">
        <v>22.3</v>
      </c>
      <c r="G235">
        <v>183700</v>
      </c>
    </row>
    <row r="236" spans="2:7" s="75" customFormat="1" ht="12.75">
      <c r="B236" s="19">
        <v>38021</v>
      </c>
      <c r="C236">
        <v>22.76</v>
      </c>
      <c r="D236">
        <v>22.95</v>
      </c>
      <c r="E236">
        <v>22.45</v>
      </c>
      <c r="F236">
        <v>22.5</v>
      </c>
      <c r="G236">
        <v>192700</v>
      </c>
    </row>
    <row r="237" spans="2:7" s="75" customFormat="1" ht="12.75">
      <c r="B237" s="19">
        <v>38020</v>
      </c>
      <c r="C237">
        <v>22.37</v>
      </c>
      <c r="D237">
        <v>23.02</v>
      </c>
      <c r="E237">
        <v>22.23</v>
      </c>
      <c r="F237">
        <v>23.02</v>
      </c>
      <c r="G237">
        <v>357900</v>
      </c>
    </row>
    <row r="238" spans="2:7" s="75" customFormat="1" ht="12.75">
      <c r="B238" s="19">
        <v>38017</v>
      </c>
      <c r="C238">
        <v>22.09</v>
      </c>
      <c r="D238">
        <v>22.54</v>
      </c>
      <c r="E238">
        <v>22.03</v>
      </c>
      <c r="F238">
        <v>22.11</v>
      </c>
      <c r="G238">
        <v>236900</v>
      </c>
    </row>
    <row r="239" spans="2:7" s="75" customFormat="1" ht="12.75">
      <c r="B239" s="19">
        <v>38016</v>
      </c>
      <c r="C239">
        <v>21.6</v>
      </c>
      <c r="D239">
        <v>22.39</v>
      </c>
      <c r="E239">
        <v>21.23</v>
      </c>
      <c r="F239">
        <v>22.09</v>
      </c>
      <c r="G239">
        <v>260400</v>
      </c>
    </row>
    <row r="240" spans="2:7" s="75" customFormat="1" ht="12.75">
      <c r="B240" s="19">
        <v>38015</v>
      </c>
      <c r="C240">
        <v>21.87</v>
      </c>
      <c r="D240">
        <v>22.2</v>
      </c>
      <c r="E240">
        <v>21.63</v>
      </c>
      <c r="F240">
        <v>21.63</v>
      </c>
      <c r="G240">
        <v>248900</v>
      </c>
    </row>
    <row r="241" spans="2:7" s="75" customFormat="1" ht="12.75">
      <c r="B241" s="19">
        <v>38014</v>
      </c>
      <c r="C241">
        <v>22.3</v>
      </c>
      <c r="D241">
        <v>22.34</v>
      </c>
      <c r="E241">
        <v>21.91</v>
      </c>
      <c r="F241">
        <v>22.03</v>
      </c>
      <c r="G241">
        <v>154300</v>
      </c>
    </row>
    <row r="242" spans="2:7" s="75" customFormat="1" ht="12">
      <c r="B242" s="75" t="s">
        <v>186</v>
      </c>
      <c r="C242" s="77">
        <f>AVERAGE(C212:C241)</f>
        <v>21.497999999999998</v>
      </c>
      <c r="D242" s="77">
        <f>AVERAGE(D212:D241)</f>
        <v>21.746666666666666</v>
      </c>
      <c r="E242" s="77">
        <f>AVERAGE(E212:E241)</f>
        <v>21.200333333333337</v>
      </c>
      <c r="F242" s="78">
        <f>AVERAGE(F212:F241)</f>
        <v>21.443999999999996</v>
      </c>
      <c r="G242" s="77">
        <f>AVERAGE(G212:G241)</f>
        <v>213163.33333333334</v>
      </c>
    </row>
    <row r="243" spans="2:7" s="75" customFormat="1" ht="12">
      <c r="B243" s="75" t="s">
        <v>83</v>
      </c>
      <c r="C243" s="75">
        <f>MEDIAN(C212:C241)</f>
        <v>21.825</v>
      </c>
      <c r="D243" s="75">
        <f>MEDIAN(D212:D241)</f>
        <v>22.009999999999998</v>
      </c>
      <c r="E243" s="75">
        <f>MEDIAN(E212:E241)</f>
        <v>21.54</v>
      </c>
      <c r="F243" s="75">
        <f>MEDIAN(F212:F241)</f>
        <v>21.845</v>
      </c>
      <c r="G243" s="75">
        <f>MEDIAN(G212:G241)</f>
        <v>205950</v>
      </c>
    </row>
    <row r="244" spans="2:7" s="75" customFormat="1" ht="12">
      <c r="B244" s="75" t="s">
        <v>89</v>
      </c>
      <c r="C244" s="75">
        <f>MAX(C212:C241)</f>
        <v>22.76</v>
      </c>
      <c r="D244" s="75">
        <f>MAX(D212:D241)</f>
        <v>23.02</v>
      </c>
      <c r="E244" s="75">
        <f>MAX(E212:E241)</f>
        <v>22.45</v>
      </c>
      <c r="F244" s="75">
        <f>MAX(F212:F241)</f>
        <v>23.02</v>
      </c>
      <c r="G244" s="75">
        <f>MAX(G212:G241)</f>
        <v>357900</v>
      </c>
    </row>
    <row r="245" spans="2:7" s="75" customFormat="1" ht="12">
      <c r="B245" s="75" t="s">
        <v>90</v>
      </c>
      <c r="C245" s="75">
        <f>MIN(C212:C241)</f>
        <v>19.43</v>
      </c>
      <c r="D245" s="75">
        <f>MIN(D212:D241)</f>
        <v>19.76</v>
      </c>
      <c r="E245" s="75">
        <f>MIN(E212:E241)</f>
        <v>19.33</v>
      </c>
      <c r="F245" s="75">
        <f>MIN(F212:F241)</f>
        <v>19.54</v>
      </c>
      <c r="G245" s="75">
        <f>MIN(G212:G241)</f>
        <v>141000</v>
      </c>
    </row>
    <row r="246" spans="1:7" s="75" customFormat="1" ht="12">
      <c r="A246" s="75" t="s">
        <v>15</v>
      </c>
      <c r="B246" s="22" t="s">
        <v>243</v>
      </c>
      <c r="C246" s="22" t="s">
        <v>244</v>
      </c>
      <c r="D246" s="22" t="s">
        <v>19</v>
      </c>
      <c r="E246" s="22" t="s">
        <v>20</v>
      </c>
      <c r="F246" s="22" t="s">
        <v>21</v>
      </c>
      <c r="G246" s="22" t="s">
        <v>22</v>
      </c>
    </row>
    <row r="247" spans="2:7" s="75" customFormat="1" ht="12.75">
      <c r="B247" s="19">
        <v>38056</v>
      </c>
      <c r="C247">
        <v>106.93</v>
      </c>
      <c r="D247">
        <v>108.5</v>
      </c>
      <c r="E247">
        <v>106.09</v>
      </c>
      <c r="F247">
        <v>108.43</v>
      </c>
      <c r="G247">
        <v>1641600</v>
      </c>
    </row>
    <row r="248" spans="2:7" s="75" customFormat="1" ht="12.75">
      <c r="B248" s="19">
        <v>38055</v>
      </c>
      <c r="C248">
        <v>105.41</v>
      </c>
      <c r="D248">
        <v>105.9</v>
      </c>
      <c r="E248">
        <v>103.86</v>
      </c>
      <c r="F248">
        <v>104.78</v>
      </c>
      <c r="G248">
        <v>1238400</v>
      </c>
    </row>
    <row r="249" spans="2:7" s="75" customFormat="1" ht="12.75">
      <c r="B249" s="19">
        <v>38052</v>
      </c>
      <c r="C249">
        <v>106.18</v>
      </c>
      <c r="D249">
        <v>106.39</v>
      </c>
      <c r="E249">
        <v>104.52</v>
      </c>
      <c r="F249">
        <v>105.48</v>
      </c>
      <c r="G249">
        <v>1637400</v>
      </c>
    </row>
    <row r="250" spans="2:7" s="75" customFormat="1" ht="12.75">
      <c r="B250" s="19">
        <v>38051</v>
      </c>
      <c r="C250">
        <v>108.86</v>
      </c>
      <c r="D250">
        <v>109.1</v>
      </c>
      <c r="E250">
        <v>106.72</v>
      </c>
      <c r="F250">
        <v>106.81</v>
      </c>
      <c r="G250">
        <v>1596500</v>
      </c>
    </row>
    <row r="251" spans="2:7" s="75" customFormat="1" ht="12.75">
      <c r="B251" s="19">
        <v>38050</v>
      </c>
      <c r="C251">
        <v>108.5</v>
      </c>
      <c r="D251">
        <v>110.33</v>
      </c>
      <c r="E251">
        <v>107.6</v>
      </c>
      <c r="F251">
        <v>108.96</v>
      </c>
      <c r="G251">
        <v>2397800</v>
      </c>
    </row>
    <row r="252" spans="2:7" s="75" customFormat="1" ht="12.75">
      <c r="B252" s="19">
        <v>38049</v>
      </c>
      <c r="C252">
        <v>104.4</v>
      </c>
      <c r="D252">
        <v>108.55</v>
      </c>
      <c r="E252">
        <v>104.4</v>
      </c>
      <c r="F252">
        <v>108.47</v>
      </c>
      <c r="G252">
        <v>2646500</v>
      </c>
    </row>
    <row r="253" spans="2:7" s="75" customFormat="1" ht="12.75">
      <c r="B253" s="19">
        <v>38048</v>
      </c>
      <c r="C253">
        <v>103</v>
      </c>
      <c r="D253">
        <v>105.79</v>
      </c>
      <c r="E253">
        <v>102.84</v>
      </c>
      <c r="F253">
        <v>105.45</v>
      </c>
      <c r="G253">
        <v>2528000</v>
      </c>
    </row>
    <row r="254" spans="2:7" s="75" customFormat="1" ht="12.75">
      <c r="B254" s="19">
        <v>38045</v>
      </c>
      <c r="C254">
        <v>103.44</v>
      </c>
      <c r="D254">
        <v>106.08</v>
      </c>
      <c r="E254">
        <v>101.96</v>
      </c>
      <c r="F254">
        <v>102.74</v>
      </c>
      <c r="G254">
        <v>2258200</v>
      </c>
    </row>
    <row r="255" spans="2:7" s="75" customFormat="1" ht="12.75">
      <c r="B255" s="19">
        <v>38044</v>
      </c>
      <c r="C255">
        <v>103.01</v>
      </c>
      <c r="D255">
        <v>104.7</v>
      </c>
      <c r="E255">
        <v>102.09</v>
      </c>
      <c r="F255">
        <v>104.37</v>
      </c>
      <c r="G255">
        <v>1689300</v>
      </c>
    </row>
    <row r="256" spans="2:7" s="75" customFormat="1" ht="12.75">
      <c r="B256" s="19">
        <v>38043</v>
      </c>
      <c r="C256">
        <v>106.04</v>
      </c>
      <c r="D256">
        <v>106.6</v>
      </c>
      <c r="E256">
        <v>103.2</v>
      </c>
      <c r="F256">
        <v>103.57</v>
      </c>
      <c r="G256">
        <v>1810000</v>
      </c>
    </row>
    <row r="257" spans="2:7" s="75" customFormat="1" ht="12.75">
      <c r="B257" s="19">
        <v>38042</v>
      </c>
      <c r="C257">
        <v>104.11</v>
      </c>
      <c r="D257">
        <v>106.41</v>
      </c>
      <c r="E257">
        <v>103.53</v>
      </c>
      <c r="F257">
        <v>106.41</v>
      </c>
      <c r="G257">
        <v>1502100</v>
      </c>
    </row>
    <row r="258" spans="2:7" s="75" customFormat="1" ht="12.75">
      <c r="B258" s="19">
        <v>38041</v>
      </c>
      <c r="C258">
        <v>104.79</v>
      </c>
      <c r="D258">
        <v>105.11</v>
      </c>
      <c r="E258">
        <v>103.04</v>
      </c>
      <c r="F258">
        <v>104.41</v>
      </c>
      <c r="G258">
        <v>2100000</v>
      </c>
    </row>
    <row r="259" spans="2:7" s="75" customFormat="1" ht="12.75">
      <c r="B259" s="19">
        <v>38038</v>
      </c>
      <c r="C259">
        <v>104.41</v>
      </c>
      <c r="D259">
        <v>104.61</v>
      </c>
      <c r="E259">
        <v>102.68</v>
      </c>
      <c r="F259">
        <v>104.5</v>
      </c>
      <c r="G259">
        <v>1901200</v>
      </c>
    </row>
    <row r="260" spans="2:7" s="75" customFormat="1" ht="12.75">
      <c r="B260" s="19">
        <v>38037</v>
      </c>
      <c r="C260">
        <v>106.45</v>
      </c>
      <c r="D260">
        <v>106.8</v>
      </c>
      <c r="E260">
        <v>103.43</v>
      </c>
      <c r="F260">
        <v>103.78</v>
      </c>
      <c r="G260">
        <v>1308800</v>
      </c>
    </row>
    <row r="261" spans="2:7" s="75" customFormat="1" ht="12.75">
      <c r="B261" s="19">
        <v>38036</v>
      </c>
      <c r="C261">
        <v>106.04</v>
      </c>
      <c r="D261">
        <v>106.61</v>
      </c>
      <c r="E261">
        <v>104.22</v>
      </c>
      <c r="F261">
        <v>106.26</v>
      </c>
      <c r="G261">
        <v>1193700</v>
      </c>
    </row>
    <row r="262" spans="2:7" s="75" customFormat="1" ht="12.75">
      <c r="B262" s="19">
        <v>38035</v>
      </c>
      <c r="C262">
        <v>107.5</v>
      </c>
      <c r="D262">
        <v>107.58</v>
      </c>
      <c r="E262">
        <v>105.34</v>
      </c>
      <c r="F262">
        <v>106.01</v>
      </c>
      <c r="G262">
        <v>1282800</v>
      </c>
    </row>
    <row r="263" spans="2:7" s="75" customFormat="1" ht="12.75">
      <c r="B263" s="19">
        <v>38031</v>
      </c>
      <c r="C263">
        <v>106.29</v>
      </c>
      <c r="D263">
        <v>107.37</v>
      </c>
      <c r="E263">
        <v>105.41</v>
      </c>
      <c r="F263">
        <v>106.49</v>
      </c>
      <c r="G263">
        <v>1818600</v>
      </c>
    </row>
    <row r="264" spans="2:7" s="75" customFormat="1" ht="12.75">
      <c r="B264" s="19">
        <v>38030</v>
      </c>
      <c r="C264">
        <v>108.86</v>
      </c>
      <c r="D264">
        <v>109.86</v>
      </c>
      <c r="E264">
        <v>106.05</v>
      </c>
      <c r="F264">
        <v>106.57</v>
      </c>
      <c r="G264">
        <v>1750400</v>
      </c>
    </row>
    <row r="265" spans="2:7" s="75" customFormat="1" ht="12.75">
      <c r="B265" s="19">
        <v>38029</v>
      </c>
      <c r="C265">
        <v>108.82</v>
      </c>
      <c r="D265">
        <v>109.9</v>
      </c>
      <c r="E265">
        <v>108.04</v>
      </c>
      <c r="F265">
        <v>108.86</v>
      </c>
      <c r="G265">
        <v>1894000</v>
      </c>
    </row>
    <row r="266" spans="2:7" s="75" customFormat="1" ht="12.75">
      <c r="B266" s="19">
        <v>38028</v>
      </c>
      <c r="C266">
        <v>106.95</v>
      </c>
      <c r="D266">
        <v>109.29</v>
      </c>
      <c r="E266">
        <v>106.92</v>
      </c>
      <c r="F266">
        <v>107.78</v>
      </c>
      <c r="G266">
        <v>1848900</v>
      </c>
    </row>
    <row r="267" spans="2:7" s="75" customFormat="1" ht="12.75">
      <c r="B267" s="19">
        <v>38027</v>
      </c>
      <c r="C267">
        <v>104.25</v>
      </c>
      <c r="D267">
        <v>107.08</v>
      </c>
      <c r="E267">
        <v>103.81</v>
      </c>
      <c r="F267">
        <v>106.95</v>
      </c>
      <c r="G267">
        <v>1833200</v>
      </c>
    </row>
    <row r="268" spans="2:7" s="75" customFormat="1" ht="12.75">
      <c r="B268" s="19">
        <v>38024</v>
      </c>
      <c r="C268">
        <v>104.48</v>
      </c>
      <c r="D268">
        <v>105.34</v>
      </c>
      <c r="E268">
        <v>103.56</v>
      </c>
      <c r="F268">
        <v>104.3</v>
      </c>
      <c r="G268">
        <v>1391000</v>
      </c>
    </row>
    <row r="269" spans="2:7" s="75" customFormat="1" ht="12.75">
      <c r="B269" s="19">
        <v>38023</v>
      </c>
      <c r="C269">
        <v>103.79</v>
      </c>
      <c r="D269">
        <v>106.05</v>
      </c>
      <c r="E269">
        <v>103.3</v>
      </c>
      <c r="F269">
        <v>105.36</v>
      </c>
      <c r="G269">
        <v>1897700</v>
      </c>
    </row>
    <row r="270" spans="2:7" s="75" customFormat="1" ht="12.75">
      <c r="B270" s="19">
        <v>38022</v>
      </c>
      <c r="C270">
        <v>106.92</v>
      </c>
      <c r="D270">
        <v>107.38</v>
      </c>
      <c r="E270">
        <v>103.86</v>
      </c>
      <c r="F270">
        <v>104.57</v>
      </c>
      <c r="G270">
        <v>2693900</v>
      </c>
    </row>
    <row r="271" spans="2:7" s="75" customFormat="1" ht="12.75">
      <c r="B271" s="19">
        <v>38021</v>
      </c>
      <c r="C271">
        <v>110.02</v>
      </c>
      <c r="D271">
        <v>111.01</v>
      </c>
      <c r="E271">
        <v>105.98</v>
      </c>
      <c r="F271">
        <v>105.98</v>
      </c>
      <c r="G271">
        <v>1915800</v>
      </c>
    </row>
    <row r="272" spans="2:7" s="75" customFormat="1" ht="12.75">
      <c r="B272" s="19">
        <v>38020</v>
      </c>
      <c r="C272">
        <v>110.1</v>
      </c>
      <c r="D272">
        <v>112.66</v>
      </c>
      <c r="E272">
        <v>108.87</v>
      </c>
      <c r="F272">
        <v>111.76</v>
      </c>
      <c r="G272">
        <v>1676700</v>
      </c>
    </row>
    <row r="273" spans="2:7" s="75" customFormat="1" ht="12.75">
      <c r="B273" s="19">
        <v>38017</v>
      </c>
      <c r="C273">
        <v>108.36</v>
      </c>
      <c r="D273">
        <v>109.88</v>
      </c>
      <c r="E273">
        <v>107.26</v>
      </c>
      <c r="F273">
        <v>109.57</v>
      </c>
      <c r="G273">
        <v>1471200</v>
      </c>
    </row>
    <row r="274" spans="2:7" s="75" customFormat="1" ht="12.75">
      <c r="B274" s="19">
        <v>38016</v>
      </c>
      <c r="C274">
        <v>104.44</v>
      </c>
      <c r="D274">
        <v>108.86</v>
      </c>
      <c r="E274">
        <v>102.84</v>
      </c>
      <c r="F274">
        <v>108.18</v>
      </c>
      <c r="G274">
        <v>2662300</v>
      </c>
    </row>
    <row r="275" spans="2:7" s="75" customFormat="1" ht="12.75">
      <c r="B275" s="19">
        <v>38015</v>
      </c>
      <c r="C275">
        <v>106.75</v>
      </c>
      <c r="D275">
        <v>107.53</v>
      </c>
      <c r="E275">
        <v>104.45</v>
      </c>
      <c r="F275">
        <v>104.79</v>
      </c>
      <c r="G275">
        <v>3363200</v>
      </c>
    </row>
    <row r="276" spans="2:7" s="75" customFormat="1" ht="12.75">
      <c r="B276" s="19">
        <v>38014</v>
      </c>
      <c r="C276">
        <v>106.9</v>
      </c>
      <c r="D276">
        <v>108.45</v>
      </c>
      <c r="E276">
        <v>105.25</v>
      </c>
      <c r="F276">
        <v>106.34</v>
      </c>
      <c r="G276">
        <v>2362000</v>
      </c>
    </row>
    <row r="277" spans="2:7" s="75" customFormat="1" ht="12">
      <c r="B277" s="75" t="s">
        <v>186</v>
      </c>
      <c r="C277" s="77">
        <f>AVERAGE(C247:C276)</f>
        <v>106.2</v>
      </c>
      <c r="D277" s="77">
        <f>AVERAGE(D247:D276)</f>
        <v>107.65733333333336</v>
      </c>
      <c r="E277" s="77">
        <f>AVERAGE(E247:E276)</f>
        <v>104.70400000000001</v>
      </c>
      <c r="F277" s="78">
        <f>AVERAGE(F247:F276)</f>
        <v>106.26433333333335</v>
      </c>
      <c r="G277" s="77">
        <f>AVERAGE(G247:G276)</f>
        <v>1910373.3333333333</v>
      </c>
    </row>
    <row r="278" spans="2:7" s="75" customFormat="1" ht="12">
      <c r="B278" s="75" t="s">
        <v>83</v>
      </c>
      <c r="C278" s="75">
        <f>MEDIAN(C247:C276)</f>
        <v>106.23500000000001</v>
      </c>
      <c r="D278" s="75">
        <f>MEDIAN(D247:D276)</f>
        <v>107.375</v>
      </c>
      <c r="E278" s="75">
        <f>MEDIAN(E247:E276)</f>
        <v>104.31</v>
      </c>
      <c r="F278" s="75">
        <f>MEDIAN(F247:F276)</f>
        <v>106.135</v>
      </c>
      <c r="G278" s="75">
        <f>MEDIAN(G247:G276)</f>
        <v>1825900</v>
      </c>
    </row>
    <row r="279" spans="2:7" s="75" customFormat="1" ht="12">
      <c r="B279" s="75" t="s">
        <v>89</v>
      </c>
      <c r="C279" s="75">
        <f>MAX(C247:C276)</f>
        <v>110.1</v>
      </c>
      <c r="D279" s="75">
        <f>MAX(D247:D276)</f>
        <v>112.66</v>
      </c>
      <c r="E279" s="75">
        <f>MAX(E247:E276)</f>
        <v>108.87</v>
      </c>
      <c r="F279" s="75">
        <f>MAX(F247:F276)</f>
        <v>111.76</v>
      </c>
      <c r="G279" s="75">
        <f>MAX(G247:G276)</f>
        <v>3363200</v>
      </c>
    </row>
    <row r="280" spans="2:7" s="75" customFormat="1" ht="12">
      <c r="B280" s="75" t="s">
        <v>90</v>
      </c>
      <c r="C280" s="75">
        <f>MIN(C247:C276)</f>
        <v>103</v>
      </c>
      <c r="D280" s="75">
        <f>MIN(D247:D276)</f>
        <v>104.61</v>
      </c>
      <c r="E280" s="75">
        <f>MIN(E247:E276)</f>
        <v>101.96</v>
      </c>
      <c r="F280" s="75">
        <f>MIN(F247:F276)</f>
        <v>102.74</v>
      </c>
      <c r="G280" s="75">
        <f>MIN(G247:G276)</f>
        <v>1193700</v>
      </c>
    </row>
    <row r="281" spans="1:7" s="75" customFormat="1" ht="12">
      <c r="A281" s="75" t="s">
        <v>16</v>
      </c>
      <c r="B281" s="22" t="s">
        <v>243</v>
      </c>
      <c r="C281" s="22" t="s">
        <v>244</v>
      </c>
      <c r="D281" s="22" t="s">
        <v>19</v>
      </c>
      <c r="E281" s="22" t="s">
        <v>20</v>
      </c>
      <c r="F281" s="22" t="s">
        <v>21</v>
      </c>
      <c r="G281" s="22" t="s">
        <v>22</v>
      </c>
    </row>
    <row r="282" spans="2:7" s="75" customFormat="1" ht="12" customHeight="1">
      <c r="B282" s="19">
        <v>38056</v>
      </c>
      <c r="C282">
        <v>23.09</v>
      </c>
      <c r="D282">
        <v>23.33</v>
      </c>
      <c r="E282">
        <v>23.05</v>
      </c>
      <c r="F282">
        <v>23.19</v>
      </c>
      <c r="G282">
        <v>458600</v>
      </c>
    </row>
    <row r="283" spans="2:7" s="75" customFormat="1" ht="12.75">
      <c r="B283" s="19">
        <v>38055</v>
      </c>
      <c r="C283">
        <v>22.83</v>
      </c>
      <c r="D283">
        <v>23.09</v>
      </c>
      <c r="E283">
        <v>22.67</v>
      </c>
      <c r="F283">
        <v>22.94</v>
      </c>
      <c r="G283">
        <v>372900</v>
      </c>
    </row>
    <row r="284" spans="2:7" s="75" customFormat="1" ht="12.75">
      <c r="B284" s="19">
        <v>38052</v>
      </c>
      <c r="C284">
        <v>22.68</v>
      </c>
      <c r="D284">
        <v>22.95</v>
      </c>
      <c r="E284">
        <v>22.55</v>
      </c>
      <c r="F284">
        <v>22.84</v>
      </c>
      <c r="G284">
        <v>306100</v>
      </c>
    </row>
    <row r="285" spans="2:7" s="75" customFormat="1" ht="12.75">
      <c r="B285" s="19">
        <v>38051</v>
      </c>
      <c r="C285">
        <v>23.09</v>
      </c>
      <c r="D285">
        <v>23.15</v>
      </c>
      <c r="E285">
        <v>22.75</v>
      </c>
      <c r="F285">
        <v>22.76</v>
      </c>
      <c r="G285">
        <v>383000</v>
      </c>
    </row>
    <row r="286" spans="2:7" s="75" customFormat="1" ht="12.75">
      <c r="B286" s="19">
        <v>38050</v>
      </c>
      <c r="C286">
        <v>23.11</v>
      </c>
      <c r="D286">
        <v>23.21</v>
      </c>
      <c r="E286">
        <v>22.83</v>
      </c>
      <c r="F286">
        <v>23.17</v>
      </c>
      <c r="G286">
        <v>601200</v>
      </c>
    </row>
    <row r="287" spans="2:7" s="75" customFormat="1" ht="12.75">
      <c r="B287" s="19">
        <v>38049</v>
      </c>
      <c r="C287">
        <v>22.41</v>
      </c>
      <c r="D287">
        <v>23.05</v>
      </c>
      <c r="E287">
        <v>22.4</v>
      </c>
      <c r="F287">
        <v>23.03</v>
      </c>
      <c r="G287">
        <v>595100</v>
      </c>
    </row>
    <row r="288" spans="2:7" s="75" customFormat="1" ht="12.75">
      <c r="B288" s="19">
        <v>38048</v>
      </c>
      <c r="C288">
        <v>22.43</v>
      </c>
      <c r="D288">
        <v>22.63</v>
      </c>
      <c r="E288">
        <v>22.13</v>
      </c>
      <c r="F288">
        <v>22.59</v>
      </c>
      <c r="G288">
        <v>568900</v>
      </c>
    </row>
    <row r="289" spans="2:7" s="75" customFormat="1" ht="12.75">
      <c r="B289" s="19">
        <v>38045</v>
      </c>
      <c r="C289">
        <v>22.95</v>
      </c>
      <c r="D289">
        <v>23.1</v>
      </c>
      <c r="E289">
        <v>22.23</v>
      </c>
      <c r="F289">
        <v>22.46</v>
      </c>
      <c r="G289">
        <v>523900</v>
      </c>
    </row>
    <row r="290" spans="2:7" s="75" customFormat="1" ht="12.75">
      <c r="B290" s="19">
        <v>38044</v>
      </c>
      <c r="C290">
        <v>22.95</v>
      </c>
      <c r="D290">
        <v>23.28</v>
      </c>
      <c r="E290">
        <v>22.95</v>
      </c>
      <c r="F290">
        <v>23.09</v>
      </c>
      <c r="G290">
        <v>800800</v>
      </c>
    </row>
    <row r="291" spans="2:7" s="75" customFormat="1" ht="12.75">
      <c r="B291" s="19">
        <v>38043</v>
      </c>
      <c r="C291">
        <v>23.3</v>
      </c>
      <c r="D291">
        <v>23.59</v>
      </c>
      <c r="E291">
        <v>23.16</v>
      </c>
      <c r="F291">
        <v>23.31</v>
      </c>
      <c r="G291">
        <v>567500</v>
      </c>
    </row>
    <row r="292" spans="2:7" s="75" customFormat="1" ht="12.75">
      <c r="B292" s="19">
        <v>38042</v>
      </c>
      <c r="C292">
        <v>23.35</v>
      </c>
      <c r="D292">
        <v>23.53</v>
      </c>
      <c r="E292">
        <v>23.29</v>
      </c>
      <c r="F292">
        <v>23.45</v>
      </c>
      <c r="G292">
        <v>497000</v>
      </c>
    </row>
    <row r="293" spans="2:7" s="75" customFormat="1" ht="12.75">
      <c r="B293" s="19">
        <v>38041</v>
      </c>
      <c r="C293">
        <v>23.3</v>
      </c>
      <c r="D293">
        <v>23.45</v>
      </c>
      <c r="E293">
        <v>23.24</v>
      </c>
      <c r="F293">
        <v>23.37</v>
      </c>
      <c r="G293">
        <v>455200</v>
      </c>
    </row>
    <row r="294" spans="2:7" s="75" customFormat="1" ht="12.75">
      <c r="B294" s="19">
        <v>38038</v>
      </c>
      <c r="C294">
        <v>22.5</v>
      </c>
      <c r="D294">
        <v>23.49</v>
      </c>
      <c r="E294">
        <v>22.33</v>
      </c>
      <c r="F294">
        <v>23.27</v>
      </c>
      <c r="G294">
        <v>827900</v>
      </c>
    </row>
    <row r="295" spans="2:7" s="75" customFormat="1" ht="12.75">
      <c r="B295" s="19">
        <v>38037</v>
      </c>
      <c r="C295">
        <v>22.45</v>
      </c>
      <c r="D295">
        <v>22.45</v>
      </c>
      <c r="E295">
        <v>22.05</v>
      </c>
      <c r="F295">
        <v>22.14</v>
      </c>
      <c r="G295">
        <v>216400</v>
      </c>
    </row>
    <row r="296" spans="2:7" s="75" customFormat="1" ht="12.75">
      <c r="B296" s="19">
        <v>38036</v>
      </c>
      <c r="C296">
        <v>22.33</v>
      </c>
      <c r="D296">
        <v>22.39</v>
      </c>
      <c r="E296">
        <v>22.08</v>
      </c>
      <c r="F296">
        <v>22.32</v>
      </c>
      <c r="G296">
        <v>254800</v>
      </c>
    </row>
    <row r="297" spans="2:7" s="75" customFormat="1" ht="12.75">
      <c r="B297" s="19">
        <v>38035</v>
      </c>
      <c r="C297">
        <v>22.43</v>
      </c>
      <c r="D297">
        <v>22.48</v>
      </c>
      <c r="E297">
        <v>22.18</v>
      </c>
      <c r="F297">
        <v>22.35</v>
      </c>
      <c r="G297">
        <v>295400</v>
      </c>
    </row>
    <row r="298" spans="2:7" s="75" customFormat="1" ht="12.75">
      <c r="B298" s="19">
        <v>38031</v>
      </c>
      <c r="C298">
        <v>22.18</v>
      </c>
      <c r="D298">
        <v>22.33</v>
      </c>
      <c r="E298">
        <v>22.03</v>
      </c>
      <c r="F298">
        <v>22.31</v>
      </c>
      <c r="G298">
        <v>316400</v>
      </c>
    </row>
    <row r="299" spans="2:7" s="75" customFormat="1" ht="12.75">
      <c r="B299" s="19">
        <v>38030</v>
      </c>
      <c r="C299">
        <v>22.53</v>
      </c>
      <c r="D299">
        <v>22.8</v>
      </c>
      <c r="E299">
        <v>22.23</v>
      </c>
      <c r="F299">
        <v>22.25</v>
      </c>
      <c r="G299">
        <v>288700</v>
      </c>
    </row>
    <row r="300" spans="2:7" s="75" customFormat="1" ht="12.75">
      <c r="B300" s="19">
        <v>38029</v>
      </c>
      <c r="C300">
        <v>22.67</v>
      </c>
      <c r="D300">
        <v>22.74</v>
      </c>
      <c r="E300">
        <v>22.39</v>
      </c>
      <c r="F300">
        <v>22.54</v>
      </c>
      <c r="G300">
        <v>325600</v>
      </c>
    </row>
    <row r="301" spans="2:7" s="75" customFormat="1" ht="12.75">
      <c r="B301" s="19">
        <v>38028</v>
      </c>
      <c r="C301">
        <v>22.3</v>
      </c>
      <c r="D301">
        <v>22.6</v>
      </c>
      <c r="E301">
        <v>22.17</v>
      </c>
      <c r="F301">
        <v>22.54</v>
      </c>
      <c r="G301">
        <v>208200</v>
      </c>
    </row>
    <row r="302" spans="2:7" s="75" customFormat="1" ht="12.75">
      <c r="B302" s="19">
        <v>38027</v>
      </c>
      <c r="C302">
        <v>22.3</v>
      </c>
      <c r="D302">
        <v>22.35</v>
      </c>
      <c r="E302">
        <v>22.15</v>
      </c>
      <c r="F302">
        <v>22.23</v>
      </c>
      <c r="G302">
        <v>364200</v>
      </c>
    </row>
    <row r="303" spans="2:7" s="75" customFormat="1" ht="12.75">
      <c r="B303" s="19">
        <v>38024</v>
      </c>
      <c r="C303">
        <v>22.51</v>
      </c>
      <c r="D303">
        <v>22.61</v>
      </c>
      <c r="E303">
        <v>22.2</v>
      </c>
      <c r="F303">
        <v>22.35</v>
      </c>
      <c r="G303">
        <v>302600</v>
      </c>
    </row>
    <row r="304" spans="2:7" s="75" customFormat="1" ht="12.75">
      <c r="B304" s="19">
        <v>38023</v>
      </c>
      <c r="C304">
        <v>22.56</v>
      </c>
      <c r="D304">
        <v>22.7</v>
      </c>
      <c r="E304">
        <v>22.35</v>
      </c>
      <c r="F304">
        <v>22.52</v>
      </c>
      <c r="G304">
        <v>242300</v>
      </c>
    </row>
    <row r="305" spans="2:7" s="75" customFormat="1" ht="12.75">
      <c r="B305" s="19">
        <v>38022</v>
      </c>
      <c r="C305">
        <v>22.55</v>
      </c>
      <c r="D305">
        <v>22.87</v>
      </c>
      <c r="E305">
        <v>22.52</v>
      </c>
      <c r="F305">
        <v>22.65</v>
      </c>
      <c r="G305">
        <v>295600</v>
      </c>
    </row>
    <row r="306" spans="2:7" s="75" customFormat="1" ht="12.75">
      <c r="B306" s="19">
        <v>38021</v>
      </c>
      <c r="C306">
        <v>22.7</v>
      </c>
      <c r="D306">
        <v>22.9</v>
      </c>
      <c r="E306">
        <v>22.47</v>
      </c>
      <c r="F306">
        <v>22.52</v>
      </c>
      <c r="G306">
        <v>241500</v>
      </c>
    </row>
    <row r="307" spans="2:7" s="75" customFormat="1" ht="12.75">
      <c r="B307" s="19">
        <v>38020</v>
      </c>
      <c r="C307">
        <v>22.75</v>
      </c>
      <c r="D307">
        <v>23.17</v>
      </c>
      <c r="E307">
        <v>22.63</v>
      </c>
      <c r="F307">
        <v>23.05</v>
      </c>
      <c r="G307">
        <v>352000</v>
      </c>
    </row>
    <row r="308" spans="2:7" s="75" customFormat="1" ht="12.75">
      <c r="B308" s="19">
        <v>38017</v>
      </c>
      <c r="C308">
        <v>22.58</v>
      </c>
      <c r="D308">
        <v>22.87</v>
      </c>
      <c r="E308">
        <v>22.32</v>
      </c>
      <c r="F308">
        <v>22.71</v>
      </c>
      <c r="G308">
        <v>421600</v>
      </c>
    </row>
    <row r="309" spans="2:7" s="75" customFormat="1" ht="12.75">
      <c r="B309" s="19">
        <v>38016</v>
      </c>
      <c r="C309">
        <v>21.74</v>
      </c>
      <c r="D309">
        <v>22.56</v>
      </c>
      <c r="E309">
        <v>21.7</v>
      </c>
      <c r="F309">
        <v>22.47</v>
      </c>
      <c r="G309">
        <v>618800</v>
      </c>
    </row>
    <row r="310" spans="2:7" s="75" customFormat="1" ht="12.75">
      <c r="B310" s="19">
        <v>38015</v>
      </c>
      <c r="C310">
        <v>22.04</v>
      </c>
      <c r="D310">
        <v>22.42</v>
      </c>
      <c r="E310">
        <v>21.87</v>
      </c>
      <c r="F310">
        <v>22.02</v>
      </c>
      <c r="G310">
        <v>466900</v>
      </c>
    </row>
    <row r="311" spans="2:7" s="75" customFormat="1" ht="12.75">
      <c r="B311" s="19">
        <v>38014</v>
      </c>
      <c r="C311">
        <v>22.09</v>
      </c>
      <c r="D311">
        <v>22.27</v>
      </c>
      <c r="E311">
        <v>21.98</v>
      </c>
      <c r="F311">
        <v>22.08</v>
      </c>
      <c r="G311">
        <v>295100</v>
      </c>
    </row>
    <row r="312" spans="2:7" s="75" customFormat="1" ht="12">
      <c r="B312" s="75" t="s">
        <v>186</v>
      </c>
      <c r="C312" s="77">
        <f>AVERAGE(C282:C311)</f>
        <v>22.623333333333335</v>
      </c>
      <c r="D312" s="77">
        <f>AVERAGE(D282:D311)</f>
        <v>22.878666666666664</v>
      </c>
      <c r="E312" s="77">
        <f>AVERAGE(E282:E311)</f>
        <v>22.430000000000003</v>
      </c>
      <c r="F312" s="78">
        <f>AVERAGE(F282:F311)</f>
        <v>22.684000000000005</v>
      </c>
      <c r="G312" s="77">
        <f>AVERAGE(G282:G311)</f>
        <v>415473.3333333333</v>
      </c>
    </row>
    <row r="313" spans="2:7" s="75" customFormat="1" ht="12">
      <c r="B313" s="75" t="s">
        <v>83</v>
      </c>
      <c r="C313" s="75">
        <f>MEDIAN(C282:C311)</f>
        <v>22.555</v>
      </c>
      <c r="D313" s="75">
        <f>MEDIAN(D282:D311)</f>
        <v>22.87</v>
      </c>
      <c r="E313" s="75">
        <f>MEDIAN(E282:E311)</f>
        <v>22.34</v>
      </c>
      <c r="F313" s="75">
        <f>MEDIAN(F282:F311)</f>
        <v>22.564999999999998</v>
      </c>
      <c r="G313" s="75">
        <f>MEDIAN(G282:G311)</f>
        <v>368550</v>
      </c>
    </row>
    <row r="314" spans="2:7" s="75" customFormat="1" ht="12">
      <c r="B314" s="75" t="s">
        <v>89</v>
      </c>
      <c r="C314" s="75">
        <f>MAX(C282:C311)</f>
        <v>23.35</v>
      </c>
      <c r="D314" s="75">
        <f>MAX(D282:D311)</f>
        <v>23.59</v>
      </c>
      <c r="E314" s="75">
        <f>MAX(E282:E311)</f>
        <v>23.29</v>
      </c>
      <c r="F314" s="75">
        <f>MAX(F282:F311)</f>
        <v>23.45</v>
      </c>
      <c r="G314" s="75">
        <f>MAX(G282:G311)</f>
        <v>827900</v>
      </c>
    </row>
    <row r="315" spans="2:7" s="75" customFormat="1" ht="12">
      <c r="B315" s="75" t="s">
        <v>90</v>
      </c>
      <c r="C315" s="75">
        <f>MIN(C282:C311)</f>
        <v>21.74</v>
      </c>
      <c r="D315" s="75">
        <f>MIN(D282:D311)</f>
        <v>22.27</v>
      </c>
      <c r="E315" s="75">
        <f>MIN(E282:E311)</f>
        <v>21.7</v>
      </c>
      <c r="F315" s="75">
        <f>MIN(F282:F311)</f>
        <v>22.02</v>
      </c>
      <c r="G315" s="75">
        <f>MIN(G282:G311)</f>
        <v>208200</v>
      </c>
    </row>
    <row r="316" spans="1:7" s="75" customFormat="1" ht="12">
      <c r="A316" s="75" t="s">
        <v>79</v>
      </c>
      <c r="B316" s="22" t="s">
        <v>243</v>
      </c>
      <c r="C316" s="22" t="s">
        <v>244</v>
      </c>
      <c r="D316" s="22" t="s">
        <v>19</v>
      </c>
      <c r="E316" s="22" t="s">
        <v>20</v>
      </c>
      <c r="F316" s="22" t="s">
        <v>21</v>
      </c>
      <c r="G316" s="22" t="s">
        <v>22</v>
      </c>
    </row>
    <row r="317" spans="2:7" s="75" customFormat="1" ht="12.75">
      <c r="B317" s="19">
        <v>38056</v>
      </c>
      <c r="C317">
        <v>10.22</v>
      </c>
      <c r="D317">
        <v>10.39</v>
      </c>
      <c r="E317">
        <v>10</v>
      </c>
      <c r="F317">
        <v>10.17</v>
      </c>
      <c r="G317">
        <v>3769300</v>
      </c>
    </row>
    <row r="318" spans="2:7" s="75" customFormat="1" ht="12.75">
      <c r="B318" s="19">
        <v>38055</v>
      </c>
      <c r="C318">
        <v>9.33</v>
      </c>
      <c r="D318">
        <v>10.81</v>
      </c>
      <c r="E318">
        <v>9.19</v>
      </c>
      <c r="F318">
        <v>9.98</v>
      </c>
      <c r="G318">
        <v>5756700</v>
      </c>
    </row>
    <row r="319" spans="2:7" s="75" customFormat="1" ht="12.75">
      <c r="B319" s="19">
        <v>38052</v>
      </c>
      <c r="C319">
        <v>9.59</v>
      </c>
      <c r="D319">
        <v>10.07</v>
      </c>
      <c r="E319">
        <v>8.95</v>
      </c>
      <c r="F319">
        <v>9.33</v>
      </c>
      <c r="G319">
        <v>7575800</v>
      </c>
    </row>
    <row r="320" spans="2:7" s="75" customFormat="1" ht="12.75">
      <c r="B320" s="19">
        <v>38051</v>
      </c>
      <c r="C320">
        <v>11.83</v>
      </c>
      <c r="D320">
        <v>11.85</v>
      </c>
      <c r="E320">
        <v>11.39</v>
      </c>
      <c r="F320">
        <v>11.41</v>
      </c>
      <c r="G320">
        <v>1140600</v>
      </c>
    </row>
    <row r="321" spans="2:7" s="75" customFormat="1" ht="12.75">
      <c r="B321" s="19">
        <v>38050</v>
      </c>
      <c r="C321">
        <v>12.06</v>
      </c>
      <c r="D321">
        <v>12.06</v>
      </c>
      <c r="E321">
        <v>11.62</v>
      </c>
      <c r="F321">
        <v>11.87</v>
      </c>
      <c r="G321">
        <v>1906500</v>
      </c>
    </row>
    <row r="322" spans="2:7" s="75" customFormat="1" ht="12.75">
      <c r="B322" s="19">
        <v>38049</v>
      </c>
      <c r="C322">
        <v>11.79</v>
      </c>
      <c r="D322">
        <v>12.05</v>
      </c>
      <c r="E322">
        <v>11.74</v>
      </c>
      <c r="F322">
        <v>11.88</v>
      </c>
      <c r="G322">
        <v>1613100</v>
      </c>
    </row>
    <row r="323" spans="2:7" s="75" customFormat="1" ht="12.75">
      <c r="B323" s="19">
        <v>38048</v>
      </c>
      <c r="C323">
        <v>11.86</v>
      </c>
      <c r="D323">
        <v>11.89</v>
      </c>
      <c r="E323">
        <v>11.56</v>
      </c>
      <c r="F323">
        <v>11.8</v>
      </c>
      <c r="G323">
        <v>1574700</v>
      </c>
    </row>
    <row r="324" spans="2:7" s="75" customFormat="1" ht="12.75">
      <c r="B324" s="19">
        <v>38045</v>
      </c>
      <c r="C324">
        <v>12.14</v>
      </c>
      <c r="D324">
        <v>12.22</v>
      </c>
      <c r="E324">
        <v>11.77</v>
      </c>
      <c r="F324">
        <v>11.84</v>
      </c>
      <c r="G324">
        <v>1389900</v>
      </c>
    </row>
    <row r="325" spans="2:7" s="75" customFormat="1" ht="12.75">
      <c r="B325" s="19">
        <v>38044</v>
      </c>
      <c r="C325">
        <v>12.24</v>
      </c>
      <c r="D325">
        <v>12.37</v>
      </c>
      <c r="E325">
        <v>12.11</v>
      </c>
      <c r="F325">
        <v>12.24</v>
      </c>
      <c r="G325">
        <v>1697600</v>
      </c>
    </row>
    <row r="326" spans="2:7" s="75" customFormat="1" ht="12.75">
      <c r="B326" s="19">
        <v>38043</v>
      </c>
      <c r="C326">
        <v>12.46</v>
      </c>
      <c r="D326">
        <v>12.61</v>
      </c>
      <c r="E326">
        <v>12.24</v>
      </c>
      <c r="F326">
        <v>12.25</v>
      </c>
      <c r="G326">
        <v>1276800</v>
      </c>
    </row>
    <row r="327" spans="2:7" s="75" customFormat="1" ht="12.75">
      <c r="B327" s="19">
        <v>38042</v>
      </c>
      <c r="C327">
        <v>12.58</v>
      </c>
      <c r="D327">
        <v>12.67</v>
      </c>
      <c r="E327">
        <v>12.4</v>
      </c>
      <c r="F327">
        <v>12.58</v>
      </c>
      <c r="G327">
        <v>1456400</v>
      </c>
    </row>
    <row r="328" spans="2:7" s="75" customFormat="1" ht="12.75">
      <c r="B328" s="19">
        <v>38041</v>
      </c>
      <c r="C328">
        <v>12.77</v>
      </c>
      <c r="D328">
        <v>12.84</v>
      </c>
      <c r="E328">
        <v>12.51</v>
      </c>
      <c r="F328">
        <v>12.6</v>
      </c>
      <c r="G328">
        <v>1855800</v>
      </c>
    </row>
    <row r="329" spans="2:7" s="75" customFormat="1" ht="12.75">
      <c r="B329" s="19">
        <v>38038</v>
      </c>
      <c r="C329">
        <v>12.85</v>
      </c>
      <c r="D329">
        <v>12.91</v>
      </c>
      <c r="E329">
        <v>12.53</v>
      </c>
      <c r="F329">
        <v>12.75</v>
      </c>
      <c r="G329">
        <v>2884300</v>
      </c>
    </row>
    <row r="330" spans="2:7" s="75" customFormat="1" ht="12.75">
      <c r="B330" s="19">
        <v>38037</v>
      </c>
      <c r="C330">
        <v>13.26</v>
      </c>
      <c r="D330">
        <v>13.34</v>
      </c>
      <c r="E330">
        <v>12.72</v>
      </c>
      <c r="F330">
        <v>12.78</v>
      </c>
      <c r="G330">
        <v>2679900</v>
      </c>
    </row>
    <row r="331" spans="2:7" s="75" customFormat="1" ht="12.75">
      <c r="B331" s="19">
        <v>38036</v>
      </c>
      <c r="C331">
        <v>13.12</v>
      </c>
      <c r="D331">
        <v>13.26</v>
      </c>
      <c r="E331">
        <v>13</v>
      </c>
      <c r="F331">
        <v>13.16</v>
      </c>
      <c r="G331">
        <v>2107500</v>
      </c>
    </row>
    <row r="332" spans="2:7" s="75" customFormat="1" ht="12.75">
      <c r="B332" s="19">
        <v>38035</v>
      </c>
      <c r="C332">
        <v>13.66</v>
      </c>
      <c r="D332">
        <v>13.7</v>
      </c>
      <c r="E332">
        <v>12.99</v>
      </c>
      <c r="F332">
        <v>13.17</v>
      </c>
      <c r="G332">
        <v>2283500</v>
      </c>
    </row>
    <row r="333" spans="2:7" s="75" customFormat="1" ht="12.75">
      <c r="B333" s="19">
        <v>38031</v>
      </c>
      <c r="C333">
        <v>13.41</v>
      </c>
      <c r="D333">
        <v>13.61</v>
      </c>
      <c r="E333">
        <v>13.26</v>
      </c>
      <c r="F333">
        <v>13.53</v>
      </c>
      <c r="G333">
        <v>2501600</v>
      </c>
    </row>
    <row r="334" spans="2:7" s="75" customFormat="1" ht="12.75">
      <c r="B334" s="19">
        <v>38030</v>
      </c>
      <c r="C334">
        <v>13.92</v>
      </c>
      <c r="D334">
        <v>14.05</v>
      </c>
      <c r="E334">
        <v>13.41</v>
      </c>
      <c r="F334">
        <v>13.48</v>
      </c>
      <c r="G334">
        <v>3339900</v>
      </c>
    </row>
    <row r="335" spans="2:7" s="75" customFormat="1" ht="12.75">
      <c r="B335" s="19">
        <v>38029</v>
      </c>
      <c r="C335">
        <v>14.35</v>
      </c>
      <c r="D335">
        <v>15.2</v>
      </c>
      <c r="E335">
        <v>13.79</v>
      </c>
      <c r="F335">
        <v>13.85</v>
      </c>
      <c r="G335">
        <v>3832000</v>
      </c>
    </row>
    <row r="336" spans="2:7" s="75" customFormat="1" ht="12.75">
      <c r="B336" s="19">
        <v>38028</v>
      </c>
      <c r="C336">
        <v>13.67</v>
      </c>
      <c r="D336">
        <v>14.55</v>
      </c>
      <c r="E336">
        <v>13.67</v>
      </c>
      <c r="F336">
        <v>14.22</v>
      </c>
      <c r="G336">
        <v>4930900</v>
      </c>
    </row>
    <row r="337" spans="2:7" s="75" customFormat="1" ht="12.75">
      <c r="B337" s="19">
        <v>38027</v>
      </c>
      <c r="C337">
        <v>17.75</v>
      </c>
      <c r="D337">
        <v>17.75</v>
      </c>
      <c r="E337">
        <v>13.31</v>
      </c>
      <c r="F337">
        <v>14.32</v>
      </c>
      <c r="G337">
        <v>11853800</v>
      </c>
    </row>
    <row r="338" spans="2:7" s="75" customFormat="1" ht="12.75">
      <c r="B338" s="19">
        <v>38024</v>
      </c>
      <c r="C338">
        <v>19.48</v>
      </c>
      <c r="D338">
        <v>19.57</v>
      </c>
      <c r="E338">
        <v>19</v>
      </c>
      <c r="F338">
        <v>19.05</v>
      </c>
      <c r="G338">
        <v>1278900</v>
      </c>
    </row>
    <row r="339" spans="2:7" s="75" customFormat="1" ht="12.75">
      <c r="B339" s="19">
        <v>38023</v>
      </c>
      <c r="C339">
        <v>19.68</v>
      </c>
      <c r="D339">
        <v>19.89</v>
      </c>
      <c r="E339">
        <v>19.38</v>
      </c>
      <c r="F339">
        <v>19.52</v>
      </c>
      <c r="G339">
        <v>1225900</v>
      </c>
    </row>
    <row r="340" spans="2:7" s="75" customFormat="1" ht="12.75">
      <c r="B340" s="19">
        <v>38022</v>
      </c>
      <c r="C340">
        <v>20</v>
      </c>
      <c r="D340">
        <v>20.25</v>
      </c>
      <c r="E340">
        <v>19.75</v>
      </c>
      <c r="F340">
        <v>19.8</v>
      </c>
      <c r="G340">
        <v>1646200</v>
      </c>
    </row>
    <row r="341" spans="2:7" s="75" customFormat="1" ht="12.75">
      <c r="B341" s="19">
        <v>38021</v>
      </c>
      <c r="C341">
        <v>19.83</v>
      </c>
      <c r="D341">
        <v>20.17</v>
      </c>
      <c r="E341">
        <v>19.7</v>
      </c>
      <c r="F341">
        <v>19.97</v>
      </c>
      <c r="G341">
        <v>1424200</v>
      </c>
    </row>
    <row r="342" spans="2:7" s="75" customFormat="1" ht="12.75">
      <c r="B342" s="19">
        <v>38020</v>
      </c>
      <c r="C342">
        <v>19.84</v>
      </c>
      <c r="D342">
        <v>20.27</v>
      </c>
      <c r="E342">
        <v>19.51</v>
      </c>
      <c r="F342">
        <v>20.15</v>
      </c>
      <c r="G342">
        <v>838100</v>
      </c>
    </row>
    <row r="343" spans="2:7" s="75" customFormat="1" ht="12.75">
      <c r="B343" s="19">
        <v>38017</v>
      </c>
      <c r="C343">
        <v>19.42</v>
      </c>
      <c r="D343">
        <v>19.79</v>
      </c>
      <c r="E343">
        <v>19.17</v>
      </c>
      <c r="F343">
        <v>19.75</v>
      </c>
      <c r="G343">
        <v>891000</v>
      </c>
    </row>
    <row r="344" spans="2:7" s="75" customFormat="1" ht="12.75">
      <c r="B344" s="19">
        <v>38016</v>
      </c>
      <c r="C344">
        <v>18.24</v>
      </c>
      <c r="D344">
        <v>19.44</v>
      </c>
      <c r="E344">
        <v>18.23</v>
      </c>
      <c r="F344">
        <v>19.31</v>
      </c>
      <c r="G344">
        <v>1333600</v>
      </c>
    </row>
    <row r="345" spans="2:7" s="75" customFormat="1" ht="12.75">
      <c r="B345" s="19">
        <v>38015</v>
      </c>
      <c r="C345">
        <v>18.72</v>
      </c>
      <c r="D345">
        <v>18.98</v>
      </c>
      <c r="E345">
        <v>18.43</v>
      </c>
      <c r="F345">
        <v>18.48</v>
      </c>
      <c r="G345">
        <v>1208900</v>
      </c>
    </row>
    <row r="346" spans="2:7" s="75" customFormat="1" ht="12.75">
      <c r="B346" s="19">
        <v>38014</v>
      </c>
      <c r="C346">
        <v>19.07</v>
      </c>
      <c r="D346">
        <v>19.24</v>
      </c>
      <c r="E346">
        <v>18.86</v>
      </c>
      <c r="F346">
        <v>18.96</v>
      </c>
      <c r="G346">
        <v>786600</v>
      </c>
    </row>
    <row r="347" spans="2:7" s="75" customFormat="1" ht="12">
      <c r="B347" s="75" t="s">
        <v>186</v>
      </c>
      <c r="C347" s="77">
        <f>AVERAGE(C317:C346)</f>
        <v>14.637999999999998</v>
      </c>
      <c r="D347" s="77">
        <f>AVERAGE(D317:D346)</f>
        <v>14.926666666666668</v>
      </c>
      <c r="E347" s="77">
        <f>AVERAGE(E317:E346)</f>
        <v>14.206333333333333</v>
      </c>
      <c r="F347" s="78">
        <f>AVERAGE(F317:F346)</f>
        <v>14.473333333333331</v>
      </c>
      <c r="G347" s="77">
        <f>AVERAGE(G317:G346)</f>
        <v>2602000</v>
      </c>
    </row>
    <row r="348" spans="2:7" s="75" customFormat="1" ht="12">
      <c r="B348" s="75" t="s">
        <v>83</v>
      </c>
      <c r="C348" s="75">
        <f>MEDIAN(C317:C346)</f>
        <v>13.335</v>
      </c>
      <c r="D348" s="75">
        <f>MEDIAN(D317:D346)</f>
        <v>13.475</v>
      </c>
      <c r="E348" s="75">
        <f>MEDIAN(E317:E346)</f>
        <v>12.995000000000001</v>
      </c>
      <c r="F348" s="75">
        <f>MEDIAN(F317:F346)</f>
        <v>13.165</v>
      </c>
      <c r="G348" s="75">
        <f>MEDIAN(G317:G346)</f>
        <v>1671900</v>
      </c>
    </row>
    <row r="349" spans="2:7" s="75" customFormat="1" ht="12">
      <c r="B349" s="75" t="s">
        <v>89</v>
      </c>
      <c r="C349" s="75">
        <f>MAX(C317:C346)</f>
        <v>20</v>
      </c>
      <c r="D349" s="75">
        <f>MAX(D317:D346)</f>
        <v>20.27</v>
      </c>
      <c r="E349" s="75">
        <f>MAX(E317:E346)</f>
        <v>19.75</v>
      </c>
      <c r="F349" s="75">
        <f>MAX(F317:F346)</f>
        <v>20.15</v>
      </c>
      <c r="G349" s="75">
        <f>MAX(G317:G346)</f>
        <v>11853800</v>
      </c>
    </row>
    <row r="350" spans="2:7" s="75" customFormat="1" ht="12">
      <c r="B350" s="75" t="s">
        <v>90</v>
      </c>
      <c r="C350" s="75">
        <f>MIN(C317:C346)</f>
        <v>9.33</v>
      </c>
      <c r="D350" s="75">
        <f>MIN(D317:D346)</f>
        <v>10.07</v>
      </c>
      <c r="E350" s="75">
        <f>MIN(E317:E346)</f>
        <v>8.95</v>
      </c>
      <c r="F350" s="75">
        <f>MIN(F317:F346)</f>
        <v>9.33</v>
      </c>
      <c r="G350" s="75">
        <f>MIN(G317:G346)</f>
        <v>786600</v>
      </c>
    </row>
    <row r="351" spans="1:7" s="75" customFormat="1" ht="12">
      <c r="A351" s="75" t="s">
        <v>125</v>
      </c>
      <c r="B351" s="22" t="s">
        <v>243</v>
      </c>
      <c r="C351" s="22" t="s">
        <v>244</v>
      </c>
      <c r="D351" s="22" t="s">
        <v>19</v>
      </c>
      <c r="E351" s="22" t="s">
        <v>20</v>
      </c>
      <c r="F351" s="22" t="s">
        <v>21</v>
      </c>
      <c r="G351" s="22" t="s">
        <v>22</v>
      </c>
    </row>
    <row r="352" spans="2:7" s="75" customFormat="1" ht="12.75">
      <c r="B352" s="19">
        <v>38056</v>
      </c>
      <c r="C352">
        <v>35.48</v>
      </c>
      <c r="D352">
        <v>35.59</v>
      </c>
      <c r="E352">
        <v>34.89</v>
      </c>
      <c r="F352">
        <v>35.59</v>
      </c>
      <c r="G352">
        <v>780200</v>
      </c>
    </row>
    <row r="353" spans="2:7" s="75" customFormat="1" ht="12.75">
      <c r="B353" s="19">
        <v>38055</v>
      </c>
      <c r="C353">
        <v>34.7</v>
      </c>
      <c r="D353">
        <v>34.9</v>
      </c>
      <c r="E353">
        <v>34.26</v>
      </c>
      <c r="F353">
        <v>34.69</v>
      </c>
      <c r="G353">
        <v>1023600</v>
      </c>
    </row>
    <row r="354" spans="2:7" s="75" customFormat="1" ht="12.75">
      <c r="B354" s="19">
        <v>38052</v>
      </c>
      <c r="C354">
        <v>34.51</v>
      </c>
      <c r="D354">
        <v>34.92</v>
      </c>
      <c r="E354">
        <v>34.22</v>
      </c>
      <c r="F354">
        <v>34.74</v>
      </c>
      <c r="G354">
        <v>1099400</v>
      </c>
    </row>
    <row r="355" spans="2:7" s="75" customFormat="1" ht="12.75">
      <c r="B355" s="19">
        <v>38051</v>
      </c>
      <c r="C355">
        <v>35.48</v>
      </c>
      <c r="D355">
        <v>35.62</v>
      </c>
      <c r="E355">
        <v>34.64</v>
      </c>
      <c r="F355">
        <v>34.64</v>
      </c>
      <c r="G355">
        <v>848500</v>
      </c>
    </row>
    <row r="356" spans="2:7" s="75" customFormat="1" ht="12.75">
      <c r="B356" s="19">
        <v>38050</v>
      </c>
      <c r="C356">
        <v>35.84</v>
      </c>
      <c r="D356">
        <v>35.92</v>
      </c>
      <c r="E356">
        <v>35.24</v>
      </c>
      <c r="F356">
        <v>35.68</v>
      </c>
      <c r="G356">
        <v>909300</v>
      </c>
    </row>
    <row r="357" spans="2:7" s="75" customFormat="1" ht="12.75">
      <c r="B357" s="19">
        <v>38049</v>
      </c>
      <c r="C357">
        <v>35.4</v>
      </c>
      <c r="D357">
        <v>36.12</v>
      </c>
      <c r="E357">
        <v>35.4</v>
      </c>
      <c r="F357">
        <v>35.9</v>
      </c>
      <c r="G357">
        <v>911400</v>
      </c>
    </row>
    <row r="358" spans="2:7" s="75" customFormat="1" ht="12.75">
      <c r="B358" s="19">
        <v>38048</v>
      </c>
      <c r="C358">
        <v>35.56</v>
      </c>
      <c r="D358">
        <v>35.9</v>
      </c>
      <c r="E358">
        <v>35.29</v>
      </c>
      <c r="F358">
        <v>35.8</v>
      </c>
      <c r="G358">
        <v>952600</v>
      </c>
    </row>
    <row r="359" spans="2:7" s="75" customFormat="1" ht="12.75">
      <c r="B359" s="19">
        <v>38045</v>
      </c>
      <c r="C359">
        <v>36.54</v>
      </c>
      <c r="D359">
        <v>36.59</v>
      </c>
      <c r="E359">
        <v>35.43</v>
      </c>
      <c r="F359">
        <v>35.55</v>
      </c>
      <c r="G359">
        <v>1154300</v>
      </c>
    </row>
    <row r="360" spans="2:7" s="75" customFormat="1" ht="12.75">
      <c r="B360" s="19">
        <v>38044</v>
      </c>
      <c r="C360">
        <v>36.81</v>
      </c>
      <c r="D360">
        <v>37.08</v>
      </c>
      <c r="E360">
        <v>36.57</v>
      </c>
      <c r="F360">
        <v>36.8</v>
      </c>
      <c r="G360">
        <v>983000</v>
      </c>
    </row>
    <row r="361" spans="2:7" s="75" customFormat="1" ht="12.75">
      <c r="B361" s="19">
        <v>38043</v>
      </c>
      <c r="C361">
        <v>37.07</v>
      </c>
      <c r="D361">
        <v>37.27</v>
      </c>
      <c r="E361">
        <v>36.84</v>
      </c>
      <c r="F361">
        <v>37.05</v>
      </c>
      <c r="G361">
        <v>1099100</v>
      </c>
    </row>
    <row r="362" spans="2:7" s="75" customFormat="1" ht="12.75">
      <c r="B362" s="19">
        <v>38042</v>
      </c>
      <c r="C362">
        <v>36.78</v>
      </c>
      <c r="D362">
        <v>37.22</v>
      </c>
      <c r="E362">
        <v>36.65</v>
      </c>
      <c r="F362">
        <v>37.22</v>
      </c>
      <c r="G362">
        <v>904400</v>
      </c>
    </row>
    <row r="363" spans="2:7" s="75" customFormat="1" ht="12.75">
      <c r="B363" s="19">
        <v>38041</v>
      </c>
      <c r="C363">
        <v>36.81</v>
      </c>
      <c r="D363">
        <v>37.01</v>
      </c>
      <c r="E363">
        <v>36.51</v>
      </c>
      <c r="F363">
        <v>36.97</v>
      </c>
      <c r="G363">
        <v>822200</v>
      </c>
    </row>
    <row r="364" spans="2:7" s="75" customFormat="1" ht="12.75">
      <c r="B364" s="19">
        <v>38038</v>
      </c>
      <c r="C364">
        <v>36.43</v>
      </c>
      <c r="D364">
        <v>36.86</v>
      </c>
      <c r="E364">
        <v>36.25</v>
      </c>
      <c r="F364">
        <v>36.82</v>
      </c>
      <c r="G364">
        <v>659400</v>
      </c>
    </row>
    <row r="365" spans="2:7" s="75" customFormat="1" ht="12.75">
      <c r="B365" s="19">
        <v>38037</v>
      </c>
      <c r="C365">
        <v>36.94</v>
      </c>
      <c r="D365">
        <v>37.04</v>
      </c>
      <c r="E365">
        <v>36.27</v>
      </c>
      <c r="F365">
        <v>36.39</v>
      </c>
      <c r="G365">
        <v>1091700</v>
      </c>
    </row>
    <row r="366" spans="2:7" s="75" customFormat="1" ht="12.75">
      <c r="B366" s="19">
        <v>38036</v>
      </c>
      <c r="C366">
        <v>37.1</v>
      </c>
      <c r="D366">
        <v>37.1</v>
      </c>
      <c r="E366">
        <v>36.51</v>
      </c>
      <c r="F366">
        <v>36.89</v>
      </c>
      <c r="G366">
        <v>865600</v>
      </c>
    </row>
    <row r="367" spans="2:7" s="75" customFormat="1" ht="12.75">
      <c r="B367" s="19">
        <v>38035</v>
      </c>
      <c r="C367">
        <v>36.65</v>
      </c>
      <c r="D367">
        <v>37.04</v>
      </c>
      <c r="E367">
        <v>36.65</v>
      </c>
      <c r="F367">
        <v>37</v>
      </c>
      <c r="G367">
        <v>1073900</v>
      </c>
    </row>
    <row r="368" spans="2:7" s="75" customFormat="1" ht="12.75">
      <c r="B368" s="19">
        <v>38031</v>
      </c>
      <c r="C368">
        <v>36.54</v>
      </c>
      <c r="D368">
        <v>36.74</v>
      </c>
      <c r="E368">
        <v>36.25</v>
      </c>
      <c r="F368">
        <v>36.64</v>
      </c>
      <c r="G368">
        <v>907000</v>
      </c>
    </row>
    <row r="369" spans="2:7" s="75" customFormat="1" ht="12.75">
      <c r="B369" s="19">
        <v>38030</v>
      </c>
      <c r="C369">
        <v>36.85</v>
      </c>
      <c r="D369">
        <v>37.18</v>
      </c>
      <c r="E369">
        <v>36.54</v>
      </c>
      <c r="F369">
        <v>36.61</v>
      </c>
      <c r="G369">
        <v>927700</v>
      </c>
    </row>
    <row r="370" spans="2:7" s="75" customFormat="1" ht="12.75">
      <c r="B370" s="19">
        <v>38029</v>
      </c>
      <c r="C370">
        <v>37.79</v>
      </c>
      <c r="D370">
        <v>37.81</v>
      </c>
      <c r="E370">
        <v>36.6</v>
      </c>
      <c r="F370">
        <v>36.77</v>
      </c>
      <c r="G370">
        <v>2017300</v>
      </c>
    </row>
    <row r="371" spans="2:7" s="75" customFormat="1" ht="12.75">
      <c r="B371" s="19">
        <v>38028</v>
      </c>
      <c r="C371">
        <v>37.37</v>
      </c>
      <c r="D371">
        <v>37.95</v>
      </c>
      <c r="E371">
        <v>37.22</v>
      </c>
      <c r="F371">
        <v>37.69</v>
      </c>
      <c r="G371">
        <v>1727700</v>
      </c>
    </row>
    <row r="372" spans="2:7" s="75" customFormat="1" ht="12.75">
      <c r="B372" s="19">
        <v>38027</v>
      </c>
      <c r="C372">
        <v>37.16</v>
      </c>
      <c r="D372">
        <v>37.28</v>
      </c>
      <c r="E372">
        <v>36.84</v>
      </c>
      <c r="F372">
        <v>37.08</v>
      </c>
      <c r="G372">
        <v>1137100</v>
      </c>
    </row>
    <row r="373" spans="2:7" s="75" customFormat="1" ht="12.75">
      <c r="B373" s="19">
        <v>38024</v>
      </c>
      <c r="C373">
        <v>37.31</v>
      </c>
      <c r="D373">
        <v>37.54</v>
      </c>
      <c r="E373">
        <v>37.01</v>
      </c>
      <c r="F373">
        <v>37.16</v>
      </c>
      <c r="G373">
        <v>605100</v>
      </c>
    </row>
    <row r="374" spans="2:7" s="75" customFormat="1" ht="12.75">
      <c r="B374" s="19">
        <v>38023</v>
      </c>
      <c r="C374">
        <v>37.58</v>
      </c>
      <c r="D374">
        <v>37.76</v>
      </c>
      <c r="E374">
        <v>37.11</v>
      </c>
      <c r="F374">
        <v>37.42</v>
      </c>
      <c r="G374">
        <v>860400</v>
      </c>
    </row>
    <row r="375" spans="2:7" s="75" customFormat="1" ht="12.75">
      <c r="B375" s="19">
        <v>38022</v>
      </c>
      <c r="C375">
        <v>38.03</v>
      </c>
      <c r="D375">
        <v>38.54</v>
      </c>
      <c r="E375">
        <v>37.67</v>
      </c>
      <c r="F375">
        <v>37.81</v>
      </c>
      <c r="G375">
        <v>940600</v>
      </c>
    </row>
    <row r="376" spans="2:7" s="75" customFormat="1" ht="12.75">
      <c r="B376" s="19">
        <v>38021</v>
      </c>
      <c r="C376">
        <v>38.65</v>
      </c>
      <c r="D376">
        <v>38.9</v>
      </c>
      <c r="E376">
        <v>37.79</v>
      </c>
      <c r="F376">
        <v>37.8</v>
      </c>
      <c r="G376">
        <v>809700</v>
      </c>
    </row>
    <row r="377" spans="2:7" s="75" customFormat="1" ht="12.75">
      <c r="B377" s="19">
        <v>38020</v>
      </c>
      <c r="C377">
        <v>38.01</v>
      </c>
      <c r="D377">
        <v>39.19</v>
      </c>
      <c r="E377">
        <v>38.01</v>
      </c>
      <c r="F377">
        <v>38.95</v>
      </c>
      <c r="G377">
        <v>944100</v>
      </c>
    </row>
    <row r="378" spans="2:7" s="75" customFormat="1" ht="12.75">
      <c r="B378" s="19">
        <v>38017</v>
      </c>
      <c r="C378">
        <v>38.28</v>
      </c>
      <c r="D378">
        <v>38.42</v>
      </c>
      <c r="E378">
        <v>37.81</v>
      </c>
      <c r="F378">
        <v>38.3</v>
      </c>
      <c r="G378">
        <v>1309500</v>
      </c>
    </row>
    <row r="379" spans="2:7" s="75" customFormat="1" ht="12.75">
      <c r="B379" s="19">
        <v>38016</v>
      </c>
      <c r="C379">
        <v>37.42</v>
      </c>
      <c r="D379">
        <v>38.66</v>
      </c>
      <c r="E379">
        <v>37.42</v>
      </c>
      <c r="F379">
        <v>38.3</v>
      </c>
      <c r="G379">
        <v>1594300</v>
      </c>
    </row>
    <row r="380" spans="2:7" s="75" customFormat="1" ht="12.75">
      <c r="B380" s="19">
        <v>38015</v>
      </c>
      <c r="C380">
        <v>38.44</v>
      </c>
      <c r="D380">
        <v>38.8</v>
      </c>
      <c r="E380">
        <v>37.65</v>
      </c>
      <c r="F380">
        <v>37.77</v>
      </c>
      <c r="G380">
        <v>2087500</v>
      </c>
    </row>
    <row r="381" spans="2:7" s="75" customFormat="1" ht="12.75">
      <c r="B381" s="19">
        <v>38014</v>
      </c>
      <c r="C381">
        <v>39.24</v>
      </c>
      <c r="D381">
        <v>39.96</v>
      </c>
      <c r="E381">
        <v>39.24</v>
      </c>
      <c r="F381">
        <v>39.53</v>
      </c>
      <c r="G381">
        <v>816600</v>
      </c>
    </row>
    <row r="382" spans="2:7" s="75" customFormat="1" ht="12">
      <c r="B382" s="75" t="s">
        <v>186</v>
      </c>
      <c r="C382" s="77">
        <f>AVERAGE(C352:C381)</f>
        <v>36.89233333333333</v>
      </c>
      <c r="D382" s="77">
        <f>AVERAGE(D352:D381)</f>
        <v>37.23033333333332</v>
      </c>
      <c r="E382" s="77">
        <f>AVERAGE(E352:E381)</f>
        <v>36.49266666666666</v>
      </c>
      <c r="F382" s="78">
        <f>AVERAGE(F352:F381)</f>
        <v>36.852</v>
      </c>
      <c r="G382" s="77">
        <f>AVERAGE(G352:G381)</f>
        <v>1062106.6666666667</v>
      </c>
    </row>
    <row r="383" spans="2:7" s="75" customFormat="1" ht="12">
      <c r="B383" s="75" t="s">
        <v>83</v>
      </c>
      <c r="C383" s="75">
        <f>MEDIAN(C352:C381)</f>
        <v>36.894999999999996</v>
      </c>
      <c r="D383" s="75">
        <f>MEDIAN(D352:D381)</f>
        <v>37.14</v>
      </c>
      <c r="E383" s="75">
        <f>MEDIAN(E352:E381)</f>
        <v>36.585</v>
      </c>
      <c r="F383" s="75">
        <f>MEDIAN(F352:F381)</f>
        <v>36.93</v>
      </c>
      <c r="G383" s="75">
        <f>MEDIAN(G352:G381)</f>
        <v>942350</v>
      </c>
    </row>
    <row r="384" spans="2:7" s="75" customFormat="1" ht="12">
      <c r="B384" s="75" t="s">
        <v>89</v>
      </c>
      <c r="C384" s="75">
        <f>MAX(C352:C381)</f>
        <v>39.24</v>
      </c>
      <c r="D384" s="75">
        <f>MAX(D352:D381)</f>
        <v>39.96</v>
      </c>
      <c r="E384" s="75">
        <f>MAX(E352:E381)</f>
        <v>39.24</v>
      </c>
      <c r="F384" s="75">
        <f>MAX(F352:F381)</f>
        <v>39.53</v>
      </c>
      <c r="G384" s="75">
        <f>MAX(G352:G381)</f>
        <v>2087500</v>
      </c>
    </row>
    <row r="385" spans="2:7" s="75" customFormat="1" ht="12">
      <c r="B385" s="75" t="s">
        <v>90</v>
      </c>
      <c r="C385" s="75">
        <f>MIN(C352:C381)</f>
        <v>34.51</v>
      </c>
      <c r="D385" s="75">
        <f>MIN(D352:D381)</f>
        <v>34.9</v>
      </c>
      <c r="E385" s="75">
        <f>MIN(E352:E381)</f>
        <v>34.22</v>
      </c>
      <c r="F385" s="75">
        <f>MIN(F352:F381)</f>
        <v>34.64</v>
      </c>
      <c r="G385" s="75">
        <f>MIN(G352:G381)</f>
        <v>605100</v>
      </c>
    </row>
    <row r="386" spans="1:7" s="75" customFormat="1" ht="12">
      <c r="A386" s="75" t="s">
        <v>245</v>
      </c>
      <c r="B386" s="22" t="s">
        <v>243</v>
      </c>
      <c r="C386" s="22" t="s">
        <v>244</v>
      </c>
      <c r="D386" s="22" t="s">
        <v>19</v>
      </c>
      <c r="E386" s="22" t="s">
        <v>20</v>
      </c>
      <c r="F386" s="22" t="s">
        <v>21</v>
      </c>
      <c r="G386" s="22" t="s">
        <v>22</v>
      </c>
    </row>
    <row r="387" spans="2:7" s="75" customFormat="1" ht="12.75">
      <c r="B387" s="19">
        <v>38056</v>
      </c>
      <c r="C387">
        <v>26.54</v>
      </c>
      <c r="D387">
        <v>26.63</v>
      </c>
      <c r="E387">
        <v>26.25</v>
      </c>
      <c r="F387">
        <v>26.34</v>
      </c>
      <c r="G387">
        <v>690200</v>
      </c>
    </row>
    <row r="388" spans="2:7" s="75" customFormat="1" ht="12.75">
      <c r="B388" s="19">
        <v>38055</v>
      </c>
      <c r="C388">
        <v>26.48</v>
      </c>
      <c r="D388">
        <v>26.63</v>
      </c>
      <c r="E388">
        <v>26.27</v>
      </c>
      <c r="F388">
        <v>26.41</v>
      </c>
      <c r="G388">
        <v>1355600</v>
      </c>
    </row>
    <row r="389" spans="2:7" s="75" customFormat="1" ht="12.75">
      <c r="B389" s="19">
        <v>38052</v>
      </c>
      <c r="C389">
        <v>26.2</v>
      </c>
      <c r="D389">
        <v>26.54</v>
      </c>
      <c r="E389">
        <v>26.12</v>
      </c>
      <c r="F389">
        <v>26.39</v>
      </c>
      <c r="G389">
        <v>1480900</v>
      </c>
    </row>
    <row r="390" spans="2:7" s="75" customFormat="1" ht="12.75">
      <c r="B390" s="19">
        <v>38051</v>
      </c>
      <c r="C390">
        <v>26.47</v>
      </c>
      <c r="D390">
        <v>26.67</v>
      </c>
      <c r="E390">
        <v>26.37</v>
      </c>
      <c r="F390">
        <v>26.37</v>
      </c>
      <c r="G390">
        <v>479800</v>
      </c>
    </row>
    <row r="391" spans="2:7" s="75" customFormat="1" ht="12.75">
      <c r="B391" s="19">
        <v>38050</v>
      </c>
      <c r="C391">
        <v>26.55</v>
      </c>
      <c r="D391">
        <v>26.7</v>
      </c>
      <c r="E391">
        <v>26.38</v>
      </c>
      <c r="F391">
        <v>26.6</v>
      </c>
      <c r="G391">
        <v>396800</v>
      </c>
    </row>
    <row r="392" spans="2:7" s="75" customFormat="1" ht="12.75">
      <c r="B392" s="19">
        <v>38049</v>
      </c>
      <c r="C392">
        <v>26.5</v>
      </c>
      <c r="D392">
        <v>26.8</v>
      </c>
      <c r="E392">
        <v>26.41</v>
      </c>
      <c r="F392">
        <v>26.54</v>
      </c>
      <c r="G392">
        <v>911900</v>
      </c>
    </row>
    <row r="393" spans="2:7" s="75" customFormat="1" ht="12.75">
      <c r="B393" s="19">
        <v>38048</v>
      </c>
      <c r="C393">
        <v>26.69</v>
      </c>
      <c r="D393">
        <v>26.8</v>
      </c>
      <c r="E393">
        <v>26.55</v>
      </c>
      <c r="F393">
        <v>26.64</v>
      </c>
      <c r="G393">
        <v>330600</v>
      </c>
    </row>
    <row r="394" spans="2:7" s="75" customFormat="1" ht="12.75">
      <c r="B394" s="19">
        <v>38045</v>
      </c>
      <c r="C394">
        <v>26.53</v>
      </c>
      <c r="D394">
        <v>26.77</v>
      </c>
      <c r="E394">
        <v>26.52</v>
      </c>
      <c r="F394">
        <v>26.7</v>
      </c>
      <c r="G394">
        <v>617600</v>
      </c>
    </row>
    <row r="395" spans="2:7" s="75" customFormat="1" ht="12.75">
      <c r="B395" s="19">
        <v>38044</v>
      </c>
      <c r="C395">
        <v>26.7</v>
      </c>
      <c r="D395">
        <v>26.78</v>
      </c>
      <c r="E395">
        <v>26.65</v>
      </c>
      <c r="F395">
        <v>26.75</v>
      </c>
      <c r="G395">
        <v>261600</v>
      </c>
    </row>
    <row r="396" spans="2:7" s="75" customFormat="1" ht="12.75">
      <c r="B396" s="19">
        <v>38043</v>
      </c>
      <c r="C396">
        <v>26.73</v>
      </c>
      <c r="D396">
        <v>26.88</v>
      </c>
      <c r="E396">
        <v>26.65</v>
      </c>
      <c r="F396">
        <v>26.7</v>
      </c>
      <c r="G396">
        <v>327300</v>
      </c>
    </row>
    <row r="397" spans="2:7" s="75" customFormat="1" ht="12.75">
      <c r="B397" s="19">
        <v>38042</v>
      </c>
      <c r="C397">
        <v>26.56</v>
      </c>
      <c r="D397">
        <v>26.92</v>
      </c>
      <c r="E397">
        <v>26.51</v>
      </c>
      <c r="F397">
        <v>26.88</v>
      </c>
      <c r="G397">
        <v>410900</v>
      </c>
    </row>
    <row r="398" spans="2:7" s="75" customFormat="1" ht="12.75">
      <c r="B398" s="19">
        <v>38041</v>
      </c>
      <c r="C398">
        <v>26.47</v>
      </c>
      <c r="D398">
        <v>26.64</v>
      </c>
      <c r="E398">
        <v>26.37</v>
      </c>
      <c r="F398">
        <v>26.62</v>
      </c>
      <c r="G398">
        <v>292700</v>
      </c>
    </row>
    <row r="399" spans="2:7" s="75" customFormat="1" ht="12.75">
      <c r="B399" s="19">
        <v>38038</v>
      </c>
      <c r="C399">
        <v>26.47</v>
      </c>
      <c r="D399">
        <v>26.63</v>
      </c>
      <c r="E399">
        <v>26.41</v>
      </c>
      <c r="F399">
        <v>26.54</v>
      </c>
      <c r="G399">
        <v>396400</v>
      </c>
    </row>
    <row r="400" spans="2:7" s="75" customFormat="1" ht="12.75">
      <c r="B400" s="19">
        <v>38037</v>
      </c>
      <c r="C400">
        <v>26.69</v>
      </c>
      <c r="D400">
        <v>26.69</v>
      </c>
      <c r="E400">
        <v>26.28</v>
      </c>
      <c r="F400">
        <v>26.41</v>
      </c>
      <c r="G400">
        <v>294200</v>
      </c>
    </row>
    <row r="401" spans="2:7" s="75" customFormat="1" ht="12.75">
      <c r="B401" s="19">
        <v>38036</v>
      </c>
      <c r="C401">
        <v>26.69</v>
      </c>
      <c r="D401">
        <v>26.75</v>
      </c>
      <c r="E401">
        <v>26.48</v>
      </c>
      <c r="F401">
        <v>26.58</v>
      </c>
      <c r="G401">
        <v>363200</v>
      </c>
    </row>
    <row r="402" spans="2:7" s="75" customFormat="1" ht="12.75">
      <c r="B402" s="19">
        <v>38035</v>
      </c>
      <c r="C402">
        <v>27.3</v>
      </c>
      <c r="D402">
        <v>27.36</v>
      </c>
      <c r="E402">
        <v>26.77</v>
      </c>
      <c r="F402">
        <v>26.77</v>
      </c>
      <c r="G402">
        <v>295000</v>
      </c>
    </row>
    <row r="403" spans="2:7" s="75" customFormat="1" ht="12.75">
      <c r="B403" s="19">
        <v>38031</v>
      </c>
      <c r="C403">
        <v>26.8</v>
      </c>
      <c r="D403">
        <v>27.13</v>
      </c>
      <c r="E403">
        <v>26.7</v>
      </c>
      <c r="F403">
        <v>27.05</v>
      </c>
      <c r="G403">
        <v>421000</v>
      </c>
    </row>
    <row r="404" spans="2:7" s="75" customFormat="1" ht="12.75">
      <c r="B404" s="19">
        <v>38030</v>
      </c>
      <c r="C404">
        <v>27.07</v>
      </c>
      <c r="D404">
        <v>27.25</v>
      </c>
      <c r="E404">
        <v>26.71</v>
      </c>
      <c r="F404">
        <v>26.82</v>
      </c>
      <c r="G404">
        <v>396400</v>
      </c>
    </row>
    <row r="405" spans="2:7" s="75" customFormat="1" ht="12.75">
      <c r="B405" s="19">
        <v>38029</v>
      </c>
      <c r="C405">
        <v>26.83</v>
      </c>
      <c r="D405">
        <v>27.1</v>
      </c>
      <c r="E405">
        <v>26.8</v>
      </c>
      <c r="F405">
        <v>27.08</v>
      </c>
      <c r="G405">
        <v>1361400</v>
      </c>
    </row>
    <row r="406" spans="2:7" s="75" customFormat="1" ht="12.75">
      <c r="B406" s="19">
        <v>38028</v>
      </c>
      <c r="C406">
        <v>26.3</v>
      </c>
      <c r="D406">
        <v>26.66</v>
      </c>
      <c r="E406">
        <v>26.19</v>
      </c>
      <c r="F406">
        <v>26.66</v>
      </c>
      <c r="G406">
        <v>354700</v>
      </c>
    </row>
    <row r="407" spans="2:7" s="75" customFormat="1" ht="12.75">
      <c r="B407" s="19">
        <v>38027</v>
      </c>
      <c r="C407">
        <v>26.12</v>
      </c>
      <c r="D407">
        <v>26.32</v>
      </c>
      <c r="E407">
        <v>26.12</v>
      </c>
      <c r="F407">
        <v>26.27</v>
      </c>
      <c r="G407">
        <v>373200</v>
      </c>
    </row>
    <row r="408" spans="2:7" s="75" customFormat="1" ht="12.75">
      <c r="B408" s="19">
        <v>38024</v>
      </c>
      <c r="C408">
        <v>26.09</v>
      </c>
      <c r="D408">
        <v>26.3</v>
      </c>
      <c r="E408">
        <v>26.03</v>
      </c>
      <c r="F408">
        <v>26.15</v>
      </c>
      <c r="G408">
        <v>490800</v>
      </c>
    </row>
    <row r="409" spans="2:7" s="75" customFormat="1" ht="12.75">
      <c r="B409" s="19">
        <v>38023</v>
      </c>
      <c r="C409">
        <v>26.02</v>
      </c>
      <c r="D409">
        <v>26.11</v>
      </c>
      <c r="E409">
        <v>25.95</v>
      </c>
      <c r="F409">
        <v>26.09</v>
      </c>
      <c r="G409">
        <v>417500</v>
      </c>
    </row>
    <row r="410" spans="2:7" s="75" customFormat="1" ht="12.75">
      <c r="B410" s="19">
        <v>38022</v>
      </c>
      <c r="C410">
        <v>26.26</v>
      </c>
      <c r="D410">
        <v>26.29</v>
      </c>
      <c r="E410">
        <v>26</v>
      </c>
      <c r="F410">
        <v>26.16</v>
      </c>
      <c r="G410">
        <v>270100</v>
      </c>
    </row>
    <row r="411" spans="2:7" s="75" customFormat="1" ht="12.75">
      <c r="B411" s="19">
        <v>38021</v>
      </c>
      <c r="C411">
        <v>26.14</v>
      </c>
      <c r="D411">
        <v>26.25</v>
      </c>
      <c r="E411">
        <v>25.98</v>
      </c>
      <c r="F411">
        <v>26.08</v>
      </c>
      <c r="G411">
        <v>458300</v>
      </c>
    </row>
    <row r="412" spans="2:7" s="75" customFormat="1" ht="12.75">
      <c r="B412" s="19">
        <v>38020</v>
      </c>
      <c r="C412">
        <v>26.5</v>
      </c>
      <c r="D412">
        <v>26.62</v>
      </c>
      <c r="E412">
        <v>26.39</v>
      </c>
      <c r="F412">
        <v>26.49</v>
      </c>
      <c r="G412">
        <v>977100</v>
      </c>
    </row>
    <row r="413" spans="2:7" s="75" customFormat="1" ht="12.75">
      <c r="B413" s="19">
        <v>38017</v>
      </c>
      <c r="C413">
        <v>26.09</v>
      </c>
      <c r="D413">
        <v>26.2</v>
      </c>
      <c r="E413">
        <v>25.78</v>
      </c>
      <c r="F413">
        <v>26.17</v>
      </c>
      <c r="G413">
        <v>580300</v>
      </c>
    </row>
    <row r="414" spans="2:7" s="75" customFormat="1" ht="12.75">
      <c r="B414" s="19">
        <v>38016</v>
      </c>
      <c r="C414">
        <v>25.94</v>
      </c>
      <c r="D414">
        <v>26.34</v>
      </c>
      <c r="E414">
        <v>25.85</v>
      </c>
      <c r="F414">
        <v>26.21</v>
      </c>
      <c r="G414">
        <v>852800</v>
      </c>
    </row>
    <row r="415" spans="2:7" s="75" customFormat="1" ht="12.75">
      <c r="B415" s="19">
        <v>38015</v>
      </c>
      <c r="C415">
        <v>25.98</v>
      </c>
      <c r="D415">
        <v>26.45</v>
      </c>
      <c r="E415">
        <v>25.98</v>
      </c>
      <c r="F415">
        <v>26.2</v>
      </c>
      <c r="G415">
        <v>379600</v>
      </c>
    </row>
    <row r="416" spans="2:7" s="75" customFormat="1" ht="12.75">
      <c r="B416" s="19">
        <v>38014</v>
      </c>
      <c r="C416">
        <v>26.1</v>
      </c>
      <c r="D416">
        <v>26.15</v>
      </c>
      <c r="E416">
        <v>25.78</v>
      </c>
      <c r="F416">
        <v>25.98</v>
      </c>
      <c r="G416">
        <v>512000</v>
      </c>
    </row>
    <row r="417" spans="2:7" s="75" customFormat="1" ht="12">
      <c r="B417" s="75" t="s">
        <v>186</v>
      </c>
      <c r="C417" s="77">
        <f>AVERAGE(C387:C416)</f>
        <v>26.460333333333335</v>
      </c>
      <c r="D417" s="77">
        <f>AVERAGE(D387:D416)</f>
        <v>26.645333333333337</v>
      </c>
      <c r="E417" s="77">
        <f>AVERAGE(E387:E416)</f>
        <v>26.308333333333334</v>
      </c>
      <c r="F417" s="78">
        <f>AVERAGE(F387:F416)</f>
        <v>26.488333333333337</v>
      </c>
      <c r="G417" s="77">
        <f>AVERAGE(G387:G416)</f>
        <v>558330</v>
      </c>
    </row>
    <row r="418" spans="2:7" s="75" customFormat="1" ht="12">
      <c r="B418" s="75" t="s">
        <v>83</v>
      </c>
      <c r="C418" s="75">
        <f>MEDIAN(C387:C416)</f>
        <v>26.490000000000002</v>
      </c>
      <c r="D418" s="75">
        <f>MEDIAN(D387:D416)</f>
        <v>26.65</v>
      </c>
      <c r="E418" s="75">
        <f>MEDIAN(E387:E416)</f>
        <v>26.37</v>
      </c>
      <c r="F418" s="75">
        <f>MEDIAN(F387:F416)</f>
        <v>26.515</v>
      </c>
      <c r="G418" s="75">
        <f>MEDIAN(G387:G416)</f>
        <v>414200</v>
      </c>
    </row>
    <row r="419" spans="2:7" s="75" customFormat="1" ht="12">
      <c r="B419" s="75" t="s">
        <v>89</v>
      </c>
      <c r="C419" s="75">
        <f>MAX(C387:C416)</f>
        <v>27.3</v>
      </c>
      <c r="D419" s="75">
        <f>MAX(D387:D416)</f>
        <v>27.36</v>
      </c>
      <c r="E419" s="75">
        <f>MAX(E387:E416)</f>
        <v>26.8</v>
      </c>
      <c r="F419" s="75">
        <f>MAX(F387:F416)</f>
        <v>27.08</v>
      </c>
      <c r="G419" s="75">
        <f>MAX(G387:G416)</f>
        <v>1480900</v>
      </c>
    </row>
    <row r="420" spans="2:7" s="75" customFormat="1" ht="12">
      <c r="B420" s="75" t="s">
        <v>90</v>
      </c>
      <c r="C420" s="75">
        <f>MIN(C387:C416)</f>
        <v>25.94</v>
      </c>
      <c r="D420" s="75">
        <f>MIN(D387:D416)</f>
        <v>26.11</v>
      </c>
      <c r="E420" s="75">
        <f>MIN(E387:E416)</f>
        <v>25.78</v>
      </c>
      <c r="F420" s="75">
        <f>MIN(F387:F416)</f>
        <v>25.98</v>
      </c>
      <c r="G420" s="75">
        <f>MIN(G387:G416)</f>
        <v>261600</v>
      </c>
    </row>
    <row r="421" spans="1:7" s="75" customFormat="1" ht="12">
      <c r="A421" s="75" t="s">
        <v>144</v>
      </c>
      <c r="B421" s="22" t="s">
        <v>243</v>
      </c>
      <c r="C421" s="22" t="s">
        <v>244</v>
      </c>
      <c r="D421" s="22" t="s">
        <v>19</v>
      </c>
      <c r="E421" s="22" t="s">
        <v>20</v>
      </c>
      <c r="F421" s="22" t="s">
        <v>21</v>
      </c>
      <c r="G421" s="22" t="s">
        <v>22</v>
      </c>
    </row>
    <row r="422" spans="2:7" s="75" customFormat="1" ht="12.75">
      <c r="B422" s="19">
        <v>38056</v>
      </c>
      <c r="C422">
        <v>21.97</v>
      </c>
      <c r="D422">
        <v>22.25</v>
      </c>
      <c r="E422">
        <v>21.58</v>
      </c>
      <c r="F422">
        <v>22.15</v>
      </c>
      <c r="G422">
        <v>718800</v>
      </c>
    </row>
    <row r="423" spans="2:7" s="75" customFormat="1" ht="12.75">
      <c r="B423" s="19">
        <v>38055</v>
      </c>
      <c r="C423">
        <v>21.72</v>
      </c>
      <c r="D423">
        <v>21.79</v>
      </c>
      <c r="E423">
        <v>21.35</v>
      </c>
      <c r="F423">
        <v>21.56</v>
      </c>
      <c r="G423">
        <v>282100</v>
      </c>
    </row>
    <row r="424" spans="2:7" s="75" customFormat="1" ht="12.75">
      <c r="B424" s="19">
        <v>38052</v>
      </c>
      <c r="C424">
        <v>21.84</v>
      </c>
      <c r="D424">
        <v>22</v>
      </c>
      <c r="E424">
        <v>21.58</v>
      </c>
      <c r="F424">
        <v>21.66</v>
      </c>
      <c r="G424">
        <v>494500</v>
      </c>
    </row>
    <row r="425" spans="2:7" s="75" customFormat="1" ht="12.75">
      <c r="B425" s="19">
        <v>38051</v>
      </c>
      <c r="C425">
        <v>22.67</v>
      </c>
      <c r="D425">
        <v>22.67</v>
      </c>
      <c r="E425">
        <v>21.83</v>
      </c>
      <c r="F425">
        <v>21.93</v>
      </c>
      <c r="G425">
        <v>442100</v>
      </c>
    </row>
    <row r="426" spans="2:7" s="75" customFormat="1" ht="12.75">
      <c r="B426" s="19">
        <v>38050</v>
      </c>
      <c r="C426">
        <v>23.23</v>
      </c>
      <c r="D426">
        <v>23.25</v>
      </c>
      <c r="E426">
        <v>22.57</v>
      </c>
      <c r="F426">
        <v>22.83</v>
      </c>
      <c r="G426">
        <v>565600</v>
      </c>
    </row>
    <row r="427" spans="2:7" s="75" customFormat="1" ht="12.75">
      <c r="B427" s="19">
        <v>38049</v>
      </c>
      <c r="C427">
        <v>22.8</v>
      </c>
      <c r="D427">
        <v>23.42</v>
      </c>
      <c r="E427">
        <v>22.6</v>
      </c>
      <c r="F427">
        <v>23.36</v>
      </c>
      <c r="G427">
        <v>954600</v>
      </c>
    </row>
    <row r="428" spans="2:7" s="75" customFormat="1" ht="12.75">
      <c r="B428" s="19">
        <v>38048</v>
      </c>
      <c r="C428">
        <v>23.79</v>
      </c>
      <c r="D428">
        <v>23.79</v>
      </c>
      <c r="E428">
        <v>22.42</v>
      </c>
      <c r="F428">
        <v>22.96</v>
      </c>
      <c r="G428">
        <v>2190300</v>
      </c>
    </row>
    <row r="429" spans="2:7" s="75" customFormat="1" ht="12.75">
      <c r="B429" s="19">
        <v>38045</v>
      </c>
      <c r="C429">
        <v>22.31</v>
      </c>
      <c r="D429">
        <v>24.75</v>
      </c>
      <c r="E429">
        <v>21.78</v>
      </c>
      <c r="F429">
        <v>23.65</v>
      </c>
      <c r="G429">
        <v>2192300</v>
      </c>
    </row>
    <row r="430" spans="2:7" s="75" customFormat="1" ht="12.75">
      <c r="B430" s="19">
        <v>38044</v>
      </c>
      <c r="C430">
        <v>25.01</v>
      </c>
      <c r="D430">
        <v>26.3</v>
      </c>
      <c r="E430">
        <v>25.01</v>
      </c>
      <c r="F430">
        <v>25.59</v>
      </c>
      <c r="G430">
        <v>798600</v>
      </c>
    </row>
    <row r="431" spans="2:7" s="75" customFormat="1" ht="12.75">
      <c r="B431" s="19">
        <v>38043</v>
      </c>
      <c r="C431">
        <v>26.92</v>
      </c>
      <c r="D431">
        <v>27.04</v>
      </c>
      <c r="E431">
        <v>26.11</v>
      </c>
      <c r="F431">
        <v>26.18</v>
      </c>
      <c r="G431">
        <v>556100</v>
      </c>
    </row>
    <row r="432" spans="2:7" s="75" customFormat="1" ht="12.75">
      <c r="B432" s="19">
        <v>38042</v>
      </c>
      <c r="C432">
        <v>27.15</v>
      </c>
      <c r="D432">
        <v>27.36</v>
      </c>
      <c r="E432">
        <v>26.84</v>
      </c>
      <c r="F432">
        <v>27.07</v>
      </c>
      <c r="G432">
        <v>459100</v>
      </c>
    </row>
    <row r="433" spans="2:7" s="75" customFormat="1" ht="12.75">
      <c r="B433" s="19">
        <v>38041</v>
      </c>
      <c r="C433">
        <v>27.14</v>
      </c>
      <c r="D433">
        <v>27.46</v>
      </c>
      <c r="E433">
        <v>27.05</v>
      </c>
      <c r="F433">
        <v>27.18</v>
      </c>
      <c r="G433">
        <v>414600</v>
      </c>
    </row>
    <row r="434" spans="2:7" s="75" customFormat="1" ht="12.75">
      <c r="B434" s="19">
        <v>38038</v>
      </c>
      <c r="C434">
        <v>27.48</v>
      </c>
      <c r="D434">
        <v>27.54</v>
      </c>
      <c r="E434">
        <v>26.96</v>
      </c>
      <c r="F434">
        <v>27.17</v>
      </c>
      <c r="G434">
        <v>498700</v>
      </c>
    </row>
    <row r="435" spans="2:7" s="75" customFormat="1" ht="12.75">
      <c r="B435" s="19">
        <v>38037</v>
      </c>
      <c r="C435">
        <v>28.14</v>
      </c>
      <c r="D435">
        <v>28.19</v>
      </c>
      <c r="E435">
        <v>27.31</v>
      </c>
      <c r="F435">
        <v>27.39</v>
      </c>
      <c r="G435">
        <v>549600</v>
      </c>
    </row>
    <row r="436" spans="2:7" s="75" customFormat="1" ht="12.75">
      <c r="B436" s="19">
        <v>38036</v>
      </c>
      <c r="C436">
        <v>27.17</v>
      </c>
      <c r="D436">
        <v>27.98</v>
      </c>
      <c r="E436">
        <v>27.17</v>
      </c>
      <c r="F436">
        <v>27.97</v>
      </c>
      <c r="G436">
        <v>569900</v>
      </c>
    </row>
    <row r="437" spans="2:7" s="75" customFormat="1" ht="12.75">
      <c r="B437" s="19">
        <v>38035</v>
      </c>
      <c r="C437">
        <v>28.26</v>
      </c>
      <c r="D437">
        <v>28.51</v>
      </c>
      <c r="E437">
        <v>27.38</v>
      </c>
      <c r="F437">
        <v>27.42</v>
      </c>
      <c r="G437">
        <v>1028100</v>
      </c>
    </row>
    <row r="438" spans="2:7" s="75" customFormat="1" ht="12.75">
      <c r="B438" s="19">
        <v>38031</v>
      </c>
      <c r="C438">
        <v>27.89</v>
      </c>
      <c r="D438">
        <v>28.37</v>
      </c>
      <c r="E438">
        <v>27.76</v>
      </c>
      <c r="F438">
        <v>27.98</v>
      </c>
      <c r="G438">
        <v>663700</v>
      </c>
    </row>
    <row r="439" spans="2:7" s="75" customFormat="1" ht="12.75">
      <c r="B439" s="19">
        <v>38030</v>
      </c>
      <c r="C439">
        <v>28.78</v>
      </c>
      <c r="D439">
        <v>29.02</v>
      </c>
      <c r="E439">
        <v>27.85</v>
      </c>
      <c r="F439">
        <v>27.99</v>
      </c>
      <c r="G439">
        <v>390800</v>
      </c>
    </row>
    <row r="440" spans="2:7" s="75" customFormat="1" ht="12.75">
      <c r="B440" s="19">
        <v>38029</v>
      </c>
      <c r="C440">
        <v>29.03</v>
      </c>
      <c r="D440">
        <v>29.06</v>
      </c>
      <c r="E440">
        <v>28.7</v>
      </c>
      <c r="F440">
        <v>28.83</v>
      </c>
      <c r="G440">
        <v>511900</v>
      </c>
    </row>
    <row r="441" spans="2:7" s="75" customFormat="1" ht="12.75">
      <c r="B441" s="19">
        <v>38028</v>
      </c>
      <c r="C441">
        <v>28.84</v>
      </c>
      <c r="D441">
        <v>28.9</v>
      </c>
      <c r="E441">
        <v>28.43</v>
      </c>
      <c r="F441">
        <v>28.75</v>
      </c>
      <c r="G441">
        <v>489700</v>
      </c>
    </row>
    <row r="442" spans="2:7" s="75" customFormat="1" ht="12.75">
      <c r="B442" s="19">
        <v>38027</v>
      </c>
      <c r="C442">
        <v>29.75</v>
      </c>
      <c r="D442">
        <v>29.81</v>
      </c>
      <c r="E442">
        <v>28.72</v>
      </c>
      <c r="F442">
        <v>28.75</v>
      </c>
      <c r="G442">
        <v>567200</v>
      </c>
    </row>
    <row r="443" spans="2:7" s="75" customFormat="1" ht="12.75">
      <c r="B443" s="19">
        <v>38024</v>
      </c>
      <c r="C443">
        <v>29.8</v>
      </c>
      <c r="D443">
        <v>30.07</v>
      </c>
      <c r="E443">
        <v>29.53</v>
      </c>
      <c r="F443">
        <v>29.74</v>
      </c>
      <c r="G443">
        <v>141600</v>
      </c>
    </row>
    <row r="444" spans="2:7" s="75" customFormat="1" ht="12.75">
      <c r="B444" s="19">
        <v>38023</v>
      </c>
      <c r="C444">
        <v>29.72</v>
      </c>
      <c r="D444">
        <v>30.1</v>
      </c>
      <c r="E444">
        <v>29.45</v>
      </c>
      <c r="F444">
        <v>30</v>
      </c>
      <c r="G444">
        <v>327700</v>
      </c>
    </row>
    <row r="445" spans="2:7" s="75" customFormat="1" ht="12.75">
      <c r="B445" s="19">
        <v>38022</v>
      </c>
      <c r="C445">
        <v>30.09</v>
      </c>
      <c r="D445">
        <v>30.36</v>
      </c>
      <c r="E445">
        <v>29.85</v>
      </c>
      <c r="F445">
        <v>29.95</v>
      </c>
      <c r="G445">
        <v>191300</v>
      </c>
    </row>
    <row r="446" spans="2:7" s="75" customFormat="1" ht="12.75">
      <c r="B446" s="19">
        <v>38021</v>
      </c>
      <c r="C446">
        <v>30.41</v>
      </c>
      <c r="D446">
        <v>30.66</v>
      </c>
      <c r="E446">
        <v>29.92</v>
      </c>
      <c r="F446">
        <v>29.98</v>
      </c>
      <c r="G446">
        <v>252100</v>
      </c>
    </row>
    <row r="447" spans="2:7" s="75" customFormat="1" ht="12.75">
      <c r="B447" s="19">
        <v>38020</v>
      </c>
      <c r="C447">
        <v>30.02</v>
      </c>
      <c r="D447">
        <v>30.98</v>
      </c>
      <c r="E447">
        <v>29.97</v>
      </c>
      <c r="F447">
        <v>30.76</v>
      </c>
      <c r="G447">
        <v>251200</v>
      </c>
    </row>
    <row r="448" spans="2:7" s="75" customFormat="1" ht="12.75">
      <c r="B448" s="19">
        <v>38017</v>
      </c>
      <c r="C448">
        <v>29.41</v>
      </c>
      <c r="D448">
        <v>30.29</v>
      </c>
      <c r="E448">
        <v>29.41</v>
      </c>
      <c r="F448">
        <v>30.18</v>
      </c>
      <c r="G448">
        <v>363500</v>
      </c>
    </row>
    <row r="449" spans="2:7" s="75" customFormat="1" ht="12.75">
      <c r="B449" s="19">
        <v>38016</v>
      </c>
      <c r="C449">
        <v>28.67</v>
      </c>
      <c r="D449">
        <v>29.53</v>
      </c>
      <c r="E449">
        <v>28.61</v>
      </c>
      <c r="F449">
        <v>29.39</v>
      </c>
      <c r="G449">
        <v>303200</v>
      </c>
    </row>
    <row r="450" spans="2:7" s="75" customFormat="1" ht="12.75">
      <c r="B450" s="19">
        <v>38015</v>
      </c>
      <c r="C450">
        <v>29.16</v>
      </c>
      <c r="D450">
        <v>29.62</v>
      </c>
      <c r="E450">
        <v>29</v>
      </c>
      <c r="F450">
        <v>29.06</v>
      </c>
      <c r="G450">
        <v>399200</v>
      </c>
    </row>
    <row r="451" spans="2:7" s="75" customFormat="1" ht="12.75">
      <c r="B451" s="19">
        <v>38014</v>
      </c>
      <c r="C451">
        <v>29.64</v>
      </c>
      <c r="D451">
        <v>29.96</v>
      </c>
      <c r="E451">
        <v>29.38</v>
      </c>
      <c r="F451">
        <v>29.41</v>
      </c>
      <c r="G451">
        <v>185700</v>
      </c>
    </row>
    <row r="452" spans="2:7" s="75" customFormat="1" ht="12">
      <c r="B452" s="75" t="s">
        <v>186</v>
      </c>
      <c r="C452" s="77">
        <f>AVERAGE(C422:C451)</f>
        <v>26.960333333333327</v>
      </c>
      <c r="D452" s="77">
        <f>AVERAGE(D422:D451)</f>
        <v>27.367666666666665</v>
      </c>
      <c r="E452" s="77">
        <f>AVERAGE(E422:E451)</f>
        <v>26.537333333333333</v>
      </c>
      <c r="F452" s="78">
        <f>AVERAGE(F422:F451)</f>
        <v>26.894666666666662</v>
      </c>
      <c r="G452" s="77">
        <f>AVERAGE(G422:G451)</f>
        <v>591793.3333333334</v>
      </c>
    </row>
    <row r="453" spans="2:7" s="75" customFormat="1" ht="12">
      <c r="B453" s="75" t="s">
        <v>83</v>
      </c>
      <c r="C453" s="75">
        <f>MEDIAN(C422:C451)</f>
        <v>28.015</v>
      </c>
      <c r="D453" s="75">
        <f>MEDIAN(D422:D451)</f>
        <v>28.28</v>
      </c>
      <c r="E453" s="75">
        <f>MEDIAN(E422:E451)</f>
        <v>27.345</v>
      </c>
      <c r="F453" s="75">
        <f>MEDIAN(F422:F451)</f>
        <v>27.695</v>
      </c>
      <c r="G453" s="75">
        <f>MEDIAN(G422:G451)</f>
        <v>492100</v>
      </c>
    </row>
    <row r="454" spans="2:7" s="75" customFormat="1" ht="12">
      <c r="B454" s="75" t="s">
        <v>89</v>
      </c>
      <c r="C454" s="75">
        <f>MAX(C422:C451)</f>
        <v>30.41</v>
      </c>
      <c r="D454" s="75">
        <f>MAX(D422:D451)</f>
        <v>30.98</v>
      </c>
      <c r="E454" s="75">
        <f>MAX(E422:E451)</f>
        <v>29.97</v>
      </c>
      <c r="F454" s="75">
        <f>MAX(F422:F451)</f>
        <v>30.76</v>
      </c>
      <c r="G454" s="75">
        <f>MAX(G422:G451)</f>
        <v>2192300</v>
      </c>
    </row>
    <row r="455" spans="2:7" s="75" customFormat="1" ht="12">
      <c r="B455" s="75" t="s">
        <v>90</v>
      </c>
      <c r="C455" s="75">
        <f>MIN(C422:C451)</f>
        <v>21.72</v>
      </c>
      <c r="D455" s="75">
        <f>MIN(D422:D451)</f>
        <v>21.79</v>
      </c>
      <c r="E455" s="75">
        <f>MIN(E422:E451)</f>
        <v>21.35</v>
      </c>
      <c r="F455" s="75">
        <f>MIN(F422:F451)</f>
        <v>21.56</v>
      </c>
      <c r="G455" s="75">
        <f>MIN(G422:G451)</f>
        <v>141600</v>
      </c>
    </row>
    <row r="456" spans="1:7" s="75" customFormat="1" ht="12">
      <c r="A456" s="75" t="s">
        <v>54</v>
      </c>
      <c r="B456" s="22" t="s">
        <v>243</v>
      </c>
      <c r="C456" s="22" t="s">
        <v>244</v>
      </c>
      <c r="D456" s="22" t="s">
        <v>19</v>
      </c>
      <c r="E456" s="22" t="s">
        <v>20</v>
      </c>
      <c r="F456" s="22" t="s">
        <v>21</v>
      </c>
      <c r="G456" s="22" t="s">
        <v>22</v>
      </c>
    </row>
    <row r="457" spans="2:7" s="75" customFormat="1" ht="12.75">
      <c r="B457" s="19">
        <v>38056</v>
      </c>
      <c r="C457">
        <v>20.03</v>
      </c>
      <c r="D457">
        <v>20.38</v>
      </c>
      <c r="E457">
        <v>19.88</v>
      </c>
      <c r="F457">
        <v>20.36</v>
      </c>
      <c r="G457">
        <v>4260800</v>
      </c>
    </row>
    <row r="458" spans="2:7" s="75" customFormat="1" ht="12.75">
      <c r="B458" s="19">
        <v>38055</v>
      </c>
      <c r="C458">
        <v>19.7</v>
      </c>
      <c r="D458">
        <v>19.86</v>
      </c>
      <c r="E458">
        <v>19.52</v>
      </c>
      <c r="F458">
        <v>19.65</v>
      </c>
      <c r="G458">
        <v>2786200</v>
      </c>
    </row>
    <row r="459" spans="2:7" s="75" customFormat="1" ht="12.75">
      <c r="B459" s="19">
        <v>38052</v>
      </c>
      <c r="C459">
        <v>19.55</v>
      </c>
      <c r="D459">
        <v>19.77</v>
      </c>
      <c r="E459">
        <v>19.39</v>
      </c>
      <c r="F459">
        <v>19.72</v>
      </c>
      <c r="G459">
        <v>3349200</v>
      </c>
    </row>
    <row r="460" spans="2:7" s="75" customFormat="1" ht="12.75">
      <c r="B460" s="19">
        <v>38051</v>
      </c>
      <c r="C460">
        <v>20.17</v>
      </c>
      <c r="D460">
        <v>20.18</v>
      </c>
      <c r="E460">
        <v>19.65</v>
      </c>
      <c r="F460">
        <v>19.68</v>
      </c>
      <c r="G460">
        <v>2749600</v>
      </c>
    </row>
    <row r="461" spans="2:7" s="75" customFormat="1" ht="12.75">
      <c r="B461" s="19">
        <v>38050</v>
      </c>
      <c r="C461">
        <v>20.18</v>
      </c>
      <c r="D461">
        <v>20.39</v>
      </c>
      <c r="E461">
        <v>20.03</v>
      </c>
      <c r="F461">
        <v>20.23</v>
      </c>
      <c r="G461">
        <v>4095100</v>
      </c>
    </row>
    <row r="462" spans="2:7" s="75" customFormat="1" ht="12.75">
      <c r="B462" s="19">
        <v>38049</v>
      </c>
      <c r="C462">
        <v>19.79</v>
      </c>
      <c r="D462">
        <v>20.27</v>
      </c>
      <c r="E462">
        <v>19.79</v>
      </c>
      <c r="F462">
        <v>20.24</v>
      </c>
      <c r="G462">
        <v>3243500</v>
      </c>
    </row>
    <row r="463" spans="2:7" s="75" customFormat="1" ht="12.75">
      <c r="B463" s="19">
        <v>38048</v>
      </c>
      <c r="C463">
        <v>19.76</v>
      </c>
      <c r="D463">
        <v>19.98</v>
      </c>
      <c r="E463">
        <v>19.58</v>
      </c>
      <c r="F463">
        <v>19.92</v>
      </c>
      <c r="G463">
        <v>4253300</v>
      </c>
    </row>
    <row r="464" spans="2:7" s="75" customFormat="1" ht="12.75">
      <c r="B464" s="19">
        <v>38045</v>
      </c>
      <c r="C464">
        <v>20.07</v>
      </c>
      <c r="D464">
        <v>20.19</v>
      </c>
      <c r="E464">
        <v>19.7</v>
      </c>
      <c r="F464">
        <v>19.82</v>
      </c>
      <c r="G464">
        <v>2949200</v>
      </c>
    </row>
    <row r="465" spans="2:7" s="75" customFormat="1" ht="12.75">
      <c r="B465" s="19">
        <v>38044</v>
      </c>
      <c r="C465">
        <v>20.24</v>
      </c>
      <c r="D465">
        <v>20.36</v>
      </c>
      <c r="E465">
        <v>20.12</v>
      </c>
      <c r="F465">
        <v>20.24</v>
      </c>
      <c r="G465">
        <v>3118400</v>
      </c>
    </row>
    <row r="466" spans="2:7" s="75" customFormat="1" ht="12.75">
      <c r="B466" s="19">
        <v>38043</v>
      </c>
      <c r="C466">
        <v>20.62</v>
      </c>
      <c r="D466">
        <v>20.72</v>
      </c>
      <c r="E466">
        <v>20.29</v>
      </c>
      <c r="F466">
        <v>20.35</v>
      </c>
      <c r="G466">
        <v>2316800</v>
      </c>
    </row>
    <row r="467" spans="2:7" s="75" customFormat="1" ht="12.75">
      <c r="B467" s="19">
        <v>38042</v>
      </c>
      <c r="C467">
        <v>20.56</v>
      </c>
      <c r="D467">
        <v>20.75</v>
      </c>
      <c r="E467">
        <v>20.32</v>
      </c>
      <c r="F467">
        <v>20.7</v>
      </c>
      <c r="G467">
        <v>2734300</v>
      </c>
    </row>
    <row r="468" spans="2:7" s="75" customFormat="1" ht="12.75">
      <c r="B468" s="19">
        <v>38041</v>
      </c>
      <c r="C468">
        <v>20.35</v>
      </c>
      <c r="D468">
        <v>20.71</v>
      </c>
      <c r="E468">
        <v>20.27</v>
      </c>
      <c r="F468">
        <v>20.62</v>
      </c>
      <c r="G468">
        <v>2819300</v>
      </c>
    </row>
    <row r="469" spans="2:7" s="75" customFormat="1" ht="12.75">
      <c r="B469" s="19">
        <v>38038</v>
      </c>
      <c r="C469">
        <v>20.26</v>
      </c>
      <c r="D469">
        <v>20.4</v>
      </c>
      <c r="E469">
        <v>20.2</v>
      </c>
      <c r="F469">
        <v>20.38</v>
      </c>
      <c r="G469">
        <v>3513400</v>
      </c>
    </row>
    <row r="470" spans="2:7" s="75" customFormat="1" ht="12.75">
      <c r="B470" s="19">
        <v>38037</v>
      </c>
      <c r="C470">
        <v>20.71</v>
      </c>
      <c r="D470">
        <v>20.77</v>
      </c>
      <c r="E470">
        <v>20.21</v>
      </c>
      <c r="F470">
        <v>20.26</v>
      </c>
      <c r="G470">
        <v>2636400</v>
      </c>
    </row>
    <row r="471" spans="2:7" s="75" customFormat="1" ht="12.75">
      <c r="B471" s="19">
        <v>38036</v>
      </c>
      <c r="C471">
        <v>20.51</v>
      </c>
      <c r="D471">
        <v>20.78</v>
      </c>
      <c r="E471">
        <v>20.46</v>
      </c>
      <c r="F471">
        <v>20.68</v>
      </c>
      <c r="G471">
        <v>1959200</v>
      </c>
    </row>
    <row r="472" spans="2:7" s="75" customFormat="1" ht="12.75">
      <c r="B472" s="19">
        <v>38035</v>
      </c>
      <c r="C472">
        <v>20.91</v>
      </c>
      <c r="D472">
        <v>20.97</v>
      </c>
      <c r="E472">
        <v>20.6</v>
      </c>
      <c r="F472">
        <v>20.69</v>
      </c>
      <c r="G472">
        <v>1639100</v>
      </c>
    </row>
    <row r="473" spans="2:7" s="75" customFormat="1" ht="12.75">
      <c r="B473" s="19">
        <v>38031</v>
      </c>
      <c r="C473">
        <v>20.65</v>
      </c>
      <c r="D473">
        <v>20.76</v>
      </c>
      <c r="E473">
        <v>20.5</v>
      </c>
      <c r="F473">
        <v>20.72</v>
      </c>
      <c r="G473">
        <v>1882200</v>
      </c>
    </row>
    <row r="474" spans="2:7" s="75" customFormat="1" ht="12.75">
      <c r="B474" s="19">
        <v>38030</v>
      </c>
      <c r="C474">
        <v>20.91</v>
      </c>
      <c r="D474">
        <v>21.17</v>
      </c>
      <c r="E474">
        <v>20.6</v>
      </c>
      <c r="F474">
        <v>20.7</v>
      </c>
      <c r="G474">
        <v>1339000</v>
      </c>
    </row>
    <row r="475" spans="2:7" s="75" customFormat="1" ht="12.75">
      <c r="B475" s="19">
        <v>38029</v>
      </c>
      <c r="C475">
        <v>21.01</v>
      </c>
      <c r="D475">
        <v>21.17</v>
      </c>
      <c r="E475">
        <v>20.86</v>
      </c>
      <c r="F475">
        <v>20.96</v>
      </c>
      <c r="G475">
        <v>2516800</v>
      </c>
    </row>
    <row r="476" spans="2:7" s="75" customFormat="1" ht="12.75">
      <c r="B476" s="19">
        <v>38028</v>
      </c>
      <c r="C476">
        <v>20.7</v>
      </c>
      <c r="D476">
        <v>20.97</v>
      </c>
      <c r="E476">
        <v>20.68</v>
      </c>
      <c r="F476">
        <v>20.89</v>
      </c>
      <c r="G476">
        <v>1785600</v>
      </c>
    </row>
    <row r="477" spans="2:7" s="75" customFormat="1" ht="12.75">
      <c r="B477" s="19">
        <v>38027</v>
      </c>
      <c r="C477">
        <v>20.64</v>
      </c>
      <c r="D477">
        <v>20.66</v>
      </c>
      <c r="E477">
        <v>20.45</v>
      </c>
      <c r="F477">
        <v>20.61</v>
      </c>
      <c r="G477">
        <v>2116100</v>
      </c>
    </row>
    <row r="478" spans="2:7" s="75" customFormat="1" ht="12.75">
      <c r="B478" s="19">
        <v>38024</v>
      </c>
      <c r="C478">
        <v>20.51</v>
      </c>
      <c r="D478">
        <v>20.69</v>
      </c>
      <c r="E478">
        <v>20.38</v>
      </c>
      <c r="F478">
        <v>20.61</v>
      </c>
      <c r="G478">
        <v>4199900</v>
      </c>
    </row>
    <row r="479" spans="2:7" s="75" customFormat="1" ht="12.75">
      <c r="B479" s="19">
        <v>38023</v>
      </c>
      <c r="C479">
        <v>20.47</v>
      </c>
      <c r="D479">
        <v>20.66</v>
      </c>
      <c r="E479">
        <v>20.35</v>
      </c>
      <c r="F479">
        <v>20.62</v>
      </c>
      <c r="G479">
        <v>4255200</v>
      </c>
    </row>
    <row r="480" spans="2:7" s="75" customFormat="1" ht="12.75">
      <c r="B480" s="19">
        <v>38022</v>
      </c>
      <c r="C480">
        <v>20.94</v>
      </c>
      <c r="D480">
        <v>21.04</v>
      </c>
      <c r="E480">
        <v>20.55</v>
      </c>
      <c r="F480">
        <v>20.6</v>
      </c>
      <c r="G480">
        <v>3427100</v>
      </c>
    </row>
    <row r="481" spans="2:7" s="75" customFormat="1" ht="12.75">
      <c r="B481" s="19">
        <v>38021</v>
      </c>
      <c r="C481">
        <v>21.03</v>
      </c>
      <c r="D481">
        <v>21.22</v>
      </c>
      <c r="E481">
        <v>20.84</v>
      </c>
      <c r="F481">
        <v>20.84</v>
      </c>
      <c r="G481">
        <v>2393000</v>
      </c>
    </row>
    <row r="482" spans="2:7" s="75" customFormat="1" ht="12.75">
      <c r="B482" s="19">
        <v>38020</v>
      </c>
      <c r="C482">
        <v>21.13</v>
      </c>
      <c r="D482">
        <v>21.55</v>
      </c>
      <c r="E482">
        <v>21.13</v>
      </c>
      <c r="F482">
        <v>21.36</v>
      </c>
      <c r="G482">
        <v>1732100</v>
      </c>
    </row>
    <row r="483" spans="2:7" s="75" customFormat="1" ht="12.75">
      <c r="B483" s="19">
        <v>38017</v>
      </c>
      <c r="C483">
        <v>20.75</v>
      </c>
      <c r="D483">
        <v>21.19</v>
      </c>
      <c r="E483">
        <v>20.7</v>
      </c>
      <c r="F483">
        <v>21.19</v>
      </c>
      <c r="G483">
        <v>2334100</v>
      </c>
    </row>
    <row r="484" spans="2:7" s="75" customFormat="1" ht="12.75">
      <c r="B484" s="19">
        <v>38016</v>
      </c>
      <c r="C484">
        <v>20.98</v>
      </c>
      <c r="D484">
        <v>20.98</v>
      </c>
      <c r="E484">
        <v>20.45</v>
      </c>
      <c r="F484">
        <v>20.75</v>
      </c>
      <c r="G484">
        <v>2871500</v>
      </c>
    </row>
    <row r="485" spans="2:7" s="75" customFormat="1" ht="12.75">
      <c r="B485" s="19">
        <v>38015</v>
      </c>
      <c r="C485">
        <v>20.6</v>
      </c>
      <c r="D485">
        <v>21.25</v>
      </c>
      <c r="E485">
        <v>20.58</v>
      </c>
      <c r="F485">
        <v>20.79</v>
      </c>
      <c r="G485">
        <v>3147900</v>
      </c>
    </row>
    <row r="486" spans="2:7" s="75" customFormat="1" ht="12.75">
      <c r="B486" s="19">
        <v>38014</v>
      </c>
      <c r="C486">
        <v>20.81</v>
      </c>
      <c r="D486">
        <v>20.92</v>
      </c>
      <c r="E486">
        <v>20.53</v>
      </c>
      <c r="F486">
        <v>20.6</v>
      </c>
      <c r="G486">
        <v>2187000</v>
      </c>
    </row>
    <row r="487" spans="2:7" s="75" customFormat="1" ht="12">
      <c r="B487" s="75" t="s">
        <v>186</v>
      </c>
      <c r="C487" s="77">
        <f>AVERAGE(C457:C486)</f>
        <v>20.484666666666666</v>
      </c>
      <c r="D487" s="77">
        <f>AVERAGE(D457:D486)</f>
        <v>20.69033333333334</v>
      </c>
      <c r="E487" s="77">
        <f>AVERAGE(E457:E486)</f>
        <v>20.287000000000003</v>
      </c>
      <c r="F487" s="78">
        <f>AVERAGE(F457:F486)</f>
        <v>20.492666666666665</v>
      </c>
      <c r="G487" s="77">
        <f>AVERAGE(G457:G486)</f>
        <v>2820376.6666666665</v>
      </c>
    </row>
    <row r="488" spans="1:7" ht="12">
      <c r="A488" s="75"/>
      <c r="B488" s="75" t="s">
        <v>83</v>
      </c>
      <c r="C488" s="75">
        <f>MEDIAN(C457:C486)</f>
        <v>20.58</v>
      </c>
      <c r="D488" s="75">
        <f>MEDIAN(D457:D486)</f>
        <v>20.735</v>
      </c>
      <c r="E488" s="75">
        <f>MEDIAN(E457:E486)</f>
        <v>20.365000000000002</v>
      </c>
      <c r="F488" s="75">
        <f>MEDIAN(F457:F486)</f>
        <v>20.61</v>
      </c>
      <c r="G488" s="75">
        <f>MEDIAN(G457:G486)</f>
        <v>2767900</v>
      </c>
    </row>
    <row r="489" spans="1:7" ht="12">
      <c r="A489" s="75"/>
      <c r="B489" s="75" t="s">
        <v>89</v>
      </c>
      <c r="C489" s="75">
        <f>MAX(C457:C486)</f>
        <v>21.13</v>
      </c>
      <c r="D489" s="75">
        <f>MAX(D457:D486)</f>
        <v>21.55</v>
      </c>
      <c r="E489" s="75">
        <f>MAX(E457:E486)</f>
        <v>21.13</v>
      </c>
      <c r="F489" s="75">
        <f>MAX(F457:F486)</f>
        <v>21.36</v>
      </c>
      <c r="G489" s="75">
        <f>MAX(G457:G486)</f>
        <v>4260800</v>
      </c>
    </row>
    <row r="490" spans="1:7" ht="12">
      <c r="A490" s="75"/>
      <c r="B490" s="75" t="s">
        <v>90</v>
      </c>
      <c r="C490" s="75">
        <f>MIN(C457:C486)</f>
        <v>19.55</v>
      </c>
      <c r="D490" s="75">
        <f>MIN(D457:D486)</f>
        <v>19.77</v>
      </c>
      <c r="E490" s="75">
        <f>MIN(E457:E486)</f>
        <v>19.39</v>
      </c>
      <c r="F490" s="75">
        <f>MIN(F457:F486)</f>
        <v>19.65</v>
      </c>
      <c r="G490" s="75">
        <f>MIN(G457:G486)</f>
        <v>1339000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59"/>
  <sheetViews>
    <sheetView defaultGridColor="0" zoomScalePageLayoutView="0" colorId="8" workbookViewId="0" topLeftCell="A1">
      <selection activeCell="AK40" sqref="AK40"/>
    </sheetView>
  </sheetViews>
  <sheetFormatPr defaultColWidth="11.50390625" defaultRowHeight="12"/>
  <cols>
    <col min="38" max="51" width="13.375" style="0" customWidth="1"/>
    <col min="53" max="53" width="15.375" style="0" customWidth="1"/>
  </cols>
  <sheetData>
    <row r="1" spans="1:53" ht="12.75">
      <c r="A1" s="10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20">
        <v>2008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226</v>
      </c>
      <c r="BA2" s="1"/>
    </row>
    <row r="3" spans="1:53" ht="12.75">
      <c r="A3" s="3" t="s">
        <v>87</v>
      </c>
      <c r="B3" s="3" t="s">
        <v>3</v>
      </c>
      <c r="C3" s="3" t="s">
        <v>4</v>
      </c>
      <c r="D3" s="3" t="s">
        <v>114</v>
      </c>
      <c r="E3" s="3" t="s">
        <v>5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 t="s">
        <v>55</v>
      </c>
      <c r="N3" s="3">
        <f aca="true" t="shared" si="0" ref="N3:U3">F3</f>
        <v>2003</v>
      </c>
      <c r="O3" s="3">
        <f t="shared" si="0"/>
        <v>2004</v>
      </c>
      <c r="P3" s="3">
        <f t="shared" si="0"/>
        <v>2005</v>
      </c>
      <c r="Q3" s="3">
        <f t="shared" si="0"/>
        <v>2006</v>
      </c>
      <c r="R3" s="3">
        <f t="shared" si="0"/>
        <v>2007</v>
      </c>
      <c r="S3" s="3">
        <f t="shared" si="0"/>
        <v>2008</v>
      </c>
      <c r="T3" s="3">
        <f t="shared" si="0"/>
        <v>2009</v>
      </c>
      <c r="U3" s="3" t="str">
        <f t="shared" si="0"/>
        <v>2011-2013</v>
      </c>
      <c r="V3" s="3">
        <f aca="true" t="shared" si="1" ref="V3:AC3">F3</f>
        <v>2003</v>
      </c>
      <c r="W3" s="3">
        <f t="shared" si="1"/>
        <v>2004</v>
      </c>
      <c r="X3" s="3">
        <f t="shared" si="1"/>
        <v>2005</v>
      </c>
      <c r="Y3" s="3">
        <f t="shared" si="1"/>
        <v>2006</v>
      </c>
      <c r="Z3" s="3">
        <f t="shared" si="1"/>
        <v>2007</v>
      </c>
      <c r="AA3" s="3">
        <f t="shared" si="1"/>
        <v>2008</v>
      </c>
      <c r="AB3" s="3">
        <f t="shared" si="1"/>
        <v>2009</v>
      </c>
      <c r="AC3" s="4" t="str">
        <f t="shared" si="1"/>
        <v>2011-2013</v>
      </c>
      <c r="AD3" s="3">
        <f aca="true" t="shared" si="2" ref="AD3:AK3">F3</f>
        <v>2003</v>
      </c>
      <c r="AE3" s="3">
        <f t="shared" si="2"/>
        <v>2004</v>
      </c>
      <c r="AF3" s="3">
        <f t="shared" si="2"/>
        <v>2005</v>
      </c>
      <c r="AG3" s="3">
        <f t="shared" si="2"/>
        <v>2006</v>
      </c>
      <c r="AH3" s="3">
        <f t="shared" si="2"/>
        <v>2007</v>
      </c>
      <c r="AI3" s="3">
        <f t="shared" si="2"/>
        <v>2008</v>
      </c>
      <c r="AJ3" s="3">
        <f t="shared" si="2"/>
        <v>2009</v>
      </c>
      <c r="AK3" s="3" t="str">
        <f t="shared" si="2"/>
        <v>2011-2013</v>
      </c>
      <c r="AL3" s="3">
        <f aca="true" t="shared" si="3" ref="AL3:AS3">F3</f>
        <v>2003</v>
      </c>
      <c r="AM3" s="3">
        <f t="shared" si="3"/>
        <v>2004</v>
      </c>
      <c r="AN3" s="3">
        <f t="shared" si="3"/>
        <v>2005</v>
      </c>
      <c r="AO3" s="3">
        <f t="shared" si="3"/>
        <v>2006</v>
      </c>
      <c r="AP3" s="3">
        <f t="shared" si="3"/>
        <v>2007</v>
      </c>
      <c r="AQ3" s="3">
        <f t="shared" si="3"/>
        <v>2008</v>
      </c>
      <c r="AR3" s="3">
        <f t="shared" si="3"/>
        <v>2009</v>
      </c>
      <c r="AS3" s="3" t="str">
        <f t="shared" si="3"/>
        <v>2011-2013</v>
      </c>
      <c r="AT3" s="3" t="s">
        <v>6</v>
      </c>
      <c r="AU3" s="3" t="s">
        <v>7</v>
      </c>
      <c r="AV3" s="3" t="s">
        <v>6</v>
      </c>
      <c r="AW3" s="3" t="s">
        <v>7</v>
      </c>
      <c r="AX3" s="3" t="s">
        <v>6</v>
      </c>
      <c r="AY3" s="3" t="s">
        <v>7</v>
      </c>
      <c r="AZ3" s="3" t="s">
        <v>57</v>
      </c>
      <c r="BA3" s="3" t="s">
        <v>103</v>
      </c>
    </row>
    <row r="4" spans="1:53" ht="12.75">
      <c r="A4" s="3" t="s">
        <v>8</v>
      </c>
      <c r="B4" s="3" t="s">
        <v>227</v>
      </c>
      <c r="C4" s="3" t="s">
        <v>113</v>
      </c>
      <c r="D4" s="3" t="s">
        <v>223</v>
      </c>
      <c r="E4" s="3" t="s">
        <v>114</v>
      </c>
      <c r="F4" s="3" t="s">
        <v>115</v>
      </c>
      <c r="G4" s="3" t="s">
        <v>115</v>
      </c>
      <c r="H4" s="3" t="s">
        <v>115</v>
      </c>
      <c r="I4" s="3" t="s">
        <v>115</v>
      </c>
      <c r="J4" s="3" t="s">
        <v>115</v>
      </c>
      <c r="K4" s="3" t="s">
        <v>115</v>
      </c>
      <c r="L4" s="3" t="s">
        <v>115</v>
      </c>
      <c r="M4" s="3" t="s">
        <v>115</v>
      </c>
      <c r="N4" s="3" t="s">
        <v>116</v>
      </c>
      <c r="O4" s="3" t="s">
        <v>116</v>
      </c>
      <c r="P4" s="3" t="s">
        <v>116</v>
      </c>
      <c r="Q4" s="3" t="s">
        <v>116</v>
      </c>
      <c r="R4" s="3" t="s">
        <v>116</v>
      </c>
      <c r="S4" s="3" t="s">
        <v>116</v>
      </c>
      <c r="T4" s="3" t="s">
        <v>116</v>
      </c>
      <c r="U4" s="3" t="s">
        <v>116</v>
      </c>
      <c r="V4" s="3" t="s">
        <v>131</v>
      </c>
      <c r="W4" s="4" t="s">
        <v>131</v>
      </c>
      <c r="X4" s="4" t="s">
        <v>131</v>
      </c>
      <c r="Y4" s="4" t="s">
        <v>131</v>
      </c>
      <c r="Z4" s="4" t="s">
        <v>131</v>
      </c>
      <c r="AA4" s="4" t="s">
        <v>131</v>
      </c>
      <c r="AB4" s="4" t="s">
        <v>131</v>
      </c>
      <c r="AC4" s="4" t="s">
        <v>131</v>
      </c>
      <c r="AD4" s="3" t="s">
        <v>132</v>
      </c>
      <c r="AE4" s="3" t="s">
        <v>132</v>
      </c>
      <c r="AF4" s="3" t="s">
        <v>132</v>
      </c>
      <c r="AG4" s="3" t="s">
        <v>132</v>
      </c>
      <c r="AH4" s="3" t="s">
        <v>132</v>
      </c>
      <c r="AI4" s="3" t="s">
        <v>132</v>
      </c>
      <c r="AJ4" s="3" t="s">
        <v>132</v>
      </c>
      <c r="AK4" s="3" t="s">
        <v>132</v>
      </c>
      <c r="AL4" s="3" t="s">
        <v>133</v>
      </c>
      <c r="AM4" s="3" t="s">
        <v>133</v>
      </c>
      <c r="AN4" s="3" t="s">
        <v>133</v>
      </c>
      <c r="AO4" s="3" t="s">
        <v>133</v>
      </c>
      <c r="AP4" s="3" t="s">
        <v>133</v>
      </c>
      <c r="AQ4" s="3" t="s">
        <v>133</v>
      </c>
      <c r="AR4" s="3" t="s">
        <v>133</v>
      </c>
      <c r="AS4" s="3" t="s">
        <v>133</v>
      </c>
      <c r="AT4" s="3" t="s">
        <v>106</v>
      </c>
      <c r="AU4" s="3" t="s">
        <v>106</v>
      </c>
      <c r="AV4" s="3" t="s">
        <v>100</v>
      </c>
      <c r="AW4" s="3" t="s">
        <v>100</v>
      </c>
      <c r="AX4" s="3" t="s">
        <v>234</v>
      </c>
      <c r="AY4" s="3" t="s">
        <v>234</v>
      </c>
      <c r="AZ4" s="3" t="s">
        <v>115</v>
      </c>
      <c r="BA4" s="3" t="s">
        <v>235</v>
      </c>
    </row>
    <row r="5" spans="1:53" ht="12.75">
      <c r="A5" s="22" t="s">
        <v>9</v>
      </c>
      <c r="B5" s="15">
        <f>'$perShare'!F32</f>
        <v>26.923</v>
      </c>
      <c r="C5" s="1">
        <v>1.05</v>
      </c>
      <c r="D5" s="3" t="s">
        <v>215</v>
      </c>
      <c r="E5" s="1">
        <v>0.23</v>
      </c>
      <c r="F5" s="1">
        <v>1.41</v>
      </c>
      <c r="G5" s="1">
        <v>1.25</v>
      </c>
      <c r="H5" s="1">
        <v>0.08</v>
      </c>
      <c r="I5" s="1">
        <v>1.63</v>
      </c>
      <c r="J5" s="1">
        <v>1.4</v>
      </c>
      <c r="K5" s="1">
        <v>1.5</v>
      </c>
      <c r="L5" s="1">
        <v>1.55</v>
      </c>
      <c r="M5" s="1">
        <v>1.65</v>
      </c>
      <c r="N5" s="1">
        <v>0.88</v>
      </c>
      <c r="O5" s="1">
        <v>0.92</v>
      </c>
      <c r="P5" s="1">
        <v>0.92</v>
      </c>
      <c r="Q5" s="1">
        <v>0.92</v>
      </c>
      <c r="R5" s="1">
        <v>0.92</v>
      </c>
      <c r="S5" s="1">
        <v>0.92</v>
      </c>
      <c r="T5" s="1">
        <v>0.92</v>
      </c>
      <c r="U5" s="1">
        <v>0.92</v>
      </c>
      <c r="V5" s="1">
        <v>0.081</v>
      </c>
      <c r="W5" s="1">
        <v>0.068</v>
      </c>
      <c r="X5" s="1">
        <v>0.005</v>
      </c>
      <c r="Y5" s="1">
        <v>0.101</v>
      </c>
      <c r="Z5" s="1">
        <v>0.075</v>
      </c>
      <c r="AA5" s="1">
        <v>0.08</v>
      </c>
      <c r="AB5" s="1">
        <v>0.08</v>
      </c>
      <c r="AC5" s="1">
        <v>0.075</v>
      </c>
      <c r="AD5" s="1">
        <v>17.89</v>
      </c>
      <c r="AE5" s="1">
        <v>18.49</v>
      </c>
      <c r="AF5" s="1">
        <v>17.7</v>
      </c>
      <c r="AG5" s="1">
        <v>17.7</v>
      </c>
      <c r="AH5" s="1">
        <v>18.4</v>
      </c>
      <c r="AI5" s="1">
        <v>19</v>
      </c>
      <c r="AJ5" s="1">
        <v>19.7</v>
      </c>
      <c r="AK5" s="1">
        <v>22</v>
      </c>
      <c r="AL5" s="1">
        <v>11.81</v>
      </c>
      <c r="AM5" s="1">
        <v>12.19</v>
      </c>
      <c r="AN5" s="1">
        <v>12.28</v>
      </c>
      <c r="AO5" s="1">
        <v>10.13</v>
      </c>
      <c r="AP5" s="1">
        <v>10.3</v>
      </c>
      <c r="AQ5" s="1">
        <v>10.4</v>
      </c>
      <c r="AR5" s="1">
        <v>10.5</v>
      </c>
      <c r="AS5" s="1">
        <v>10.6</v>
      </c>
      <c r="AT5" s="1">
        <v>-0.025</v>
      </c>
      <c r="AU5" s="1">
        <v>0.075</v>
      </c>
      <c r="AV5" s="1">
        <v>0.01</v>
      </c>
      <c r="AW5" s="1">
        <v>0</v>
      </c>
      <c r="AX5" s="1">
        <v>0.02</v>
      </c>
      <c r="AY5" s="1">
        <v>0.03</v>
      </c>
      <c r="AZ5" s="1">
        <v>1.55</v>
      </c>
      <c r="BA5" s="1" t="str">
        <f>Earnings!I6</f>
        <v>n/a</v>
      </c>
    </row>
    <row r="6" spans="1:53" s="14" customFormat="1" ht="12.75">
      <c r="A6" s="22" t="s">
        <v>10</v>
      </c>
      <c r="B6" s="15">
        <f>'$perShare'!F67</f>
        <v>70.22333333333334</v>
      </c>
      <c r="C6" s="1">
        <v>0.8</v>
      </c>
      <c r="D6" s="3" t="s">
        <v>215</v>
      </c>
      <c r="E6" s="1">
        <v>0.55</v>
      </c>
      <c r="F6" s="1">
        <v>1.47</v>
      </c>
      <c r="G6" s="1">
        <v>2.77</v>
      </c>
      <c r="H6" s="1">
        <v>2.84</v>
      </c>
      <c r="I6" s="1">
        <v>3.82</v>
      </c>
      <c r="J6" s="1">
        <v>4.25</v>
      </c>
      <c r="K6" s="1">
        <v>4.3</v>
      </c>
      <c r="L6" s="18">
        <v>4.65</v>
      </c>
      <c r="M6" s="1">
        <v>5.5</v>
      </c>
      <c r="N6" s="1">
        <v>1.5</v>
      </c>
      <c r="O6" s="1">
        <v>1.91</v>
      </c>
      <c r="P6" s="1">
        <v>1.71</v>
      </c>
      <c r="Q6" s="1">
        <v>1.85</v>
      </c>
      <c r="R6" s="1">
        <v>2.05</v>
      </c>
      <c r="S6" s="1">
        <v>2.25</v>
      </c>
      <c r="T6" s="1">
        <v>2.45</v>
      </c>
      <c r="U6" s="1">
        <v>3</v>
      </c>
      <c r="V6" s="1">
        <v>0.054</v>
      </c>
      <c r="W6" s="1">
        <v>0.16</v>
      </c>
      <c r="X6" s="1">
        <v>0.102</v>
      </c>
      <c r="Y6" s="1">
        <v>0.139</v>
      </c>
      <c r="Z6" s="1">
        <v>0.15</v>
      </c>
      <c r="AA6" s="1">
        <v>0.14</v>
      </c>
      <c r="AB6" s="1">
        <v>0.14</v>
      </c>
      <c r="AC6" s="1">
        <v>0.14</v>
      </c>
      <c r="AD6" s="1">
        <v>25.13</v>
      </c>
      <c r="AE6" s="1">
        <v>26.04</v>
      </c>
      <c r="AF6" s="1">
        <v>27.86</v>
      </c>
      <c r="AG6" s="1">
        <v>28.3</v>
      </c>
      <c r="AH6" s="1">
        <v>28.9</v>
      </c>
      <c r="AI6" s="1">
        <v>30.95</v>
      </c>
      <c r="AJ6" s="1">
        <v>33.15</v>
      </c>
      <c r="AK6" s="1">
        <v>40.5</v>
      </c>
      <c r="AL6" s="1">
        <v>329.84</v>
      </c>
      <c r="AM6" s="1">
        <v>329.84</v>
      </c>
      <c r="AN6" s="1">
        <v>329.84</v>
      </c>
      <c r="AO6" s="1">
        <v>319.21</v>
      </c>
      <c r="AP6" s="1">
        <v>304.8</v>
      </c>
      <c r="AQ6" s="1">
        <v>304.8</v>
      </c>
      <c r="AR6" s="1">
        <v>304.8</v>
      </c>
      <c r="AS6" s="1">
        <v>304.8</v>
      </c>
      <c r="AT6" s="1">
        <v>0.035</v>
      </c>
      <c r="AU6" s="1">
        <v>0.085</v>
      </c>
      <c r="AV6" s="1">
        <v>0.04</v>
      </c>
      <c r="AW6" s="1">
        <v>0.075</v>
      </c>
      <c r="AX6" s="1">
        <v>0.045</v>
      </c>
      <c r="AY6" s="1">
        <v>0.055</v>
      </c>
      <c r="AZ6" s="1">
        <v>4.65</v>
      </c>
      <c r="BA6" s="1">
        <f>Earnings!I7</f>
        <v>0.1125</v>
      </c>
    </row>
    <row r="7" spans="1:53" s="14" customFormat="1" ht="12.75">
      <c r="A7" s="22" t="s">
        <v>52</v>
      </c>
      <c r="B7" s="17">
        <f>'$perShare'!F102</f>
        <v>26.699666666666666</v>
      </c>
      <c r="C7" s="18">
        <v>0.75</v>
      </c>
      <c r="D7" s="16" t="s">
        <v>215</v>
      </c>
      <c r="E7" s="18">
        <v>0.2</v>
      </c>
      <c r="F7" s="18">
        <v>1.24</v>
      </c>
      <c r="G7" s="18">
        <v>0.91</v>
      </c>
      <c r="H7" s="18">
        <v>0.98</v>
      </c>
      <c r="I7" s="18">
        <v>0.82</v>
      </c>
      <c r="J7" s="18">
        <v>1.58</v>
      </c>
      <c r="K7" s="18">
        <v>1.8</v>
      </c>
      <c r="L7" s="18">
        <v>1.95</v>
      </c>
      <c r="M7" s="18">
        <v>2.4</v>
      </c>
      <c r="N7" s="18">
        <v>0.58</v>
      </c>
      <c r="O7" s="18">
        <v>0.63</v>
      </c>
      <c r="P7" s="18">
        <v>0.68</v>
      </c>
      <c r="Q7" s="18">
        <v>0.73</v>
      </c>
      <c r="R7" s="18">
        <v>0.78</v>
      </c>
      <c r="S7" s="18">
        <v>0.83</v>
      </c>
      <c r="T7" s="18">
        <v>0.88</v>
      </c>
      <c r="U7" s="18">
        <v>1.03</v>
      </c>
      <c r="V7" s="18">
        <v>0.069</v>
      </c>
      <c r="W7" s="18">
        <v>0.051</v>
      </c>
      <c r="X7" s="18">
        <v>0.051</v>
      </c>
      <c r="Y7" s="18">
        <v>0.043</v>
      </c>
      <c r="Z7" s="18">
        <v>0.08</v>
      </c>
      <c r="AA7" s="18">
        <v>0.09</v>
      </c>
      <c r="AB7" s="18">
        <v>0.085</v>
      </c>
      <c r="AC7" s="18">
        <v>0.085</v>
      </c>
      <c r="AD7" s="18">
        <v>17.73</v>
      </c>
      <c r="AE7" s="18">
        <v>17.8</v>
      </c>
      <c r="AF7" s="18">
        <v>18.46</v>
      </c>
      <c r="AG7" s="18">
        <v>18.14</v>
      </c>
      <c r="AH7" s="18">
        <v>19.05</v>
      </c>
      <c r="AI7" s="18">
        <v>20.15</v>
      </c>
      <c r="AJ7" s="18">
        <v>19.3</v>
      </c>
      <c r="AK7" s="18">
        <v>26.7</v>
      </c>
      <c r="AL7" s="18">
        <v>127.7</v>
      </c>
      <c r="AM7" s="18">
        <v>129.03</v>
      </c>
      <c r="AN7" s="18">
        <v>131.59</v>
      </c>
      <c r="AO7" s="18">
        <v>154.23</v>
      </c>
      <c r="AP7" s="18">
        <v>156.2</v>
      </c>
      <c r="AQ7" s="18">
        <v>158.2</v>
      </c>
      <c r="AR7" s="18">
        <v>178</v>
      </c>
      <c r="AS7" s="18">
        <v>200</v>
      </c>
      <c r="AT7" s="18" t="s">
        <v>1</v>
      </c>
      <c r="AU7" s="18">
        <v>0.15</v>
      </c>
      <c r="AV7" s="18">
        <v>0.165</v>
      </c>
      <c r="AW7" s="18">
        <v>0.06</v>
      </c>
      <c r="AX7" s="18">
        <v>0.03</v>
      </c>
      <c r="AY7" s="18">
        <v>0.055</v>
      </c>
      <c r="AZ7" s="1">
        <v>1.95</v>
      </c>
      <c r="BA7" s="1">
        <f>Earnings!I8</f>
        <v>0.0824</v>
      </c>
    </row>
    <row r="8" spans="1:53" ht="12.75">
      <c r="A8" s="22" t="s">
        <v>2</v>
      </c>
      <c r="B8" s="15">
        <f>'$perShare'!F137</f>
        <v>43.69666666666667</v>
      </c>
      <c r="C8" s="1">
        <v>0.8</v>
      </c>
      <c r="D8" s="3" t="s">
        <v>215</v>
      </c>
      <c r="E8" s="1">
        <v>0.635</v>
      </c>
      <c r="F8" s="1">
        <v>2.66</v>
      </c>
      <c r="G8" s="1">
        <v>3.14</v>
      </c>
      <c r="H8" s="1">
        <v>2.82</v>
      </c>
      <c r="I8" s="1">
        <v>3.13</v>
      </c>
      <c r="J8" s="1">
        <v>2.66</v>
      </c>
      <c r="K8" s="1">
        <v>3.25</v>
      </c>
      <c r="L8" s="1">
        <v>3.3</v>
      </c>
      <c r="M8" s="1">
        <v>3.4</v>
      </c>
      <c r="N8" s="1">
        <v>2.54</v>
      </c>
      <c r="O8" s="1">
        <v>2.54</v>
      </c>
      <c r="P8" s="1">
        <v>2.54</v>
      </c>
      <c r="Q8" s="1">
        <v>2.54</v>
      </c>
      <c r="R8" s="1">
        <v>2.54</v>
      </c>
      <c r="S8" s="1">
        <v>2.54</v>
      </c>
      <c r="T8" s="1">
        <v>2.54</v>
      </c>
      <c r="U8" s="1">
        <v>2.54</v>
      </c>
      <c r="V8" s="1">
        <v>0.099</v>
      </c>
      <c r="W8" s="1">
        <v>0.116</v>
      </c>
      <c r="X8" s="1">
        <v>0.091</v>
      </c>
      <c r="Y8" s="1">
        <v>0.097</v>
      </c>
      <c r="Z8" s="1">
        <v>0.81</v>
      </c>
      <c r="AA8" s="1">
        <v>0.1</v>
      </c>
      <c r="AB8" s="1">
        <v>0.1</v>
      </c>
      <c r="AC8" s="1">
        <v>0.09</v>
      </c>
      <c r="AD8" s="1">
        <v>24.93</v>
      </c>
      <c r="AE8" s="1">
        <v>26.73</v>
      </c>
      <c r="AF8" s="1">
        <v>29.71</v>
      </c>
      <c r="AG8" s="1">
        <v>31.09</v>
      </c>
      <c r="AH8" s="1">
        <v>31.86</v>
      </c>
      <c r="AI8" s="1">
        <v>32.7</v>
      </c>
      <c r="AJ8" s="1">
        <v>33.6</v>
      </c>
      <c r="AK8" s="1">
        <v>36.5</v>
      </c>
      <c r="AL8" s="1">
        <v>154.1</v>
      </c>
      <c r="AM8" s="1">
        <v>162.9</v>
      </c>
      <c r="AN8" s="1">
        <v>195.2</v>
      </c>
      <c r="AO8" s="1">
        <v>204.7</v>
      </c>
      <c r="AP8" s="1">
        <v>206</v>
      </c>
      <c r="AQ8" s="1">
        <v>208.8</v>
      </c>
      <c r="AR8" s="1">
        <v>210.8</v>
      </c>
      <c r="AS8" s="1">
        <v>216.8</v>
      </c>
      <c r="AT8" s="1">
        <v>-0.02</v>
      </c>
      <c r="AU8" s="1">
        <v>0.03</v>
      </c>
      <c r="AV8" s="1">
        <v>0</v>
      </c>
      <c r="AW8" s="1">
        <v>0</v>
      </c>
      <c r="AX8" s="1">
        <v>0.055</v>
      </c>
      <c r="AY8" s="1">
        <v>0.03</v>
      </c>
      <c r="AZ8" s="1">
        <v>3.3</v>
      </c>
      <c r="BA8" s="1">
        <f>Earnings!I9</f>
        <v>0.07</v>
      </c>
    </row>
    <row r="9" spans="1:53" ht="12.75">
      <c r="A9" s="22" t="s">
        <v>53</v>
      </c>
      <c r="B9" s="15">
        <f>'$perShare'!F172</f>
        <v>42.55266666666667</v>
      </c>
      <c r="C9" s="1">
        <v>0.85</v>
      </c>
      <c r="D9" s="3" t="s">
        <v>215</v>
      </c>
      <c r="E9" s="1">
        <v>0.41</v>
      </c>
      <c r="F9" s="1">
        <v>2.86</v>
      </c>
      <c r="G9" s="1">
        <v>2.53</v>
      </c>
      <c r="H9" s="1">
        <v>2.61</v>
      </c>
      <c r="I9" s="1">
        <v>2.64</v>
      </c>
      <c r="J9" s="1">
        <v>2.86</v>
      </c>
      <c r="K9" s="1">
        <v>2.8</v>
      </c>
      <c r="L9" s="1">
        <v>3.15</v>
      </c>
      <c r="M9" s="1">
        <v>4</v>
      </c>
      <c r="N9" s="1">
        <v>2.4</v>
      </c>
      <c r="O9" s="1">
        <v>1.65</v>
      </c>
      <c r="P9" s="1">
        <v>1.4</v>
      </c>
      <c r="Q9" s="1">
        <v>1.42</v>
      </c>
      <c r="R9" s="1">
        <v>1.5</v>
      </c>
      <c r="S9" s="1">
        <v>1.58</v>
      </c>
      <c r="T9" s="1">
        <v>1.67</v>
      </c>
      <c r="U9" s="1">
        <v>2.2</v>
      </c>
      <c r="V9" s="1">
        <v>0.137</v>
      </c>
      <c r="W9" s="1">
        <v>0.124</v>
      </c>
      <c r="X9" s="1">
        <v>0.122</v>
      </c>
      <c r="Y9" s="1">
        <v>0.113</v>
      </c>
      <c r="Z9" s="1">
        <v>0.12</v>
      </c>
      <c r="AA9" s="1">
        <v>0.11</v>
      </c>
      <c r="AB9" s="1">
        <v>0.12</v>
      </c>
      <c r="AC9" s="1">
        <v>0.125</v>
      </c>
      <c r="AD9" s="1">
        <v>20.85</v>
      </c>
      <c r="AE9" s="1">
        <v>19.93</v>
      </c>
      <c r="AF9" s="1">
        <v>21.32</v>
      </c>
      <c r="AG9" s="1">
        <v>23.08</v>
      </c>
      <c r="AH9" s="1">
        <v>23.73</v>
      </c>
      <c r="AI9" s="1">
        <v>24.9</v>
      </c>
      <c r="AJ9" s="1">
        <v>26.56</v>
      </c>
      <c r="AK9" s="1">
        <v>32</v>
      </c>
      <c r="AL9" s="1">
        <v>338.84</v>
      </c>
      <c r="AM9" s="1">
        <v>395.02</v>
      </c>
      <c r="AN9" s="1">
        <v>395.86</v>
      </c>
      <c r="AO9" s="1">
        <v>393.72</v>
      </c>
      <c r="AP9" s="1">
        <v>369.67</v>
      </c>
      <c r="AQ9" s="1">
        <v>400.5</v>
      </c>
      <c r="AR9" s="1">
        <v>404</v>
      </c>
      <c r="AS9" s="1">
        <v>413</v>
      </c>
      <c r="AT9" s="1">
        <v>0.03</v>
      </c>
      <c r="AU9" s="1">
        <v>0.065</v>
      </c>
      <c r="AV9" s="1">
        <v>-0.095</v>
      </c>
      <c r="AW9" s="1">
        <v>0.075</v>
      </c>
      <c r="AX9" s="1">
        <v>-0.025</v>
      </c>
      <c r="AY9" s="1">
        <v>0.06</v>
      </c>
      <c r="AZ9" s="1">
        <v>3.15</v>
      </c>
      <c r="BA9" s="1">
        <f>Earnings!I10</f>
        <v>0.0578</v>
      </c>
    </row>
    <row r="10" spans="1:53" ht="12.75">
      <c r="A10" s="22" t="s">
        <v>13</v>
      </c>
      <c r="B10" s="15">
        <f>'$perShare'!F207</f>
        <v>24.349333333333334</v>
      </c>
      <c r="C10" s="1">
        <v>1</v>
      </c>
      <c r="D10" s="3" t="s">
        <v>215</v>
      </c>
      <c r="E10" s="1">
        <v>0.225</v>
      </c>
      <c r="F10" s="1">
        <v>1.52</v>
      </c>
      <c r="G10" s="1">
        <v>1.26</v>
      </c>
      <c r="H10" s="1">
        <v>1.32</v>
      </c>
      <c r="I10" s="1">
        <v>1.42</v>
      </c>
      <c r="J10" s="1">
        <v>1.36</v>
      </c>
      <c r="K10" s="1">
        <v>1.3</v>
      </c>
      <c r="L10" s="1">
        <v>1.5</v>
      </c>
      <c r="M10" s="1">
        <v>2</v>
      </c>
      <c r="N10" s="1">
        <v>0.9</v>
      </c>
      <c r="O10" s="1">
        <v>0.9</v>
      </c>
      <c r="P10" s="1">
        <v>0.9</v>
      </c>
      <c r="Q10" s="1">
        <v>0.9</v>
      </c>
      <c r="R10" s="1">
        <v>0.9</v>
      </c>
      <c r="S10" s="1">
        <v>0.9</v>
      </c>
      <c r="T10" s="1">
        <v>0.9</v>
      </c>
      <c r="U10" s="1">
        <v>1.3</v>
      </c>
      <c r="V10" s="1">
        <v>0.131</v>
      </c>
      <c r="W10" s="1">
        <v>0.125</v>
      </c>
      <c r="X10" s="1">
        <v>0.119</v>
      </c>
      <c r="Y10" s="1">
        <v>0.107</v>
      </c>
      <c r="Z10" s="1">
        <v>0.083</v>
      </c>
      <c r="AA10" s="1">
        <v>0.08</v>
      </c>
      <c r="AB10" s="1">
        <v>0.09</v>
      </c>
      <c r="AC10" s="1">
        <v>0.105</v>
      </c>
      <c r="AD10" s="1">
        <v>11.77</v>
      </c>
      <c r="AE10" s="1">
        <v>10.09</v>
      </c>
      <c r="AF10" s="1">
        <v>10.83</v>
      </c>
      <c r="AG10" s="1">
        <v>13.69</v>
      </c>
      <c r="AH10" s="1">
        <v>15.22</v>
      </c>
      <c r="AI10" s="1">
        <v>16.25</v>
      </c>
      <c r="AJ10" s="1">
        <v>17</v>
      </c>
      <c r="AK10" s="1">
        <v>19.5</v>
      </c>
      <c r="AL10" s="1">
        <v>47.04</v>
      </c>
      <c r="AM10" s="1">
        <v>47.18</v>
      </c>
      <c r="AN10" s="1">
        <v>49.62</v>
      </c>
      <c r="AO10" s="1">
        <v>49.99</v>
      </c>
      <c r="AP10" s="1">
        <v>57.75</v>
      </c>
      <c r="AQ10" s="1">
        <v>60</v>
      </c>
      <c r="AR10" s="1">
        <v>61</v>
      </c>
      <c r="AS10" s="1">
        <v>64</v>
      </c>
      <c r="AT10" s="1">
        <v>0</v>
      </c>
      <c r="AU10" s="1">
        <v>0.065</v>
      </c>
      <c r="AV10" s="1">
        <v>0.01</v>
      </c>
      <c r="AW10" s="1">
        <v>0.065</v>
      </c>
      <c r="AX10" s="1">
        <v>0.055</v>
      </c>
      <c r="AY10" s="1">
        <v>0.065</v>
      </c>
      <c r="AZ10" s="1">
        <f>Earnings!E11</f>
        <v>1.97</v>
      </c>
      <c r="BA10" s="1">
        <f>Earnings!I11</f>
        <v>0.155</v>
      </c>
    </row>
    <row r="11" spans="1:53" ht="12.75">
      <c r="A11" s="22" t="s">
        <v>14</v>
      </c>
      <c r="B11" s="15">
        <f>'$perShare'!F242</f>
        <v>21.443999999999996</v>
      </c>
      <c r="C11" s="1">
        <v>0.85</v>
      </c>
      <c r="D11" s="3" t="s">
        <v>215</v>
      </c>
      <c r="E11" s="1">
        <v>0.32</v>
      </c>
      <c r="F11" s="1">
        <v>1.19</v>
      </c>
      <c r="G11" s="1">
        <v>1.29</v>
      </c>
      <c r="H11" s="1">
        <v>0.86</v>
      </c>
      <c r="I11" s="1">
        <v>0.92</v>
      </c>
      <c r="J11" s="1">
        <v>1.41</v>
      </c>
      <c r="K11" s="1">
        <v>1.25</v>
      </c>
      <c r="L11" s="1">
        <v>1.45</v>
      </c>
      <c r="M11" s="1">
        <v>1.75</v>
      </c>
      <c r="N11" s="1">
        <v>1.28</v>
      </c>
      <c r="O11" s="1">
        <v>1.28</v>
      </c>
      <c r="P11" s="1">
        <v>1.28</v>
      </c>
      <c r="Q11" s="1">
        <v>1.28</v>
      </c>
      <c r="R11" s="1">
        <v>1.28</v>
      </c>
      <c r="S11" s="1">
        <v>1.28</v>
      </c>
      <c r="T11" s="1">
        <v>1.28</v>
      </c>
      <c r="U11" s="1">
        <v>1.35</v>
      </c>
      <c r="V11" s="1">
        <v>0.078</v>
      </c>
      <c r="W11" s="1">
        <v>0.078</v>
      </c>
      <c r="X11" s="1">
        <v>0.058</v>
      </c>
      <c r="Y11" s="1">
        <v>0.06</v>
      </c>
      <c r="Z11" s="1">
        <v>0.085</v>
      </c>
      <c r="AA11" s="1">
        <v>0.07</v>
      </c>
      <c r="AB11" s="1">
        <v>0.085</v>
      </c>
      <c r="AC11" s="1">
        <v>0.105</v>
      </c>
      <c r="AD11" s="1">
        <v>14.59</v>
      </c>
      <c r="AE11" s="1">
        <v>15.17</v>
      </c>
      <c r="AF11" s="1">
        <v>14.76</v>
      </c>
      <c r="AG11" s="1">
        <v>15.08</v>
      </c>
      <c r="AH11" s="1">
        <v>15.49</v>
      </c>
      <c r="AI11" s="1">
        <v>16.1</v>
      </c>
      <c r="AJ11" s="1">
        <v>16.65</v>
      </c>
      <c r="AK11" s="1">
        <v>18</v>
      </c>
      <c r="AL11" s="1">
        <v>22.57</v>
      </c>
      <c r="AM11" s="1">
        <v>24.98</v>
      </c>
      <c r="AN11" s="1">
        <v>25.7</v>
      </c>
      <c r="AO11" s="1">
        <v>26.08</v>
      </c>
      <c r="AP11" s="1">
        <v>30.25</v>
      </c>
      <c r="AQ11" s="1">
        <v>34.25</v>
      </c>
      <c r="AR11" s="1">
        <v>35.8</v>
      </c>
      <c r="AS11" s="1">
        <v>36</v>
      </c>
      <c r="AT11" s="1">
        <v>0.01</v>
      </c>
      <c r="AU11" s="1">
        <v>0.085</v>
      </c>
      <c r="AV11" s="1">
        <v>0</v>
      </c>
      <c r="AW11" s="1">
        <v>0.01</v>
      </c>
      <c r="AX11" s="1">
        <v>0.02</v>
      </c>
      <c r="AY11" s="1">
        <v>0.03</v>
      </c>
      <c r="AZ11" s="1">
        <v>1.5</v>
      </c>
      <c r="BA11" s="1">
        <f>Earnings!I12</f>
        <v>0.06</v>
      </c>
    </row>
    <row r="12" spans="1:53" ht="12.75">
      <c r="A12" s="22" t="s">
        <v>15</v>
      </c>
      <c r="B12" s="15">
        <f>'$perShare'!F277</f>
        <v>106.26433333333335</v>
      </c>
      <c r="C12" s="1">
        <v>0.85</v>
      </c>
      <c r="D12" s="3" t="s">
        <v>215</v>
      </c>
      <c r="E12" s="1">
        <v>0.75</v>
      </c>
      <c r="F12" s="1">
        <v>3.68</v>
      </c>
      <c r="G12" s="1">
        <v>3.69</v>
      </c>
      <c r="H12" s="1">
        <v>3.93</v>
      </c>
      <c r="I12" s="1">
        <v>4.4</v>
      </c>
      <c r="J12" s="1">
        <v>5.36</v>
      </c>
      <c r="K12" s="1">
        <v>5.6</v>
      </c>
      <c r="L12" s="1">
        <v>6.6</v>
      </c>
      <c r="M12" s="1">
        <v>7.8</v>
      </c>
      <c r="N12" s="1">
        <v>1.34</v>
      </c>
      <c r="O12" s="1">
        <v>1.6</v>
      </c>
      <c r="P12" s="1">
        <v>1.89</v>
      </c>
      <c r="Q12" s="1">
        <v>2.16</v>
      </c>
      <c r="R12" s="1">
        <v>2.16</v>
      </c>
      <c r="S12" s="1">
        <v>2.58</v>
      </c>
      <c r="T12" s="1">
        <v>3.1</v>
      </c>
      <c r="U12" s="1">
        <v>3.7</v>
      </c>
      <c r="V12" s="1">
        <v>0.109</v>
      </c>
      <c r="W12" s="1">
        <v>0.098</v>
      </c>
      <c r="X12" s="1">
        <v>0.11</v>
      </c>
      <c r="Y12" s="1">
        <v>0.119</v>
      </c>
      <c r="Z12" s="1">
        <v>0.135</v>
      </c>
      <c r="AA12" s="1">
        <v>0.14</v>
      </c>
      <c r="AB12" s="1">
        <v>0.145</v>
      </c>
      <c r="AC12" s="1">
        <v>0.14</v>
      </c>
      <c r="AD12" s="1">
        <v>35.24</v>
      </c>
      <c r="AE12" s="1">
        <v>38.02</v>
      </c>
      <c r="AF12" s="1">
        <v>38.26</v>
      </c>
      <c r="AG12" s="1">
        <v>35.71</v>
      </c>
      <c r="AH12" s="1">
        <v>40.45</v>
      </c>
      <c r="AI12" s="1">
        <v>40.7</v>
      </c>
      <c r="AJ12" s="1">
        <v>42.35</v>
      </c>
      <c r="AK12" s="1">
        <v>56.15</v>
      </c>
      <c r="AL12" s="1">
        <v>222.42</v>
      </c>
      <c r="AM12" s="1">
        <v>228.9</v>
      </c>
      <c r="AN12" s="1">
        <v>216.83</v>
      </c>
      <c r="AO12" s="1">
        <v>216.83</v>
      </c>
      <c r="AP12" s="1">
        <v>202.67</v>
      </c>
      <c r="AQ12" s="1">
        <v>194</v>
      </c>
      <c r="AR12" s="1">
        <v>188</v>
      </c>
      <c r="AS12" s="1">
        <v>194</v>
      </c>
      <c r="AT12" s="1">
        <v>0.105</v>
      </c>
      <c r="AU12" s="1">
        <v>0.095</v>
      </c>
      <c r="AV12" s="1">
        <v>0.11</v>
      </c>
      <c r="AW12" s="1">
        <v>0.1</v>
      </c>
      <c r="AX12" s="1">
        <v>0.04</v>
      </c>
      <c r="AY12" s="1">
        <v>0.065</v>
      </c>
      <c r="AZ12" s="1">
        <v>6.6</v>
      </c>
      <c r="BA12" s="1">
        <f>Earnings!I13</f>
        <v>0.0988</v>
      </c>
    </row>
    <row r="13" spans="1:53" ht="12.75">
      <c r="A13" s="22" t="s">
        <v>16</v>
      </c>
      <c r="B13" s="15">
        <f>'$perShare'!F312</f>
        <v>22.684000000000005</v>
      </c>
      <c r="C13" s="1">
        <v>0.7</v>
      </c>
      <c r="D13" s="3" t="s">
        <v>215</v>
      </c>
      <c r="E13" s="1">
        <v>0.31</v>
      </c>
      <c r="F13" s="1">
        <v>1.62</v>
      </c>
      <c r="G13" s="1">
        <v>1.58</v>
      </c>
      <c r="H13" s="1">
        <v>1.36</v>
      </c>
      <c r="I13" s="1">
        <v>1.46</v>
      </c>
      <c r="J13" s="1">
        <v>1.33</v>
      </c>
      <c r="K13" s="1">
        <v>0.9</v>
      </c>
      <c r="L13" s="1">
        <v>1.25</v>
      </c>
      <c r="M13" s="1">
        <v>1.5</v>
      </c>
      <c r="N13" s="1">
        <v>1.24</v>
      </c>
      <c r="O13" s="1">
        <v>1.24</v>
      </c>
      <c r="P13" s="1">
        <v>1.24</v>
      </c>
      <c r="Q13" s="1">
        <v>1.24</v>
      </c>
      <c r="R13" s="1">
        <v>1.24</v>
      </c>
      <c r="S13" s="1">
        <v>1.24</v>
      </c>
      <c r="T13" s="1">
        <v>1.24</v>
      </c>
      <c r="U13" s="1">
        <v>1.24</v>
      </c>
      <c r="V13" s="1">
        <v>0.113</v>
      </c>
      <c r="W13" s="1">
        <v>0.108</v>
      </c>
      <c r="X13" s="1">
        <v>0.089</v>
      </c>
      <c r="Y13" s="1">
        <v>0.097</v>
      </c>
      <c r="Z13" s="1">
        <v>0.099</v>
      </c>
      <c r="AA13" s="1">
        <v>0.065</v>
      </c>
      <c r="AB13" s="1">
        <v>0.09</v>
      </c>
      <c r="AC13" s="1">
        <v>0.11</v>
      </c>
      <c r="AD13" s="1">
        <v>14.21</v>
      </c>
      <c r="AE13" s="1">
        <v>14.36</v>
      </c>
      <c r="AF13" s="1">
        <v>15.01</v>
      </c>
      <c r="AG13" s="1">
        <v>15.02</v>
      </c>
      <c r="AH13" s="1">
        <v>13.44</v>
      </c>
      <c r="AI13" s="1">
        <v>13.6</v>
      </c>
      <c r="AJ13" s="1">
        <v>13.75</v>
      </c>
      <c r="AK13" s="1">
        <v>14.25</v>
      </c>
      <c r="AL13" s="1">
        <v>73.62</v>
      </c>
      <c r="AM13" s="1">
        <v>75.84</v>
      </c>
      <c r="AN13" s="1">
        <v>80.69</v>
      </c>
      <c r="AO13" s="1">
        <v>80.98</v>
      </c>
      <c r="AP13" s="1">
        <v>81.46</v>
      </c>
      <c r="AQ13" s="1">
        <v>83.5</v>
      </c>
      <c r="AR13" s="1">
        <v>85.5</v>
      </c>
      <c r="AS13" s="1">
        <v>87</v>
      </c>
      <c r="AT13" s="1">
        <v>-0.01</v>
      </c>
      <c r="AU13" s="1">
        <v>0.015</v>
      </c>
      <c r="AV13" s="1">
        <v>0</v>
      </c>
      <c r="AW13" s="1">
        <v>0</v>
      </c>
      <c r="AX13" s="1">
        <v>0.02</v>
      </c>
      <c r="AY13" s="1">
        <v>-0.005</v>
      </c>
      <c r="AZ13" s="1">
        <v>1.25</v>
      </c>
      <c r="BA13" s="1">
        <f>Earnings!I14</f>
        <v>0.036</v>
      </c>
    </row>
    <row r="14" spans="1:53" s="14" customFormat="1" ht="12.75">
      <c r="A14" s="22" t="s">
        <v>79</v>
      </c>
      <c r="B14" s="17">
        <f>'$perShare'!F347</f>
        <v>14.473333333333331</v>
      </c>
      <c r="C14" s="18">
        <v>0.85</v>
      </c>
      <c r="D14" s="16" t="s">
        <v>215</v>
      </c>
      <c r="E14" s="18">
        <v>0.23</v>
      </c>
      <c r="F14" s="18">
        <v>1.07</v>
      </c>
      <c r="G14" s="18">
        <v>1.15</v>
      </c>
      <c r="H14" s="18">
        <v>1.43</v>
      </c>
      <c r="I14" s="18">
        <v>1.59</v>
      </c>
      <c r="J14" s="18">
        <v>1.72</v>
      </c>
      <c r="K14" s="18">
        <v>1.35</v>
      </c>
      <c r="L14" s="18">
        <v>1.65</v>
      </c>
      <c r="M14" s="18">
        <v>1.85</v>
      </c>
      <c r="N14" s="18">
        <v>0.57</v>
      </c>
      <c r="O14" s="18">
        <v>0.61</v>
      </c>
      <c r="P14" s="18">
        <v>0.63</v>
      </c>
      <c r="Q14" s="18">
        <v>0.79</v>
      </c>
      <c r="R14" s="18">
        <v>0.86</v>
      </c>
      <c r="S14" s="18">
        <v>0.93</v>
      </c>
      <c r="T14" s="18">
        <v>0.97</v>
      </c>
      <c r="U14" s="18">
        <v>1.09</v>
      </c>
      <c r="V14" s="18">
        <v>0.065</v>
      </c>
      <c r="W14" s="18">
        <v>0.063</v>
      </c>
      <c r="X14" s="18">
        <v>0.08</v>
      </c>
      <c r="Y14" s="18">
        <v>0.082</v>
      </c>
      <c r="Z14" s="18">
        <v>0.072</v>
      </c>
      <c r="AA14" s="18">
        <v>0.055</v>
      </c>
      <c r="AB14" s="18">
        <v>0.07</v>
      </c>
      <c r="AC14" s="18">
        <v>0.07</v>
      </c>
      <c r="AD14" s="18">
        <v>16.6</v>
      </c>
      <c r="AE14" s="18">
        <v>17.84</v>
      </c>
      <c r="AF14" s="18">
        <v>18.19</v>
      </c>
      <c r="AG14" s="18">
        <v>19.7</v>
      </c>
      <c r="AH14" s="18">
        <v>22.09</v>
      </c>
      <c r="AI14" s="18">
        <v>22.45</v>
      </c>
      <c r="AJ14" s="18">
        <v>23.7</v>
      </c>
      <c r="AK14" s="18">
        <v>25.9</v>
      </c>
      <c r="AL14" s="18">
        <v>58.68</v>
      </c>
      <c r="AM14" s="18">
        <v>60.39</v>
      </c>
      <c r="AN14" s="18">
        <v>60.46</v>
      </c>
      <c r="AO14" s="18">
        <v>68.79</v>
      </c>
      <c r="AP14" s="18">
        <v>76.65</v>
      </c>
      <c r="AQ14" s="18">
        <v>77</v>
      </c>
      <c r="AR14" s="18">
        <v>80</v>
      </c>
      <c r="AS14" s="18">
        <v>80</v>
      </c>
      <c r="AT14" s="18">
        <v>-0.025</v>
      </c>
      <c r="AU14" s="18">
        <v>0.025</v>
      </c>
      <c r="AV14" s="18">
        <v>0.075</v>
      </c>
      <c r="AW14" s="18">
        <v>0.06</v>
      </c>
      <c r="AX14" s="18">
        <v>0.045</v>
      </c>
      <c r="AY14" s="18">
        <v>0.045</v>
      </c>
      <c r="AZ14" s="1">
        <v>1.65</v>
      </c>
      <c r="BA14" s="1">
        <f>Earnings!I15</f>
        <v>0.1225</v>
      </c>
    </row>
    <row r="15" spans="1:53" s="14" customFormat="1" ht="12.75">
      <c r="A15" s="22" t="s">
        <v>125</v>
      </c>
      <c r="B15" s="17">
        <f>'$perShare'!F382</f>
        <v>36.852</v>
      </c>
      <c r="C15" s="18">
        <v>0.8</v>
      </c>
      <c r="D15" s="16" t="s">
        <v>56</v>
      </c>
      <c r="E15" s="18">
        <v>0.525</v>
      </c>
      <c r="F15" s="18">
        <v>2.53</v>
      </c>
      <c r="G15" s="18">
        <v>2.52</v>
      </c>
      <c r="H15" s="18">
        <v>2.58</v>
      </c>
      <c r="I15" s="18">
        <v>2.24</v>
      </c>
      <c r="J15" s="18">
        <v>3.17</v>
      </c>
      <c r="K15" s="18">
        <v>2.94</v>
      </c>
      <c r="L15" s="18">
        <v>2.55</v>
      </c>
      <c r="M15" s="18">
        <v>2.95</v>
      </c>
      <c r="N15" s="18">
        <v>1.63</v>
      </c>
      <c r="O15" s="18">
        <v>1.73</v>
      </c>
      <c r="P15" s="18">
        <v>1.83</v>
      </c>
      <c r="Q15" s="18">
        <v>1.93</v>
      </c>
      <c r="R15" s="18">
        <v>2.03</v>
      </c>
      <c r="S15" s="18">
        <v>2.1</v>
      </c>
      <c r="T15" s="18">
        <v>2.12</v>
      </c>
      <c r="U15" s="18">
        <v>2.28</v>
      </c>
      <c r="V15" s="18">
        <v>0.08</v>
      </c>
      <c r="W15" s="18">
        <v>0.081</v>
      </c>
      <c r="X15" s="18">
        <v>0.08</v>
      </c>
      <c r="Y15" s="18">
        <v>0.065</v>
      </c>
      <c r="Z15" s="18">
        <v>0.092</v>
      </c>
      <c r="AA15" s="18">
        <v>0.085</v>
      </c>
      <c r="AB15" s="18">
        <v>0.07</v>
      </c>
      <c r="AC15" s="18">
        <v>0.08</v>
      </c>
      <c r="AD15" s="18">
        <v>29.44</v>
      </c>
      <c r="AE15" s="18">
        <v>31</v>
      </c>
      <c r="AF15" s="18">
        <v>32.14</v>
      </c>
      <c r="AG15" s="18">
        <v>34.57</v>
      </c>
      <c r="AH15" s="18">
        <v>34.47</v>
      </c>
      <c r="AI15" s="18">
        <v>35.3</v>
      </c>
      <c r="AJ15" s="18">
        <v>36.25</v>
      </c>
      <c r="AK15" s="18">
        <v>37.55</v>
      </c>
      <c r="AL15" s="18">
        <v>91.26</v>
      </c>
      <c r="AM15" s="18">
        <v>91.29</v>
      </c>
      <c r="AN15" s="18">
        <v>91.79</v>
      </c>
      <c r="AO15" s="18">
        <v>99.08</v>
      </c>
      <c r="AP15" s="18">
        <v>99.96</v>
      </c>
      <c r="AQ15" s="18">
        <v>100.4</v>
      </c>
      <c r="AR15" s="18">
        <v>100.5</v>
      </c>
      <c r="AS15" s="18">
        <v>100.8</v>
      </c>
      <c r="AT15" s="18">
        <v>-0.05</v>
      </c>
      <c r="AU15" s="18">
        <v>0.015</v>
      </c>
      <c r="AV15" s="18">
        <v>0.06</v>
      </c>
      <c r="AW15" s="18">
        <v>0.03</v>
      </c>
      <c r="AX15" s="18">
        <v>0.04</v>
      </c>
      <c r="AY15" s="18">
        <v>0.02</v>
      </c>
      <c r="AZ15" s="1">
        <v>2.55</v>
      </c>
      <c r="BA15" s="1">
        <f>Earnings!I16</f>
        <v>0.0558</v>
      </c>
    </row>
    <row r="16" spans="1:53" s="14" customFormat="1" ht="12.75">
      <c r="A16" s="22" t="s">
        <v>245</v>
      </c>
      <c r="B16" s="17">
        <f>'$perShare'!F417</f>
        <v>26.488333333333337</v>
      </c>
      <c r="C16" s="18">
        <v>0.8</v>
      </c>
      <c r="D16" s="16" t="s">
        <v>215</v>
      </c>
      <c r="E16" s="18">
        <v>0.25</v>
      </c>
      <c r="F16" s="18">
        <v>1.24</v>
      </c>
      <c r="G16" s="18">
        <v>1.22</v>
      </c>
      <c r="H16" s="18">
        <v>1.32</v>
      </c>
      <c r="I16" s="18">
        <v>1.42</v>
      </c>
      <c r="J16" s="18">
        <v>1.44</v>
      </c>
      <c r="K16" s="18">
        <v>1.6</v>
      </c>
      <c r="L16" s="18">
        <v>1.6</v>
      </c>
      <c r="M16" s="18">
        <v>2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1.2</v>
      </c>
      <c r="V16" s="18">
        <v>0.072</v>
      </c>
      <c r="W16" s="18">
        <v>0.07</v>
      </c>
      <c r="X16" s="18">
        <v>0.081</v>
      </c>
      <c r="Y16" s="18">
        <v>0.072</v>
      </c>
      <c r="Z16" s="18">
        <v>0.079</v>
      </c>
      <c r="AA16" s="18">
        <v>0.075</v>
      </c>
      <c r="AB16" s="18">
        <v>0.08</v>
      </c>
      <c r="AC16" s="18">
        <v>0.09</v>
      </c>
      <c r="AD16" s="18">
        <v>16.27</v>
      </c>
      <c r="AE16" s="18">
        <v>16.71</v>
      </c>
      <c r="AF16" s="18">
        <v>16.24</v>
      </c>
      <c r="AG16" s="18">
        <v>17.52</v>
      </c>
      <c r="AH16" s="18">
        <v>18.15</v>
      </c>
      <c r="AI16" s="18">
        <v>19.15</v>
      </c>
      <c r="AJ16" s="18">
        <v>19.75</v>
      </c>
      <c r="AK16" s="18">
        <v>22</v>
      </c>
      <c r="AL16" s="18">
        <v>93.64</v>
      </c>
      <c r="AM16" s="18">
        <v>99.07</v>
      </c>
      <c r="AN16" s="18">
        <v>99.87</v>
      </c>
      <c r="AO16" s="18">
        <v>115.7</v>
      </c>
      <c r="AP16" s="18">
        <v>116.58</v>
      </c>
      <c r="AQ16" s="18">
        <v>130</v>
      </c>
      <c r="AR16" s="18">
        <v>131</v>
      </c>
      <c r="AS16" s="18">
        <v>134</v>
      </c>
      <c r="AT16" s="18">
        <v>-0.045</v>
      </c>
      <c r="AU16" s="18">
        <v>0.06</v>
      </c>
      <c r="AV16" s="18">
        <v>-0.115</v>
      </c>
      <c r="AW16" s="18">
        <v>0.03</v>
      </c>
      <c r="AX16" s="18">
        <v>0.015</v>
      </c>
      <c r="AY16" s="18">
        <v>0.04</v>
      </c>
      <c r="AZ16" s="1">
        <v>1.6</v>
      </c>
      <c r="BA16" s="1">
        <f>Earnings!I17</f>
        <v>0.0567</v>
      </c>
    </row>
    <row r="17" spans="1:53" s="14" customFormat="1" ht="12.75">
      <c r="A17" s="22" t="s">
        <v>144</v>
      </c>
      <c r="B17" s="17">
        <f>'$perShare'!F452</f>
        <v>26.894666666666662</v>
      </c>
      <c r="C17" s="18">
        <v>0.6</v>
      </c>
      <c r="D17" s="16" t="s">
        <v>56</v>
      </c>
      <c r="E17" s="18">
        <v>0.225</v>
      </c>
      <c r="F17" s="18">
        <v>0.97</v>
      </c>
      <c r="G17" s="18">
        <v>1.3</v>
      </c>
      <c r="H17" s="18">
        <v>1.31</v>
      </c>
      <c r="I17" s="18">
        <v>1.3</v>
      </c>
      <c r="J17" s="18">
        <v>1.85</v>
      </c>
      <c r="K17" s="18">
        <v>1.6</v>
      </c>
      <c r="L17" s="18">
        <v>1.75</v>
      </c>
      <c r="M17" s="18">
        <v>1.9</v>
      </c>
      <c r="N17" s="18">
        <v>0.5</v>
      </c>
      <c r="O17" s="18">
        <v>0.6</v>
      </c>
      <c r="P17" s="18">
        <v>0.64</v>
      </c>
      <c r="Q17" s="18">
        <v>0.76</v>
      </c>
      <c r="R17" s="18">
        <v>0.84</v>
      </c>
      <c r="S17" s="18">
        <v>0.9</v>
      </c>
      <c r="T17" s="18">
        <v>0.96</v>
      </c>
      <c r="U17" s="18">
        <v>1.14</v>
      </c>
      <c r="V17" s="18">
        <v>0.076</v>
      </c>
      <c r="W17" s="18">
        <v>0.084</v>
      </c>
      <c r="X17" s="18">
        <v>0.079</v>
      </c>
      <c r="Y17" s="18">
        <v>0.075</v>
      </c>
      <c r="Z17" s="18">
        <v>0.106</v>
      </c>
      <c r="AA17" s="18">
        <v>0.08</v>
      </c>
      <c r="AB17" s="18">
        <v>0.085</v>
      </c>
      <c r="AC17" s="18">
        <v>0.085</v>
      </c>
      <c r="AD17" s="18">
        <v>13.05</v>
      </c>
      <c r="AE17" s="18">
        <v>15.97</v>
      </c>
      <c r="AF17" s="18">
        <v>16.95</v>
      </c>
      <c r="AG17" s="18">
        <v>17.68</v>
      </c>
      <c r="AH17" s="18">
        <v>18.59</v>
      </c>
      <c r="AI17" s="18">
        <v>19.55</v>
      </c>
      <c r="AJ17" s="18">
        <v>20.85</v>
      </c>
      <c r="AK17" s="18">
        <v>22.25</v>
      </c>
      <c r="AL17" s="18">
        <v>33.58</v>
      </c>
      <c r="AM17" s="18">
        <v>33.79</v>
      </c>
      <c r="AN17" s="18">
        <v>34.26</v>
      </c>
      <c r="AO17" s="18">
        <v>34.87</v>
      </c>
      <c r="AP17" s="18">
        <v>35.19</v>
      </c>
      <c r="AQ17" s="18">
        <v>35.7</v>
      </c>
      <c r="AR17" s="18">
        <v>36.2</v>
      </c>
      <c r="AS17" s="18">
        <v>37.7</v>
      </c>
      <c r="AT17" s="18">
        <v>0.015</v>
      </c>
      <c r="AU17" s="18">
        <v>0.04</v>
      </c>
      <c r="AV17" s="18" t="s">
        <v>1</v>
      </c>
      <c r="AW17" s="18">
        <v>0.07</v>
      </c>
      <c r="AX17" s="18">
        <v>0.095</v>
      </c>
      <c r="AY17" s="18">
        <v>0.04</v>
      </c>
      <c r="AZ17" s="1">
        <v>1.75</v>
      </c>
      <c r="BA17" s="1" t="str">
        <f>Earnings!I18</f>
        <v>n/a</v>
      </c>
    </row>
    <row r="18" spans="1:53" s="14" customFormat="1" ht="12.75">
      <c r="A18" s="22" t="s">
        <v>54</v>
      </c>
      <c r="B18" s="17">
        <f>'$perShare'!F487</f>
        <v>20.492666666666665</v>
      </c>
      <c r="C18" s="18">
        <v>0.75</v>
      </c>
      <c r="D18" s="16" t="s">
        <v>215</v>
      </c>
      <c r="E18" s="18">
        <v>0.23</v>
      </c>
      <c r="F18" s="18">
        <v>0.42</v>
      </c>
      <c r="G18" s="18">
        <v>1.23</v>
      </c>
      <c r="H18" s="18">
        <v>1.27</v>
      </c>
      <c r="I18" s="18">
        <v>1.2</v>
      </c>
      <c r="J18" s="18">
        <v>1.35</v>
      </c>
      <c r="K18" s="18">
        <v>1.35</v>
      </c>
      <c r="L18" s="18">
        <v>1.5</v>
      </c>
      <c r="M18" s="18">
        <v>1.75</v>
      </c>
      <c r="N18" s="18">
        <v>1.13</v>
      </c>
      <c r="O18" s="18">
        <v>0.75</v>
      </c>
      <c r="P18" s="18">
        <v>0.81</v>
      </c>
      <c r="Q18" s="18">
        <v>0.85</v>
      </c>
      <c r="R18" s="18">
        <v>0.88</v>
      </c>
      <c r="S18" s="18">
        <v>0.91</v>
      </c>
      <c r="T18" s="18">
        <v>0.95</v>
      </c>
      <c r="U18" s="18">
        <v>1.1</v>
      </c>
      <c r="V18" s="18">
        <v>0.037</v>
      </c>
      <c r="W18" s="18">
        <v>0.098</v>
      </c>
      <c r="X18" s="18">
        <v>0.1</v>
      </c>
      <c r="Y18" s="18">
        <v>0.092</v>
      </c>
      <c r="Z18" s="18">
        <v>0.097</v>
      </c>
      <c r="AA18" s="18">
        <v>0.09</v>
      </c>
      <c r="AB18" s="18">
        <v>0.1</v>
      </c>
      <c r="AC18" s="18">
        <v>0.1</v>
      </c>
      <c r="AD18" s="18">
        <v>11.7</v>
      </c>
      <c r="AE18" s="18">
        <v>12.95</v>
      </c>
      <c r="AF18" s="18">
        <v>12.99</v>
      </c>
      <c r="AG18" s="18">
        <v>13.37</v>
      </c>
      <c r="AH18" s="18">
        <v>14.28</v>
      </c>
      <c r="AI18" s="18">
        <v>14.7</v>
      </c>
      <c r="AJ18" s="18">
        <v>15.3</v>
      </c>
      <c r="AK18" s="18">
        <v>17</v>
      </c>
      <c r="AL18" s="18">
        <v>398.71</v>
      </c>
      <c r="AM18" s="18">
        <v>398.96</v>
      </c>
      <c r="AN18" s="18">
        <v>400.46</v>
      </c>
      <c r="AO18" s="18">
        <v>403.39</v>
      </c>
      <c r="AP18" s="18">
        <v>407.3</v>
      </c>
      <c r="AQ18" s="18">
        <v>427</v>
      </c>
      <c r="AR18" s="18">
        <v>429</v>
      </c>
      <c r="AS18" s="18">
        <v>435</v>
      </c>
      <c r="AT18" s="18">
        <v>-0.065</v>
      </c>
      <c r="AU18" s="18">
        <v>0.055</v>
      </c>
      <c r="AV18" s="18">
        <v>-0.105</v>
      </c>
      <c r="AW18" s="18">
        <v>0.045</v>
      </c>
      <c r="AX18" s="18">
        <v>-0.045</v>
      </c>
      <c r="AY18" s="18">
        <v>0.04</v>
      </c>
      <c r="AZ18" s="1">
        <v>1.5</v>
      </c>
      <c r="BA18" s="1">
        <f>Earnings!I19</f>
        <v>0.0612</v>
      </c>
    </row>
    <row r="20" spans="1:53" ht="12.75">
      <c r="A20" s="3"/>
      <c r="B20" s="15" t="s">
        <v>186</v>
      </c>
      <c r="C20" s="1">
        <f>AVERAGE(C5:C17)</f>
        <v>0.8230769230769232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3"/>
      <c r="B21" s="15" t="s">
        <v>197</v>
      </c>
      <c r="C21">
        <f>AVERAGE(C5:C15,C17:C18)</f>
        <v>0.8192307692307692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5"/>
      <c r="B22" s="1"/>
      <c r="E22" s="1"/>
      <c r="I22" s="1"/>
      <c r="J22" s="1" t="s">
        <v>134</v>
      </c>
      <c r="K22" s="1"/>
      <c r="L22" s="1" t="s">
        <v>135</v>
      </c>
      <c r="M22" s="1"/>
      <c r="N22" s="1" t="s">
        <v>137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2.75">
      <c r="B23" s="1"/>
      <c r="E23" s="1"/>
      <c r="I23" s="1"/>
      <c r="J23" s="1"/>
      <c r="K23" s="1"/>
      <c r="L23" s="1" t="s">
        <v>136</v>
      </c>
      <c r="M23" s="1"/>
      <c r="N23" s="1" t="s">
        <v>136</v>
      </c>
      <c r="O23" s="1" t="s">
        <v>153</v>
      </c>
      <c r="P23" s="1" t="s">
        <v>158</v>
      </c>
      <c r="Q23" s="1" t="s">
        <v>159</v>
      </c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2" t="s">
        <v>195</v>
      </c>
      <c r="B24" s="1"/>
      <c r="I24" s="1"/>
      <c r="J24" s="1">
        <v>59</v>
      </c>
      <c r="K24" s="1"/>
      <c r="L24" s="1">
        <v>5</v>
      </c>
      <c r="M24" s="1"/>
      <c r="N24" s="67" t="s">
        <v>141</v>
      </c>
      <c r="O24" s="67" t="s">
        <v>68</v>
      </c>
      <c r="P24" s="1">
        <v>2</v>
      </c>
      <c r="Q24" s="1" t="s">
        <v>95</v>
      </c>
      <c r="R24" s="1"/>
      <c r="S24" s="1"/>
      <c r="T24" s="1"/>
      <c r="U24" s="1"/>
      <c r="V24" s="1">
        <f aca="true" t="shared" si="4" ref="V24:AC24">AVERAGE(V5:V17)</f>
        <v>0.08953846153846155</v>
      </c>
      <c r="W24" s="1">
        <f t="shared" si="4"/>
        <v>0.0943076923076923</v>
      </c>
      <c r="X24" s="1">
        <f t="shared" si="4"/>
        <v>0.08207692307692308</v>
      </c>
      <c r="Y24" s="1">
        <f t="shared" si="4"/>
        <v>0.09</v>
      </c>
      <c r="Z24" s="1">
        <f t="shared" si="4"/>
        <v>0.15276923076923077</v>
      </c>
      <c r="AA24" s="1">
        <f t="shared" si="4"/>
        <v>0.09000000000000001</v>
      </c>
      <c r="AB24" s="1">
        <f t="shared" si="4"/>
        <v>0.09538461538461539</v>
      </c>
      <c r="AC24" s="1">
        <f t="shared" si="4"/>
        <v>0.1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22" t="s">
        <v>80</v>
      </c>
      <c r="B25" s="1"/>
      <c r="I25" s="1"/>
      <c r="J25" s="1">
        <v>43</v>
      </c>
      <c r="K25" s="1"/>
      <c r="L25" s="1">
        <v>7</v>
      </c>
      <c r="M25" s="1"/>
      <c r="N25" s="68" t="s">
        <v>138</v>
      </c>
      <c r="O25" s="68" t="s">
        <v>69</v>
      </c>
      <c r="P25" s="1">
        <v>1</v>
      </c>
      <c r="Q25" s="1">
        <v>2</v>
      </c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2" t="s">
        <v>45</v>
      </c>
      <c r="B26" s="1"/>
      <c r="I26" s="1"/>
      <c r="J26" s="1">
        <v>43</v>
      </c>
      <c r="K26" s="1"/>
      <c r="L26" s="1">
        <v>4</v>
      </c>
      <c r="M26" s="1"/>
      <c r="N26" s="68" t="s">
        <v>141</v>
      </c>
      <c r="O26" s="68" t="s">
        <v>69</v>
      </c>
      <c r="P26" s="1">
        <v>2</v>
      </c>
      <c r="Q26" s="1">
        <v>2</v>
      </c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22" t="s">
        <v>46</v>
      </c>
      <c r="B27" s="1"/>
      <c r="I27" s="1"/>
      <c r="J27" s="1">
        <v>49</v>
      </c>
      <c r="K27" s="1"/>
      <c r="L27" s="1">
        <v>7</v>
      </c>
      <c r="M27" s="1"/>
      <c r="N27" s="68" t="s">
        <v>138</v>
      </c>
      <c r="O27" s="68" t="s">
        <v>70</v>
      </c>
      <c r="P27" s="1">
        <v>1</v>
      </c>
      <c r="Q27" s="1">
        <v>1</v>
      </c>
      <c r="R27" s="1"/>
      <c r="S27" s="1"/>
      <c r="T27" s="1"/>
      <c r="U27" s="1"/>
      <c r="V27" s="6"/>
      <c r="W27" s="7"/>
      <c r="X27" s="7">
        <f>AVERAGE(V24:Z24)</f>
        <v>0.10173846153846153</v>
      </c>
      <c r="Y27" s="7"/>
      <c r="Z27" s="8">
        <f>AVERAGE(X24:Z24)</f>
        <v>0.10828205128205128</v>
      </c>
      <c r="AA27" s="9"/>
      <c r="AB27" s="7">
        <f>AC24</f>
        <v>0.1</v>
      </c>
      <c r="AC27" s="8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22" t="s">
        <v>47</v>
      </c>
      <c r="B28" s="1"/>
      <c r="I28" s="1"/>
      <c r="J28" s="1">
        <v>39</v>
      </c>
      <c r="K28" s="1"/>
      <c r="L28" s="1">
        <v>5</v>
      </c>
      <c r="M28" s="1"/>
      <c r="N28" s="67" t="s">
        <v>138</v>
      </c>
      <c r="O28" s="67" t="s">
        <v>69</v>
      </c>
      <c r="P28" s="1">
        <v>1</v>
      </c>
      <c r="Q28" s="1">
        <v>2</v>
      </c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22" t="s">
        <v>48</v>
      </c>
      <c r="B29" s="1"/>
      <c r="I29" s="1"/>
      <c r="J29" s="1">
        <v>56</v>
      </c>
      <c r="K29" s="1"/>
      <c r="L29" s="1">
        <v>6</v>
      </c>
      <c r="M29" s="1"/>
      <c r="N29" s="67" t="s">
        <v>138</v>
      </c>
      <c r="O29" s="67" t="s">
        <v>152</v>
      </c>
      <c r="P29" s="1">
        <v>1</v>
      </c>
      <c r="Q29" s="1">
        <v>3</v>
      </c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22" t="s">
        <v>81</v>
      </c>
      <c r="B30" s="1"/>
      <c r="I30" s="1"/>
      <c r="J30" s="1">
        <v>45</v>
      </c>
      <c r="K30" s="1"/>
      <c r="L30" s="1">
        <v>6</v>
      </c>
      <c r="M30" s="1"/>
      <c r="N30" s="68" t="s">
        <v>141</v>
      </c>
      <c r="O30" s="68" t="s">
        <v>69</v>
      </c>
      <c r="P30" s="1">
        <v>2</v>
      </c>
      <c r="Q30" s="1">
        <v>2</v>
      </c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22" t="s">
        <v>49</v>
      </c>
      <c r="B31" s="1"/>
      <c r="I31" s="1"/>
      <c r="J31" s="1">
        <v>41</v>
      </c>
      <c r="K31" s="1"/>
      <c r="L31" s="1">
        <v>6</v>
      </c>
      <c r="M31" s="1"/>
      <c r="N31" s="68" t="s">
        <v>139</v>
      </c>
      <c r="O31" s="68" t="s">
        <v>70</v>
      </c>
      <c r="P31" s="1">
        <v>3</v>
      </c>
      <c r="Q31" s="1">
        <v>1</v>
      </c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22" t="s">
        <v>82</v>
      </c>
      <c r="B32" s="1"/>
      <c r="I32" s="1"/>
      <c r="J32" s="1">
        <v>27</v>
      </c>
      <c r="K32" s="1"/>
      <c r="L32" s="1">
        <v>5</v>
      </c>
      <c r="M32" s="1"/>
      <c r="N32" s="68" t="s">
        <v>138</v>
      </c>
      <c r="O32" s="68" t="s">
        <v>70</v>
      </c>
      <c r="P32" s="1">
        <v>1</v>
      </c>
      <c r="Q32" s="1">
        <v>1</v>
      </c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22" t="s">
        <v>194</v>
      </c>
      <c r="B33" s="1"/>
      <c r="I33" s="1"/>
      <c r="J33" s="1">
        <v>47</v>
      </c>
      <c r="K33" s="1"/>
      <c r="L33" s="1">
        <v>6</v>
      </c>
      <c r="M33" s="1"/>
      <c r="N33" s="68" t="s">
        <v>138</v>
      </c>
      <c r="O33" s="68" t="s">
        <v>70</v>
      </c>
      <c r="P33" s="1">
        <v>1</v>
      </c>
      <c r="Q33" s="1">
        <v>1</v>
      </c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22" t="s">
        <v>41</v>
      </c>
      <c r="B34" s="1"/>
      <c r="I34" s="1"/>
      <c r="J34" s="1">
        <v>50</v>
      </c>
      <c r="K34" s="1"/>
      <c r="L34" s="1">
        <v>6</v>
      </c>
      <c r="M34" s="1"/>
      <c r="N34" s="68" t="s">
        <v>140</v>
      </c>
      <c r="O34" s="68" t="s">
        <v>70</v>
      </c>
      <c r="P34" s="1">
        <v>0</v>
      </c>
      <c r="Q34" s="1">
        <v>1</v>
      </c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22" t="s">
        <v>50</v>
      </c>
      <c r="B35" s="1"/>
      <c r="I35" s="1"/>
      <c r="J35" s="1">
        <v>42</v>
      </c>
      <c r="K35" s="1"/>
      <c r="L35" s="1">
        <v>4</v>
      </c>
      <c r="M35" s="1"/>
      <c r="N35" s="68" t="s">
        <v>141</v>
      </c>
      <c r="O35" s="68" t="s">
        <v>70</v>
      </c>
      <c r="P35" s="1">
        <v>2</v>
      </c>
      <c r="Q35" s="1">
        <v>1</v>
      </c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22" t="s">
        <v>143</v>
      </c>
      <c r="B36" s="1"/>
      <c r="I36" s="1"/>
      <c r="J36" s="1">
        <v>28</v>
      </c>
      <c r="K36" s="1"/>
      <c r="L36" s="1">
        <v>6</v>
      </c>
      <c r="M36" s="1"/>
      <c r="N36" s="68" t="s">
        <v>138</v>
      </c>
      <c r="O36" s="68" t="s">
        <v>70</v>
      </c>
      <c r="P36" s="1">
        <v>1</v>
      </c>
      <c r="Q36" s="1">
        <v>1</v>
      </c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22" t="s">
        <v>51</v>
      </c>
      <c r="I37" s="1"/>
      <c r="J37" s="1">
        <v>43</v>
      </c>
      <c r="K37" s="1"/>
      <c r="L37" s="1">
        <v>5</v>
      </c>
      <c r="M37" s="1"/>
      <c r="N37" s="68" t="s">
        <v>139</v>
      </c>
      <c r="O37" s="68" t="s">
        <v>152</v>
      </c>
      <c r="P37" s="1">
        <v>3</v>
      </c>
      <c r="Q37" s="1">
        <v>3</v>
      </c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ht="12.75">
      <c r="N39" s="68" t="s">
        <v>154</v>
      </c>
    </row>
    <row r="40" spans="1:17" ht="12.75">
      <c r="A40" s="11"/>
      <c r="J40" s="21">
        <f>AVERAGE(J24:J37)</f>
        <v>43.714285714285715</v>
      </c>
      <c r="K40" s="21"/>
      <c r="L40" s="21">
        <f>AVERAGE(L24:L37)</f>
        <v>5.571428571428571</v>
      </c>
      <c r="N40" s="68" t="s">
        <v>155</v>
      </c>
      <c r="O40" s="21" t="s">
        <v>160</v>
      </c>
      <c r="P40">
        <f>AVERAGE(P24:P37)</f>
        <v>1.5</v>
      </c>
      <c r="Q40">
        <f>AVERAGE(Q24:Q37)</f>
        <v>1.6153846153846154</v>
      </c>
    </row>
    <row r="41" spans="1:17" ht="12.75">
      <c r="A41" s="11"/>
      <c r="J41" s="21">
        <f>MEDIAN(J24:J37)</f>
        <v>43</v>
      </c>
      <c r="K41" s="21"/>
      <c r="L41" s="21">
        <f>MEDIAN(L24:L37)</f>
        <v>6</v>
      </c>
      <c r="N41" s="68" t="s">
        <v>156</v>
      </c>
      <c r="O41" s="21" t="s">
        <v>161</v>
      </c>
      <c r="P41">
        <f>MEDIAN(P24:P37)</f>
        <v>1</v>
      </c>
      <c r="Q41">
        <f>MEDIAN(Q24:Q37)</f>
        <v>1</v>
      </c>
    </row>
    <row r="42" spans="6:17" ht="12.75">
      <c r="F42" s="14"/>
      <c r="N42" s="68" t="s">
        <v>157</v>
      </c>
      <c r="O42" t="s">
        <v>162</v>
      </c>
      <c r="P42">
        <v>2</v>
      </c>
      <c r="Q42">
        <v>1</v>
      </c>
    </row>
    <row r="43" spans="1:6" ht="12.75">
      <c r="A43" s="13"/>
      <c r="B43" s="14"/>
      <c r="C43" s="14"/>
      <c r="F43" s="14"/>
    </row>
    <row r="44" spans="1:6" ht="12.75">
      <c r="A44" s="13" t="s">
        <v>59</v>
      </c>
      <c r="B44" s="14"/>
      <c r="C44" s="14"/>
      <c r="D44" s="14"/>
      <c r="E44" s="14"/>
      <c r="F44" s="14"/>
    </row>
    <row r="45" spans="1:6" ht="12.75">
      <c r="A45" s="13"/>
      <c r="B45" s="14"/>
      <c r="C45" s="14"/>
      <c r="D45" s="14"/>
      <c r="E45" s="14"/>
      <c r="F45" s="14"/>
    </row>
    <row r="46" spans="1:6" ht="12.75">
      <c r="A46" s="13"/>
      <c r="B46" s="14"/>
      <c r="C46" s="14"/>
      <c r="D46" s="14"/>
      <c r="E46" s="14"/>
      <c r="F46" s="14"/>
    </row>
    <row r="47" spans="1:6" ht="12.75">
      <c r="A47" s="13"/>
      <c r="B47" s="14"/>
      <c r="C47" s="14"/>
      <c r="D47" s="14"/>
      <c r="E47" s="14"/>
      <c r="F47" s="14"/>
    </row>
    <row r="48" spans="1:6" ht="12.75">
      <c r="A48" s="13"/>
      <c r="B48" s="14"/>
      <c r="C48" s="14"/>
      <c r="D48" s="14"/>
      <c r="E48" s="14"/>
      <c r="F48" s="14"/>
    </row>
    <row r="49" spans="1:6" ht="12.75">
      <c r="A49" s="13"/>
      <c r="B49" s="14"/>
      <c r="C49" s="14"/>
      <c r="D49" s="14"/>
      <c r="E49" s="14"/>
      <c r="F49" s="14"/>
    </row>
    <row r="50" spans="1:6" ht="12.75">
      <c r="A50" s="13"/>
      <c r="B50" s="14"/>
      <c r="C50" s="14"/>
      <c r="D50" s="14"/>
      <c r="E50" s="14"/>
      <c r="F50" s="14"/>
    </row>
    <row r="51" spans="1:6" ht="12.75">
      <c r="A51" s="13"/>
      <c r="B51" s="14"/>
      <c r="C51" s="14"/>
      <c r="D51" s="14"/>
      <c r="E51" s="14"/>
      <c r="F51" s="14"/>
    </row>
    <row r="52" spans="1:6" ht="12.75">
      <c r="A52" s="13"/>
      <c r="B52" s="14"/>
      <c r="C52" s="14"/>
      <c r="D52" s="14"/>
      <c r="E52" s="14"/>
      <c r="F52" s="14"/>
    </row>
    <row r="53" spans="1:6" ht="12.75">
      <c r="A53" s="13"/>
      <c r="B53" s="14"/>
      <c r="C53" s="14"/>
      <c r="D53" s="14"/>
      <c r="E53" s="14"/>
      <c r="F53" s="14"/>
    </row>
    <row r="54" spans="1:6" ht="12.75">
      <c r="A54" s="13"/>
      <c r="B54" s="14"/>
      <c r="C54" s="14"/>
      <c r="D54" s="14"/>
      <c r="E54" s="14"/>
      <c r="F54" s="14"/>
    </row>
    <row r="55" spans="1:6" ht="12.75">
      <c r="A55" s="13"/>
      <c r="B55" s="14"/>
      <c r="C55" s="14"/>
      <c r="D55" s="14"/>
      <c r="E55" s="14"/>
      <c r="F55" s="14"/>
    </row>
    <row r="56" spans="1:6" ht="12.75">
      <c r="A56" s="13"/>
      <c r="B56" s="14"/>
      <c r="C56" s="14"/>
      <c r="D56" s="14"/>
      <c r="E56" s="14"/>
      <c r="F56" s="14"/>
    </row>
    <row r="57" spans="1:6" ht="12.75">
      <c r="A57" s="13"/>
      <c r="B57" s="14"/>
      <c r="C57" s="14"/>
      <c r="D57" s="14"/>
      <c r="E57" s="14"/>
      <c r="F57" s="14"/>
    </row>
    <row r="58" spans="1:6" ht="12.75">
      <c r="A58" s="13"/>
      <c r="B58" s="14"/>
      <c r="C58" s="14"/>
      <c r="D58" s="14"/>
      <c r="E58" s="14"/>
      <c r="F58" s="14"/>
    </row>
    <row r="59" spans="1:6" ht="12.75">
      <c r="A59" s="13"/>
      <c r="B59" s="14"/>
      <c r="C59" s="14"/>
      <c r="D59" s="14"/>
      <c r="E59" s="14"/>
      <c r="F59" s="14"/>
    </row>
    <row r="60" spans="1:6" ht="12.75">
      <c r="A60" s="13"/>
      <c r="B60" s="14"/>
      <c r="C60" s="14"/>
      <c r="D60" s="14"/>
      <c r="E60" s="14"/>
      <c r="F60" s="14"/>
    </row>
    <row r="61" spans="1:6" ht="12.75">
      <c r="A61" s="13"/>
      <c r="B61" s="14"/>
      <c r="C61" s="14"/>
      <c r="D61" s="14"/>
      <c r="E61" s="14"/>
      <c r="F61" s="14"/>
    </row>
    <row r="62" spans="1:6" ht="12.75">
      <c r="A62" s="13"/>
      <c r="B62" s="14"/>
      <c r="C62" s="14"/>
      <c r="D62" s="14"/>
      <c r="E62" s="14"/>
      <c r="F62" s="14"/>
    </row>
    <row r="63" spans="1:6" ht="12.75">
      <c r="A63" s="13"/>
      <c r="B63" s="14"/>
      <c r="C63" s="14"/>
      <c r="D63" s="14"/>
      <c r="E63" s="14"/>
      <c r="F63" s="14"/>
    </row>
    <row r="64" spans="1:6" ht="12.75">
      <c r="A64" s="13"/>
      <c r="B64" s="14"/>
      <c r="C64" s="14"/>
      <c r="D64" s="14"/>
      <c r="E64" s="14"/>
      <c r="F64" s="14"/>
    </row>
    <row r="65" spans="1:6" ht="12.75">
      <c r="A65" s="13"/>
      <c r="B65" s="14"/>
      <c r="C65" s="14"/>
      <c r="D65" s="14"/>
      <c r="E65" s="14"/>
      <c r="F65" s="14"/>
    </row>
    <row r="66" spans="1:6" ht="12.75">
      <c r="A66" s="13"/>
      <c r="B66" s="14"/>
      <c r="C66" s="14"/>
      <c r="D66" s="14"/>
      <c r="E66" s="14"/>
      <c r="F66" s="14"/>
    </row>
    <row r="67" spans="1:6" ht="12.75">
      <c r="A67" s="13"/>
      <c r="B67" s="14"/>
      <c r="C67" s="14"/>
      <c r="D67" s="14"/>
      <c r="E67" s="14"/>
      <c r="F67" s="14"/>
    </row>
    <row r="68" spans="1:6" ht="12.75">
      <c r="A68" s="13"/>
      <c r="B68" s="14"/>
      <c r="C68" s="14"/>
      <c r="D68" s="14"/>
      <c r="E68" s="14"/>
      <c r="F68" s="14"/>
    </row>
    <row r="69" spans="1:6" ht="12.75">
      <c r="A69" s="13"/>
      <c r="B69" s="14"/>
      <c r="C69" s="14"/>
      <c r="D69" s="14"/>
      <c r="E69" s="14"/>
      <c r="F69" s="14"/>
    </row>
    <row r="70" spans="1:6" ht="12.75">
      <c r="A70" s="13"/>
      <c r="B70" s="14"/>
      <c r="C70" s="14"/>
      <c r="D70" s="14"/>
      <c r="E70" s="14"/>
      <c r="F70" s="14"/>
    </row>
    <row r="71" spans="1:6" ht="12.75">
      <c r="A71" s="13"/>
      <c r="B71" s="14"/>
      <c r="C71" s="14"/>
      <c r="D71" s="14"/>
      <c r="E71" s="14"/>
      <c r="F71" s="14"/>
    </row>
    <row r="72" spans="1:6" ht="12.75">
      <c r="A72" s="13"/>
      <c r="B72" s="14"/>
      <c r="C72" s="14"/>
      <c r="D72" s="14"/>
      <c r="E72" s="14"/>
      <c r="F72" s="14"/>
    </row>
    <row r="73" spans="1:6" ht="12.75">
      <c r="A73" s="13"/>
      <c r="B73" s="14"/>
      <c r="C73" s="14"/>
      <c r="D73" s="14"/>
      <c r="E73" s="14"/>
      <c r="F73" s="14"/>
    </row>
    <row r="74" spans="1:6" ht="12.75">
      <c r="A74" s="13"/>
      <c r="B74" s="14"/>
      <c r="C74" s="14"/>
      <c r="D74" s="14"/>
      <c r="E74" s="14"/>
      <c r="F74" s="14"/>
    </row>
    <row r="75" spans="1:6" ht="12.75">
      <c r="A75" s="13"/>
      <c r="B75" s="14"/>
      <c r="C75" s="14"/>
      <c r="D75" s="14"/>
      <c r="E75" s="14"/>
      <c r="F75" s="14"/>
    </row>
    <row r="76" spans="1:6" ht="12.75">
      <c r="A76" s="13"/>
      <c r="B76" s="14"/>
      <c r="C76" s="14"/>
      <c r="D76" s="14"/>
      <c r="E76" s="14"/>
      <c r="F76" s="14"/>
    </row>
    <row r="77" spans="1:6" ht="12.75">
      <c r="A77" s="13"/>
      <c r="B77" s="14"/>
      <c r="C77" s="14"/>
      <c r="D77" s="14"/>
      <c r="E77" s="14"/>
      <c r="F77" s="14"/>
    </row>
    <row r="78" spans="1:6" ht="12.75">
      <c r="A78" s="13"/>
      <c r="B78" s="14"/>
      <c r="C78" s="14"/>
      <c r="D78" s="14"/>
      <c r="E78" s="14"/>
      <c r="F78" s="14"/>
    </row>
    <row r="79" spans="1:6" ht="12.75">
      <c r="A79" s="13"/>
      <c r="B79" s="14"/>
      <c r="C79" s="14"/>
      <c r="D79" s="14"/>
      <c r="E79" s="14"/>
      <c r="F79" s="14"/>
    </row>
    <row r="80" spans="1:6" ht="12.75">
      <c r="A80" s="13"/>
      <c r="B80" s="14"/>
      <c r="C80" s="14"/>
      <c r="D80" s="14"/>
      <c r="E80" s="14"/>
      <c r="F80" s="14"/>
    </row>
    <row r="81" spans="1:6" ht="12.75">
      <c r="A81" s="13"/>
      <c r="B81" s="14"/>
      <c r="C81" s="14"/>
      <c r="D81" s="14"/>
      <c r="E81" s="14"/>
      <c r="F81" s="14"/>
    </row>
    <row r="82" spans="1:6" ht="12.75">
      <c r="A82" s="13"/>
      <c r="B82" s="14"/>
      <c r="C82" s="14"/>
      <c r="D82" s="14"/>
      <c r="E82" s="14"/>
      <c r="F82" s="14"/>
    </row>
    <row r="83" spans="1:6" ht="12.75">
      <c r="A83" s="13"/>
      <c r="B83" s="14"/>
      <c r="C83" s="14"/>
      <c r="D83" s="14"/>
      <c r="E83" s="14"/>
      <c r="F83" s="14"/>
    </row>
    <row r="84" spans="1:6" ht="12.75">
      <c r="A84" s="13"/>
      <c r="B84" s="14"/>
      <c r="C84" s="14"/>
      <c r="D84" s="14"/>
      <c r="E84" s="14"/>
      <c r="F84" s="14"/>
    </row>
    <row r="85" spans="1:6" ht="12.75">
      <c r="A85" s="13"/>
      <c r="B85" s="14"/>
      <c r="C85" s="14"/>
      <c r="D85" s="14"/>
      <c r="E85" s="14"/>
      <c r="F85" s="14"/>
    </row>
    <row r="86" spans="1:6" ht="12.75">
      <c r="A86" s="13"/>
      <c r="B86" s="14"/>
      <c r="C86" s="14"/>
      <c r="D86" s="14"/>
      <c r="E86" s="14"/>
      <c r="F86" s="14"/>
    </row>
    <row r="87" spans="1:6" ht="12.75">
      <c r="A87" s="13"/>
      <c r="B87" s="14"/>
      <c r="C87" s="14"/>
      <c r="D87" s="14"/>
      <c r="E87" s="14"/>
      <c r="F87" s="14"/>
    </row>
    <row r="88" spans="1:6" ht="12.75">
      <c r="A88" s="13"/>
      <c r="B88" s="14"/>
      <c r="C88" s="14"/>
      <c r="D88" s="14"/>
      <c r="E88" s="14"/>
      <c r="F88" s="14"/>
    </row>
    <row r="89" spans="1:6" ht="12.75">
      <c r="A89" s="13"/>
      <c r="B89" s="14"/>
      <c r="C89" s="14"/>
      <c r="D89" s="14"/>
      <c r="E89" s="14"/>
      <c r="F89" s="14"/>
    </row>
    <row r="90" spans="1:6" ht="12.75">
      <c r="A90" s="13"/>
      <c r="B90" s="14"/>
      <c r="C90" s="14"/>
      <c r="D90" s="14"/>
      <c r="E90" s="14"/>
      <c r="F90" s="14"/>
    </row>
    <row r="91" spans="1:6" ht="12.75">
      <c r="A91" s="13"/>
      <c r="B91" s="14"/>
      <c r="C91" s="14"/>
      <c r="D91" s="14"/>
      <c r="E91" s="14"/>
      <c r="F91" s="14"/>
    </row>
    <row r="92" spans="1:6" ht="12.75">
      <c r="A92" s="13"/>
      <c r="B92" s="14"/>
      <c r="C92" s="14"/>
      <c r="D92" s="14"/>
      <c r="E92" s="14"/>
      <c r="F92" s="14"/>
    </row>
    <row r="93" spans="1:6" ht="12.75">
      <c r="A93" s="13"/>
      <c r="B93" s="14"/>
      <c r="C93" s="14"/>
      <c r="D93" s="14"/>
      <c r="E93" s="14"/>
      <c r="F93" s="14"/>
    </row>
    <row r="94" spans="1:6" ht="12.75">
      <c r="A94" s="13"/>
      <c r="B94" s="14"/>
      <c r="C94" s="14"/>
      <c r="D94" s="14"/>
      <c r="E94" s="14"/>
      <c r="F94" s="14"/>
    </row>
    <row r="95" spans="1:6" ht="12.75">
      <c r="A95" s="13"/>
      <c r="B95" s="14"/>
      <c r="C95" s="14"/>
      <c r="D95" s="14"/>
      <c r="E95" s="14"/>
      <c r="F95" s="14"/>
    </row>
    <row r="96" spans="1:6" ht="12.75">
      <c r="A96" s="13"/>
      <c r="B96" s="14"/>
      <c r="C96" s="14"/>
      <c r="D96" s="14"/>
      <c r="E96" s="14"/>
      <c r="F96" s="14"/>
    </row>
    <row r="97" spans="1:6" ht="12.75">
      <c r="A97" s="13"/>
      <c r="B97" s="14"/>
      <c r="C97" s="14"/>
      <c r="D97" s="14"/>
      <c r="E97" s="14"/>
      <c r="F97" s="14"/>
    </row>
    <row r="98" spans="1:6" ht="12.75">
      <c r="A98" s="13"/>
      <c r="B98" s="14"/>
      <c r="C98" s="14"/>
      <c r="D98" s="14"/>
      <c r="E98" s="14"/>
      <c r="F98" s="14"/>
    </row>
    <row r="99" spans="1:6" ht="12.75">
      <c r="A99" s="13"/>
      <c r="B99" s="14"/>
      <c r="C99" s="14"/>
      <c r="D99" s="14"/>
      <c r="E99" s="14"/>
      <c r="F99" s="14"/>
    </row>
    <row r="100" spans="1:6" ht="12.75">
      <c r="A100" s="13"/>
      <c r="B100" s="14"/>
      <c r="C100" s="14"/>
      <c r="D100" s="14"/>
      <c r="E100" s="14"/>
      <c r="F100" s="14"/>
    </row>
    <row r="101" spans="1:6" ht="12.75">
      <c r="A101" s="13"/>
      <c r="B101" s="14"/>
      <c r="C101" s="14"/>
      <c r="D101" s="14"/>
      <c r="E101" s="14"/>
      <c r="F101" s="14"/>
    </row>
    <row r="102" spans="1:6" ht="12.75">
      <c r="A102" s="13"/>
      <c r="B102" s="14"/>
      <c r="C102" s="14"/>
      <c r="D102" s="14"/>
      <c r="E102" s="14"/>
      <c r="F102" s="14"/>
    </row>
    <row r="103" spans="1:6" ht="12.75">
      <c r="A103" s="13"/>
      <c r="B103" s="14"/>
      <c r="C103" s="14"/>
      <c r="D103" s="14"/>
      <c r="E103" s="14"/>
      <c r="F103" s="14"/>
    </row>
    <row r="104" spans="1:6" ht="12.75">
      <c r="A104" s="13"/>
      <c r="B104" s="14"/>
      <c r="C104" s="14"/>
      <c r="D104" s="14"/>
      <c r="E104" s="14"/>
      <c r="F104" s="14"/>
    </row>
    <row r="105" spans="1:6" ht="12.75">
      <c r="A105" s="13"/>
      <c r="B105" s="14"/>
      <c r="C105" s="14"/>
      <c r="D105" s="14"/>
      <c r="E105" s="14"/>
      <c r="F105" s="14"/>
    </row>
    <row r="106" spans="1:6" ht="12.75">
      <c r="A106" s="13"/>
      <c r="B106" s="14"/>
      <c r="C106" s="14"/>
      <c r="D106" s="14"/>
      <c r="E106" s="14"/>
      <c r="F106" s="14"/>
    </row>
    <row r="107" spans="1:6" ht="12.75">
      <c r="A107" s="13"/>
      <c r="B107" s="14"/>
      <c r="C107" s="14"/>
      <c r="D107" s="14"/>
      <c r="E107" s="14"/>
      <c r="F107" s="14"/>
    </row>
    <row r="108" spans="1:6" ht="12.75">
      <c r="A108" s="13"/>
      <c r="B108" s="14"/>
      <c r="C108" s="14"/>
      <c r="D108" s="14"/>
      <c r="E108" s="14"/>
      <c r="F108" s="14"/>
    </row>
    <row r="109" spans="1:6" ht="12.75">
      <c r="A109" s="13"/>
      <c r="B109" s="14"/>
      <c r="C109" s="14"/>
      <c r="D109" s="14"/>
      <c r="E109" s="14"/>
      <c r="F109" s="14"/>
    </row>
    <row r="110" spans="1:6" ht="12.75">
      <c r="A110" s="13"/>
      <c r="B110" s="14"/>
      <c r="C110" s="14"/>
      <c r="D110" s="14"/>
      <c r="E110" s="14"/>
      <c r="F110" s="14"/>
    </row>
    <row r="111" spans="1:7" ht="12.75">
      <c r="A111" s="13"/>
      <c r="B111" s="14"/>
      <c r="C111" s="14"/>
      <c r="D111" s="14"/>
      <c r="E111" s="14"/>
      <c r="F111" s="14"/>
      <c r="G111" s="12"/>
    </row>
    <row r="112" spans="1:6" ht="12.75">
      <c r="A112" s="13"/>
      <c r="B112" s="14"/>
      <c r="C112" s="14"/>
      <c r="D112" s="14"/>
      <c r="E112" s="14"/>
      <c r="F112" s="14"/>
    </row>
    <row r="113" spans="1:6" ht="12.75">
      <c r="A113" s="13"/>
      <c r="B113" s="14"/>
      <c r="C113" s="14"/>
      <c r="D113" s="14"/>
      <c r="E113" s="14"/>
      <c r="F113" s="14"/>
    </row>
    <row r="114" spans="1:6" ht="12.75">
      <c r="A114" s="13"/>
      <c r="B114" s="14"/>
      <c r="C114" s="14"/>
      <c r="D114" s="14"/>
      <c r="E114" s="14"/>
      <c r="F114" s="14"/>
    </row>
    <row r="115" spans="1:6" ht="12.75">
      <c r="A115" s="13"/>
      <c r="B115" s="14"/>
      <c r="C115" s="14"/>
      <c r="D115" s="14"/>
      <c r="E115" s="14"/>
      <c r="F115" s="14"/>
    </row>
    <row r="116" spans="1:6" ht="12.75">
      <c r="A116" s="13"/>
      <c r="B116" s="14"/>
      <c r="C116" s="14"/>
      <c r="D116" s="14"/>
      <c r="E116" s="14"/>
      <c r="F116" s="14"/>
    </row>
    <row r="117" spans="1:6" ht="12.75">
      <c r="A117" s="13"/>
      <c r="B117" s="14"/>
      <c r="C117" s="14"/>
      <c r="D117" s="14"/>
      <c r="E117" s="14"/>
      <c r="F117" s="14"/>
    </row>
    <row r="118" spans="1:6" ht="12.75">
      <c r="A118" s="13"/>
      <c r="B118" s="14"/>
      <c r="C118" s="14"/>
      <c r="D118" s="14"/>
      <c r="E118" s="14"/>
      <c r="F118" s="14"/>
    </row>
    <row r="119" spans="1:6" ht="12.75">
      <c r="A119" s="13"/>
      <c r="B119" s="14"/>
      <c r="C119" s="14"/>
      <c r="D119" s="14"/>
      <c r="E119" s="14"/>
      <c r="F119" s="14"/>
    </row>
    <row r="120" spans="1:6" ht="12.75">
      <c r="A120" s="13"/>
      <c r="B120" s="14"/>
      <c r="C120" s="14"/>
      <c r="D120" s="14"/>
      <c r="E120" s="14"/>
      <c r="F120" s="14"/>
    </row>
    <row r="121" spans="1:6" ht="12.75">
      <c r="A121" s="13"/>
      <c r="B121" s="14"/>
      <c r="C121" s="14"/>
      <c r="D121" s="14"/>
      <c r="E121" s="14"/>
      <c r="F121" s="14"/>
    </row>
    <row r="122" spans="1:6" ht="12.75">
      <c r="A122" s="13"/>
      <c r="B122" s="14"/>
      <c r="C122" s="14"/>
      <c r="D122" s="14"/>
      <c r="E122" s="14"/>
      <c r="F122" s="14"/>
    </row>
    <row r="123" spans="1:6" ht="12.75">
      <c r="A123" s="13"/>
      <c r="B123" s="14"/>
      <c r="C123" s="14"/>
      <c r="D123" s="14"/>
      <c r="E123" s="14"/>
      <c r="F123" s="14"/>
    </row>
    <row r="124" spans="1:6" ht="12.75">
      <c r="A124" s="13"/>
      <c r="B124" s="14"/>
      <c r="C124" s="14"/>
      <c r="D124" s="14"/>
      <c r="E124" s="14"/>
      <c r="F124" s="14"/>
    </row>
    <row r="125" spans="1:6" ht="12.75">
      <c r="A125" s="13"/>
      <c r="B125" s="14"/>
      <c r="C125" s="14"/>
      <c r="D125" s="14"/>
      <c r="E125" s="14"/>
      <c r="F125" s="14"/>
    </row>
    <row r="126" spans="1:6" ht="12.75">
      <c r="A126" s="13"/>
      <c r="B126" s="14"/>
      <c r="C126" s="14"/>
      <c r="D126" s="14"/>
      <c r="E126" s="14"/>
      <c r="F126" s="14"/>
    </row>
    <row r="127" spans="1:6" ht="12.75">
      <c r="A127" s="13"/>
      <c r="B127" s="14"/>
      <c r="C127" s="14"/>
      <c r="D127" s="14"/>
      <c r="E127" s="14"/>
      <c r="F127" s="14"/>
    </row>
    <row r="128" spans="1:6" ht="12.75">
      <c r="A128" s="13"/>
      <c r="B128" s="14"/>
      <c r="C128" s="14"/>
      <c r="D128" s="14"/>
      <c r="E128" s="14"/>
      <c r="F128" s="14"/>
    </row>
    <row r="129" spans="1:6" ht="12.75">
      <c r="A129" s="13"/>
      <c r="B129" s="14"/>
      <c r="C129" s="14"/>
      <c r="D129" s="14"/>
      <c r="E129" s="14"/>
      <c r="F129" s="14"/>
    </row>
    <row r="130" spans="1:6" ht="12.75">
      <c r="A130" s="13"/>
      <c r="B130" s="14"/>
      <c r="C130" s="14"/>
      <c r="D130" s="14"/>
      <c r="E130" s="14"/>
      <c r="F130" s="14"/>
    </row>
    <row r="131" spans="1:6" ht="12.75">
      <c r="A131" s="13"/>
      <c r="B131" s="14"/>
      <c r="C131" s="14"/>
      <c r="D131" s="14"/>
      <c r="E131" s="14"/>
      <c r="F131" s="14"/>
    </row>
    <row r="132" spans="1:6" ht="12.75">
      <c r="A132" s="13"/>
      <c r="B132" s="14"/>
      <c r="C132" s="14"/>
      <c r="D132" s="14"/>
      <c r="E132" s="14"/>
      <c r="F132" s="14"/>
    </row>
    <row r="133" spans="1:6" ht="12.75">
      <c r="A133" s="13"/>
      <c r="B133" s="14"/>
      <c r="C133" s="14"/>
      <c r="D133" s="14"/>
      <c r="E133" s="14"/>
      <c r="F133" s="14"/>
    </row>
    <row r="134" spans="1:6" ht="12.75">
      <c r="A134" s="13"/>
      <c r="B134" s="14"/>
      <c r="C134" s="14"/>
      <c r="D134" s="14"/>
      <c r="E134" s="14"/>
      <c r="F134" s="14"/>
    </row>
    <row r="135" spans="1:6" ht="12.75">
      <c r="A135" s="13"/>
      <c r="B135" s="14"/>
      <c r="C135" s="14"/>
      <c r="D135" s="14"/>
      <c r="E135" s="14"/>
      <c r="F135" s="14"/>
    </row>
    <row r="136" spans="1:6" ht="12.75">
      <c r="A136" s="13"/>
      <c r="B136" s="14"/>
      <c r="C136" s="14"/>
      <c r="D136" s="14"/>
      <c r="E136" s="14"/>
      <c r="F136" s="14"/>
    </row>
    <row r="137" spans="1:7" ht="12.75">
      <c r="A137" s="13"/>
      <c r="B137" s="14"/>
      <c r="C137" s="14"/>
      <c r="D137" s="14"/>
      <c r="E137" s="14"/>
      <c r="F137" s="14"/>
      <c r="G137" s="12"/>
    </row>
    <row r="138" spans="1:6" ht="12.75">
      <c r="A138" s="13"/>
      <c r="B138" s="14"/>
      <c r="C138" s="14"/>
      <c r="D138" s="14"/>
      <c r="E138" s="14"/>
      <c r="F138" s="14"/>
    </row>
    <row r="139" spans="1:6" ht="12.75">
      <c r="A139" s="13"/>
      <c r="B139" s="14"/>
      <c r="C139" s="14"/>
      <c r="D139" s="14"/>
      <c r="E139" s="14"/>
      <c r="F139" s="14"/>
    </row>
    <row r="140" spans="1:6" ht="12.75">
      <c r="A140" s="13"/>
      <c r="B140" s="14"/>
      <c r="C140" s="14"/>
      <c r="D140" s="14"/>
      <c r="E140" s="14"/>
      <c r="F140" s="14"/>
    </row>
    <row r="141" spans="1:6" ht="12.75">
      <c r="A141" s="13"/>
      <c r="B141" s="14"/>
      <c r="C141" s="14"/>
      <c r="D141" s="14"/>
      <c r="E141" s="14"/>
      <c r="F141" s="14"/>
    </row>
    <row r="142" spans="1:6" ht="12.75">
      <c r="A142" s="13"/>
      <c r="B142" s="14"/>
      <c r="C142" s="14"/>
      <c r="D142" s="14"/>
      <c r="E142" s="14"/>
      <c r="F142" s="14"/>
    </row>
    <row r="143" spans="1:6" ht="12.75">
      <c r="A143" s="13"/>
      <c r="B143" s="14"/>
      <c r="C143" s="14"/>
      <c r="D143" s="14"/>
      <c r="E143" s="14"/>
      <c r="F143" s="14"/>
    </row>
    <row r="144" spans="1:6" ht="12.75">
      <c r="A144" s="13"/>
      <c r="B144" s="14"/>
      <c r="C144" s="14"/>
      <c r="D144" s="14"/>
      <c r="E144" s="14"/>
      <c r="F144" s="14"/>
    </row>
    <row r="145" spans="1:6" ht="12.75">
      <c r="A145" s="13"/>
      <c r="B145" s="14"/>
      <c r="C145" s="14"/>
      <c r="D145" s="14"/>
      <c r="E145" s="14"/>
      <c r="F145" s="14"/>
    </row>
    <row r="146" spans="1:6" ht="12.75">
      <c r="A146" s="13"/>
      <c r="B146" s="14"/>
      <c r="C146" s="14"/>
      <c r="D146" s="14"/>
      <c r="E146" s="14"/>
      <c r="F146" s="14"/>
    </row>
    <row r="147" spans="1:6" ht="12.75">
      <c r="A147" s="13"/>
      <c r="B147" s="14"/>
      <c r="C147" s="14"/>
      <c r="D147" s="14"/>
      <c r="E147" s="14"/>
      <c r="F147" s="14"/>
    </row>
    <row r="148" spans="1:6" ht="12.75">
      <c r="A148" s="13"/>
      <c r="B148" s="14"/>
      <c r="C148" s="14"/>
      <c r="D148" s="14"/>
      <c r="E148" s="14"/>
      <c r="F148" s="14"/>
    </row>
    <row r="149" spans="1:6" ht="12.75">
      <c r="A149" s="13"/>
      <c r="B149" s="14"/>
      <c r="C149" s="14"/>
      <c r="D149" s="14"/>
      <c r="E149" s="14"/>
      <c r="F149" s="14"/>
    </row>
    <row r="150" spans="1:6" ht="12.75">
      <c r="A150" s="13"/>
      <c r="B150" s="14"/>
      <c r="C150" s="14"/>
      <c r="D150" s="14"/>
      <c r="E150" s="14"/>
      <c r="F150" s="14"/>
    </row>
    <row r="151" spans="1:6" ht="12.75">
      <c r="A151" s="13"/>
      <c r="B151" s="14"/>
      <c r="C151" s="14"/>
      <c r="D151" s="14"/>
      <c r="E151" s="14"/>
      <c r="F151" s="14"/>
    </row>
    <row r="152" spans="1:6" ht="12.75">
      <c r="A152" s="13"/>
      <c r="B152" s="14"/>
      <c r="C152" s="14"/>
      <c r="D152" s="14"/>
      <c r="E152" s="14"/>
      <c r="F152" s="14"/>
    </row>
    <row r="153" spans="1:6" ht="12.75">
      <c r="A153" s="13"/>
      <c r="B153" s="14"/>
      <c r="C153" s="14"/>
      <c r="D153" s="14"/>
      <c r="E153" s="14"/>
      <c r="F153" s="14"/>
    </row>
    <row r="154" spans="1:6" ht="12.75">
      <c r="A154" s="13"/>
      <c r="B154" s="14"/>
      <c r="C154" s="14"/>
      <c r="D154" s="14"/>
      <c r="E154" s="14"/>
      <c r="F154" s="14"/>
    </row>
    <row r="155" spans="1:6" ht="12.75">
      <c r="A155" s="13"/>
      <c r="B155" s="14"/>
      <c r="C155" s="14"/>
      <c r="D155" s="14"/>
      <c r="E155" s="14"/>
      <c r="F155" s="14"/>
    </row>
    <row r="156" spans="1:6" ht="12.75">
      <c r="A156" s="13"/>
      <c r="B156" s="14"/>
      <c r="C156" s="14"/>
      <c r="D156" s="14"/>
      <c r="E156" s="14"/>
      <c r="F156" s="14"/>
    </row>
    <row r="157" spans="1:6" ht="12.75">
      <c r="A157" s="13"/>
      <c r="B157" s="14"/>
      <c r="C157" s="14"/>
      <c r="D157" s="14"/>
      <c r="E157" s="14"/>
      <c r="F157" s="14"/>
    </row>
    <row r="158" spans="1:6" ht="12.75">
      <c r="A158" s="13"/>
      <c r="B158" s="14"/>
      <c r="C158" s="14"/>
      <c r="D158" s="14"/>
      <c r="E158" s="14"/>
      <c r="F158" s="14"/>
    </row>
    <row r="159" spans="1:6" ht="12.75">
      <c r="A159" s="13"/>
      <c r="B159" s="14"/>
      <c r="C159" s="14"/>
      <c r="D159" s="14"/>
      <c r="E159" s="14"/>
      <c r="F159" s="14"/>
    </row>
    <row r="160" spans="1:6" ht="12.75">
      <c r="A160" s="13"/>
      <c r="B160" s="14"/>
      <c r="C160" s="14"/>
      <c r="D160" s="14"/>
      <c r="E160" s="14"/>
      <c r="F160" s="14"/>
    </row>
    <row r="161" spans="1:6" ht="12.75">
      <c r="A161" s="13"/>
      <c r="B161" s="14"/>
      <c r="C161" s="14"/>
      <c r="D161" s="14"/>
      <c r="E161" s="14"/>
      <c r="F161" s="14"/>
    </row>
    <row r="162" spans="1:6" ht="12.75">
      <c r="A162" s="13"/>
      <c r="B162" s="14"/>
      <c r="C162" s="14"/>
      <c r="D162" s="14"/>
      <c r="E162" s="14"/>
      <c r="F162" s="14"/>
    </row>
    <row r="163" spans="1:7" ht="12.75">
      <c r="A163" s="13"/>
      <c r="B163" s="14"/>
      <c r="C163" s="14"/>
      <c r="D163" s="14"/>
      <c r="E163" s="14"/>
      <c r="F163" s="14"/>
      <c r="G163" s="12"/>
    </row>
    <row r="164" spans="1:6" ht="12.75">
      <c r="A164" s="13"/>
      <c r="B164" s="14"/>
      <c r="C164" s="14"/>
      <c r="D164" s="14"/>
      <c r="E164" s="14"/>
      <c r="F164" s="14"/>
    </row>
    <row r="165" spans="1:6" ht="12.75">
      <c r="A165" s="13"/>
      <c r="B165" s="14"/>
      <c r="C165" s="14"/>
      <c r="D165" s="14"/>
      <c r="E165" s="14"/>
      <c r="F165" s="14"/>
    </row>
    <row r="166" spans="1:6" ht="12.75">
      <c r="A166" s="13"/>
      <c r="B166" s="14"/>
      <c r="C166" s="14"/>
      <c r="D166" s="14"/>
      <c r="E166" s="14"/>
      <c r="F166" s="14"/>
    </row>
    <row r="167" spans="1:6" ht="12.75">
      <c r="A167" s="13"/>
      <c r="B167" s="14"/>
      <c r="C167" s="14"/>
      <c r="D167" s="14"/>
      <c r="E167" s="14"/>
      <c r="F167" s="14"/>
    </row>
    <row r="168" spans="1:6" ht="12.75">
      <c r="A168" s="13"/>
      <c r="B168" s="14"/>
      <c r="C168" s="14"/>
      <c r="D168" s="14"/>
      <c r="E168" s="14"/>
      <c r="F168" s="14"/>
    </row>
    <row r="169" spans="1:6" ht="12.75">
      <c r="A169" s="13"/>
      <c r="B169" s="14"/>
      <c r="C169" s="14"/>
      <c r="D169" s="14"/>
      <c r="E169" s="14"/>
      <c r="F169" s="14"/>
    </row>
    <row r="170" spans="1:6" ht="12.75">
      <c r="A170" s="13"/>
      <c r="B170" s="14"/>
      <c r="C170" s="14"/>
      <c r="D170" s="14"/>
      <c r="E170" s="14"/>
      <c r="F170" s="14"/>
    </row>
    <row r="171" spans="1:6" ht="12.75">
      <c r="A171" s="13"/>
      <c r="B171" s="14"/>
      <c r="C171" s="14"/>
      <c r="D171" s="14"/>
      <c r="E171" s="14"/>
      <c r="F171" s="14"/>
    </row>
    <row r="172" spans="1:6" ht="12.75">
      <c r="A172" s="13"/>
      <c r="B172" s="14"/>
      <c r="C172" s="14"/>
      <c r="D172" s="14"/>
      <c r="E172" s="14"/>
      <c r="F172" s="14"/>
    </row>
    <row r="173" spans="1:6" ht="12.75">
      <c r="A173" s="13"/>
      <c r="B173" s="14"/>
      <c r="C173" s="14"/>
      <c r="D173" s="14"/>
      <c r="E173" s="14"/>
      <c r="F173" s="14"/>
    </row>
    <row r="174" spans="1:6" ht="12.75">
      <c r="A174" s="13"/>
      <c r="B174" s="14"/>
      <c r="C174" s="14"/>
      <c r="D174" s="14"/>
      <c r="E174" s="14"/>
      <c r="F174" s="14"/>
    </row>
    <row r="175" spans="1:6" ht="12.75">
      <c r="A175" s="13"/>
      <c r="B175" s="14"/>
      <c r="C175" s="14"/>
      <c r="D175" s="14"/>
      <c r="E175" s="14"/>
      <c r="F175" s="14"/>
    </row>
    <row r="176" spans="1:6" ht="12.75">
      <c r="A176" s="13"/>
      <c r="B176" s="14"/>
      <c r="C176" s="14"/>
      <c r="D176" s="14"/>
      <c r="E176" s="14"/>
      <c r="F176" s="14"/>
    </row>
    <row r="177" spans="1:6" ht="12.75">
      <c r="A177" s="13"/>
      <c r="B177" s="14"/>
      <c r="C177" s="14"/>
      <c r="D177" s="14"/>
      <c r="E177" s="14"/>
      <c r="F177" s="14"/>
    </row>
    <row r="178" spans="1:6" ht="12.75">
      <c r="A178" s="13"/>
      <c r="B178" s="14"/>
      <c r="C178" s="14"/>
      <c r="D178" s="14"/>
      <c r="E178" s="14"/>
      <c r="F178" s="14"/>
    </row>
    <row r="179" spans="1:6" ht="12.75">
      <c r="A179" s="13"/>
      <c r="B179" s="14"/>
      <c r="C179" s="14"/>
      <c r="D179" s="14"/>
      <c r="E179" s="14"/>
      <c r="F179" s="14"/>
    </row>
    <row r="180" spans="1:6" ht="12.75">
      <c r="A180" s="13"/>
      <c r="B180" s="14"/>
      <c r="C180" s="14"/>
      <c r="D180" s="14"/>
      <c r="E180" s="14"/>
      <c r="F180" s="14"/>
    </row>
    <row r="181" spans="1:6" ht="12.75">
      <c r="A181" s="13"/>
      <c r="B181" s="14"/>
      <c r="C181" s="14"/>
      <c r="D181" s="14"/>
      <c r="E181" s="14"/>
      <c r="F181" s="14"/>
    </row>
    <row r="182" spans="1:6" ht="12.75">
      <c r="A182" s="13"/>
      <c r="B182" s="14"/>
      <c r="C182" s="14"/>
      <c r="D182" s="14"/>
      <c r="E182" s="14"/>
      <c r="F182" s="14"/>
    </row>
    <row r="183" spans="1:6" ht="12.75">
      <c r="A183" s="13"/>
      <c r="B183" s="14"/>
      <c r="C183" s="14"/>
      <c r="D183" s="14"/>
      <c r="E183" s="14"/>
      <c r="F183" s="14"/>
    </row>
    <row r="184" spans="1:6" ht="12.75">
      <c r="A184" s="13"/>
      <c r="B184" s="14"/>
      <c r="C184" s="14"/>
      <c r="D184" s="14"/>
      <c r="E184" s="14"/>
      <c r="F184" s="14"/>
    </row>
    <row r="185" spans="1:6" ht="12.75">
      <c r="A185" s="13"/>
      <c r="B185" s="14"/>
      <c r="C185" s="14"/>
      <c r="D185" s="14"/>
      <c r="E185" s="14"/>
      <c r="F185" s="14"/>
    </row>
    <row r="186" spans="1:6" ht="12.75">
      <c r="A186" s="13"/>
      <c r="B186" s="14"/>
      <c r="C186" s="14"/>
      <c r="D186" s="14"/>
      <c r="E186" s="14"/>
      <c r="F186" s="14"/>
    </row>
    <row r="187" spans="1:6" ht="12.75">
      <c r="A187" s="13"/>
      <c r="B187" s="14"/>
      <c r="C187" s="14"/>
      <c r="D187" s="14"/>
      <c r="E187" s="14"/>
      <c r="F187" s="14"/>
    </row>
    <row r="188" spans="1:7" ht="12.75">
      <c r="A188" s="13"/>
      <c r="B188" s="14"/>
      <c r="C188" s="14"/>
      <c r="D188" s="14"/>
      <c r="E188" s="14"/>
      <c r="F188" s="14"/>
      <c r="G188" s="12"/>
    </row>
    <row r="189" spans="1:6" ht="12.75">
      <c r="A189" s="13"/>
      <c r="B189" s="14"/>
      <c r="C189" s="14"/>
      <c r="D189" s="14"/>
      <c r="E189" s="14"/>
      <c r="F189" s="14"/>
    </row>
    <row r="190" spans="1:6" ht="12.75">
      <c r="A190" s="13"/>
      <c r="B190" s="14"/>
      <c r="C190" s="14"/>
      <c r="D190" s="14"/>
      <c r="E190" s="14"/>
      <c r="F190" s="14"/>
    </row>
    <row r="191" spans="1:6" ht="12.75">
      <c r="A191" s="13"/>
      <c r="B191" s="14"/>
      <c r="C191" s="14"/>
      <c r="D191" s="14"/>
      <c r="E191" s="14"/>
      <c r="F191" s="14"/>
    </row>
    <row r="192" spans="1:6" ht="12.75">
      <c r="A192" s="13"/>
      <c r="B192" s="14"/>
      <c r="C192" s="14"/>
      <c r="D192" s="14"/>
      <c r="E192" s="14"/>
      <c r="F192" s="14"/>
    </row>
    <row r="193" spans="1:6" ht="12.75">
      <c r="A193" s="13"/>
      <c r="B193" s="14"/>
      <c r="C193" s="14"/>
      <c r="D193" s="14"/>
      <c r="E193" s="14"/>
      <c r="F193" s="14"/>
    </row>
    <row r="194" spans="1:6" ht="12.75">
      <c r="A194" s="13"/>
      <c r="B194" s="14"/>
      <c r="C194" s="14"/>
      <c r="D194" s="14"/>
      <c r="E194" s="14"/>
      <c r="F194" s="14"/>
    </row>
    <row r="195" spans="1:6" ht="12.75">
      <c r="A195" s="13"/>
      <c r="B195" s="14"/>
      <c r="C195" s="14"/>
      <c r="D195" s="14"/>
      <c r="E195" s="14"/>
      <c r="F195" s="14"/>
    </row>
    <row r="196" spans="1:6" ht="12.75">
      <c r="A196" s="13"/>
      <c r="B196" s="14"/>
      <c r="C196" s="14"/>
      <c r="D196" s="14"/>
      <c r="E196" s="14"/>
      <c r="F196" s="14"/>
    </row>
    <row r="197" spans="1:6" ht="12.75">
      <c r="A197" s="13"/>
      <c r="B197" s="14"/>
      <c r="C197" s="14"/>
      <c r="D197" s="14"/>
      <c r="E197" s="14"/>
      <c r="F197" s="14"/>
    </row>
    <row r="198" spans="1:6" ht="12.75">
      <c r="A198" s="13"/>
      <c r="B198" s="14"/>
      <c r="C198" s="14"/>
      <c r="D198" s="14"/>
      <c r="E198" s="14"/>
      <c r="F198" s="14"/>
    </row>
    <row r="199" spans="1:6" ht="12.75">
      <c r="A199" s="13"/>
      <c r="B199" s="14"/>
      <c r="C199" s="14"/>
      <c r="D199" s="14"/>
      <c r="E199" s="14"/>
      <c r="F199" s="14"/>
    </row>
    <row r="200" spans="1:6" ht="12.75">
      <c r="A200" s="13"/>
      <c r="B200" s="14"/>
      <c r="C200" s="14"/>
      <c r="D200" s="14"/>
      <c r="E200" s="14"/>
      <c r="F200" s="14"/>
    </row>
    <row r="201" spans="1:6" ht="12.75">
      <c r="A201" s="13"/>
      <c r="B201" s="14"/>
      <c r="C201" s="14"/>
      <c r="D201" s="14"/>
      <c r="E201" s="14"/>
      <c r="F201" s="14"/>
    </row>
    <row r="202" spans="1:6" ht="12.75">
      <c r="A202" s="13"/>
      <c r="B202" s="14"/>
      <c r="C202" s="14"/>
      <c r="D202" s="14"/>
      <c r="E202" s="14"/>
      <c r="F202" s="14"/>
    </row>
    <row r="203" spans="1:6" ht="12.75">
      <c r="A203" s="13"/>
      <c r="B203" s="14"/>
      <c r="C203" s="14"/>
      <c r="D203" s="14"/>
      <c r="E203" s="14"/>
      <c r="F203" s="14"/>
    </row>
    <row r="204" spans="1:6" ht="12.75">
      <c r="A204" s="13"/>
      <c r="B204" s="14"/>
      <c r="C204" s="14"/>
      <c r="D204" s="14"/>
      <c r="E204" s="14"/>
      <c r="F204" s="14"/>
    </row>
    <row r="205" spans="1:6" ht="12.75">
      <c r="A205" s="13"/>
      <c r="B205" s="14"/>
      <c r="C205" s="14"/>
      <c r="D205" s="14"/>
      <c r="E205" s="14"/>
      <c r="F205" s="14"/>
    </row>
    <row r="206" spans="1:6" ht="12.75">
      <c r="A206" s="13"/>
      <c r="B206" s="14"/>
      <c r="C206" s="14"/>
      <c r="D206" s="14"/>
      <c r="E206" s="14"/>
      <c r="F206" s="14"/>
    </row>
    <row r="207" spans="1:6" ht="12.75">
      <c r="A207" s="13"/>
      <c r="B207" s="14"/>
      <c r="C207" s="14"/>
      <c r="D207" s="14"/>
      <c r="E207" s="14"/>
      <c r="F207" s="14"/>
    </row>
    <row r="208" spans="1:6" ht="12.75">
      <c r="A208" s="13"/>
      <c r="B208" s="14"/>
      <c r="C208" s="14"/>
      <c r="D208" s="14"/>
      <c r="E208" s="14"/>
      <c r="F208" s="14"/>
    </row>
    <row r="209" spans="1:6" ht="12.75">
      <c r="A209" s="13"/>
      <c r="B209" s="14"/>
      <c r="C209" s="14"/>
      <c r="D209" s="14"/>
      <c r="E209" s="14"/>
      <c r="F209" s="14"/>
    </row>
    <row r="210" spans="1:6" ht="12.75">
      <c r="A210" s="13"/>
      <c r="B210" s="14"/>
      <c r="C210" s="14"/>
      <c r="D210" s="14"/>
      <c r="E210" s="14"/>
      <c r="F210" s="14"/>
    </row>
    <row r="211" spans="1:6" ht="12.75">
      <c r="A211" s="13"/>
      <c r="B211" s="14"/>
      <c r="C211" s="14"/>
      <c r="D211" s="14"/>
      <c r="E211" s="14"/>
      <c r="F211" s="14"/>
    </row>
    <row r="212" spans="1:6" ht="12.75">
      <c r="A212" s="13"/>
      <c r="B212" s="14"/>
      <c r="C212" s="14"/>
      <c r="D212" s="14"/>
      <c r="E212" s="14"/>
      <c r="F212" s="14"/>
    </row>
    <row r="213" spans="1:6" ht="12.75">
      <c r="A213" s="13"/>
      <c r="B213" s="14"/>
      <c r="C213" s="14"/>
      <c r="D213" s="14"/>
      <c r="E213" s="14"/>
      <c r="F213" s="14"/>
    </row>
    <row r="214" spans="1:7" ht="12.75">
      <c r="A214" s="13"/>
      <c r="B214" s="14"/>
      <c r="C214" s="14"/>
      <c r="D214" s="14"/>
      <c r="E214" s="14"/>
      <c r="F214" s="14"/>
      <c r="G214" s="12"/>
    </row>
    <row r="215" spans="1:6" ht="12.75">
      <c r="A215" s="13"/>
      <c r="B215" s="14"/>
      <c r="C215" s="14"/>
      <c r="D215" s="14"/>
      <c r="E215" s="14"/>
      <c r="F215" s="14"/>
    </row>
    <row r="216" spans="1:6" ht="12.75">
      <c r="A216" s="13"/>
      <c r="B216" s="14"/>
      <c r="C216" s="14"/>
      <c r="D216" s="14"/>
      <c r="E216" s="14"/>
      <c r="F216" s="14"/>
    </row>
    <row r="217" spans="1:6" ht="12.75">
      <c r="A217" s="13"/>
      <c r="B217" s="14"/>
      <c r="C217" s="14"/>
      <c r="D217" s="14"/>
      <c r="E217" s="14"/>
      <c r="F217" s="14"/>
    </row>
    <row r="218" spans="1:6" ht="12.75">
      <c r="A218" s="13"/>
      <c r="B218" s="14"/>
      <c r="C218" s="14"/>
      <c r="D218" s="14"/>
      <c r="E218" s="14"/>
      <c r="F218" s="14"/>
    </row>
    <row r="219" spans="1:6" ht="12.75">
      <c r="A219" s="13"/>
      <c r="B219" s="14"/>
      <c r="C219" s="14"/>
      <c r="D219" s="14"/>
      <c r="E219" s="14"/>
      <c r="F219" s="14"/>
    </row>
    <row r="220" spans="1:6" ht="12.75">
      <c r="A220" s="13"/>
      <c r="B220" s="14"/>
      <c r="C220" s="14"/>
      <c r="D220" s="14"/>
      <c r="E220" s="14"/>
      <c r="F220" s="14"/>
    </row>
    <row r="221" spans="1:6" ht="12.75">
      <c r="A221" s="13"/>
      <c r="B221" s="14"/>
      <c r="C221" s="14"/>
      <c r="D221" s="14"/>
      <c r="E221" s="14"/>
      <c r="F221" s="14"/>
    </row>
    <row r="222" spans="1:6" ht="12.75">
      <c r="A222" s="13"/>
      <c r="B222" s="14"/>
      <c r="C222" s="14"/>
      <c r="D222" s="14"/>
      <c r="E222" s="14"/>
      <c r="F222" s="14"/>
    </row>
    <row r="223" spans="1:6" ht="12.75">
      <c r="A223" s="13"/>
      <c r="B223" s="14"/>
      <c r="C223" s="14"/>
      <c r="D223" s="14"/>
      <c r="E223" s="14"/>
      <c r="F223" s="14"/>
    </row>
    <row r="224" spans="1:6" ht="12.75">
      <c r="A224" s="13"/>
      <c r="B224" s="14"/>
      <c r="C224" s="14"/>
      <c r="D224" s="14"/>
      <c r="E224" s="14"/>
      <c r="F224" s="14"/>
    </row>
    <row r="225" spans="1:6" ht="12.75">
      <c r="A225" s="13"/>
      <c r="B225" s="14"/>
      <c r="C225" s="14"/>
      <c r="D225" s="14"/>
      <c r="E225" s="14"/>
      <c r="F225" s="14"/>
    </row>
    <row r="226" spans="1:6" ht="12.75">
      <c r="A226" s="13"/>
      <c r="B226" s="14"/>
      <c r="C226" s="14"/>
      <c r="D226" s="14"/>
      <c r="E226" s="14"/>
      <c r="F226" s="14"/>
    </row>
    <row r="227" spans="1:6" ht="12.75">
      <c r="A227" s="13"/>
      <c r="B227" s="14"/>
      <c r="C227" s="14"/>
      <c r="D227" s="14"/>
      <c r="E227" s="14"/>
      <c r="F227" s="14"/>
    </row>
    <row r="228" spans="1:6" ht="12.75">
      <c r="A228" s="13"/>
      <c r="B228" s="14"/>
      <c r="C228" s="14"/>
      <c r="D228" s="14"/>
      <c r="E228" s="14"/>
      <c r="F228" s="14"/>
    </row>
    <row r="229" spans="1:6" ht="12.75">
      <c r="A229" s="13"/>
      <c r="B229" s="14"/>
      <c r="C229" s="14"/>
      <c r="D229" s="14"/>
      <c r="E229" s="14"/>
      <c r="F229" s="14"/>
    </row>
    <row r="230" spans="1:6" ht="12.75">
      <c r="A230" s="13"/>
      <c r="B230" s="14"/>
      <c r="C230" s="14"/>
      <c r="D230" s="14"/>
      <c r="E230" s="14"/>
      <c r="F230" s="14"/>
    </row>
    <row r="231" spans="1:6" ht="12.75">
      <c r="A231" s="13"/>
      <c r="B231" s="14"/>
      <c r="C231" s="14"/>
      <c r="D231" s="14"/>
      <c r="E231" s="14"/>
      <c r="F231" s="14"/>
    </row>
    <row r="232" spans="1:6" ht="12.75">
      <c r="A232" s="13"/>
      <c r="B232" s="14"/>
      <c r="C232" s="14"/>
      <c r="D232" s="14"/>
      <c r="E232" s="14"/>
      <c r="F232" s="14"/>
    </row>
    <row r="233" spans="1:6" ht="12.75">
      <c r="A233" s="13"/>
      <c r="B233" s="14"/>
      <c r="C233" s="14"/>
      <c r="D233" s="14"/>
      <c r="E233" s="14"/>
      <c r="F233" s="14"/>
    </row>
    <row r="234" spans="1:6" ht="12.75">
      <c r="A234" s="13"/>
      <c r="B234" s="14"/>
      <c r="C234" s="14"/>
      <c r="D234" s="14"/>
      <c r="E234" s="14"/>
      <c r="F234" s="14"/>
    </row>
    <row r="235" spans="1:6" ht="12.75">
      <c r="A235" s="13"/>
      <c r="B235" s="14"/>
      <c r="C235" s="14"/>
      <c r="D235" s="14"/>
      <c r="E235" s="14"/>
      <c r="F235" s="14"/>
    </row>
    <row r="236" spans="1:6" ht="12.75">
      <c r="A236" s="13"/>
      <c r="B236" s="14"/>
      <c r="C236" s="14"/>
      <c r="D236" s="14"/>
      <c r="E236" s="14"/>
      <c r="F236" s="14"/>
    </row>
    <row r="237" spans="1:6" ht="12.75">
      <c r="A237" s="13"/>
      <c r="B237" s="14"/>
      <c r="C237" s="14"/>
      <c r="D237" s="14"/>
      <c r="E237" s="14"/>
      <c r="F237" s="14"/>
    </row>
    <row r="238" spans="1:6" ht="12.75">
      <c r="A238" s="13"/>
      <c r="B238" s="14"/>
      <c r="C238" s="14"/>
      <c r="D238" s="14"/>
      <c r="E238" s="14"/>
      <c r="F238" s="14"/>
    </row>
    <row r="239" spans="1:6" ht="12.75">
      <c r="A239" s="13"/>
      <c r="B239" s="14"/>
      <c r="C239" s="14"/>
      <c r="D239" s="14"/>
      <c r="E239" s="14"/>
      <c r="F239" s="14"/>
    </row>
    <row r="240" spans="1:7" ht="12.75">
      <c r="A240" s="13"/>
      <c r="B240" s="14"/>
      <c r="C240" s="14"/>
      <c r="D240" s="14"/>
      <c r="E240" s="14"/>
      <c r="F240" s="14"/>
      <c r="G240" s="12"/>
    </row>
    <row r="241" spans="1:6" ht="12.75">
      <c r="A241" s="13"/>
      <c r="B241" s="14"/>
      <c r="C241" s="14"/>
      <c r="D241" s="14"/>
      <c r="E241" s="14"/>
      <c r="F241" s="14"/>
    </row>
    <row r="242" spans="1:6" ht="12.75">
      <c r="A242" s="13"/>
      <c r="B242" s="14"/>
      <c r="C242" s="14"/>
      <c r="D242" s="14"/>
      <c r="E242" s="14"/>
      <c r="F242" s="14"/>
    </row>
    <row r="243" spans="1:6" ht="12.75">
      <c r="A243" s="13"/>
      <c r="B243" s="14"/>
      <c r="C243" s="14"/>
      <c r="D243" s="14"/>
      <c r="E243" s="14"/>
      <c r="F243" s="14"/>
    </row>
    <row r="244" spans="1:6" ht="12.75">
      <c r="A244" s="13"/>
      <c r="B244" s="14"/>
      <c r="C244" s="14"/>
      <c r="D244" s="14"/>
      <c r="E244" s="14"/>
      <c r="F244" s="14"/>
    </row>
    <row r="245" spans="1:6" ht="12.75">
      <c r="A245" s="13"/>
      <c r="B245" s="14"/>
      <c r="C245" s="14"/>
      <c r="D245" s="14"/>
      <c r="E245" s="14"/>
      <c r="F245" s="14"/>
    </row>
    <row r="246" spans="1:6" ht="12.75">
      <c r="A246" s="13"/>
      <c r="B246" s="14"/>
      <c r="C246" s="14"/>
      <c r="D246" s="14"/>
      <c r="E246" s="14"/>
      <c r="F246" s="14"/>
    </row>
    <row r="247" spans="1:6" ht="12.75">
      <c r="A247" s="13"/>
      <c r="B247" s="14"/>
      <c r="C247" s="14"/>
      <c r="D247" s="14"/>
      <c r="E247" s="14"/>
      <c r="F247" s="14"/>
    </row>
    <row r="248" spans="1:6" ht="12.75">
      <c r="A248" s="13"/>
      <c r="B248" s="14"/>
      <c r="C248" s="14"/>
      <c r="D248" s="14"/>
      <c r="E248" s="14"/>
      <c r="F248" s="14"/>
    </row>
    <row r="249" spans="1:6" ht="12.75">
      <c r="A249" s="13"/>
      <c r="B249" s="14"/>
      <c r="C249" s="14"/>
      <c r="D249" s="14"/>
      <c r="E249" s="14"/>
      <c r="F249" s="14"/>
    </row>
    <row r="250" spans="1:6" ht="12.75">
      <c r="A250" s="13"/>
      <c r="B250" s="14"/>
      <c r="C250" s="14"/>
      <c r="D250" s="14"/>
      <c r="E250" s="14"/>
      <c r="F250" s="14"/>
    </row>
    <row r="251" spans="1:6" ht="12.75">
      <c r="A251" s="13"/>
      <c r="B251" s="14"/>
      <c r="C251" s="14"/>
      <c r="D251" s="14"/>
      <c r="E251" s="14"/>
      <c r="F251" s="14"/>
    </row>
    <row r="252" spans="1:6" ht="12.75">
      <c r="A252" s="13"/>
      <c r="B252" s="14"/>
      <c r="C252" s="14"/>
      <c r="D252" s="14"/>
      <c r="E252" s="14"/>
      <c r="F252" s="14"/>
    </row>
    <row r="253" spans="1:6" ht="12.75">
      <c r="A253" s="13"/>
      <c r="B253" s="14"/>
      <c r="C253" s="14"/>
      <c r="D253" s="14"/>
      <c r="E253" s="14"/>
      <c r="F253" s="14"/>
    </row>
    <row r="254" spans="1:6" ht="12.75">
      <c r="A254" s="13"/>
      <c r="B254" s="14"/>
      <c r="C254" s="14"/>
      <c r="D254" s="14"/>
      <c r="E254" s="14"/>
      <c r="F254" s="14"/>
    </row>
    <row r="255" spans="1:6" ht="12.75">
      <c r="A255" s="13"/>
      <c r="B255" s="14"/>
      <c r="C255" s="14"/>
      <c r="D255" s="14"/>
      <c r="E255" s="14"/>
      <c r="F255" s="14"/>
    </row>
    <row r="256" spans="1:6" ht="12.75">
      <c r="A256" s="13"/>
      <c r="B256" s="14"/>
      <c r="C256" s="14"/>
      <c r="D256" s="14"/>
      <c r="E256" s="14"/>
      <c r="F256" s="14"/>
    </row>
    <row r="257" spans="1:6" ht="12.75">
      <c r="A257" s="13"/>
      <c r="B257" s="14"/>
      <c r="C257" s="14"/>
      <c r="D257" s="14"/>
      <c r="E257" s="14"/>
      <c r="F257" s="14"/>
    </row>
    <row r="258" spans="1:6" ht="12.75">
      <c r="A258" s="13"/>
      <c r="B258" s="14"/>
      <c r="C258" s="14"/>
      <c r="D258" s="14"/>
      <c r="E258" s="14"/>
      <c r="F258" s="14"/>
    </row>
    <row r="259" spans="1:6" ht="12.75">
      <c r="A259" s="13"/>
      <c r="B259" s="14"/>
      <c r="C259" s="14"/>
      <c r="D259" s="14"/>
      <c r="E259" s="14"/>
      <c r="F259" s="14"/>
    </row>
    <row r="260" spans="1:6" ht="12.75">
      <c r="A260" s="13"/>
      <c r="B260" s="14"/>
      <c r="C260" s="14"/>
      <c r="D260" s="14"/>
      <c r="E260" s="14"/>
      <c r="F260" s="14"/>
    </row>
    <row r="261" spans="1:6" ht="12.75">
      <c r="A261" s="13"/>
      <c r="B261" s="14"/>
      <c r="C261" s="14"/>
      <c r="D261" s="14"/>
      <c r="E261" s="14"/>
      <c r="F261" s="14"/>
    </row>
    <row r="262" spans="1:6" ht="12.75">
      <c r="A262" s="13"/>
      <c r="B262" s="14"/>
      <c r="C262" s="14"/>
      <c r="D262" s="14"/>
      <c r="E262" s="14"/>
      <c r="F262" s="14"/>
    </row>
    <row r="263" spans="1:6" ht="12.75">
      <c r="A263" s="13"/>
      <c r="B263" s="14"/>
      <c r="C263" s="14"/>
      <c r="D263" s="14"/>
      <c r="E263" s="14"/>
      <c r="F263" s="14"/>
    </row>
    <row r="264" spans="1:6" ht="12.75">
      <c r="A264" s="13"/>
      <c r="B264" s="14"/>
      <c r="C264" s="14"/>
      <c r="D264" s="14"/>
      <c r="E264" s="14"/>
      <c r="F264" s="14"/>
    </row>
    <row r="265" spans="1:6" ht="12.75">
      <c r="A265" s="13"/>
      <c r="B265" s="14"/>
      <c r="C265" s="14"/>
      <c r="D265" s="14"/>
      <c r="E265" s="14"/>
      <c r="F265" s="14"/>
    </row>
    <row r="266" spans="1:7" ht="12.75">
      <c r="A266" s="13"/>
      <c r="B266" s="14"/>
      <c r="C266" s="14"/>
      <c r="D266" s="14"/>
      <c r="E266" s="14"/>
      <c r="F266" s="14"/>
      <c r="G266" s="12"/>
    </row>
    <row r="267" spans="1:6" ht="12.75">
      <c r="A267" s="13"/>
      <c r="B267" s="14"/>
      <c r="C267" s="14"/>
      <c r="D267" s="14"/>
      <c r="E267" s="14"/>
      <c r="F267" s="14"/>
    </row>
    <row r="268" spans="1:6" ht="12.75">
      <c r="A268" s="13"/>
      <c r="B268" s="14"/>
      <c r="C268" s="14"/>
      <c r="D268" s="14"/>
      <c r="E268" s="14"/>
      <c r="F268" s="14"/>
    </row>
    <row r="269" spans="1:6" ht="12.75">
      <c r="A269" s="13"/>
      <c r="B269" s="14"/>
      <c r="C269" s="14"/>
      <c r="D269" s="14"/>
      <c r="E269" s="14"/>
      <c r="F269" s="14"/>
    </row>
    <row r="270" spans="1:6" ht="12.75">
      <c r="A270" s="13"/>
      <c r="B270" s="14"/>
      <c r="C270" s="14"/>
      <c r="D270" s="14"/>
      <c r="E270" s="14"/>
      <c r="F270" s="14"/>
    </row>
    <row r="271" spans="1:6" ht="12.75">
      <c r="A271" s="13"/>
      <c r="B271" s="14"/>
      <c r="C271" s="14"/>
      <c r="D271" s="14"/>
      <c r="E271" s="14"/>
      <c r="F271" s="14"/>
    </row>
    <row r="272" spans="1:6" ht="12.75">
      <c r="A272" s="13"/>
      <c r="B272" s="14"/>
      <c r="C272" s="14"/>
      <c r="D272" s="14"/>
      <c r="E272" s="14"/>
      <c r="F272" s="14"/>
    </row>
    <row r="273" spans="1:6" ht="12.75">
      <c r="A273" s="13"/>
      <c r="B273" s="14"/>
      <c r="C273" s="14"/>
      <c r="D273" s="14"/>
      <c r="E273" s="14"/>
      <c r="F273" s="14"/>
    </row>
    <row r="274" spans="1:6" ht="12.75">
      <c r="A274" s="13"/>
      <c r="B274" s="14"/>
      <c r="C274" s="14"/>
      <c r="D274" s="14"/>
      <c r="E274" s="14"/>
      <c r="F274" s="14"/>
    </row>
    <row r="275" spans="1:6" ht="12.75">
      <c r="A275" s="13"/>
      <c r="B275" s="14"/>
      <c r="C275" s="14"/>
      <c r="D275" s="14"/>
      <c r="E275" s="14"/>
      <c r="F275" s="14"/>
    </row>
    <row r="276" spans="1:6" ht="12.75">
      <c r="A276" s="13"/>
      <c r="B276" s="14"/>
      <c r="C276" s="14"/>
      <c r="D276" s="14"/>
      <c r="E276" s="14"/>
      <c r="F276" s="14"/>
    </row>
    <row r="277" spans="1:6" ht="12.75">
      <c r="A277" s="13"/>
      <c r="B277" s="14"/>
      <c r="C277" s="14"/>
      <c r="D277" s="14"/>
      <c r="E277" s="14"/>
      <c r="F277" s="14"/>
    </row>
    <row r="278" spans="1:6" ht="12.75">
      <c r="A278" s="13"/>
      <c r="B278" s="14"/>
      <c r="C278" s="14"/>
      <c r="D278" s="14"/>
      <c r="E278" s="14"/>
      <c r="F278" s="14"/>
    </row>
    <row r="279" spans="1:6" ht="12.75">
      <c r="A279" s="13"/>
      <c r="B279" s="14"/>
      <c r="C279" s="14"/>
      <c r="D279" s="14"/>
      <c r="E279" s="14"/>
      <c r="F279" s="14"/>
    </row>
    <row r="280" spans="1:6" ht="12.75">
      <c r="A280" s="13"/>
      <c r="B280" s="14"/>
      <c r="C280" s="14"/>
      <c r="D280" s="14"/>
      <c r="E280" s="14"/>
      <c r="F280" s="14"/>
    </row>
    <row r="281" spans="1:6" ht="12.75">
      <c r="A281" s="13"/>
      <c r="B281" s="14"/>
      <c r="C281" s="14"/>
      <c r="D281" s="14"/>
      <c r="E281" s="14"/>
      <c r="F281" s="14"/>
    </row>
    <row r="282" spans="1:6" ht="12.75">
      <c r="A282" s="13"/>
      <c r="B282" s="14"/>
      <c r="C282" s="14"/>
      <c r="D282" s="14"/>
      <c r="E282" s="14"/>
      <c r="F282" s="14"/>
    </row>
    <row r="283" spans="1:6" ht="12.75">
      <c r="A283" s="13"/>
      <c r="B283" s="14"/>
      <c r="C283" s="14"/>
      <c r="D283" s="14"/>
      <c r="E283" s="14"/>
      <c r="F283" s="14"/>
    </row>
    <row r="284" spans="1:6" ht="12.75">
      <c r="A284" s="13"/>
      <c r="B284" s="14"/>
      <c r="C284" s="14"/>
      <c r="D284" s="14"/>
      <c r="E284" s="14"/>
      <c r="F284" s="14"/>
    </row>
    <row r="285" spans="1:6" ht="12.75">
      <c r="A285" s="13"/>
      <c r="B285" s="14"/>
      <c r="C285" s="14"/>
      <c r="D285" s="14"/>
      <c r="E285" s="14"/>
      <c r="F285" s="14"/>
    </row>
    <row r="286" spans="1:6" ht="12.75">
      <c r="A286" s="13"/>
      <c r="B286" s="14"/>
      <c r="C286" s="14"/>
      <c r="D286" s="14"/>
      <c r="E286" s="14"/>
      <c r="F286" s="14"/>
    </row>
    <row r="287" spans="1:6" ht="12.75">
      <c r="A287" s="13"/>
      <c r="B287" s="14"/>
      <c r="C287" s="14"/>
      <c r="D287" s="14"/>
      <c r="E287" s="14"/>
      <c r="F287" s="14"/>
    </row>
    <row r="288" spans="1:6" ht="12.75">
      <c r="A288" s="13"/>
      <c r="B288" s="14"/>
      <c r="C288" s="14"/>
      <c r="D288" s="14"/>
      <c r="E288" s="14"/>
      <c r="F288" s="14"/>
    </row>
    <row r="289" spans="1:6" ht="12.75">
      <c r="A289" s="13"/>
      <c r="B289" s="14"/>
      <c r="C289" s="14"/>
      <c r="D289" s="14"/>
      <c r="E289" s="14"/>
      <c r="F289" s="14"/>
    </row>
    <row r="290" spans="1:6" ht="12.75">
      <c r="A290" s="13"/>
      <c r="B290" s="14"/>
      <c r="C290" s="14"/>
      <c r="D290" s="14"/>
      <c r="E290" s="14"/>
      <c r="F290" s="14"/>
    </row>
    <row r="291" spans="1:6" ht="12.75">
      <c r="A291" s="13"/>
      <c r="B291" s="14"/>
      <c r="C291" s="14"/>
      <c r="D291" s="14"/>
      <c r="E291" s="14"/>
      <c r="F291" s="14"/>
    </row>
    <row r="292" spans="1:7" ht="12.75">
      <c r="A292" s="13"/>
      <c r="B292" s="14"/>
      <c r="C292" s="14"/>
      <c r="D292" s="14"/>
      <c r="E292" s="14"/>
      <c r="F292" s="14"/>
      <c r="G292" s="12"/>
    </row>
    <row r="293" spans="1:6" ht="12.75">
      <c r="A293" s="13"/>
      <c r="B293" s="14"/>
      <c r="C293" s="14"/>
      <c r="D293" s="14"/>
      <c r="E293" s="14"/>
      <c r="F293" s="14"/>
    </row>
    <row r="294" spans="1:6" ht="12.75">
      <c r="A294" s="13"/>
      <c r="B294" s="14"/>
      <c r="C294" s="14"/>
      <c r="D294" s="14"/>
      <c r="E294" s="14"/>
      <c r="F294" s="14"/>
    </row>
    <row r="295" spans="1:6" ht="12.75">
      <c r="A295" s="13"/>
      <c r="B295" s="14"/>
      <c r="C295" s="14"/>
      <c r="D295" s="14"/>
      <c r="E295" s="14"/>
      <c r="F295" s="14"/>
    </row>
    <row r="296" spans="1:6" ht="12.75">
      <c r="A296" s="13"/>
      <c r="B296" s="14"/>
      <c r="C296" s="14"/>
      <c r="D296" s="14"/>
      <c r="E296" s="14"/>
      <c r="F296" s="14"/>
    </row>
    <row r="297" spans="1:6" ht="12.75">
      <c r="A297" s="13"/>
      <c r="B297" s="14"/>
      <c r="C297" s="14"/>
      <c r="D297" s="14"/>
      <c r="E297" s="14"/>
      <c r="F297" s="14"/>
    </row>
    <row r="298" spans="1:6" ht="12.75">
      <c r="A298" s="13"/>
      <c r="B298" s="14"/>
      <c r="C298" s="14"/>
      <c r="D298" s="14"/>
      <c r="E298" s="14"/>
      <c r="F298" s="14"/>
    </row>
    <row r="299" spans="1:6" ht="12.75">
      <c r="A299" s="13"/>
      <c r="B299" s="14"/>
      <c r="C299" s="14"/>
      <c r="D299" s="14"/>
      <c r="E299" s="14"/>
      <c r="F299" s="14"/>
    </row>
    <row r="300" spans="1:6" ht="12.75">
      <c r="A300" s="13"/>
      <c r="B300" s="14"/>
      <c r="C300" s="14"/>
      <c r="D300" s="14"/>
      <c r="E300" s="14"/>
      <c r="F300" s="14"/>
    </row>
    <row r="301" spans="1:6" ht="12.75">
      <c r="A301" s="13"/>
      <c r="B301" s="14"/>
      <c r="C301" s="14"/>
      <c r="D301" s="14"/>
      <c r="E301" s="14"/>
      <c r="F301" s="14"/>
    </row>
    <row r="302" spans="1:6" ht="12.75">
      <c r="A302" s="13"/>
      <c r="B302" s="14"/>
      <c r="C302" s="14"/>
      <c r="D302" s="14"/>
      <c r="E302" s="14"/>
      <c r="F302" s="14"/>
    </row>
    <row r="303" spans="1:6" ht="12.75">
      <c r="A303" s="13"/>
      <c r="B303" s="14"/>
      <c r="C303" s="14"/>
      <c r="D303" s="14"/>
      <c r="E303" s="14"/>
      <c r="F303" s="14"/>
    </row>
    <row r="304" spans="1:6" ht="12.75">
      <c r="A304" s="13"/>
      <c r="B304" s="14"/>
      <c r="C304" s="14"/>
      <c r="D304" s="14"/>
      <c r="E304" s="14"/>
      <c r="F304" s="14"/>
    </row>
    <row r="305" spans="1:6" ht="12.75">
      <c r="A305" s="13"/>
      <c r="B305" s="14"/>
      <c r="C305" s="14"/>
      <c r="D305" s="14"/>
      <c r="E305" s="14"/>
      <c r="F305" s="14"/>
    </row>
    <row r="306" spans="1:6" ht="12.75">
      <c r="A306" s="13"/>
      <c r="B306" s="14"/>
      <c r="C306" s="14"/>
      <c r="D306" s="14"/>
      <c r="E306" s="14"/>
      <c r="F306" s="14"/>
    </row>
    <row r="307" spans="1:6" ht="12.75">
      <c r="A307" s="13"/>
      <c r="B307" s="14"/>
      <c r="C307" s="14"/>
      <c r="D307" s="14"/>
      <c r="E307" s="14"/>
      <c r="F307" s="14"/>
    </row>
    <row r="308" spans="1:6" ht="12.75">
      <c r="A308" s="13"/>
      <c r="B308" s="14"/>
      <c r="C308" s="14"/>
      <c r="D308" s="14"/>
      <c r="E308" s="14"/>
      <c r="F308" s="14"/>
    </row>
    <row r="309" spans="1:6" ht="12.75">
      <c r="A309" s="13"/>
      <c r="B309" s="14"/>
      <c r="C309" s="14"/>
      <c r="D309" s="14"/>
      <c r="E309" s="14"/>
      <c r="F309" s="14"/>
    </row>
    <row r="310" spans="1:6" ht="12.75">
      <c r="A310" s="13"/>
      <c r="B310" s="14"/>
      <c r="C310" s="14"/>
      <c r="D310" s="14"/>
      <c r="E310" s="14"/>
      <c r="F310" s="14"/>
    </row>
    <row r="311" spans="1:6" ht="12.75">
      <c r="A311" s="13"/>
      <c r="B311" s="14"/>
      <c r="C311" s="14"/>
      <c r="D311" s="14"/>
      <c r="E311" s="14"/>
      <c r="F311" s="14"/>
    </row>
    <row r="312" spans="1:6" ht="12.75">
      <c r="A312" s="13"/>
      <c r="B312" s="14"/>
      <c r="C312" s="14"/>
      <c r="D312" s="14"/>
      <c r="E312" s="14"/>
      <c r="F312" s="14"/>
    </row>
    <row r="313" spans="1:6" ht="12.75">
      <c r="A313" s="13"/>
      <c r="B313" s="14"/>
      <c r="C313" s="14"/>
      <c r="D313" s="14"/>
      <c r="E313" s="14"/>
      <c r="F313" s="14"/>
    </row>
    <row r="314" spans="1:6" ht="12.75">
      <c r="A314" s="13"/>
      <c r="B314" s="14"/>
      <c r="C314" s="14"/>
      <c r="D314" s="14"/>
      <c r="E314" s="14"/>
      <c r="F314" s="14"/>
    </row>
    <row r="315" spans="1:6" ht="12.75">
      <c r="A315" s="13"/>
      <c r="B315" s="14"/>
      <c r="C315" s="14"/>
      <c r="D315" s="14"/>
      <c r="E315" s="14"/>
      <c r="F315" s="14"/>
    </row>
    <row r="316" spans="1:6" ht="12.75">
      <c r="A316" s="13"/>
      <c r="B316" s="14"/>
      <c r="C316" s="14"/>
      <c r="D316" s="14"/>
      <c r="E316" s="14"/>
      <c r="F316" s="14"/>
    </row>
    <row r="317" spans="1:6" ht="12.75">
      <c r="A317" s="13"/>
      <c r="B317" s="14"/>
      <c r="C317" s="14"/>
      <c r="D317" s="14"/>
      <c r="E317" s="14"/>
      <c r="F317" s="14"/>
    </row>
    <row r="318" spans="1:7" ht="12.75">
      <c r="A318" s="13"/>
      <c r="B318" s="14"/>
      <c r="C318" s="14"/>
      <c r="D318" s="14"/>
      <c r="E318" s="14"/>
      <c r="F318" s="14"/>
      <c r="G318" s="12"/>
    </row>
    <row r="319" spans="1:6" ht="12.75">
      <c r="A319" s="13"/>
      <c r="B319" s="14"/>
      <c r="C319" s="14"/>
      <c r="D319" s="14"/>
      <c r="E319" s="14"/>
      <c r="F319" s="14"/>
    </row>
    <row r="320" spans="1:6" ht="12.75">
      <c r="A320" s="13"/>
      <c r="B320" s="14"/>
      <c r="C320" s="14"/>
      <c r="D320" s="14"/>
      <c r="E320" s="14"/>
      <c r="F320" s="14"/>
    </row>
    <row r="321" spans="1:6" ht="12.75">
      <c r="A321" s="13"/>
      <c r="B321" s="14"/>
      <c r="C321" s="14"/>
      <c r="D321" s="14"/>
      <c r="E321" s="14"/>
      <c r="F321" s="14"/>
    </row>
    <row r="322" spans="1:6" ht="12.75">
      <c r="A322" s="13"/>
      <c r="B322" s="14"/>
      <c r="C322" s="14"/>
      <c r="D322" s="14"/>
      <c r="E322" s="14"/>
      <c r="F322" s="14"/>
    </row>
    <row r="323" spans="1:6" ht="12.75">
      <c r="A323" s="13"/>
      <c r="B323" s="14"/>
      <c r="C323" s="14"/>
      <c r="D323" s="14"/>
      <c r="E323" s="14"/>
      <c r="F323" s="14"/>
    </row>
    <row r="324" spans="1:6" ht="12.75">
      <c r="A324" s="13"/>
      <c r="B324" s="14"/>
      <c r="C324" s="14"/>
      <c r="D324" s="14"/>
      <c r="E324" s="14"/>
      <c r="F324" s="14"/>
    </row>
    <row r="325" spans="1:6" ht="12.75">
      <c r="A325" s="13"/>
      <c r="B325" s="14"/>
      <c r="C325" s="14"/>
      <c r="D325" s="14"/>
      <c r="E325" s="14"/>
      <c r="F325" s="14"/>
    </row>
    <row r="326" spans="1:6" ht="12.75">
      <c r="A326" s="13"/>
      <c r="B326" s="14"/>
      <c r="C326" s="14"/>
      <c r="D326" s="14"/>
      <c r="E326" s="14"/>
      <c r="F326" s="14"/>
    </row>
    <row r="327" spans="1:6" ht="12.75">
      <c r="A327" s="13"/>
      <c r="B327" s="14"/>
      <c r="C327" s="14"/>
      <c r="D327" s="14"/>
      <c r="E327" s="14"/>
      <c r="F327" s="14"/>
    </row>
    <row r="328" spans="1:6" ht="12.75">
      <c r="A328" s="13"/>
      <c r="B328" s="14"/>
      <c r="C328" s="14"/>
      <c r="D328" s="14"/>
      <c r="E328" s="14"/>
      <c r="F328" s="14"/>
    </row>
    <row r="329" spans="1:6" ht="12.75">
      <c r="A329" s="13"/>
      <c r="B329" s="14"/>
      <c r="C329" s="14"/>
      <c r="D329" s="14"/>
      <c r="E329" s="14"/>
      <c r="F329" s="14"/>
    </row>
    <row r="330" spans="1:6" ht="12.75">
      <c r="A330" s="13"/>
      <c r="B330" s="14"/>
      <c r="C330" s="14"/>
      <c r="D330" s="14"/>
      <c r="E330" s="14"/>
      <c r="F330" s="14"/>
    </row>
    <row r="331" spans="1:6" ht="12.75">
      <c r="A331" s="13"/>
      <c r="B331" s="14"/>
      <c r="C331" s="14"/>
      <c r="D331" s="14"/>
      <c r="E331" s="14"/>
      <c r="F331" s="14"/>
    </row>
    <row r="332" spans="1:6" ht="12.75">
      <c r="A332" s="13"/>
      <c r="B332" s="14"/>
      <c r="C332" s="14"/>
      <c r="D332" s="14"/>
      <c r="E332" s="14"/>
      <c r="F332" s="14"/>
    </row>
    <row r="333" spans="1:6" ht="12.75">
      <c r="A333" s="13"/>
      <c r="B333" s="14"/>
      <c r="C333" s="14"/>
      <c r="D333" s="14"/>
      <c r="E333" s="14"/>
      <c r="F333" s="14"/>
    </row>
    <row r="334" spans="1:6" ht="12.75">
      <c r="A334" s="13"/>
      <c r="B334" s="14"/>
      <c r="C334" s="14"/>
      <c r="D334" s="14"/>
      <c r="E334" s="14"/>
      <c r="F334" s="14"/>
    </row>
    <row r="335" spans="1:6" ht="12.75">
      <c r="A335" s="13"/>
      <c r="B335" s="14"/>
      <c r="C335" s="14"/>
      <c r="D335" s="14"/>
      <c r="E335" s="14"/>
      <c r="F335" s="14"/>
    </row>
    <row r="336" spans="1:6" ht="12.75">
      <c r="A336" s="13"/>
      <c r="B336" s="14"/>
      <c r="C336" s="14"/>
      <c r="D336" s="14"/>
      <c r="E336" s="14"/>
      <c r="F336" s="14"/>
    </row>
    <row r="337" spans="1:6" ht="12.75">
      <c r="A337" s="13"/>
      <c r="B337" s="14"/>
      <c r="C337" s="14"/>
      <c r="D337" s="14"/>
      <c r="E337" s="14"/>
      <c r="F337" s="14"/>
    </row>
    <row r="338" spans="1:6" ht="12.75">
      <c r="A338" s="13"/>
      <c r="B338" s="14"/>
      <c r="C338" s="14"/>
      <c r="D338" s="14"/>
      <c r="E338" s="14"/>
      <c r="F338" s="14"/>
    </row>
    <row r="339" spans="1:6" ht="12.75">
      <c r="A339" s="13"/>
      <c r="B339" s="14"/>
      <c r="C339" s="14"/>
      <c r="D339" s="14"/>
      <c r="E339" s="14"/>
      <c r="F339" s="14"/>
    </row>
    <row r="340" spans="1:6" ht="12.75">
      <c r="A340" s="13"/>
      <c r="B340" s="14"/>
      <c r="C340" s="14"/>
      <c r="D340" s="14"/>
      <c r="E340" s="14"/>
      <c r="F340" s="14"/>
    </row>
    <row r="341" spans="1:6" ht="12.75">
      <c r="A341" s="13"/>
      <c r="B341" s="14"/>
      <c r="C341" s="14"/>
      <c r="D341" s="14"/>
      <c r="E341" s="14"/>
      <c r="F341" s="14"/>
    </row>
    <row r="342" spans="1:6" ht="12.75">
      <c r="A342" s="13"/>
      <c r="B342" s="14"/>
      <c r="C342" s="14"/>
      <c r="D342" s="14"/>
      <c r="E342" s="14"/>
      <c r="F342" s="14"/>
    </row>
    <row r="343" spans="1:6" ht="12.75">
      <c r="A343" s="13"/>
      <c r="B343" s="14"/>
      <c r="C343" s="14"/>
      <c r="D343" s="14"/>
      <c r="E343" s="14"/>
      <c r="F343" s="14"/>
    </row>
    <row r="344" spans="1:7" ht="12.75">
      <c r="A344" s="13"/>
      <c r="B344" s="14"/>
      <c r="C344" s="14"/>
      <c r="D344" s="14"/>
      <c r="E344" s="14"/>
      <c r="F344" s="14"/>
      <c r="G344" s="12"/>
    </row>
    <row r="345" spans="1:6" ht="12.75">
      <c r="A345" s="13"/>
      <c r="B345" s="14"/>
      <c r="C345" s="14"/>
      <c r="D345" s="14"/>
      <c r="E345" s="14"/>
      <c r="F345" s="14"/>
    </row>
    <row r="346" spans="1:6" ht="12.75">
      <c r="A346" s="13"/>
      <c r="B346" s="14"/>
      <c r="C346" s="14"/>
      <c r="D346" s="14"/>
      <c r="E346" s="14"/>
      <c r="F346" s="14"/>
    </row>
    <row r="347" spans="1:6" ht="12.75">
      <c r="A347" s="13"/>
      <c r="B347" s="14"/>
      <c r="C347" s="14"/>
      <c r="D347" s="14"/>
      <c r="E347" s="14"/>
      <c r="F347" s="14"/>
    </row>
    <row r="348" spans="1:6" ht="12.75">
      <c r="A348" s="13"/>
      <c r="B348" s="14"/>
      <c r="C348" s="14"/>
      <c r="D348" s="14"/>
      <c r="E348" s="14"/>
      <c r="F348" s="14"/>
    </row>
    <row r="349" spans="1:6" ht="12.75">
      <c r="A349" s="13"/>
      <c r="B349" s="14"/>
      <c r="C349" s="14"/>
      <c r="D349" s="14"/>
      <c r="E349" s="14"/>
      <c r="F349" s="14"/>
    </row>
    <row r="350" spans="1:6" ht="12.75">
      <c r="A350" s="13"/>
      <c r="B350" s="14"/>
      <c r="C350" s="14"/>
      <c r="D350" s="14"/>
      <c r="E350" s="14"/>
      <c r="F350" s="14"/>
    </row>
    <row r="351" spans="1:6" ht="12.75">
      <c r="A351" s="13"/>
      <c r="B351" s="14"/>
      <c r="C351" s="14"/>
      <c r="D351" s="14"/>
      <c r="E351" s="14"/>
      <c r="F351" s="14"/>
    </row>
    <row r="352" spans="1:6" ht="12.75">
      <c r="A352" s="13"/>
      <c r="B352" s="14"/>
      <c r="C352" s="14"/>
      <c r="D352" s="14"/>
      <c r="E352" s="14"/>
      <c r="F352" s="14"/>
    </row>
    <row r="353" spans="1:6" ht="12.75">
      <c r="A353" s="13"/>
      <c r="B353" s="14"/>
      <c r="C353" s="14"/>
      <c r="D353" s="14"/>
      <c r="E353" s="14"/>
      <c r="F353" s="14"/>
    </row>
    <row r="354" spans="1:6" ht="12.75">
      <c r="A354" s="13"/>
      <c r="B354" s="14"/>
      <c r="C354" s="14"/>
      <c r="D354" s="14"/>
      <c r="E354" s="14"/>
      <c r="F354" s="14"/>
    </row>
    <row r="355" spans="1:6" ht="12.75">
      <c r="A355" s="13"/>
      <c r="B355" s="14"/>
      <c r="C355" s="14"/>
      <c r="D355" s="14"/>
      <c r="E355" s="14"/>
      <c r="F355" s="14"/>
    </row>
    <row r="356" spans="1:6" ht="12.75">
      <c r="A356" s="13"/>
      <c r="B356" s="14"/>
      <c r="C356" s="14"/>
      <c r="D356" s="14"/>
      <c r="E356" s="14"/>
      <c r="F356" s="14"/>
    </row>
    <row r="357" spans="1:6" ht="12.75">
      <c r="A357" s="13"/>
      <c r="B357" s="14"/>
      <c r="C357" s="14"/>
      <c r="D357" s="14"/>
      <c r="E357" s="14"/>
      <c r="F357" s="14"/>
    </row>
    <row r="358" spans="1:6" ht="12.75">
      <c r="A358" s="13"/>
      <c r="B358" s="14"/>
      <c r="C358" s="14"/>
      <c r="D358" s="14"/>
      <c r="E358" s="14"/>
      <c r="F358" s="14"/>
    </row>
    <row r="359" spans="1:6" ht="12.75">
      <c r="A359" s="13"/>
      <c r="B359" s="14"/>
      <c r="C359" s="14"/>
      <c r="D359" s="14"/>
      <c r="E359" s="14"/>
      <c r="F359" s="14"/>
    </row>
    <row r="360" spans="1:6" ht="12.75">
      <c r="A360" s="13"/>
      <c r="B360" s="14"/>
      <c r="C360" s="14"/>
      <c r="D360" s="14"/>
      <c r="E360" s="14"/>
      <c r="F360" s="14"/>
    </row>
    <row r="361" spans="1:6" ht="12.75">
      <c r="A361" s="13"/>
      <c r="B361" s="14"/>
      <c r="C361" s="14"/>
      <c r="D361" s="14"/>
      <c r="E361" s="14"/>
      <c r="F361" s="14"/>
    </row>
    <row r="362" spans="1:6" ht="12.75">
      <c r="A362" s="13"/>
      <c r="B362" s="14"/>
      <c r="C362" s="14"/>
      <c r="D362" s="14"/>
      <c r="E362" s="14"/>
      <c r="F362" s="14"/>
    </row>
    <row r="363" spans="1:6" ht="12.75">
      <c r="A363" s="13"/>
      <c r="B363" s="14"/>
      <c r="C363" s="14"/>
      <c r="D363" s="14"/>
      <c r="E363" s="14"/>
      <c r="F363" s="14"/>
    </row>
    <row r="364" spans="1:6" ht="12.75">
      <c r="A364" s="13"/>
      <c r="B364" s="14"/>
      <c r="C364" s="14"/>
      <c r="D364" s="14"/>
      <c r="E364" s="14"/>
      <c r="F364" s="14"/>
    </row>
    <row r="365" spans="1:6" ht="12.75">
      <c r="A365" s="13"/>
      <c r="B365" s="14"/>
      <c r="C365" s="14"/>
      <c r="D365" s="14"/>
      <c r="E365" s="14"/>
      <c r="F365" s="14"/>
    </row>
    <row r="366" spans="1:6" ht="12.75">
      <c r="A366" s="13"/>
      <c r="B366" s="14"/>
      <c r="C366" s="14"/>
      <c r="D366" s="14"/>
      <c r="E366" s="14"/>
      <c r="F366" s="14"/>
    </row>
    <row r="367" spans="1:6" ht="12.75">
      <c r="A367" s="13"/>
      <c r="B367" s="14"/>
      <c r="C367" s="14"/>
      <c r="D367" s="14"/>
      <c r="E367" s="14"/>
      <c r="F367" s="14"/>
    </row>
    <row r="368" spans="1:6" ht="12.75">
      <c r="A368" s="13"/>
      <c r="B368" s="14"/>
      <c r="C368" s="14"/>
      <c r="D368" s="14"/>
      <c r="E368" s="14"/>
      <c r="F368" s="14"/>
    </row>
    <row r="369" spans="1:6" ht="12.75">
      <c r="A369" s="13"/>
      <c r="B369" s="14"/>
      <c r="C369" s="14"/>
      <c r="D369" s="14"/>
      <c r="E369" s="14"/>
      <c r="F369" s="14"/>
    </row>
    <row r="370" spans="1:7" ht="12.75">
      <c r="A370" s="13"/>
      <c r="B370" s="14"/>
      <c r="C370" s="14"/>
      <c r="D370" s="14"/>
      <c r="E370" s="14"/>
      <c r="F370" s="14"/>
      <c r="G370" s="12"/>
    </row>
    <row r="371" spans="1:6" ht="12.75">
      <c r="A371" s="13"/>
      <c r="B371" s="14"/>
      <c r="C371" s="14"/>
      <c r="D371" s="14"/>
      <c r="E371" s="14"/>
      <c r="F371" s="14"/>
    </row>
    <row r="372" spans="1:6" ht="12.75">
      <c r="A372" s="13"/>
      <c r="B372" s="14"/>
      <c r="C372" s="14"/>
      <c r="D372" s="14"/>
      <c r="E372" s="14"/>
      <c r="F372" s="14"/>
    </row>
    <row r="373" spans="1:6" ht="12.75">
      <c r="A373" s="13"/>
      <c r="B373" s="14"/>
      <c r="C373" s="14"/>
      <c r="D373" s="14"/>
      <c r="E373" s="14"/>
      <c r="F373" s="14"/>
    </row>
    <row r="374" spans="1:6" ht="12.75">
      <c r="A374" s="13"/>
      <c r="B374" s="14"/>
      <c r="C374" s="14"/>
      <c r="D374" s="14"/>
      <c r="E374" s="14"/>
      <c r="F374" s="14"/>
    </row>
    <row r="375" spans="1:6" ht="12.75">
      <c r="A375" s="13"/>
      <c r="B375" s="14"/>
      <c r="C375" s="14"/>
      <c r="D375" s="14"/>
      <c r="E375" s="14"/>
      <c r="F375" s="14"/>
    </row>
    <row r="376" spans="1:6" ht="12.75">
      <c r="A376" s="13"/>
      <c r="B376" s="14"/>
      <c r="C376" s="14"/>
      <c r="D376" s="14"/>
      <c r="E376" s="14"/>
      <c r="F376" s="14"/>
    </row>
    <row r="377" spans="1:6" ht="12.75">
      <c r="A377" s="13"/>
      <c r="B377" s="14"/>
      <c r="C377" s="14"/>
      <c r="D377" s="14"/>
      <c r="E377" s="14"/>
      <c r="F377" s="14"/>
    </row>
    <row r="378" spans="1:6" ht="12.75">
      <c r="A378" s="13"/>
      <c r="B378" s="14"/>
      <c r="C378" s="14"/>
      <c r="D378" s="14"/>
      <c r="E378" s="14"/>
      <c r="F378" s="14"/>
    </row>
    <row r="379" spans="1:6" ht="12.75">
      <c r="A379" s="13"/>
      <c r="B379" s="14"/>
      <c r="C379" s="14"/>
      <c r="D379" s="14"/>
      <c r="E379" s="14"/>
      <c r="F379" s="14"/>
    </row>
    <row r="380" spans="1:6" ht="12.75">
      <c r="A380" s="13"/>
      <c r="B380" s="14"/>
      <c r="C380" s="14"/>
      <c r="D380" s="14"/>
      <c r="E380" s="14"/>
      <c r="F380" s="14"/>
    </row>
    <row r="381" spans="1:6" ht="12.75">
      <c r="A381" s="13"/>
      <c r="B381" s="14"/>
      <c r="C381" s="14"/>
      <c r="D381" s="14"/>
      <c r="E381" s="14"/>
      <c r="F381" s="14"/>
    </row>
    <row r="382" spans="1:6" ht="12.75">
      <c r="A382" s="13"/>
      <c r="B382" s="14"/>
      <c r="C382" s="14"/>
      <c r="D382" s="14"/>
      <c r="E382" s="14"/>
      <c r="F382" s="14"/>
    </row>
    <row r="383" spans="1:6" ht="12.75">
      <c r="A383" s="13"/>
      <c r="B383" s="14"/>
      <c r="C383" s="14"/>
      <c r="D383" s="14"/>
      <c r="E383" s="14"/>
      <c r="F383" s="14"/>
    </row>
    <row r="384" spans="1:6" ht="12.75">
      <c r="A384" s="13"/>
      <c r="B384" s="14"/>
      <c r="C384" s="14"/>
      <c r="D384" s="14"/>
      <c r="E384" s="14"/>
      <c r="F384" s="14"/>
    </row>
    <row r="385" spans="1:6" ht="12.75">
      <c r="A385" s="13"/>
      <c r="B385" s="14"/>
      <c r="C385" s="14"/>
      <c r="D385" s="14"/>
      <c r="E385" s="14"/>
      <c r="F385" s="14"/>
    </row>
    <row r="386" spans="1:6" ht="12.75">
      <c r="A386" s="13"/>
      <c r="B386" s="14"/>
      <c r="C386" s="14"/>
      <c r="D386" s="14"/>
      <c r="E386" s="14"/>
      <c r="F386" s="14"/>
    </row>
    <row r="387" spans="1:6" ht="12.75">
      <c r="A387" s="13"/>
      <c r="B387" s="14"/>
      <c r="C387" s="14"/>
      <c r="D387" s="14"/>
      <c r="E387" s="14"/>
      <c r="F387" s="14"/>
    </row>
    <row r="388" spans="1:6" ht="12.75">
      <c r="A388" s="13"/>
      <c r="B388" s="14"/>
      <c r="C388" s="14"/>
      <c r="D388" s="14"/>
      <c r="E388" s="14"/>
      <c r="F388" s="14"/>
    </row>
    <row r="389" spans="1:6" ht="12.75">
      <c r="A389" s="13"/>
      <c r="B389" s="14"/>
      <c r="C389" s="14"/>
      <c r="D389" s="14"/>
      <c r="E389" s="14"/>
      <c r="F389" s="14"/>
    </row>
    <row r="390" spans="1:6" ht="12.75">
      <c r="A390" s="13"/>
      <c r="B390" s="14"/>
      <c r="C390" s="14"/>
      <c r="D390" s="14"/>
      <c r="E390" s="14"/>
      <c r="F390" s="14"/>
    </row>
    <row r="391" spans="1:6" ht="12.75">
      <c r="A391" s="13"/>
      <c r="B391" s="14"/>
      <c r="C391" s="14"/>
      <c r="D391" s="14"/>
      <c r="E391" s="14"/>
      <c r="F391" s="14"/>
    </row>
    <row r="392" spans="1:6" ht="12.75">
      <c r="A392" s="13"/>
      <c r="B392" s="14"/>
      <c r="C392" s="14"/>
      <c r="D392" s="14"/>
      <c r="E392" s="14"/>
      <c r="F392" s="14"/>
    </row>
    <row r="393" spans="1:6" ht="12.75">
      <c r="A393" s="13"/>
      <c r="B393" s="14"/>
      <c r="C393" s="14"/>
      <c r="D393" s="14"/>
      <c r="E393" s="14"/>
      <c r="F393" s="14"/>
    </row>
    <row r="394" spans="1:6" ht="12.75">
      <c r="A394" s="13"/>
      <c r="B394" s="14"/>
      <c r="C394" s="14"/>
      <c r="D394" s="14"/>
      <c r="E394" s="14"/>
      <c r="F394" s="14"/>
    </row>
    <row r="395" spans="1:6" ht="12.75">
      <c r="A395" s="13"/>
      <c r="B395" s="14"/>
      <c r="C395" s="14"/>
      <c r="D395" s="14"/>
      <c r="E395" s="14"/>
      <c r="F395" s="14"/>
    </row>
    <row r="396" spans="1:7" ht="12.75">
      <c r="A396" s="13"/>
      <c r="B396" s="14"/>
      <c r="C396" s="14"/>
      <c r="D396" s="14"/>
      <c r="E396" s="14"/>
      <c r="F396" s="14"/>
      <c r="G396" s="12"/>
    </row>
    <row r="397" spans="1:6" ht="12.75">
      <c r="A397" s="13"/>
      <c r="B397" s="14"/>
      <c r="C397" s="14"/>
      <c r="D397" s="14"/>
      <c r="E397" s="14"/>
      <c r="F397" s="14"/>
    </row>
    <row r="398" spans="1:6" ht="12.75">
      <c r="A398" s="13"/>
      <c r="B398" s="14"/>
      <c r="C398" s="14"/>
      <c r="D398" s="14"/>
      <c r="E398" s="14"/>
      <c r="F398" s="14"/>
    </row>
    <row r="399" spans="1:6" ht="12.75">
      <c r="A399" s="13"/>
      <c r="B399" s="14"/>
      <c r="C399" s="14"/>
      <c r="D399" s="14"/>
      <c r="E399" s="14"/>
      <c r="F399" s="14"/>
    </row>
    <row r="400" spans="1:6" ht="12.75">
      <c r="A400" s="13"/>
      <c r="B400" s="14"/>
      <c r="C400" s="14"/>
      <c r="D400" s="14"/>
      <c r="E400" s="14"/>
      <c r="F400" s="14"/>
    </row>
    <row r="401" spans="1:6" ht="12.75">
      <c r="A401" s="13"/>
      <c r="B401" s="14"/>
      <c r="C401" s="14"/>
      <c r="D401" s="14"/>
      <c r="E401" s="14"/>
      <c r="F401" s="14"/>
    </row>
    <row r="402" spans="1:6" ht="12.75">
      <c r="A402" s="13"/>
      <c r="B402" s="14"/>
      <c r="C402" s="14"/>
      <c r="D402" s="14"/>
      <c r="E402" s="14"/>
      <c r="F402" s="14"/>
    </row>
    <row r="403" spans="1:6" ht="12.75">
      <c r="A403" s="13"/>
      <c r="B403" s="14"/>
      <c r="C403" s="14"/>
      <c r="D403" s="14"/>
      <c r="E403" s="14"/>
      <c r="F403" s="14"/>
    </row>
    <row r="404" spans="1:6" ht="12.75">
      <c r="A404" s="13"/>
      <c r="B404" s="14"/>
      <c r="C404" s="14"/>
      <c r="D404" s="14"/>
      <c r="E404" s="14"/>
      <c r="F404" s="14"/>
    </row>
    <row r="405" spans="1:6" ht="12.75">
      <c r="A405" s="13"/>
      <c r="B405" s="14"/>
      <c r="C405" s="14"/>
      <c r="D405" s="14"/>
      <c r="E405" s="14"/>
      <c r="F405" s="14"/>
    </row>
    <row r="406" spans="1:6" ht="12.75">
      <c r="A406" s="13"/>
      <c r="B406" s="14"/>
      <c r="C406" s="14"/>
      <c r="D406" s="14"/>
      <c r="E406" s="14"/>
      <c r="F406" s="14"/>
    </row>
    <row r="407" spans="1:6" ht="12.75">
      <c r="A407" s="13"/>
      <c r="B407" s="14"/>
      <c r="C407" s="14"/>
      <c r="D407" s="14"/>
      <c r="E407" s="14"/>
      <c r="F407" s="14"/>
    </row>
    <row r="408" spans="1:6" ht="12.75">
      <c r="A408" s="13"/>
      <c r="B408" s="14"/>
      <c r="C408" s="14"/>
      <c r="D408" s="14"/>
      <c r="E408" s="14"/>
      <c r="F408" s="14"/>
    </row>
    <row r="409" spans="1:6" ht="12.75">
      <c r="A409" s="13"/>
      <c r="B409" s="14"/>
      <c r="C409" s="14"/>
      <c r="D409" s="14"/>
      <c r="E409" s="14"/>
      <c r="F409" s="14"/>
    </row>
    <row r="410" spans="1:6" ht="12.75">
      <c r="A410" s="13"/>
      <c r="B410" s="14"/>
      <c r="C410" s="14"/>
      <c r="D410" s="14"/>
      <c r="E410" s="14"/>
      <c r="F410" s="14"/>
    </row>
    <row r="411" spans="1:6" ht="12.75">
      <c r="A411" s="13"/>
      <c r="B411" s="14"/>
      <c r="C411" s="14"/>
      <c r="D411" s="14"/>
      <c r="E411" s="14"/>
      <c r="F411" s="14"/>
    </row>
    <row r="412" spans="1:6" ht="12.75">
      <c r="A412" s="13"/>
      <c r="B412" s="14"/>
      <c r="C412" s="14"/>
      <c r="D412" s="14"/>
      <c r="E412" s="14"/>
      <c r="F412" s="14"/>
    </row>
    <row r="413" spans="1:6" ht="12.75">
      <c r="A413" s="13"/>
      <c r="B413" s="14"/>
      <c r="C413" s="14"/>
      <c r="D413" s="14"/>
      <c r="E413" s="14"/>
      <c r="F413" s="14"/>
    </row>
    <row r="414" spans="1:6" ht="12.75">
      <c r="A414" s="13"/>
      <c r="B414" s="14"/>
      <c r="C414" s="14"/>
      <c r="D414" s="14"/>
      <c r="E414" s="14"/>
      <c r="F414" s="14"/>
    </row>
    <row r="415" spans="1:6" ht="12.75">
      <c r="A415" s="13"/>
      <c r="B415" s="14"/>
      <c r="C415" s="14"/>
      <c r="D415" s="14"/>
      <c r="E415" s="14"/>
      <c r="F415" s="14"/>
    </row>
    <row r="416" spans="1:6" ht="12.75">
      <c r="A416" s="13"/>
      <c r="B416" s="14"/>
      <c r="C416" s="14"/>
      <c r="D416" s="14"/>
      <c r="E416" s="14"/>
      <c r="F416" s="14"/>
    </row>
    <row r="417" spans="1:6" ht="12.75">
      <c r="A417" s="13"/>
      <c r="B417" s="14"/>
      <c r="C417" s="14"/>
      <c r="D417" s="14"/>
      <c r="E417" s="14"/>
      <c r="F417" s="14"/>
    </row>
    <row r="418" spans="1:6" ht="12.75">
      <c r="A418" s="13"/>
      <c r="B418" s="14"/>
      <c r="C418" s="14"/>
      <c r="D418" s="14"/>
      <c r="E418" s="14"/>
      <c r="F418" s="14"/>
    </row>
    <row r="419" spans="1:6" ht="12.75">
      <c r="A419" s="13"/>
      <c r="B419" s="14"/>
      <c r="C419" s="14"/>
      <c r="D419" s="14"/>
      <c r="E419" s="14"/>
      <c r="F419" s="14"/>
    </row>
    <row r="420" spans="1:6" ht="12.75">
      <c r="A420" s="13"/>
      <c r="B420" s="14"/>
      <c r="C420" s="14"/>
      <c r="D420" s="14"/>
      <c r="E420" s="14"/>
      <c r="F420" s="14"/>
    </row>
    <row r="421" spans="1:6" ht="12.75">
      <c r="A421" s="13"/>
      <c r="B421" s="14"/>
      <c r="C421" s="14"/>
      <c r="D421" s="14"/>
      <c r="E421" s="14"/>
      <c r="F421" s="14"/>
    </row>
    <row r="422" spans="1:7" ht="12.75">
      <c r="A422" s="13"/>
      <c r="B422" s="14"/>
      <c r="C422" s="14"/>
      <c r="D422" s="14"/>
      <c r="E422" s="14"/>
      <c r="F422" s="14"/>
      <c r="G422" s="12"/>
    </row>
    <row r="423" spans="1:6" ht="12.75">
      <c r="A423" s="13"/>
      <c r="B423" s="14"/>
      <c r="C423" s="14"/>
      <c r="D423" s="14"/>
      <c r="E423" s="14"/>
      <c r="F423" s="14"/>
    </row>
    <row r="424" spans="1:6" ht="12.75">
      <c r="A424" s="13"/>
      <c r="B424" s="14"/>
      <c r="C424" s="14"/>
      <c r="D424" s="14"/>
      <c r="E424" s="14"/>
      <c r="F424" s="14"/>
    </row>
    <row r="425" spans="1:6" ht="12.75">
      <c r="A425" s="13"/>
      <c r="B425" s="14"/>
      <c r="C425" s="14"/>
      <c r="D425" s="14"/>
      <c r="E425" s="14"/>
      <c r="F425" s="14"/>
    </row>
    <row r="426" spans="1:6" ht="12.75">
      <c r="A426" s="13"/>
      <c r="B426" s="14"/>
      <c r="C426" s="14"/>
      <c r="D426" s="14"/>
      <c r="E426" s="14"/>
      <c r="F426" s="14"/>
    </row>
    <row r="427" spans="1:6" ht="12.75">
      <c r="A427" s="13"/>
      <c r="B427" s="14"/>
      <c r="C427" s="14"/>
      <c r="D427" s="14"/>
      <c r="E427" s="14"/>
      <c r="F427" s="14"/>
    </row>
    <row r="428" spans="1:6" ht="12.75">
      <c r="A428" s="13"/>
      <c r="B428" s="14"/>
      <c r="C428" s="14"/>
      <c r="D428" s="14"/>
      <c r="E428" s="14"/>
      <c r="F428" s="14"/>
    </row>
    <row r="429" spans="1:6" ht="12.75">
      <c r="A429" s="13"/>
      <c r="B429" s="14"/>
      <c r="C429" s="14"/>
      <c r="D429" s="14"/>
      <c r="E429" s="14"/>
      <c r="F429" s="14"/>
    </row>
    <row r="430" spans="1:6" ht="12.75">
      <c r="A430" s="13"/>
      <c r="B430" s="14"/>
      <c r="C430" s="14"/>
      <c r="D430" s="14"/>
      <c r="E430" s="14"/>
      <c r="F430" s="14"/>
    </row>
    <row r="431" spans="1:6" ht="12.75">
      <c r="A431" s="13"/>
      <c r="B431" s="14"/>
      <c r="C431" s="14"/>
      <c r="D431" s="14"/>
      <c r="E431" s="14"/>
      <c r="F431" s="14"/>
    </row>
    <row r="432" spans="1:6" ht="12.75">
      <c r="A432" s="13"/>
      <c r="B432" s="14"/>
      <c r="C432" s="14"/>
      <c r="D432" s="14"/>
      <c r="E432" s="14"/>
      <c r="F432" s="14"/>
    </row>
    <row r="433" spans="1:6" ht="12.75">
      <c r="A433" s="13"/>
      <c r="B433" s="14"/>
      <c r="C433" s="14"/>
      <c r="D433" s="14"/>
      <c r="E433" s="14"/>
      <c r="F433" s="14"/>
    </row>
    <row r="434" spans="1:6" ht="12.75">
      <c r="A434" s="13"/>
      <c r="B434" s="14"/>
      <c r="C434" s="14"/>
      <c r="D434" s="14"/>
      <c r="E434" s="14"/>
      <c r="F434" s="14"/>
    </row>
    <row r="435" spans="1:6" ht="12.75">
      <c r="A435" s="13"/>
      <c r="B435" s="14"/>
      <c r="C435" s="14"/>
      <c r="D435" s="14"/>
      <c r="E435" s="14"/>
      <c r="F435" s="14"/>
    </row>
    <row r="436" spans="1:6" ht="12.75">
      <c r="A436" s="13"/>
      <c r="B436" s="14"/>
      <c r="C436" s="14"/>
      <c r="D436" s="14"/>
      <c r="E436" s="14"/>
      <c r="F436" s="14"/>
    </row>
    <row r="437" spans="1:6" ht="12.75">
      <c r="A437" s="13"/>
      <c r="B437" s="14"/>
      <c r="C437" s="14"/>
      <c r="D437" s="14"/>
      <c r="E437" s="14"/>
      <c r="F437" s="14"/>
    </row>
    <row r="438" spans="1:6" ht="12.75">
      <c r="A438" s="13"/>
      <c r="B438" s="14"/>
      <c r="C438" s="14"/>
      <c r="D438" s="14"/>
      <c r="E438" s="14"/>
      <c r="F438" s="14"/>
    </row>
    <row r="439" spans="1:6" ht="12.75">
      <c r="A439" s="13"/>
      <c r="B439" s="14"/>
      <c r="C439" s="14"/>
      <c r="D439" s="14"/>
      <c r="E439" s="14"/>
      <c r="F439" s="14"/>
    </row>
    <row r="440" spans="1:6" ht="12.75">
      <c r="A440" s="13"/>
      <c r="B440" s="14"/>
      <c r="C440" s="14"/>
      <c r="D440" s="14"/>
      <c r="E440" s="14"/>
      <c r="F440" s="14"/>
    </row>
    <row r="441" spans="1:6" ht="12.75">
      <c r="A441" s="13"/>
      <c r="B441" s="14"/>
      <c r="C441" s="14"/>
      <c r="D441" s="14"/>
      <c r="E441" s="14"/>
      <c r="F441" s="14"/>
    </row>
    <row r="442" spans="1:6" ht="12.75">
      <c r="A442" s="13"/>
      <c r="B442" s="14"/>
      <c r="C442" s="14"/>
      <c r="D442" s="14"/>
      <c r="E442" s="14"/>
      <c r="F442" s="14"/>
    </row>
    <row r="443" spans="1:6" ht="12.75">
      <c r="A443" s="13"/>
      <c r="B443" s="14"/>
      <c r="C443" s="14"/>
      <c r="D443" s="14"/>
      <c r="E443" s="14"/>
      <c r="F443" s="14"/>
    </row>
    <row r="444" spans="1:6" ht="12.75">
      <c r="A444" s="13"/>
      <c r="B444" s="14"/>
      <c r="C444" s="14"/>
      <c r="D444" s="14"/>
      <c r="E444" s="14"/>
      <c r="F444" s="14"/>
    </row>
    <row r="445" spans="1:6" ht="12.75">
      <c r="A445" s="13"/>
      <c r="B445" s="14"/>
      <c r="C445" s="14"/>
      <c r="D445" s="14"/>
      <c r="E445" s="14"/>
      <c r="F445" s="14"/>
    </row>
    <row r="446" spans="1:6" ht="12.75">
      <c r="A446" s="13"/>
      <c r="B446" s="14"/>
      <c r="C446" s="14"/>
      <c r="D446" s="14"/>
      <c r="E446" s="14"/>
      <c r="F446" s="14"/>
    </row>
    <row r="447" spans="1:6" ht="12.75">
      <c r="A447" s="13"/>
      <c r="B447" s="14"/>
      <c r="C447" s="14"/>
      <c r="D447" s="14"/>
      <c r="E447" s="14"/>
      <c r="F447" s="14"/>
    </row>
    <row r="448" spans="1:6" ht="12.75">
      <c r="A448" s="13"/>
      <c r="B448" s="14"/>
      <c r="C448" s="14"/>
      <c r="D448" s="14"/>
      <c r="E448" s="14"/>
      <c r="F448" s="14"/>
    </row>
    <row r="449" spans="1:6" ht="12.75">
      <c r="A449" s="13"/>
      <c r="B449" s="14"/>
      <c r="C449" s="14"/>
      <c r="D449" s="14"/>
      <c r="E449" s="14"/>
      <c r="F449" s="14"/>
    </row>
    <row r="450" spans="1:6" ht="12.75">
      <c r="A450" s="13"/>
      <c r="B450" s="14"/>
      <c r="C450" s="14"/>
      <c r="D450" s="14"/>
      <c r="E450" s="14"/>
      <c r="F450" s="14"/>
    </row>
    <row r="451" spans="1:6" ht="12.75">
      <c r="A451" s="13"/>
      <c r="B451" s="14"/>
      <c r="C451" s="14"/>
      <c r="D451" s="14"/>
      <c r="E451" s="14"/>
      <c r="F451" s="14"/>
    </row>
    <row r="452" spans="1:6" ht="12.75">
      <c r="A452" s="13"/>
      <c r="B452" s="14"/>
      <c r="C452" s="14"/>
      <c r="D452" s="14"/>
      <c r="E452" s="14"/>
      <c r="F452" s="14"/>
    </row>
    <row r="453" spans="1:6" ht="12.75">
      <c r="A453" s="13"/>
      <c r="B453" s="14"/>
      <c r="C453" s="14"/>
      <c r="D453" s="14"/>
      <c r="E453" s="14"/>
      <c r="F453" s="14"/>
    </row>
    <row r="454" spans="1:6" ht="12.75">
      <c r="A454" s="13"/>
      <c r="B454" s="14"/>
      <c r="C454" s="14"/>
      <c r="D454" s="14"/>
      <c r="E454" s="14"/>
      <c r="F454" s="14"/>
    </row>
    <row r="455" spans="1:6" ht="12.75">
      <c r="A455" s="13"/>
      <c r="B455" s="14"/>
      <c r="C455" s="14"/>
      <c r="D455" s="14"/>
      <c r="E455" s="14"/>
      <c r="F455" s="14"/>
    </row>
    <row r="456" spans="1:6" ht="12.75">
      <c r="A456" s="13"/>
      <c r="B456" s="14"/>
      <c r="C456" s="14"/>
      <c r="D456" s="14"/>
      <c r="E456" s="14"/>
      <c r="F456" s="14"/>
    </row>
    <row r="457" spans="1:6" ht="12.75">
      <c r="A457" s="13"/>
      <c r="B457" s="14"/>
      <c r="C457" s="14"/>
      <c r="D457" s="14"/>
      <c r="E457" s="14"/>
      <c r="F457" s="14"/>
    </row>
    <row r="458" spans="4:5" ht="12.75">
      <c r="D458" s="14"/>
      <c r="E458" s="14"/>
    </row>
    <row r="459" spans="4:5" ht="12.75">
      <c r="D459" s="14"/>
      <c r="E459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5"/>
  <sheetViews>
    <sheetView zoomScalePageLayoutView="0" workbookViewId="0" topLeftCell="A1">
      <selection activeCell="N306" sqref="N306"/>
    </sheetView>
  </sheetViews>
  <sheetFormatPr defaultColWidth="10.875" defaultRowHeight="12"/>
  <cols>
    <col min="1" max="1" width="9.875" style="28" customWidth="1"/>
    <col min="2" max="2" width="1.12109375" style="28" customWidth="1"/>
    <col min="3" max="3" width="10.875" style="28" customWidth="1"/>
    <col min="4" max="4" width="9.375" style="28" customWidth="1"/>
    <col min="5" max="5" width="9.00390625" style="28" customWidth="1"/>
    <col min="6" max="6" width="1.875" style="28" customWidth="1"/>
    <col min="7" max="7" width="10.875" style="28" customWidth="1"/>
    <col min="8" max="8" width="4.125" style="28" customWidth="1"/>
    <col min="9" max="9" width="16.375" style="46" customWidth="1"/>
    <col min="10" max="10" width="17.125" style="28" customWidth="1"/>
    <col min="11" max="11" width="2.375" style="28" customWidth="1"/>
    <col min="12" max="16384" width="10.875" style="28" customWidth="1"/>
  </cols>
  <sheetData>
    <row r="1" spans="1:10" ht="12">
      <c r="A1" s="23"/>
      <c r="B1" s="22"/>
      <c r="C1" s="24"/>
      <c r="D1" s="25"/>
      <c r="E1" s="26"/>
      <c r="F1" s="23"/>
      <c r="G1" s="23"/>
      <c r="H1" s="22"/>
      <c r="I1" s="27"/>
      <c r="J1" s="62" t="s">
        <v>25</v>
      </c>
    </row>
    <row r="2" spans="1:11" ht="12">
      <c r="A2" s="23"/>
      <c r="B2" s="22"/>
      <c r="C2" s="24"/>
      <c r="D2" s="25"/>
      <c r="E2" s="26"/>
      <c r="F2" s="23"/>
      <c r="G2" s="23"/>
      <c r="H2" s="22"/>
      <c r="I2" s="27"/>
      <c r="J2" s="29" t="s">
        <v>24</v>
      </c>
      <c r="K2" s="22"/>
    </row>
    <row r="3" spans="1:11" ht="12">
      <c r="A3" s="23"/>
      <c r="B3" s="22"/>
      <c r="C3" s="24"/>
      <c r="D3" s="25"/>
      <c r="E3" s="26"/>
      <c r="F3" s="23"/>
      <c r="G3" s="23"/>
      <c r="H3" s="22"/>
      <c r="I3" s="27"/>
      <c r="J3" s="30" t="s">
        <v>60</v>
      </c>
      <c r="K3" s="22"/>
    </row>
    <row r="4" spans="1:11" ht="12">
      <c r="A4" s="23"/>
      <c r="B4" s="22"/>
      <c r="C4" s="24"/>
      <c r="D4" s="25"/>
      <c r="E4" s="26"/>
      <c r="F4" s="23"/>
      <c r="G4" s="23"/>
      <c r="H4" s="22"/>
      <c r="I4" s="27"/>
      <c r="J4" s="26"/>
      <c r="K4" s="22"/>
    </row>
    <row r="5" spans="1:11" ht="12">
      <c r="A5" s="23"/>
      <c r="B5" s="22"/>
      <c r="C5" s="24"/>
      <c r="D5" s="25"/>
      <c r="E5" s="26"/>
      <c r="F5" s="23"/>
      <c r="G5" s="23"/>
      <c r="H5" s="22"/>
      <c r="I5" s="27"/>
      <c r="J5" s="26"/>
      <c r="K5" s="22"/>
    </row>
    <row r="6" spans="1:11" ht="12">
      <c r="A6" s="23"/>
      <c r="B6" s="22"/>
      <c r="C6" s="24"/>
      <c r="D6" s="25"/>
      <c r="E6" s="31"/>
      <c r="F6" s="32" t="str">
        <f>DATA!A1</f>
        <v>PUGET SOUND ENERGY</v>
      </c>
      <c r="G6" s="22"/>
      <c r="H6" s="22"/>
      <c r="I6" s="27"/>
      <c r="J6" s="26"/>
      <c r="K6" s="22"/>
    </row>
    <row r="7" spans="1:11" ht="12">
      <c r="A7" s="23"/>
      <c r="B7" s="22"/>
      <c r="C7" s="24"/>
      <c r="D7" s="25"/>
      <c r="E7" s="31"/>
      <c r="F7" s="23" t="s">
        <v>230</v>
      </c>
      <c r="G7" s="22"/>
      <c r="H7" s="22"/>
      <c r="I7" s="27"/>
      <c r="J7" s="26"/>
      <c r="K7" s="22"/>
    </row>
    <row r="8" spans="1:11" ht="12">
      <c r="A8" s="23"/>
      <c r="B8" s="22"/>
      <c r="C8" s="24"/>
      <c r="D8" s="25"/>
      <c r="E8" s="26"/>
      <c r="F8" s="23"/>
      <c r="G8" s="23"/>
      <c r="H8" s="22"/>
      <c r="I8" s="27"/>
      <c r="J8" s="26"/>
      <c r="K8" s="22"/>
    </row>
    <row r="9" spans="1:11" ht="12">
      <c r="A9" s="23"/>
      <c r="B9" s="22"/>
      <c r="C9" s="24"/>
      <c r="D9" s="25"/>
      <c r="E9" s="26"/>
      <c r="F9" s="23"/>
      <c r="G9" s="23"/>
      <c r="H9" s="22"/>
      <c r="I9" s="27"/>
      <c r="J9" s="26"/>
      <c r="K9" s="22"/>
    </row>
    <row r="10" spans="1:11" ht="12">
      <c r="A10" s="23"/>
      <c r="B10" s="22"/>
      <c r="C10" s="24"/>
      <c r="D10" s="25"/>
      <c r="E10" s="26"/>
      <c r="F10" s="23"/>
      <c r="G10" s="23"/>
      <c r="H10" s="22"/>
      <c r="I10" s="27"/>
      <c r="J10" s="26"/>
      <c r="K10" s="22"/>
    </row>
    <row r="11" spans="1:11" ht="12">
      <c r="A11" s="33" t="s">
        <v>231</v>
      </c>
      <c r="B11" s="22"/>
      <c r="C11" s="34"/>
      <c r="D11" s="35" t="s">
        <v>232</v>
      </c>
      <c r="E11" s="36" t="s">
        <v>233</v>
      </c>
      <c r="F11" s="33"/>
      <c r="G11" s="33"/>
      <c r="H11" s="22"/>
      <c r="I11" s="37" t="s">
        <v>101</v>
      </c>
      <c r="J11" s="38" t="s">
        <v>233</v>
      </c>
      <c r="K11" s="22"/>
    </row>
    <row r="12" spans="1:11" ht="12">
      <c r="A12" s="23"/>
      <c r="B12" s="22"/>
      <c r="C12" s="24"/>
      <c r="D12" s="25"/>
      <c r="E12" s="26"/>
      <c r="F12" s="23"/>
      <c r="G12" s="23"/>
      <c r="H12" s="22"/>
      <c r="I12" s="27"/>
      <c r="J12" s="26"/>
      <c r="K12" s="22"/>
    </row>
    <row r="13" spans="1:11" ht="12">
      <c r="A13" s="23"/>
      <c r="B13" s="22"/>
      <c r="C13" s="24" t="s">
        <v>102</v>
      </c>
      <c r="D13" s="25" t="s">
        <v>76</v>
      </c>
      <c r="E13" s="26"/>
      <c r="F13" s="23"/>
      <c r="G13" s="23" t="s">
        <v>77</v>
      </c>
      <c r="H13" s="22"/>
      <c r="I13" s="27" t="s">
        <v>78</v>
      </c>
      <c r="J13" s="26" t="s">
        <v>188</v>
      </c>
      <c r="K13" s="22"/>
    </row>
    <row r="14" spans="1:11" ht="12">
      <c r="A14" s="39" t="str">
        <f>DATA!A5</f>
        <v>CV</v>
      </c>
      <c r="B14" s="22"/>
      <c r="C14" s="34" t="s">
        <v>213</v>
      </c>
      <c r="D14" s="35" t="s">
        <v>214</v>
      </c>
      <c r="E14" s="36" t="s">
        <v>124</v>
      </c>
      <c r="F14" s="33"/>
      <c r="G14" s="33" t="s">
        <v>92</v>
      </c>
      <c r="H14" s="22"/>
      <c r="I14" s="40" t="s">
        <v>93</v>
      </c>
      <c r="J14" s="36" t="s">
        <v>233</v>
      </c>
      <c r="K14" s="22"/>
    </row>
    <row r="15" spans="1:11" ht="12">
      <c r="A15" s="23">
        <f>DATA!F$3</f>
        <v>2003</v>
      </c>
      <c r="B15" s="22"/>
      <c r="C15" s="24">
        <f>1-DATA!N5/DATA!F5</f>
        <v>0.375886524822695</v>
      </c>
      <c r="D15" s="25">
        <f>DATA!V$5</f>
        <v>0.081</v>
      </c>
      <c r="E15" s="26">
        <f>C15*D15</f>
        <v>0.030446808510638298</v>
      </c>
      <c r="F15" s="23"/>
      <c r="G15" s="27">
        <f>DATA!AD$5</f>
        <v>17.89</v>
      </c>
      <c r="H15" s="22"/>
      <c r="I15" s="27">
        <f>DATA!AL$5</f>
        <v>11.81</v>
      </c>
      <c r="J15" s="26"/>
      <c r="K15" s="22"/>
    </row>
    <row r="16" spans="1:11" ht="12">
      <c r="A16" s="23">
        <f>DATA!G$3</f>
        <v>2004</v>
      </c>
      <c r="B16" s="22"/>
      <c r="C16" s="24">
        <f>1-DATA!O5/DATA!G5</f>
        <v>0.264</v>
      </c>
      <c r="D16" s="25">
        <f>DATA!W$5</f>
        <v>0.068</v>
      </c>
      <c r="E16" s="26">
        <f>C16*D16</f>
        <v>0.017952000000000003</v>
      </c>
      <c r="F16" s="23"/>
      <c r="G16" s="27">
        <f>DATA!AE$5</f>
        <v>18.49</v>
      </c>
      <c r="H16" s="22"/>
      <c r="I16" s="27">
        <f>DATA!AM$5</f>
        <v>12.19</v>
      </c>
      <c r="J16" s="26"/>
      <c r="K16" s="22"/>
    </row>
    <row r="17" spans="1:11" ht="12">
      <c r="A17" s="23">
        <f>DATA!H$3</f>
        <v>2005</v>
      </c>
      <c r="B17" s="22"/>
      <c r="C17" s="24">
        <f>1-DATA!P5/DATA!H5</f>
        <v>-10.5</v>
      </c>
      <c r="D17" s="25">
        <f>DATA!X$5</f>
        <v>0.005</v>
      </c>
      <c r="E17" s="26">
        <f>C17*D17</f>
        <v>-0.0525</v>
      </c>
      <c r="F17" s="23"/>
      <c r="G17" s="27">
        <f>DATA!AF$5</f>
        <v>17.7</v>
      </c>
      <c r="H17" s="22"/>
      <c r="I17" s="27">
        <f>DATA!AN$5</f>
        <v>12.28</v>
      </c>
      <c r="J17" s="26"/>
      <c r="K17" s="22"/>
    </row>
    <row r="18" spans="1:11" ht="12">
      <c r="A18" s="23">
        <f>DATA!I$3</f>
        <v>2006</v>
      </c>
      <c r="B18" s="22"/>
      <c r="C18" s="24">
        <f>1-DATA!Q5/DATA!I5</f>
        <v>0.4355828220858895</v>
      </c>
      <c r="D18" s="25">
        <f>DATA!Y$5</f>
        <v>0.101</v>
      </c>
      <c r="E18" s="26">
        <f>C18*D18</f>
        <v>0.043993865030674845</v>
      </c>
      <c r="F18" s="23"/>
      <c r="G18" s="27">
        <f>DATA!AG$5</f>
        <v>17.7</v>
      </c>
      <c r="H18" s="22"/>
      <c r="I18" s="27">
        <f>DATA!AO$5</f>
        <v>10.13</v>
      </c>
      <c r="J18" s="26"/>
      <c r="K18" s="22"/>
    </row>
    <row r="19" spans="1:11" ht="12">
      <c r="A19" s="23">
        <f>DATA!J$3</f>
        <v>2007</v>
      </c>
      <c r="B19" s="22"/>
      <c r="C19" s="24">
        <f>1-DATA!R5/DATA!J5</f>
        <v>0.34285714285714275</v>
      </c>
      <c r="D19" s="25">
        <f>DATA!Y$5</f>
        <v>0.101</v>
      </c>
      <c r="E19" s="41">
        <f>C19*D19</f>
        <v>0.03462857142857142</v>
      </c>
      <c r="F19" s="42"/>
      <c r="G19" s="43">
        <f>DATA!AH$5</f>
        <v>18.4</v>
      </c>
      <c r="H19" s="44"/>
      <c r="I19" s="43">
        <f>DATA!AP$5</f>
        <v>10.3</v>
      </c>
      <c r="J19" s="26"/>
      <c r="K19" s="22"/>
    </row>
    <row r="20" spans="1:11" ht="12">
      <c r="A20" s="45" t="s">
        <v>94</v>
      </c>
      <c r="B20" s="22"/>
      <c r="C20" s="24"/>
      <c r="D20" s="25"/>
      <c r="E20" s="26">
        <f>AVERAGE(E15:E19)</f>
        <v>0.014904248993976913</v>
      </c>
      <c r="F20" s="26"/>
      <c r="G20" s="26">
        <f>DATA!AX5</f>
        <v>0.02</v>
      </c>
      <c r="H20" s="22"/>
      <c r="I20" s="27"/>
      <c r="J20" s="26">
        <f>(I19/I15)^0.25-1</f>
        <v>-0.033622451087795824</v>
      </c>
      <c r="K20" s="22"/>
    </row>
    <row r="21" spans="1:11" ht="12">
      <c r="A21" s="23">
        <f>DATA!K$3</f>
        <v>2008</v>
      </c>
      <c r="B21" s="22"/>
      <c r="C21" s="24">
        <f>1-DATA!S5/DATA!K5</f>
        <v>0.3866666666666666</v>
      </c>
      <c r="D21" s="25">
        <f>DATA!AA$5</f>
        <v>0.08</v>
      </c>
      <c r="E21" s="26">
        <f>C21*D21</f>
        <v>0.03093333333333333</v>
      </c>
      <c r="F21" s="26"/>
      <c r="G21" s="26"/>
      <c r="H21" s="22"/>
      <c r="I21" s="27">
        <f>DATA!AQ$5</f>
        <v>10.4</v>
      </c>
      <c r="J21" s="26">
        <f>(I21/I19)-1</f>
        <v>0.009708737864077666</v>
      </c>
      <c r="K21" s="22"/>
    </row>
    <row r="22" spans="1:11" ht="12">
      <c r="A22" s="23">
        <f>DATA!L$3</f>
        <v>2009</v>
      </c>
      <c r="B22" s="22"/>
      <c r="C22" s="24">
        <f>1-DATA!T$5/DATA!L$5</f>
        <v>0.40645161290322585</v>
      </c>
      <c r="D22" s="25">
        <f>DATA!AB$5</f>
        <v>0.08</v>
      </c>
      <c r="E22" s="26">
        <f>C22*D22</f>
        <v>0.03251612903225807</v>
      </c>
      <c r="F22" s="26"/>
      <c r="G22" s="26"/>
      <c r="H22" s="22"/>
      <c r="I22" s="27">
        <f>DATA!AR$5</f>
        <v>10.5</v>
      </c>
      <c r="J22" s="26">
        <v>-0.005</v>
      </c>
      <c r="K22" s="22"/>
    </row>
    <row r="23" spans="1:11" ht="12">
      <c r="A23" s="23" t="str">
        <f>DATA!M$3</f>
        <v>2011-2013</v>
      </c>
      <c r="B23" s="22"/>
      <c r="C23" s="24">
        <f>1-DATA!U$5/DATA!M$5</f>
        <v>0.4424242424242424</v>
      </c>
      <c r="D23" s="25">
        <f>DATA!AC$5</f>
        <v>0.075</v>
      </c>
      <c r="E23" s="26">
        <f>C23*D23</f>
        <v>0.03318181818181818</v>
      </c>
      <c r="F23" s="26"/>
      <c r="G23" s="26">
        <v>0.03</v>
      </c>
      <c r="H23" s="22"/>
      <c r="I23" s="27">
        <f>DATA!AS$5</f>
        <v>10.6</v>
      </c>
      <c r="J23" s="26">
        <f>(I23/I19)^0.2-1</f>
        <v>0.005758538178607608</v>
      </c>
      <c r="K23" s="22"/>
    </row>
    <row r="24" spans="1:11" ht="12">
      <c r="A24" s="23"/>
      <c r="B24" s="22"/>
      <c r="C24" s="24"/>
      <c r="D24" s="25"/>
      <c r="E24" s="26"/>
      <c r="F24" s="23"/>
      <c r="G24" s="23"/>
      <c r="H24" s="22"/>
      <c r="I24" s="27"/>
      <c r="J24" s="26"/>
      <c r="K24" s="22"/>
    </row>
    <row r="25" spans="1:11" ht="12">
      <c r="A25" s="23"/>
      <c r="B25" s="22"/>
      <c r="C25" s="24"/>
      <c r="D25" s="25"/>
      <c r="E25" s="26"/>
      <c r="F25" s="23"/>
      <c r="G25" s="23"/>
      <c r="H25" s="22"/>
      <c r="I25" s="27"/>
      <c r="J25" s="26"/>
      <c r="K25" s="22"/>
    </row>
    <row r="26" spans="1:11" ht="12">
      <c r="A26" s="23"/>
      <c r="B26" s="22"/>
      <c r="C26" s="24"/>
      <c r="D26" s="25"/>
      <c r="E26" s="26"/>
      <c r="F26" s="23"/>
      <c r="G26" s="23"/>
      <c r="H26" s="22"/>
      <c r="I26" s="27"/>
      <c r="J26" s="26"/>
      <c r="K26" s="22"/>
    </row>
    <row r="27" spans="1:11" ht="12">
      <c r="A27" s="33" t="s">
        <v>231</v>
      </c>
      <c r="B27" s="22"/>
      <c r="C27" s="34"/>
      <c r="D27" s="35" t="s">
        <v>232</v>
      </c>
      <c r="E27" s="36" t="s">
        <v>233</v>
      </c>
      <c r="F27" s="33"/>
      <c r="G27" s="33"/>
      <c r="H27" s="22"/>
      <c r="I27" s="37" t="s">
        <v>101</v>
      </c>
      <c r="J27" s="38" t="s">
        <v>233</v>
      </c>
      <c r="K27" s="22"/>
    </row>
    <row r="28" spans="1:11" ht="12">
      <c r="A28" s="23"/>
      <c r="B28" s="22"/>
      <c r="C28" s="24"/>
      <c r="D28" s="25"/>
      <c r="E28" s="26"/>
      <c r="F28" s="23"/>
      <c r="G28" s="23"/>
      <c r="H28" s="22"/>
      <c r="I28" s="27"/>
      <c r="J28" s="26"/>
      <c r="K28" s="22"/>
    </row>
    <row r="29" spans="1:11" ht="12">
      <c r="A29" s="23"/>
      <c r="B29" s="22"/>
      <c r="C29" s="24" t="s">
        <v>102</v>
      </c>
      <c r="D29" s="25" t="s">
        <v>76</v>
      </c>
      <c r="E29" s="26"/>
      <c r="F29" s="23"/>
      <c r="G29" s="23" t="s">
        <v>77</v>
      </c>
      <c r="H29" s="22"/>
      <c r="I29" s="27" t="s">
        <v>78</v>
      </c>
      <c r="J29" s="26" t="s">
        <v>188</v>
      </c>
      <c r="K29" s="22"/>
    </row>
    <row r="30" spans="1:11" ht="12">
      <c r="A30" s="39" t="str">
        <f>DATA!A$6</f>
        <v>FE</v>
      </c>
      <c r="B30" s="22"/>
      <c r="C30" s="34" t="s">
        <v>213</v>
      </c>
      <c r="D30" s="35" t="s">
        <v>214</v>
      </c>
      <c r="E30" s="36" t="s">
        <v>124</v>
      </c>
      <c r="F30" s="33"/>
      <c r="G30" s="33" t="s">
        <v>92</v>
      </c>
      <c r="H30" s="22"/>
      <c r="I30" s="40" t="s">
        <v>93</v>
      </c>
      <c r="J30" s="36" t="s">
        <v>233</v>
      </c>
      <c r="K30" s="22"/>
    </row>
    <row r="31" spans="1:11" ht="12">
      <c r="A31" s="23">
        <f>DATA!F$3</f>
        <v>2003</v>
      </c>
      <c r="B31" s="22"/>
      <c r="C31" s="24">
        <f>1-DATA!N$6/DATA!F6</f>
        <v>-0.020408163265306145</v>
      </c>
      <c r="D31" s="25">
        <f>DATA!V$6</f>
        <v>0.054</v>
      </c>
      <c r="E31" s="26">
        <f>C31*D31</f>
        <v>-0.0011020408163265319</v>
      </c>
      <c r="F31" s="23"/>
      <c r="G31" s="27">
        <f>DATA!AD$6</f>
        <v>25.13</v>
      </c>
      <c r="H31" s="22"/>
      <c r="I31" s="27">
        <f>DATA!AL$6</f>
        <v>329.84</v>
      </c>
      <c r="J31" s="26"/>
      <c r="K31" s="22"/>
    </row>
    <row r="32" spans="1:11" ht="12">
      <c r="A32" s="23">
        <f>DATA!G$3</f>
        <v>2004</v>
      </c>
      <c r="B32" s="22"/>
      <c r="C32" s="24">
        <f>1-DATA!O$6/DATA!G$6</f>
        <v>0.31046931407942246</v>
      </c>
      <c r="D32" s="25">
        <f>DATA!W$6</f>
        <v>0.16</v>
      </c>
      <c r="E32" s="26">
        <f>C32*D32</f>
        <v>0.049675090252707596</v>
      </c>
      <c r="F32" s="23"/>
      <c r="G32" s="27">
        <f>DATA!AE$6</f>
        <v>26.04</v>
      </c>
      <c r="H32" s="22"/>
      <c r="I32" s="27">
        <f>DATA!AM$6</f>
        <v>329.84</v>
      </c>
      <c r="J32" s="26"/>
      <c r="K32" s="22"/>
    </row>
    <row r="33" spans="1:12" ht="12">
      <c r="A33" s="23">
        <f>DATA!H$3</f>
        <v>2005</v>
      </c>
      <c r="B33" s="22"/>
      <c r="C33" s="24">
        <f>1-DATA!P$6/DATA!H$6</f>
        <v>0.397887323943662</v>
      </c>
      <c r="D33" s="25">
        <f>DATA!X$6</f>
        <v>0.102</v>
      </c>
      <c r="E33" s="26">
        <f>C33*D33</f>
        <v>0.04058450704225352</v>
      </c>
      <c r="F33" s="23"/>
      <c r="G33" s="27">
        <f>DATA!AF$6</f>
        <v>27.86</v>
      </c>
      <c r="H33" s="22"/>
      <c r="I33" s="27">
        <f>DATA!AN$6</f>
        <v>329.84</v>
      </c>
      <c r="J33" s="26"/>
      <c r="K33" s="22"/>
      <c r="L33" s="55">
        <f>AVERAGE(E32:E35)</f>
        <v>0.059897475547947235</v>
      </c>
    </row>
    <row r="34" spans="1:11" ht="12">
      <c r="A34" s="23">
        <f>DATA!I$3</f>
        <v>2006</v>
      </c>
      <c r="B34" s="22"/>
      <c r="C34" s="24">
        <f>1-DATA!Q$6/DATA!I$6</f>
        <v>0.5157068062827225</v>
      </c>
      <c r="D34" s="25">
        <f>DATA!Y$6</f>
        <v>0.139</v>
      </c>
      <c r="E34" s="26">
        <f>C34*D34</f>
        <v>0.07168324607329843</v>
      </c>
      <c r="F34" s="23"/>
      <c r="G34" s="27">
        <f>DATA!AG$6</f>
        <v>28.3</v>
      </c>
      <c r="H34" s="22"/>
      <c r="I34" s="27">
        <f>DATA!AO$6</f>
        <v>319.21</v>
      </c>
      <c r="J34" s="26"/>
      <c r="K34" s="22"/>
    </row>
    <row r="35" spans="1:11" ht="12">
      <c r="A35" s="23">
        <f>DATA!J$3</f>
        <v>2007</v>
      </c>
      <c r="B35" s="22"/>
      <c r="C35" s="24">
        <f>1-DATA!R$6/DATA!J$6</f>
        <v>0.5176470588235295</v>
      </c>
      <c r="D35" s="25">
        <f>DATA!Z$6</f>
        <v>0.15</v>
      </c>
      <c r="E35" s="41">
        <f>C35*D35</f>
        <v>0.07764705882352942</v>
      </c>
      <c r="F35" s="42"/>
      <c r="G35" s="43">
        <f>DATA!AH$6</f>
        <v>28.9</v>
      </c>
      <c r="H35" s="44"/>
      <c r="I35" s="43">
        <f>DATA!AP$6</f>
        <v>304.8</v>
      </c>
      <c r="J35" s="26"/>
      <c r="K35" s="22"/>
    </row>
    <row r="36" spans="1:12" ht="12">
      <c r="A36" s="45" t="s">
        <v>94</v>
      </c>
      <c r="B36" s="22"/>
      <c r="C36" s="24"/>
      <c r="D36" s="25"/>
      <c r="E36" s="26">
        <f>AVERAGE(E31:E35)</f>
        <v>0.047697572275092484</v>
      </c>
      <c r="F36" s="26"/>
      <c r="G36" s="26">
        <f>DATA!AX$6</f>
        <v>0.045</v>
      </c>
      <c r="H36" s="22"/>
      <c r="I36" s="27"/>
      <c r="J36" s="26">
        <f>(I35/I31)^0.25-1</f>
        <v>-0.019544447803707232</v>
      </c>
      <c r="K36" s="22"/>
      <c r="L36" s="28">
        <f>(I35/I33)^0.5-1</f>
        <v>-0.03870691016746264</v>
      </c>
    </row>
    <row r="37" spans="1:11" ht="12">
      <c r="A37" s="23">
        <f>DATA!K$3</f>
        <v>2008</v>
      </c>
      <c r="B37" s="22"/>
      <c r="C37" s="24">
        <f>1-DATA!S$6/DATA!K$6</f>
        <v>0.4767441860465116</v>
      </c>
      <c r="D37" s="25">
        <f>DATA!AA$6</f>
        <v>0.14</v>
      </c>
      <c r="E37" s="26">
        <f>C37*D37</f>
        <v>0.06674418604651162</v>
      </c>
      <c r="F37" s="26"/>
      <c r="G37" s="26"/>
      <c r="H37" s="22"/>
      <c r="I37" s="27">
        <f>DATA!AQ$6</f>
        <v>304.8</v>
      </c>
      <c r="J37" s="26">
        <f>(I37/I35)-1</f>
        <v>0</v>
      </c>
      <c r="K37" s="22"/>
    </row>
    <row r="38" spans="1:11" ht="12">
      <c r="A38" s="23">
        <f>DATA!L$3</f>
        <v>2009</v>
      </c>
      <c r="B38" s="23"/>
      <c r="C38" s="24">
        <f>1-DATA!T$6/DATA!L$6</f>
        <v>0.4731182795698925</v>
      </c>
      <c r="D38" s="25">
        <f>DATA!AB$6</f>
        <v>0.14</v>
      </c>
      <c r="E38" s="26">
        <f>C38*D38</f>
        <v>0.06623655913978496</v>
      </c>
      <c r="F38" s="23"/>
      <c r="G38" s="26"/>
      <c r="H38" s="23"/>
      <c r="I38" s="27">
        <f>DATA!AR$6</f>
        <v>304.8</v>
      </c>
      <c r="J38" s="26">
        <f>(I38/I35)^0.5-1</f>
        <v>0</v>
      </c>
      <c r="K38" s="22"/>
    </row>
    <row r="39" spans="1:11" ht="12">
      <c r="A39" s="23" t="str">
        <f>DATA!M$3</f>
        <v>2011-2013</v>
      </c>
      <c r="B39" s="22"/>
      <c r="C39" s="24">
        <f>1-DATA!U$6/DATA!M$6</f>
        <v>0.4545454545454546</v>
      </c>
      <c r="D39" s="25">
        <f>DATA!AC$6</f>
        <v>0.14</v>
      </c>
      <c r="E39" s="26">
        <f>C39*D39</f>
        <v>0.06363636363636364</v>
      </c>
      <c r="F39" s="26"/>
      <c r="G39" s="26">
        <f>DATA!AY$6</f>
        <v>0.055</v>
      </c>
      <c r="H39" s="22"/>
      <c r="I39" s="27">
        <f>DATA!AS$6</f>
        <v>304.8</v>
      </c>
      <c r="J39" s="26">
        <f>(I39/I35)^0.2-1</f>
        <v>0</v>
      </c>
      <c r="K39" s="22"/>
    </row>
    <row r="40" spans="1:11" ht="12">
      <c r="A40" s="23"/>
      <c r="B40" s="22"/>
      <c r="C40" s="24"/>
      <c r="D40" s="25"/>
      <c r="E40" s="26"/>
      <c r="F40" s="23"/>
      <c r="G40" s="23"/>
      <c r="H40" s="22"/>
      <c r="I40" s="27"/>
      <c r="J40" s="26"/>
      <c r="K40" s="22"/>
    </row>
    <row r="41" spans="1:11" ht="12">
      <c r="A41" s="23"/>
      <c r="B41" s="22"/>
      <c r="C41" s="24"/>
      <c r="D41" s="25"/>
      <c r="E41" s="26"/>
      <c r="F41" s="23"/>
      <c r="G41" s="23"/>
      <c r="H41" s="22"/>
      <c r="I41" s="27"/>
      <c r="J41" s="26"/>
      <c r="K41" s="22"/>
    </row>
    <row r="42" spans="1:11" ht="12">
      <c r="A42" s="23"/>
      <c r="B42" s="22"/>
      <c r="C42" s="24"/>
      <c r="D42" s="25"/>
      <c r="E42" s="26"/>
      <c r="F42" s="23"/>
      <c r="G42" s="23"/>
      <c r="H42" s="22"/>
      <c r="I42" s="27"/>
      <c r="J42" s="26"/>
      <c r="K42" s="22"/>
    </row>
    <row r="43" spans="1:11" ht="12">
      <c r="A43" s="33" t="s">
        <v>231</v>
      </c>
      <c r="B43" s="22"/>
      <c r="C43" s="34"/>
      <c r="D43" s="35" t="s">
        <v>232</v>
      </c>
      <c r="E43" s="36" t="s">
        <v>233</v>
      </c>
      <c r="F43" s="33"/>
      <c r="G43" s="33"/>
      <c r="H43" s="22"/>
      <c r="I43" s="37" t="s">
        <v>101</v>
      </c>
      <c r="J43" s="38" t="s">
        <v>233</v>
      </c>
      <c r="K43" s="22"/>
    </row>
    <row r="44" spans="1:11" ht="12">
      <c r="A44" s="23"/>
      <c r="B44" s="22"/>
      <c r="C44" s="24"/>
      <c r="D44" s="25"/>
      <c r="E44" s="26"/>
      <c r="F44" s="23"/>
      <c r="G44" s="23"/>
      <c r="H44" s="22"/>
      <c r="I44" s="27"/>
      <c r="J44" s="26"/>
      <c r="K44" s="22"/>
    </row>
    <row r="45" spans="1:11" ht="12">
      <c r="A45" s="23"/>
      <c r="B45" s="22"/>
      <c r="C45" s="24" t="s">
        <v>102</v>
      </c>
      <c r="D45" s="25" t="s">
        <v>76</v>
      </c>
      <c r="E45" s="26"/>
      <c r="F45" s="23"/>
      <c r="G45" s="23" t="s">
        <v>77</v>
      </c>
      <c r="H45" s="22"/>
      <c r="I45" s="27" t="s">
        <v>78</v>
      </c>
      <c r="J45" s="26" t="s">
        <v>188</v>
      </c>
      <c r="K45" s="22"/>
    </row>
    <row r="46" spans="1:11" ht="12">
      <c r="A46" s="39" t="str">
        <f>DATA!A$7</f>
        <v>NU</v>
      </c>
      <c r="B46" s="22"/>
      <c r="C46" s="34" t="s">
        <v>213</v>
      </c>
      <c r="D46" s="35" t="s">
        <v>214</v>
      </c>
      <c r="E46" s="36" t="s">
        <v>124</v>
      </c>
      <c r="F46" s="33"/>
      <c r="G46" s="33" t="s">
        <v>92</v>
      </c>
      <c r="H46" s="22"/>
      <c r="I46" s="40" t="s">
        <v>93</v>
      </c>
      <c r="J46" s="36" t="s">
        <v>233</v>
      </c>
      <c r="K46" s="22"/>
    </row>
    <row r="47" spans="1:11" ht="12">
      <c r="A47" s="23">
        <f>DATA!F$3</f>
        <v>2003</v>
      </c>
      <c r="B47" s="22"/>
      <c r="C47" s="24">
        <f>1-DATA!N$7/DATA!F7</f>
        <v>0.532258064516129</v>
      </c>
      <c r="D47" s="25">
        <f>DATA!V$7</f>
        <v>0.069</v>
      </c>
      <c r="E47" s="26">
        <f>C47*D47</f>
        <v>0.036725806451612907</v>
      </c>
      <c r="F47" s="23"/>
      <c r="G47" s="27">
        <f>DATA!AD$7</f>
        <v>17.73</v>
      </c>
      <c r="H47" s="22"/>
      <c r="I47" s="27">
        <f>DATA!AL$7</f>
        <v>127.7</v>
      </c>
      <c r="J47" s="26"/>
      <c r="K47" s="22"/>
    </row>
    <row r="48" spans="1:11" ht="12">
      <c r="A48" s="23">
        <f>DATA!G$3</f>
        <v>2004</v>
      </c>
      <c r="B48" s="22"/>
      <c r="C48" s="24">
        <f>1-DATA!O$7/DATA!G$7</f>
        <v>0.3076923076923077</v>
      </c>
      <c r="D48" s="25">
        <f>DATA!W$7</f>
        <v>0.051</v>
      </c>
      <c r="E48" s="26">
        <f>C48*D48</f>
        <v>0.015692307692307693</v>
      </c>
      <c r="F48" s="23"/>
      <c r="G48" s="27">
        <f>DATA!AE$7</f>
        <v>17.8</v>
      </c>
      <c r="H48" s="22"/>
      <c r="I48" s="27">
        <f>DATA!AM$7</f>
        <v>129.03</v>
      </c>
      <c r="J48" s="26"/>
      <c r="K48" s="22"/>
    </row>
    <row r="49" spans="1:11" ht="12">
      <c r="A49" s="23">
        <f>DATA!H$3</f>
        <v>2005</v>
      </c>
      <c r="B49" s="22"/>
      <c r="C49" s="24">
        <f>1-DATA!P$7/DATA!H$7</f>
        <v>0.30612244897959173</v>
      </c>
      <c r="D49" s="25">
        <f>DATA!X$7</f>
        <v>0.051</v>
      </c>
      <c r="E49" s="26">
        <f>C49*D49</f>
        <v>0.015612244897959177</v>
      </c>
      <c r="F49" s="23"/>
      <c r="G49" s="27">
        <f>DATA!AF$7</f>
        <v>18.46</v>
      </c>
      <c r="H49" s="22"/>
      <c r="I49" s="27">
        <f>DATA!AN$7</f>
        <v>131.59</v>
      </c>
      <c r="J49" s="26"/>
      <c r="K49" s="22"/>
    </row>
    <row r="50" spans="1:12" ht="12">
      <c r="A50" s="23">
        <f>DATA!I$3</f>
        <v>2006</v>
      </c>
      <c r="B50" s="22"/>
      <c r="C50" s="24">
        <f>1-DATA!Q$7/DATA!I$7</f>
        <v>0.1097560975609756</v>
      </c>
      <c r="D50" s="25">
        <f>DATA!Y$7</f>
        <v>0.043</v>
      </c>
      <c r="E50" s="26">
        <f>C50*D50</f>
        <v>0.00471951219512195</v>
      </c>
      <c r="F50" s="23"/>
      <c r="G50" s="27">
        <f>DATA!AG$7</f>
        <v>18.14</v>
      </c>
      <c r="H50" s="22"/>
      <c r="I50" s="27">
        <f>DATA!AO$7</f>
        <v>154.23</v>
      </c>
      <c r="J50" s="26"/>
      <c r="K50" s="22"/>
      <c r="L50" s="28">
        <f>(I49/I47)^0.5-1</f>
        <v>0.015116752083335072</v>
      </c>
    </row>
    <row r="51" spans="1:11" ht="12">
      <c r="A51" s="23">
        <f>DATA!J$3</f>
        <v>2007</v>
      </c>
      <c r="B51" s="22"/>
      <c r="C51" s="24">
        <f>1-DATA!R$7/DATA!J$7</f>
        <v>0.5063291139240507</v>
      </c>
      <c r="D51" s="25">
        <f>DATA!Z$7</f>
        <v>0.08</v>
      </c>
      <c r="E51" s="41">
        <f>C51*D51</f>
        <v>0.04050632911392405</v>
      </c>
      <c r="F51" s="42"/>
      <c r="G51" s="43">
        <f>DATA!AH$7</f>
        <v>19.05</v>
      </c>
      <c r="H51" s="44"/>
      <c r="I51" s="43">
        <f>DATA!AP$7</f>
        <v>156.2</v>
      </c>
      <c r="J51" s="26"/>
      <c r="K51" s="22"/>
    </row>
    <row r="52" spans="1:11" ht="12">
      <c r="A52" s="45" t="s">
        <v>94</v>
      </c>
      <c r="B52" s="22"/>
      <c r="C52" s="24"/>
      <c r="D52" s="25"/>
      <c r="E52" s="26">
        <f>AVERAGE(E47:E51)</f>
        <v>0.02265124007018516</v>
      </c>
      <c r="F52" s="26"/>
      <c r="G52" s="26">
        <f>DATA!AX$7</f>
        <v>0.03</v>
      </c>
      <c r="H52" s="22"/>
      <c r="I52" s="27"/>
      <c r="J52" s="26">
        <f>(I51/I47)^0.25-1</f>
        <v>0.051653164685493635</v>
      </c>
      <c r="K52" s="22"/>
    </row>
    <row r="53" spans="1:11" ht="12">
      <c r="A53" s="23">
        <f>DATA!K$3</f>
        <v>2008</v>
      </c>
      <c r="B53" s="22"/>
      <c r="C53" s="24">
        <f>1-DATA!S$7/DATA!K$7</f>
        <v>0.538888888888889</v>
      </c>
      <c r="D53" s="25">
        <f>DATA!AA$7</f>
        <v>0.09</v>
      </c>
      <c r="E53" s="26">
        <f>C53*D53</f>
        <v>0.04850000000000001</v>
      </c>
      <c r="F53" s="26"/>
      <c r="G53" s="26"/>
      <c r="H53" s="22"/>
      <c r="I53" s="27">
        <f>DATA!AQ$7</f>
        <v>158.2</v>
      </c>
      <c r="J53" s="26">
        <f>(I53/I51)-1</f>
        <v>0.012804097311139628</v>
      </c>
      <c r="K53" s="22"/>
    </row>
    <row r="54" spans="1:11" ht="12">
      <c r="A54" s="23">
        <f>DATA!L$3</f>
        <v>2009</v>
      </c>
      <c r="B54" s="23"/>
      <c r="C54" s="24">
        <f>1-DATA!T$7/DATA!L$7</f>
        <v>0.5487179487179488</v>
      </c>
      <c r="D54" s="25">
        <f>DATA!AB$7</f>
        <v>0.085</v>
      </c>
      <c r="E54" s="26">
        <f>C54*D54</f>
        <v>0.04664102564102565</v>
      </c>
      <c r="F54" s="23"/>
      <c r="G54" s="26"/>
      <c r="H54" s="23"/>
      <c r="I54" s="27">
        <f>DATA!AR$7</f>
        <v>178</v>
      </c>
      <c r="J54" s="26">
        <f>(I54/I51)^0.5-1</f>
        <v>0.06750393942665212</v>
      </c>
      <c r="K54" s="23"/>
    </row>
    <row r="55" spans="1:11" ht="12">
      <c r="A55" s="23" t="str">
        <f>DATA!M$3</f>
        <v>2011-2013</v>
      </c>
      <c r="B55" s="22"/>
      <c r="C55" s="24">
        <f>1-DATA!U$7/DATA!M$7</f>
        <v>0.5708333333333333</v>
      </c>
      <c r="D55" s="25">
        <f>DATA!AC$7</f>
        <v>0.085</v>
      </c>
      <c r="E55" s="26">
        <f>C55*D55</f>
        <v>0.04852083333333333</v>
      </c>
      <c r="F55" s="26"/>
      <c r="G55" s="26">
        <f>DATA!AY$7</f>
        <v>0.055</v>
      </c>
      <c r="H55" s="22"/>
      <c r="I55" s="27">
        <f>DATA!AS$7</f>
        <v>200</v>
      </c>
      <c r="J55" s="26">
        <f>(I55/I51)^0.2-1</f>
        <v>0.05067837378623952</v>
      </c>
      <c r="K55" s="22"/>
    </row>
    <row r="56" spans="1:10" ht="12">
      <c r="A56" s="23"/>
      <c r="B56" s="22"/>
      <c r="C56" s="24"/>
      <c r="D56" s="25"/>
      <c r="E56" s="26"/>
      <c r="F56" s="23"/>
      <c r="G56" s="23"/>
      <c r="H56" s="22"/>
      <c r="I56" s="27"/>
      <c r="J56" s="62" t="s">
        <v>25</v>
      </c>
    </row>
    <row r="57" spans="1:11" ht="12">
      <c r="A57" s="23"/>
      <c r="B57" s="22"/>
      <c r="C57" s="24"/>
      <c r="D57" s="25"/>
      <c r="E57" s="26"/>
      <c r="F57" s="23"/>
      <c r="G57" s="23"/>
      <c r="H57" s="22"/>
      <c r="I57" s="27"/>
      <c r="J57" s="29" t="s">
        <v>27</v>
      </c>
      <c r="K57" s="22"/>
    </row>
    <row r="58" spans="1:11" ht="12">
      <c r="A58" s="23"/>
      <c r="B58" s="22"/>
      <c r="C58" s="24"/>
      <c r="D58" s="25"/>
      <c r="E58" s="26"/>
      <c r="F58" s="23"/>
      <c r="G58" s="23"/>
      <c r="H58" s="22"/>
      <c r="I58" s="27"/>
      <c r="J58" s="30" t="s">
        <v>64</v>
      </c>
      <c r="K58" s="22"/>
    </row>
    <row r="59" spans="1:11" ht="12">
      <c r="A59" s="23"/>
      <c r="B59" s="22"/>
      <c r="C59" s="24"/>
      <c r="D59" s="25"/>
      <c r="E59" s="26"/>
      <c r="F59" s="23"/>
      <c r="G59" s="23"/>
      <c r="H59" s="22"/>
      <c r="I59" s="27"/>
      <c r="J59" s="26"/>
      <c r="K59" s="22"/>
    </row>
    <row r="60" spans="1:11" ht="12">
      <c r="A60" s="23"/>
      <c r="B60" s="22"/>
      <c r="C60" s="24"/>
      <c r="D60" s="25"/>
      <c r="E60" s="26"/>
      <c r="F60" s="23"/>
      <c r="G60" s="23"/>
      <c r="H60" s="22"/>
      <c r="I60" s="27"/>
      <c r="J60" s="26"/>
      <c r="K60" s="22"/>
    </row>
    <row r="61" spans="1:11" ht="12">
      <c r="A61" s="23"/>
      <c r="B61" s="22"/>
      <c r="C61" s="24"/>
      <c r="D61" s="25"/>
      <c r="E61" s="31"/>
      <c r="F61" s="32" t="str">
        <f>F$6</f>
        <v>PUGET SOUND ENERGY</v>
      </c>
      <c r="G61" s="22"/>
      <c r="H61" s="22"/>
      <c r="I61" s="27"/>
      <c r="J61" s="26"/>
      <c r="K61" s="22"/>
    </row>
    <row r="62" spans="1:11" ht="12">
      <c r="A62" s="23"/>
      <c r="B62" s="22"/>
      <c r="C62" s="24"/>
      <c r="D62" s="25"/>
      <c r="E62" s="31"/>
      <c r="F62" s="23" t="s">
        <v>230</v>
      </c>
      <c r="G62" s="22"/>
      <c r="H62" s="22"/>
      <c r="I62" s="27"/>
      <c r="J62" s="26"/>
      <c r="K62" s="22"/>
    </row>
    <row r="63" spans="1:11" ht="12">
      <c r="A63" s="23"/>
      <c r="B63" s="22"/>
      <c r="C63" s="24"/>
      <c r="D63" s="25"/>
      <c r="E63" s="26"/>
      <c r="F63" s="23"/>
      <c r="G63" s="23"/>
      <c r="H63" s="22"/>
      <c r="I63" s="27"/>
      <c r="J63" s="26"/>
      <c r="K63" s="22"/>
    </row>
    <row r="64" spans="1:11" ht="12">
      <c r="A64" s="23"/>
      <c r="B64" s="22"/>
      <c r="C64" s="24"/>
      <c r="D64" s="25"/>
      <c r="E64" s="26"/>
      <c r="F64" s="23"/>
      <c r="G64" s="23"/>
      <c r="H64" s="22"/>
      <c r="I64" s="27"/>
      <c r="J64" s="26"/>
      <c r="K64" s="22"/>
    </row>
    <row r="65" spans="1:11" ht="12">
      <c r="A65" s="23"/>
      <c r="B65" s="22"/>
      <c r="C65" s="24"/>
      <c r="D65" s="25"/>
      <c r="E65" s="26"/>
      <c r="F65" s="23"/>
      <c r="G65" s="23"/>
      <c r="H65" s="22"/>
      <c r="I65" s="27"/>
      <c r="J65" s="26"/>
      <c r="K65" s="22"/>
    </row>
    <row r="66" spans="1:11" ht="12">
      <c r="A66" s="33" t="s">
        <v>231</v>
      </c>
      <c r="B66" s="22"/>
      <c r="C66" s="34"/>
      <c r="D66" s="35" t="s">
        <v>232</v>
      </c>
      <c r="E66" s="36" t="s">
        <v>233</v>
      </c>
      <c r="F66" s="33"/>
      <c r="G66" s="33"/>
      <c r="H66" s="22"/>
      <c r="I66" s="37" t="s">
        <v>101</v>
      </c>
      <c r="J66" s="38" t="s">
        <v>233</v>
      </c>
      <c r="K66" s="22"/>
    </row>
    <row r="67" spans="1:11" ht="12">
      <c r="A67" s="23"/>
      <c r="B67" s="22"/>
      <c r="C67" s="24"/>
      <c r="D67" s="25"/>
      <c r="E67" s="26"/>
      <c r="F67" s="23"/>
      <c r="G67" s="23"/>
      <c r="H67" s="22"/>
      <c r="I67" s="27"/>
      <c r="J67" s="26"/>
      <c r="K67" s="22"/>
    </row>
    <row r="68" spans="1:11" ht="12">
      <c r="A68" s="23"/>
      <c r="B68" s="22"/>
      <c r="C68" s="24" t="s">
        <v>102</v>
      </c>
      <c r="D68" s="25" t="s">
        <v>76</v>
      </c>
      <c r="E68" s="26"/>
      <c r="F68" s="23"/>
      <c r="G68" s="23" t="s">
        <v>77</v>
      </c>
      <c r="H68" s="22"/>
      <c r="I68" s="27" t="s">
        <v>78</v>
      </c>
      <c r="J68" s="26" t="s">
        <v>188</v>
      </c>
      <c r="K68" s="22"/>
    </row>
    <row r="69" spans="1:11" ht="12">
      <c r="A69" s="39" t="str">
        <f>DATA!A$8</f>
        <v>AEE</v>
      </c>
      <c r="B69" s="22"/>
      <c r="C69" s="34" t="s">
        <v>213</v>
      </c>
      <c r="D69" s="35" t="s">
        <v>214</v>
      </c>
      <c r="E69" s="36" t="s">
        <v>124</v>
      </c>
      <c r="F69" s="33"/>
      <c r="G69" s="33" t="s">
        <v>92</v>
      </c>
      <c r="H69" s="22"/>
      <c r="I69" s="40" t="s">
        <v>93</v>
      </c>
      <c r="J69" s="36" t="s">
        <v>233</v>
      </c>
      <c r="K69" s="22"/>
    </row>
    <row r="70" spans="1:11" ht="12">
      <c r="A70" s="23">
        <v>2002</v>
      </c>
      <c r="B70" s="22"/>
      <c r="C70" s="24">
        <f>1-DATA!N$8/DATA!F$8</f>
        <v>0.045112781954887216</v>
      </c>
      <c r="D70" s="25">
        <f>DATA!V$8</f>
        <v>0.099</v>
      </c>
      <c r="E70" s="26">
        <f>C70*D70</f>
        <v>0.004466165413533834</v>
      </c>
      <c r="F70" s="23"/>
      <c r="G70" s="23">
        <f>DATA!AD$8</f>
        <v>24.93</v>
      </c>
      <c r="H70" s="22"/>
      <c r="I70" s="27">
        <f>DATA!AL$8</f>
        <v>154.1</v>
      </c>
      <c r="J70" s="26"/>
      <c r="K70" s="22"/>
    </row>
    <row r="71" spans="1:11" ht="12">
      <c r="A71" s="23">
        <f>DATA!F$3</f>
        <v>2003</v>
      </c>
      <c r="B71" s="22"/>
      <c r="C71" s="24">
        <f>1-DATA!O$8/DATA!G$8</f>
        <v>0.19108280254777077</v>
      </c>
      <c r="D71" s="25">
        <f>DATA!W$8</f>
        <v>0.116</v>
      </c>
      <c r="E71" s="26">
        <f>C71*D71</f>
        <v>0.02216560509554141</v>
      </c>
      <c r="F71" s="23"/>
      <c r="G71" s="23">
        <f>DATA!AE$8</f>
        <v>26.73</v>
      </c>
      <c r="H71" s="22"/>
      <c r="I71" s="27">
        <f>DATA!AM$8</f>
        <v>162.9</v>
      </c>
      <c r="J71" s="26"/>
      <c r="K71" s="22"/>
    </row>
    <row r="72" spans="1:11" ht="12">
      <c r="A72" s="23">
        <f>DATA!G$3</f>
        <v>2004</v>
      </c>
      <c r="B72" s="22"/>
      <c r="C72" s="24">
        <f>1-DATA!P$8/DATA!H$8</f>
        <v>0.09929078014184389</v>
      </c>
      <c r="D72" s="25">
        <f>DATA!X$8</f>
        <v>0.091</v>
      </c>
      <c r="E72" s="26">
        <f>C72*D72</f>
        <v>0.009035460992907795</v>
      </c>
      <c r="F72" s="23"/>
      <c r="G72" s="23">
        <f>DATA!AF$8</f>
        <v>29.71</v>
      </c>
      <c r="H72" s="22"/>
      <c r="I72" s="27">
        <f>DATA!AN$8</f>
        <v>195.2</v>
      </c>
      <c r="J72" s="26"/>
      <c r="K72" s="22"/>
    </row>
    <row r="73" spans="1:11" ht="12">
      <c r="A73" s="23">
        <f>DATA!H$3</f>
        <v>2005</v>
      </c>
      <c r="B73" s="22"/>
      <c r="C73" s="24">
        <f>1-DATA!Q$8/DATA!I$8</f>
        <v>0.18849840255591055</v>
      </c>
      <c r="D73" s="25">
        <f>DATA!Y$8</f>
        <v>0.097</v>
      </c>
      <c r="E73" s="26">
        <f>C73*D73</f>
        <v>0.018284345047923325</v>
      </c>
      <c r="F73" s="23"/>
      <c r="G73" s="23">
        <f>DATA!AG$8</f>
        <v>31.09</v>
      </c>
      <c r="H73" s="22"/>
      <c r="I73" s="27">
        <f>DATA!AO$8</f>
        <v>204.7</v>
      </c>
      <c r="J73" s="26"/>
      <c r="K73" s="22"/>
    </row>
    <row r="74" spans="1:11" ht="12">
      <c r="A74" s="23">
        <f>DATA!I$3</f>
        <v>2006</v>
      </c>
      <c r="B74" s="22"/>
      <c r="C74" s="24">
        <f>1-DATA!R$8/DATA!J$8</f>
        <v>0.045112781954887216</v>
      </c>
      <c r="D74" s="25">
        <f>DATA!Z$8</f>
        <v>0.81</v>
      </c>
      <c r="E74" s="41">
        <f>C74*D74</f>
        <v>0.036541353383458645</v>
      </c>
      <c r="F74" s="42"/>
      <c r="G74" s="42">
        <f>DATA!AH$8</f>
        <v>31.86</v>
      </c>
      <c r="H74" s="44"/>
      <c r="I74" s="43">
        <f>DATA!AP$8</f>
        <v>206</v>
      </c>
      <c r="J74" s="26"/>
      <c r="K74" s="22"/>
    </row>
    <row r="75" spans="1:11" ht="12">
      <c r="A75" s="45" t="s">
        <v>94</v>
      </c>
      <c r="B75" s="22"/>
      <c r="C75" s="24"/>
      <c r="D75" s="25"/>
      <c r="E75" s="26">
        <f>AVERAGE(E70:E74)</f>
        <v>0.018098585986673</v>
      </c>
      <c r="F75" s="26"/>
      <c r="G75" s="26">
        <f>DATA!AX$8</f>
        <v>0.055</v>
      </c>
      <c r="H75" s="22"/>
      <c r="I75" s="27"/>
      <c r="J75" s="26">
        <f>(I74/I70)^0.25-1</f>
        <v>0.07526657396044989</v>
      </c>
      <c r="K75" s="22"/>
    </row>
    <row r="76" spans="1:11" ht="12">
      <c r="A76" s="23">
        <v>2007</v>
      </c>
      <c r="B76" s="22"/>
      <c r="C76" s="24">
        <f>1-DATA!S$8/DATA!K$8</f>
        <v>0.21846153846153848</v>
      </c>
      <c r="D76" s="25">
        <f>DATA!AA$8</f>
        <v>0.1</v>
      </c>
      <c r="E76" s="26">
        <f>C76*D76</f>
        <v>0.02184615384615385</v>
      </c>
      <c r="F76" s="26"/>
      <c r="G76" s="26"/>
      <c r="H76" s="22"/>
      <c r="I76" s="27">
        <f>DATA!AQ$8</f>
        <v>208.8</v>
      </c>
      <c r="J76" s="26">
        <f>(I76/I74)-1</f>
        <v>0.013592233009708687</v>
      </c>
      <c r="K76" s="22"/>
    </row>
    <row r="77" spans="1:11" ht="12">
      <c r="A77" s="23">
        <v>2008</v>
      </c>
      <c r="B77" s="23"/>
      <c r="C77" s="24">
        <f>1-DATA!T$8/DATA!L$8</f>
        <v>0.23030303030303023</v>
      </c>
      <c r="D77" s="25">
        <f>DATA!AB$8</f>
        <v>0.1</v>
      </c>
      <c r="E77" s="26">
        <f>C77*D77</f>
        <v>0.023030303030303026</v>
      </c>
      <c r="F77" s="23"/>
      <c r="G77" s="26"/>
      <c r="H77" s="23"/>
      <c r="I77" s="27">
        <f>DATA!AR$8</f>
        <v>210.8</v>
      </c>
      <c r="J77" s="26">
        <f>(I77/I74)^0.5-1</f>
        <v>0.011583397883627944</v>
      </c>
      <c r="K77" s="23"/>
    </row>
    <row r="78" spans="1:11" ht="12">
      <c r="A78" s="23" t="s">
        <v>58</v>
      </c>
      <c r="B78" s="22"/>
      <c r="C78" s="24">
        <f>1-DATA!U$8/DATA!M$8</f>
        <v>0.2529411764705882</v>
      </c>
      <c r="D78" s="25">
        <f>DATA!AC$8</f>
        <v>0.09</v>
      </c>
      <c r="E78" s="26">
        <f>C78*D78</f>
        <v>0.02276470588235294</v>
      </c>
      <c r="F78" s="26"/>
      <c r="G78" s="26">
        <f>DATA!AY$8</f>
        <v>0.03</v>
      </c>
      <c r="H78" s="22"/>
      <c r="I78" s="27">
        <f>DATA!AS$8</f>
        <v>216.8</v>
      </c>
      <c r="J78" s="26">
        <f>(I78/I74)^0.2-1</f>
        <v>0.010272220873693172</v>
      </c>
      <c r="K78" s="22"/>
    </row>
    <row r="79" spans="1:11" ht="12">
      <c r="A79" s="23"/>
      <c r="B79" s="22"/>
      <c r="C79" s="24"/>
      <c r="D79" s="25"/>
      <c r="E79" s="26"/>
      <c r="F79" s="23"/>
      <c r="G79" s="23"/>
      <c r="H79" s="22"/>
      <c r="I79" s="27"/>
      <c r="J79" s="26"/>
      <c r="K79" s="22"/>
    </row>
    <row r="80" spans="1:11" ht="12">
      <c r="A80" s="23"/>
      <c r="B80" s="22"/>
      <c r="C80" s="24"/>
      <c r="D80" s="25"/>
      <c r="E80" s="26"/>
      <c r="F80" s="23"/>
      <c r="G80" s="23"/>
      <c r="H80" s="22"/>
      <c r="I80" s="27"/>
      <c r="J80" s="26"/>
      <c r="K80" s="22"/>
    </row>
    <row r="81" spans="1:11" ht="12">
      <c r="A81" s="23"/>
      <c r="B81" s="22"/>
      <c r="C81" s="24"/>
      <c r="D81" s="25"/>
      <c r="E81" s="26"/>
      <c r="F81" s="23"/>
      <c r="G81" s="23"/>
      <c r="H81" s="22"/>
      <c r="I81" s="27"/>
      <c r="J81" s="26"/>
      <c r="K81" s="22"/>
    </row>
    <row r="82" spans="1:11" ht="12">
      <c r="A82" s="33" t="s">
        <v>231</v>
      </c>
      <c r="B82" s="22"/>
      <c r="C82" s="34"/>
      <c r="D82" s="35" t="s">
        <v>232</v>
      </c>
      <c r="E82" s="36" t="s">
        <v>233</v>
      </c>
      <c r="F82" s="33"/>
      <c r="G82" s="33"/>
      <c r="H82" s="22"/>
      <c r="I82" s="37" t="s">
        <v>101</v>
      </c>
      <c r="J82" s="38" t="s">
        <v>233</v>
      </c>
      <c r="K82" s="22"/>
    </row>
    <row r="83" spans="1:11" ht="12">
      <c r="A83" s="23"/>
      <c r="B83" s="22"/>
      <c r="C83" s="24"/>
      <c r="D83" s="25"/>
      <c r="E83" s="26"/>
      <c r="F83" s="23"/>
      <c r="G83" s="23"/>
      <c r="H83" s="22"/>
      <c r="I83" s="27"/>
      <c r="J83" s="26"/>
      <c r="K83" s="22"/>
    </row>
    <row r="84" spans="1:11" ht="12">
      <c r="A84" s="23"/>
      <c r="B84" s="22"/>
      <c r="C84" s="24" t="s">
        <v>102</v>
      </c>
      <c r="D84" s="25" t="s">
        <v>76</v>
      </c>
      <c r="E84" s="26"/>
      <c r="F84" s="23"/>
      <c r="G84" s="23" t="s">
        <v>77</v>
      </c>
      <c r="H84" s="22"/>
      <c r="I84" s="27" t="s">
        <v>78</v>
      </c>
      <c r="J84" s="26" t="s">
        <v>188</v>
      </c>
      <c r="K84" s="22"/>
    </row>
    <row r="85" spans="1:11" ht="12">
      <c r="A85" s="39" t="str">
        <f>DATA!A$9</f>
        <v>AEP</v>
      </c>
      <c r="B85" s="22"/>
      <c r="C85" s="34" t="s">
        <v>213</v>
      </c>
      <c r="D85" s="35" t="s">
        <v>214</v>
      </c>
      <c r="E85" s="36" t="s">
        <v>124</v>
      </c>
      <c r="F85" s="33"/>
      <c r="G85" s="33" t="s">
        <v>92</v>
      </c>
      <c r="H85" s="22"/>
      <c r="I85" s="40" t="s">
        <v>93</v>
      </c>
      <c r="J85" s="36" t="s">
        <v>233</v>
      </c>
      <c r="K85" s="22"/>
    </row>
    <row r="86" spans="1:11" ht="12">
      <c r="A86" s="23">
        <v>2002</v>
      </c>
      <c r="B86" s="22"/>
      <c r="C86" s="24">
        <f>1-DATA!N$9/DATA!F$9</f>
        <v>0.16083916083916083</v>
      </c>
      <c r="D86" s="25">
        <f>DATA!V$9</f>
        <v>0.137</v>
      </c>
      <c r="E86" s="26">
        <f>C86*D86</f>
        <v>0.022034965034965034</v>
      </c>
      <c r="F86" s="23"/>
      <c r="G86" s="27">
        <f>DATA!AD$9</f>
        <v>20.85</v>
      </c>
      <c r="H86" s="22"/>
      <c r="I86" s="27">
        <f>DATA!AL$9</f>
        <v>338.84</v>
      </c>
      <c r="J86" s="26"/>
      <c r="K86" s="22"/>
    </row>
    <row r="87" spans="1:11" ht="12">
      <c r="A87" s="23">
        <f>DATA!F$3</f>
        <v>2003</v>
      </c>
      <c r="B87" s="22"/>
      <c r="C87" s="24">
        <f>1-DATA!O$9/DATA!G$9</f>
        <v>0.34782608695652173</v>
      </c>
      <c r="D87" s="25">
        <f>DATA!W$9</f>
        <v>0.124</v>
      </c>
      <c r="E87" s="26">
        <f>C87*D87</f>
        <v>0.043130434782608695</v>
      </c>
      <c r="F87" s="23"/>
      <c r="G87" s="27">
        <f>DATA!AE$9</f>
        <v>19.93</v>
      </c>
      <c r="H87" s="22"/>
      <c r="I87" s="27">
        <f>DATA!AM$9</f>
        <v>395.02</v>
      </c>
      <c r="J87" s="26"/>
      <c r="K87" s="22"/>
    </row>
    <row r="88" spans="1:11" ht="12">
      <c r="A88" s="23">
        <f>DATA!G$3</f>
        <v>2004</v>
      </c>
      <c r="B88" s="22"/>
      <c r="C88" s="24">
        <f>1-DATA!P$9/DATA!H$9</f>
        <v>0.46360153256704983</v>
      </c>
      <c r="D88" s="25">
        <f>DATA!X$9</f>
        <v>0.122</v>
      </c>
      <c r="E88" s="26">
        <f>C88*D88</f>
        <v>0.05655938697318008</v>
      </c>
      <c r="F88" s="23"/>
      <c r="G88" s="27">
        <f>DATA!AF$9</f>
        <v>21.32</v>
      </c>
      <c r="H88" s="22"/>
      <c r="I88" s="27">
        <f>DATA!AN$9</f>
        <v>395.86</v>
      </c>
      <c r="J88" s="26"/>
      <c r="K88" s="22"/>
    </row>
    <row r="89" spans="1:11" ht="12">
      <c r="A89" s="23">
        <f>DATA!H$3</f>
        <v>2005</v>
      </c>
      <c r="B89" s="22"/>
      <c r="C89" s="24">
        <f>1-DATA!Q$9/DATA!I$9</f>
        <v>0.46212121212121215</v>
      </c>
      <c r="D89" s="25">
        <f>DATA!Y$9</f>
        <v>0.113</v>
      </c>
      <c r="E89" s="26">
        <f>C89*D89</f>
        <v>0.05221969696969698</v>
      </c>
      <c r="F89" s="23"/>
      <c r="G89" s="27">
        <f>DATA!AG$9</f>
        <v>23.08</v>
      </c>
      <c r="H89" s="22"/>
      <c r="I89" s="27">
        <f>DATA!AO$9</f>
        <v>393.72</v>
      </c>
      <c r="J89" s="26"/>
      <c r="K89" s="22"/>
    </row>
    <row r="90" spans="1:11" ht="12">
      <c r="A90" s="23">
        <f>DATA!I$3</f>
        <v>2006</v>
      </c>
      <c r="B90" s="22"/>
      <c r="C90" s="24">
        <f>1-DATA!R$9/DATA!J$9</f>
        <v>0.4755244755244755</v>
      </c>
      <c r="D90" s="25">
        <f>DATA!Z$9</f>
        <v>0.12</v>
      </c>
      <c r="E90" s="41">
        <f>C90*D90</f>
        <v>0.05706293706293706</v>
      </c>
      <c r="F90" s="42"/>
      <c r="G90" s="43">
        <f>DATA!AH$9</f>
        <v>23.73</v>
      </c>
      <c r="H90" s="44"/>
      <c r="I90" s="43">
        <f>DATA!AP$9</f>
        <v>369.67</v>
      </c>
      <c r="J90" s="26"/>
      <c r="K90" s="22"/>
    </row>
    <row r="91" spans="1:11" ht="12">
      <c r="A91" s="45" t="s">
        <v>94</v>
      </c>
      <c r="B91" s="22"/>
      <c r="C91" s="24"/>
      <c r="D91" s="25"/>
      <c r="E91" s="26">
        <f>AVERAGE(E86:E90)</f>
        <v>0.04620148416467757</v>
      </c>
      <c r="F91" s="26"/>
      <c r="G91" s="26">
        <f>DATA!AX$9</f>
        <v>-0.025</v>
      </c>
      <c r="H91" s="22"/>
      <c r="I91" s="27"/>
      <c r="J91" s="26">
        <f>(I90/I86)^0.25-1</f>
        <v>0.022009384324239267</v>
      </c>
      <c r="K91" s="22"/>
    </row>
    <row r="92" spans="1:11" ht="12">
      <c r="A92" s="23">
        <v>2007</v>
      </c>
      <c r="B92" s="22"/>
      <c r="C92" s="24">
        <f>1-DATA!S$9/DATA!K$9</f>
        <v>0.4357142857142856</v>
      </c>
      <c r="D92" s="25">
        <f>DATA!AA$9</f>
        <v>0.11</v>
      </c>
      <c r="E92" s="26">
        <f>C92*D92</f>
        <v>0.04792857142857142</v>
      </c>
      <c r="F92" s="26"/>
      <c r="G92" s="26"/>
      <c r="H92" s="22"/>
      <c r="I92" s="27">
        <f>DATA!AQ$9</f>
        <v>400.5</v>
      </c>
      <c r="J92" s="26">
        <f>(I92/I90)-1</f>
        <v>0.08339870695485163</v>
      </c>
      <c r="K92" s="22"/>
    </row>
    <row r="93" spans="1:11" ht="12">
      <c r="A93" s="23">
        <v>2008</v>
      </c>
      <c r="B93" s="23"/>
      <c r="C93" s="24">
        <f>1-DATA!T$9/DATA!L$9</f>
        <v>0.46984126984126984</v>
      </c>
      <c r="D93" s="25">
        <f>DATA!AB$9</f>
        <v>0.12</v>
      </c>
      <c r="E93" s="26">
        <f>C93*D93</f>
        <v>0.05638095238095238</v>
      </c>
      <c r="F93" s="23"/>
      <c r="G93" s="26"/>
      <c r="H93" s="23"/>
      <c r="I93" s="27">
        <f>DATA!AR$9</f>
        <v>404</v>
      </c>
      <c r="J93" s="26">
        <f>(I93/I90)^0.5-1</f>
        <v>0.04540260701843901</v>
      </c>
      <c r="K93" s="23"/>
    </row>
    <row r="94" spans="1:11" ht="12">
      <c r="A94" s="23" t="s">
        <v>58</v>
      </c>
      <c r="B94" s="22"/>
      <c r="C94" s="24">
        <f>1-DATA!U$9/DATA!M$9</f>
        <v>0.44999999999999996</v>
      </c>
      <c r="D94" s="25">
        <f>DATA!AC$9</f>
        <v>0.125</v>
      </c>
      <c r="E94" s="26">
        <f>C94*D94</f>
        <v>0.056249999999999994</v>
      </c>
      <c r="F94" s="26"/>
      <c r="G94" s="26">
        <f>DATA!AY$9</f>
        <v>0.06</v>
      </c>
      <c r="H94" s="22"/>
      <c r="I94" s="27">
        <f>DATA!AS$9</f>
        <v>413</v>
      </c>
      <c r="J94" s="26">
        <f>(I94/I90)^0.2-1</f>
        <v>0.022414897290610414</v>
      </c>
      <c r="K94" s="22"/>
    </row>
    <row r="95" spans="1:11" ht="12">
      <c r="A95" s="23"/>
      <c r="B95" s="22"/>
      <c r="C95" s="24"/>
      <c r="D95" s="25"/>
      <c r="E95" s="26"/>
      <c r="F95" s="23"/>
      <c r="G95" s="23"/>
      <c r="H95" s="22"/>
      <c r="I95" s="27"/>
      <c r="J95" s="26"/>
      <c r="K95" s="22"/>
    </row>
    <row r="96" spans="1:11" ht="12">
      <c r="A96" s="23"/>
      <c r="B96" s="22"/>
      <c r="C96" s="24"/>
      <c r="D96" s="25"/>
      <c r="E96" s="26"/>
      <c r="F96" s="23"/>
      <c r="G96" s="23"/>
      <c r="H96" s="22"/>
      <c r="I96" s="27"/>
      <c r="J96" s="26"/>
      <c r="K96" s="22"/>
    </row>
    <row r="97" spans="1:11" ht="12">
      <c r="A97" s="23"/>
      <c r="B97" s="22"/>
      <c r="C97" s="24"/>
      <c r="D97" s="25"/>
      <c r="E97" s="26"/>
      <c r="F97" s="23"/>
      <c r="G97" s="23"/>
      <c r="H97" s="22"/>
      <c r="I97" s="27"/>
      <c r="J97" s="26"/>
      <c r="K97" s="22"/>
    </row>
    <row r="98" spans="1:11" ht="12">
      <c r="A98" s="33" t="s">
        <v>231</v>
      </c>
      <c r="B98" s="22"/>
      <c r="C98" s="34"/>
      <c r="D98" s="35" t="s">
        <v>232</v>
      </c>
      <c r="E98" s="36" t="s">
        <v>233</v>
      </c>
      <c r="F98" s="33"/>
      <c r="G98" s="33"/>
      <c r="H98" s="22"/>
      <c r="I98" s="37" t="s">
        <v>101</v>
      </c>
      <c r="J98" s="38" t="s">
        <v>233</v>
      </c>
      <c r="K98" s="22"/>
    </row>
    <row r="99" spans="1:11" ht="12">
      <c r="A99" s="23"/>
      <c r="B99" s="22"/>
      <c r="C99" s="24"/>
      <c r="D99" s="25"/>
      <c r="E99" s="26"/>
      <c r="F99" s="23"/>
      <c r="G99" s="23"/>
      <c r="H99" s="22"/>
      <c r="I99" s="27"/>
      <c r="J99" s="26"/>
      <c r="K99" s="22"/>
    </row>
    <row r="100" spans="1:11" ht="12">
      <c r="A100" s="23"/>
      <c r="B100" s="22"/>
      <c r="C100" s="24" t="s">
        <v>102</v>
      </c>
      <c r="D100" s="25" t="s">
        <v>76</v>
      </c>
      <c r="E100" s="26"/>
      <c r="F100" s="23"/>
      <c r="G100" s="23" t="s">
        <v>77</v>
      </c>
      <c r="H100" s="22"/>
      <c r="I100" s="27" t="s">
        <v>78</v>
      </c>
      <c r="J100" s="26" t="s">
        <v>188</v>
      </c>
      <c r="K100" s="22"/>
    </row>
    <row r="101" spans="1:11" ht="12">
      <c r="A101" s="39" t="str">
        <f>DATA!A$10</f>
        <v>CNL</v>
      </c>
      <c r="B101" s="22"/>
      <c r="C101" s="34" t="s">
        <v>213</v>
      </c>
      <c r="D101" s="35" t="s">
        <v>214</v>
      </c>
      <c r="E101" s="36" t="s">
        <v>124</v>
      </c>
      <c r="F101" s="33"/>
      <c r="G101" s="33" t="s">
        <v>92</v>
      </c>
      <c r="H101" s="22"/>
      <c r="I101" s="40" t="s">
        <v>93</v>
      </c>
      <c r="J101" s="36" t="s">
        <v>233</v>
      </c>
      <c r="K101" s="22"/>
    </row>
    <row r="102" spans="1:11" ht="12">
      <c r="A102" s="23">
        <v>2002</v>
      </c>
      <c r="B102" s="22"/>
      <c r="C102" s="24">
        <f>1-DATA!N$10/DATA!F$10</f>
        <v>0.4078947368421053</v>
      </c>
      <c r="D102" s="25">
        <f>DATA!V$10</f>
        <v>0.131</v>
      </c>
      <c r="E102" s="26">
        <f>C102*D102</f>
        <v>0.0534342105263158</v>
      </c>
      <c r="F102" s="23"/>
      <c r="G102" s="27">
        <f>DATA!AD$10</f>
        <v>11.77</v>
      </c>
      <c r="H102" s="22"/>
      <c r="I102" s="27">
        <f>DATA!AL$10</f>
        <v>47.04</v>
      </c>
      <c r="J102" s="26"/>
      <c r="K102" s="22"/>
    </row>
    <row r="103" spans="1:11" ht="12">
      <c r="A103" s="23">
        <f>DATA!F$3</f>
        <v>2003</v>
      </c>
      <c r="B103" s="22"/>
      <c r="C103" s="24">
        <f>1-DATA!O$10/DATA!G$10</f>
        <v>0.2857142857142857</v>
      </c>
      <c r="D103" s="25">
        <f>DATA!W$10</f>
        <v>0.125</v>
      </c>
      <c r="E103" s="26">
        <f>C103*D103</f>
        <v>0.03571428571428571</v>
      </c>
      <c r="F103" s="23"/>
      <c r="G103" s="27">
        <f>DATA!AE$10</f>
        <v>10.09</v>
      </c>
      <c r="H103" s="22"/>
      <c r="I103" s="27">
        <f>DATA!AM$10</f>
        <v>47.18</v>
      </c>
      <c r="J103" s="26"/>
      <c r="K103" s="22"/>
    </row>
    <row r="104" spans="1:11" ht="12">
      <c r="A104" s="23">
        <f>DATA!G$3</f>
        <v>2004</v>
      </c>
      <c r="B104" s="22"/>
      <c r="C104" s="24">
        <f>1-DATA!P$10/DATA!H$10</f>
        <v>0.31818181818181823</v>
      </c>
      <c r="D104" s="25">
        <f>DATA!X$10</f>
        <v>0.119</v>
      </c>
      <c r="E104" s="26">
        <f>C104*D104</f>
        <v>0.03786363636363637</v>
      </c>
      <c r="F104" s="23"/>
      <c r="G104" s="27">
        <f>DATA!AF$10</f>
        <v>10.83</v>
      </c>
      <c r="H104" s="22"/>
      <c r="I104" s="27">
        <f>DATA!AN$10</f>
        <v>49.62</v>
      </c>
      <c r="J104" s="26"/>
      <c r="K104" s="22"/>
    </row>
    <row r="105" spans="1:11" ht="12">
      <c r="A105" s="23">
        <f>DATA!H$3</f>
        <v>2005</v>
      </c>
      <c r="B105" s="22"/>
      <c r="C105" s="24">
        <f>1-DATA!Q$10/DATA!I$10</f>
        <v>0.3661971830985915</v>
      </c>
      <c r="D105" s="25">
        <f>DATA!Y$10</f>
        <v>0.107</v>
      </c>
      <c r="E105" s="26">
        <f>C105*D105</f>
        <v>0.03918309859154929</v>
      </c>
      <c r="F105" s="23"/>
      <c r="G105" s="27">
        <f>DATA!AG$10</f>
        <v>13.69</v>
      </c>
      <c r="H105" s="22"/>
      <c r="I105" s="27">
        <f>DATA!AO$10</f>
        <v>49.99</v>
      </c>
      <c r="J105" s="26"/>
      <c r="K105" s="22"/>
    </row>
    <row r="106" spans="1:11" ht="12">
      <c r="A106" s="23">
        <f>DATA!I$3</f>
        <v>2006</v>
      </c>
      <c r="B106" s="22"/>
      <c r="C106" s="24">
        <f>1-DATA!R$10/DATA!J$10</f>
        <v>0.3382352941176471</v>
      </c>
      <c r="D106" s="25">
        <f>DATA!Z$10</f>
        <v>0.083</v>
      </c>
      <c r="E106" s="41">
        <f>C106*D106</f>
        <v>0.02807352941176471</v>
      </c>
      <c r="F106" s="42"/>
      <c r="G106" s="43">
        <f>DATA!AH$10</f>
        <v>15.22</v>
      </c>
      <c r="H106" s="44"/>
      <c r="I106" s="43">
        <f>DATA!AP$10</f>
        <v>57.75</v>
      </c>
      <c r="J106" s="26"/>
      <c r="K106" s="22"/>
    </row>
    <row r="107" spans="1:11" ht="12">
      <c r="A107" s="45" t="s">
        <v>94</v>
      </c>
      <c r="B107" s="22"/>
      <c r="C107" s="24"/>
      <c r="D107" s="25"/>
      <c r="E107" s="26">
        <f>AVERAGE(E102:E106)</f>
        <v>0.038853752121510376</v>
      </c>
      <c r="F107" s="26"/>
      <c r="G107" s="26">
        <f>DATA!AX$10</f>
        <v>0.055</v>
      </c>
      <c r="H107" s="22"/>
      <c r="I107" s="27"/>
      <c r="J107" s="26">
        <f>(I106/I102)^0.25-1</f>
        <v>0.052618912776555504</v>
      </c>
      <c r="K107" s="22"/>
    </row>
    <row r="108" spans="1:11" ht="12">
      <c r="A108" s="23">
        <v>2007</v>
      </c>
      <c r="B108" s="22"/>
      <c r="C108" s="24">
        <f>1-DATA!S$10/DATA!K$10</f>
        <v>0.3076923076923077</v>
      </c>
      <c r="D108" s="25">
        <f>DATA!AA$10</f>
        <v>0.08</v>
      </c>
      <c r="E108" s="26">
        <f>C108*D108</f>
        <v>0.02461538461538462</v>
      </c>
      <c r="F108" s="26"/>
      <c r="G108" s="26"/>
      <c r="H108" s="22"/>
      <c r="I108" s="27">
        <f>DATA!AQ$10</f>
        <v>60</v>
      </c>
      <c r="J108" s="26">
        <f>(I108/I106)-1</f>
        <v>0.03896103896103886</v>
      </c>
      <c r="K108" s="22"/>
    </row>
    <row r="109" spans="1:11" ht="12">
      <c r="A109" s="23">
        <v>2008</v>
      </c>
      <c r="B109" s="23"/>
      <c r="C109" s="24">
        <f>1-DATA!T$10/DATA!L$10</f>
        <v>0.4</v>
      </c>
      <c r="D109" s="25">
        <f>DATA!AB$10</f>
        <v>0.09</v>
      </c>
      <c r="E109" s="26">
        <f>C109*D109</f>
        <v>0.036</v>
      </c>
      <c r="F109" s="23"/>
      <c r="G109" s="26"/>
      <c r="H109" s="23"/>
      <c r="I109" s="27">
        <f>DATA!AR$10</f>
        <v>61</v>
      </c>
      <c r="J109" s="26">
        <f>(I109/I106)^0.5-1</f>
        <v>0.027753402464353982</v>
      </c>
      <c r="K109" s="23"/>
    </row>
    <row r="110" spans="1:11" ht="12">
      <c r="A110" s="23" t="s">
        <v>58</v>
      </c>
      <c r="B110" s="22"/>
      <c r="C110" s="24">
        <f>1-DATA!U$10/DATA!M$10</f>
        <v>0.35</v>
      </c>
      <c r="D110" s="25">
        <f>DATA!AC$10</f>
        <v>0.105</v>
      </c>
      <c r="E110" s="26">
        <f>C110*D110</f>
        <v>0.03675</v>
      </c>
      <c r="F110" s="26"/>
      <c r="G110" s="26">
        <f>DATA!AY$10</f>
        <v>0.065</v>
      </c>
      <c r="H110" s="22"/>
      <c r="I110" s="27">
        <f>DATA!AS$10</f>
        <v>64</v>
      </c>
      <c r="J110" s="26">
        <f>(I110/I106)^0.2-1</f>
        <v>0.020764592311468766</v>
      </c>
      <c r="K110" s="22"/>
    </row>
    <row r="111" spans="1:10" ht="12">
      <c r="A111" s="23"/>
      <c r="B111" s="22"/>
      <c r="C111" s="24"/>
      <c r="D111" s="25"/>
      <c r="E111" s="26"/>
      <c r="F111" s="23"/>
      <c r="G111" s="23"/>
      <c r="H111" s="22"/>
      <c r="I111" s="27"/>
      <c r="J111" s="62" t="s">
        <v>25</v>
      </c>
    </row>
    <row r="112" spans="1:11" ht="12">
      <c r="A112" s="23"/>
      <c r="B112" s="22"/>
      <c r="C112" s="24"/>
      <c r="D112" s="25"/>
      <c r="E112" s="26"/>
      <c r="F112" s="23"/>
      <c r="G112" s="23"/>
      <c r="H112" s="22"/>
      <c r="I112" s="27"/>
      <c r="J112" s="29" t="s">
        <v>26</v>
      </c>
      <c r="K112" s="22"/>
    </row>
    <row r="113" spans="1:11" ht="12">
      <c r="A113" s="23"/>
      <c r="B113" s="22"/>
      <c r="C113" s="24"/>
      <c r="D113" s="25"/>
      <c r="E113" s="26"/>
      <c r="F113" s="23"/>
      <c r="G113" s="23"/>
      <c r="H113" s="22"/>
      <c r="I113" s="27"/>
      <c r="J113" s="30" t="s">
        <v>61</v>
      </c>
      <c r="K113" s="22"/>
    </row>
    <row r="114" spans="1:11" ht="12">
      <c r="A114" s="23"/>
      <c r="B114" s="22"/>
      <c r="C114" s="24"/>
      <c r="D114" s="25"/>
      <c r="E114" s="26"/>
      <c r="F114" s="23"/>
      <c r="G114" s="23"/>
      <c r="H114" s="22"/>
      <c r="I114" s="27"/>
      <c r="J114" s="26"/>
      <c r="K114" s="22"/>
    </row>
    <row r="115" spans="1:11" ht="12">
      <c r="A115" s="23"/>
      <c r="B115" s="22"/>
      <c r="C115" s="24"/>
      <c r="D115" s="25"/>
      <c r="E115" s="26"/>
      <c r="F115" s="23"/>
      <c r="G115" s="23"/>
      <c r="H115" s="22"/>
      <c r="I115" s="27"/>
      <c r="J115" s="26"/>
      <c r="K115" s="22"/>
    </row>
    <row r="116" spans="1:11" ht="12">
      <c r="A116" s="23"/>
      <c r="B116" s="22"/>
      <c r="C116" s="24"/>
      <c r="D116" s="25"/>
      <c r="E116" s="31"/>
      <c r="F116" s="32" t="str">
        <f>F$6</f>
        <v>PUGET SOUND ENERGY</v>
      </c>
      <c r="G116" s="22"/>
      <c r="H116" s="22"/>
      <c r="I116" s="27"/>
      <c r="J116" s="26"/>
      <c r="K116" s="22"/>
    </row>
    <row r="117" spans="1:11" ht="12">
      <c r="A117" s="23"/>
      <c r="B117" s="22"/>
      <c r="C117" s="24"/>
      <c r="D117" s="25"/>
      <c r="E117" s="31"/>
      <c r="F117" s="23" t="s">
        <v>230</v>
      </c>
      <c r="G117" s="22"/>
      <c r="H117" s="22"/>
      <c r="I117" s="27"/>
      <c r="J117" s="26"/>
      <c r="K117" s="22"/>
    </row>
    <row r="118" spans="1:11" ht="12">
      <c r="A118" s="23"/>
      <c r="B118" s="22"/>
      <c r="C118" s="24"/>
      <c r="D118" s="25"/>
      <c r="E118" s="26"/>
      <c r="F118" s="23"/>
      <c r="G118" s="23"/>
      <c r="H118" s="22"/>
      <c r="I118" s="27"/>
      <c r="J118" s="26"/>
      <c r="K118" s="22"/>
    </row>
    <row r="119" spans="1:11" ht="12">
      <c r="A119" s="23"/>
      <c r="B119" s="22"/>
      <c r="C119" s="24"/>
      <c r="D119" s="25"/>
      <c r="E119" s="26"/>
      <c r="F119" s="23"/>
      <c r="G119" s="23"/>
      <c r="H119" s="22"/>
      <c r="I119" s="27"/>
      <c r="J119" s="26"/>
      <c r="K119" s="22"/>
    </row>
    <row r="120" spans="1:11" ht="12">
      <c r="A120" s="23"/>
      <c r="B120" s="22"/>
      <c r="C120" s="24"/>
      <c r="D120" s="25"/>
      <c r="E120" s="26"/>
      <c r="F120" s="23"/>
      <c r="G120" s="23"/>
      <c r="H120" s="22"/>
      <c r="I120" s="27"/>
      <c r="J120" s="26"/>
      <c r="K120" s="22"/>
    </row>
    <row r="121" spans="1:11" ht="12">
      <c r="A121" s="33" t="s">
        <v>231</v>
      </c>
      <c r="B121" s="22"/>
      <c r="C121" s="34"/>
      <c r="D121" s="35" t="s">
        <v>232</v>
      </c>
      <c r="E121" s="36" t="s">
        <v>233</v>
      </c>
      <c r="F121" s="33"/>
      <c r="G121" s="33"/>
      <c r="H121" s="22"/>
      <c r="I121" s="37" t="s">
        <v>101</v>
      </c>
      <c r="J121" s="38" t="s">
        <v>233</v>
      </c>
      <c r="K121" s="22"/>
    </row>
    <row r="122" spans="1:11" ht="12">
      <c r="A122" s="23"/>
      <c r="B122" s="22"/>
      <c r="C122" s="24"/>
      <c r="D122" s="25"/>
      <c r="E122" s="26"/>
      <c r="F122" s="23"/>
      <c r="G122" s="23"/>
      <c r="H122" s="22"/>
      <c r="I122" s="27"/>
      <c r="J122" s="26"/>
      <c r="K122" s="22"/>
    </row>
    <row r="123" spans="1:11" ht="12">
      <c r="A123" s="23"/>
      <c r="B123" s="22"/>
      <c r="C123" s="24" t="s">
        <v>102</v>
      </c>
      <c r="D123" s="25" t="s">
        <v>76</v>
      </c>
      <c r="E123" s="26"/>
      <c r="F123" s="23"/>
      <c r="G123" s="23" t="s">
        <v>77</v>
      </c>
      <c r="H123" s="22"/>
      <c r="I123" s="27" t="s">
        <v>78</v>
      </c>
      <c r="J123" s="26" t="s">
        <v>188</v>
      </c>
      <c r="K123" s="22"/>
    </row>
    <row r="124" spans="1:11" ht="12">
      <c r="A124" s="39" t="str">
        <f>DATA!A$11</f>
        <v>EDE</v>
      </c>
      <c r="B124" s="22"/>
      <c r="C124" s="34" t="s">
        <v>213</v>
      </c>
      <c r="D124" s="35" t="s">
        <v>214</v>
      </c>
      <c r="E124" s="36" t="s">
        <v>124</v>
      </c>
      <c r="F124" s="33"/>
      <c r="G124" s="33" t="s">
        <v>92</v>
      </c>
      <c r="H124" s="22"/>
      <c r="I124" s="40" t="s">
        <v>93</v>
      </c>
      <c r="J124" s="36" t="s">
        <v>233</v>
      </c>
      <c r="K124" s="22"/>
    </row>
    <row r="125" spans="1:11" ht="12">
      <c r="A125" s="23">
        <v>2002</v>
      </c>
      <c r="B125" s="22"/>
      <c r="C125" s="24">
        <f>1-DATA!N$11/DATA!F$11</f>
        <v>-0.07563025210084051</v>
      </c>
      <c r="D125" s="25">
        <f>DATA!V$11</f>
        <v>0.078</v>
      </c>
      <c r="E125" s="26">
        <f>C125*D125</f>
        <v>-0.00589915966386556</v>
      </c>
      <c r="F125" s="23"/>
      <c r="G125" s="27">
        <f>DATA!AD$11</f>
        <v>14.59</v>
      </c>
      <c r="H125" s="22"/>
      <c r="I125" s="27">
        <f>DATA!AL$11</f>
        <v>22.57</v>
      </c>
      <c r="J125" s="26"/>
      <c r="K125" s="22"/>
    </row>
    <row r="126" spans="1:11" ht="12">
      <c r="A126" s="23">
        <f>DATA!F$3</f>
        <v>2003</v>
      </c>
      <c r="B126" s="22"/>
      <c r="C126" s="24">
        <f>1-DATA!O$11/DATA!G$11</f>
        <v>0.007751937984496138</v>
      </c>
      <c r="D126" s="25">
        <f>DATA!W$11</f>
        <v>0.078</v>
      </c>
      <c r="E126" s="26">
        <f>C126*D126</f>
        <v>0.0006046511627906988</v>
      </c>
      <c r="F126" s="23"/>
      <c r="G126" s="27">
        <f>DATA!AE$11</f>
        <v>15.17</v>
      </c>
      <c r="H126" s="22"/>
      <c r="I126" s="27">
        <f>DATA!AM$11</f>
        <v>24.98</v>
      </c>
      <c r="J126" s="26"/>
      <c r="K126" s="22"/>
    </row>
    <row r="127" spans="1:11" ht="12">
      <c r="A127" s="23">
        <f>DATA!G$3</f>
        <v>2004</v>
      </c>
      <c r="B127" s="22"/>
      <c r="C127" s="24">
        <f>1-DATA!P$11/DATA!H$11</f>
        <v>-0.4883720930232558</v>
      </c>
      <c r="D127" s="25">
        <f>DATA!X$11</f>
        <v>0.058</v>
      </c>
      <c r="E127" s="26">
        <f>C127*D127</f>
        <v>-0.028325581395348836</v>
      </c>
      <c r="F127" s="23"/>
      <c r="G127" s="27">
        <f>DATA!AF$11</f>
        <v>14.76</v>
      </c>
      <c r="H127" s="22"/>
      <c r="I127" s="27">
        <f>DATA!AN$11</f>
        <v>25.7</v>
      </c>
      <c r="J127" s="26"/>
      <c r="K127" s="22"/>
    </row>
    <row r="128" spans="1:11" ht="12">
      <c r="A128" s="23">
        <f>DATA!H$3</f>
        <v>2005</v>
      </c>
      <c r="B128" s="22"/>
      <c r="C128" s="24">
        <f>1-DATA!Q$11/DATA!I$11</f>
        <v>-0.3913043478260869</v>
      </c>
      <c r="D128" s="25">
        <f>DATA!Y$11</f>
        <v>0.06</v>
      </c>
      <c r="E128" s="26">
        <f>C128*D128</f>
        <v>-0.023478260869565216</v>
      </c>
      <c r="F128" s="23"/>
      <c r="G128" s="27">
        <f>DATA!AG$11</f>
        <v>15.08</v>
      </c>
      <c r="H128" s="22"/>
      <c r="I128" s="27">
        <f>DATA!AO$11</f>
        <v>26.08</v>
      </c>
      <c r="J128" s="26"/>
      <c r="K128" s="22"/>
    </row>
    <row r="129" spans="1:11" ht="12">
      <c r="A129" s="23">
        <f>DATA!I$3</f>
        <v>2006</v>
      </c>
      <c r="B129" s="22"/>
      <c r="C129" s="24">
        <f>1-DATA!R$11/DATA!J$11</f>
        <v>0.0921985815602836</v>
      </c>
      <c r="D129" s="25">
        <f>DATA!Z$11</f>
        <v>0.085</v>
      </c>
      <c r="E129" s="41">
        <f>C129*D129</f>
        <v>0.007836879432624106</v>
      </c>
      <c r="F129" s="42"/>
      <c r="G129" s="43">
        <f>DATA!AH$11</f>
        <v>15.49</v>
      </c>
      <c r="H129" s="44"/>
      <c r="I129" s="43">
        <f>DATA!AP$11</f>
        <v>30.25</v>
      </c>
      <c r="J129" s="26"/>
      <c r="K129" s="22"/>
    </row>
    <row r="130" spans="1:11" ht="12">
      <c r="A130" s="45" t="s">
        <v>94</v>
      </c>
      <c r="B130" s="22"/>
      <c r="C130" s="24"/>
      <c r="D130" s="25"/>
      <c r="E130" s="26">
        <f>AVERAGE(E125:E129)</f>
        <v>-0.009852294266672963</v>
      </c>
      <c r="F130" s="26"/>
      <c r="G130" s="26">
        <f>DATA!AX$11</f>
        <v>0.02</v>
      </c>
      <c r="H130" s="22"/>
      <c r="I130" s="27"/>
      <c r="J130" s="26">
        <f>(I129/I125)^0.25-1</f>
        <v>0.07596576940384803</v>
      </c>
      <c r="K130" s="22"/>
    </row>
    <row r="131" spans="1:11" ht="12">
      <c r="A131" s="23">
        <v>2007</v>
      </c>
      <c r="B131" s="22"/>
      <c r="C131" s="24">
        <f>1-DATA!S$11/DATA!K$11</f>
        <v>-0.02400000000000002</v>
      </c>
      <c r="D131" s="25">
        <f>DATA!AA$11</f>
        <v>0.07</v>
      </c>
      <c r="E131" s="26">
        <f>C131*D131</f>
        <v>-0.0016800000000000016</v>
      </c>
      <c r="F131" s="26"/>
      <c r="G131" s="26"/>
      <c r="H131" s="22"/>
      <c r="I131" s="27">
        <f>DATA!AQ$11</f>
        <v>34.25</v>
      </c>
      <c r="J131" s="26">
        <f>(I131/I129)-1</f>
        <v>0.1322314049586777</v>
      </c>
      <c r="K131" s="22"/>
    </row>
    <row r="132" spans="1:11" ht="12">
      <c r="A132" s="23">
        <v>2008</v>
      </c>
      <c r="B132" s="23"/>
      <c r="C132" s="24">
        <f>1-DATA!T$11/DATA!L$11</f>
        <v>0.11724137931034473</v>
      </c>
      <c r="D132" s="25">
        <f>DATA!AB$11</f>
        <v>0.085</v>
      </c>
      <c r="E132" s="26">
        <f>C132*D132</f>
        <v>0.009965517241379302</v>
      </c>
      <c r="F132" s="23"/>
      <c r="G132" s="26"/>
      <c r="H132" s="23"/>
      <c r="I132" s="27">
        <f>DATA!AR$11</f>
        <v>35.8</v>
      </c>
      <c r="J132" s="26">
        <f>(I132/I129)^0.5-1</f>
        <v>0.08787456739284294</v>
      </c>
      <c r="K132" s="23"/>
    </row>
    <row r="133" spans="1:11" ht="12">
      <c r="A133" s="23" t="s">
        <v>58</v>
      </c>
      <c r="B133" s="22"/>
      <c r="C133" s="24">
        <f>1-DATA!U$11/DATA!M$11</f>
        <v>0.22857142857142854</v>
      </c>
      <c r="D133" s="25">
        <f>DATA!AC$11</f>
        <v>0.105</v>
      </c>
      <c r="E133" s="26">
        <f>C133*D133</f>
        <v>0.023999999999999997</v>
      </c>
      <c r="F133" s="26"/>
      <c r="G133" s="26">
        <f>DATA!AY$11</f>
        <v>0.03</v>
      </c>
      <c r="H133" s="22"/>
      <c r="I133" s="27">
        <f>DATA!AS$11</f>
        <v>36</v>
      </c>
      <c r="J133" s="26">
        <f>(I133/I129)^0.2-1</f>
        <v>0.03541731753098887</v>
      </c>
      <c r="K133" s="22"/>
    </row>
    <row r="134" spans="1:11" ht="12">
      <c r="A134" s="23"/>
      <c r="B134" s="22"/>
      <c r="C134" s="24"/>
      <c r="D134" s="25"/>
      <c r="E134" s="26"/>
      <c r="F134" s="23"/>
      <c r="G134" s="23"/>
      <c r="H134" s="22"/>
      <c r="I134" s="27"/>
      <c r="J134" s="26"/>
      <c r="K134" s="22"/>
    </row>
    <row r="135" spans="1:11" ht="12">
      <c r="A135" s="23"/>
      <c r="B135" s="22"/>
      <c r="C135" s="24"/>
      <c r="D135" s="25"/>
      <c r="E135" s="26"/>
      <c r="F135" s="23"/>
      <c r="G135" s="23"/>
      <c r="H135" s="22"/>
      <c r="I135" s="27"/>
      <c r="J135" s="26"/>
      <c r="K135" s="22"/>
    </row>
    <row r="136" spans="1:11" ht="12">
      <c r="A136" s="23"/>
      <c r="B136" s="22"/>
      <c r="C136" s="24"/>
      <c r="D136" s="25"/>
      <c r="E136" s="26"/>
      <c r="F136" s="23"/>
      <c r="G136" s="23"/>
      <c r="H136" s="22"/>
      <c r="I136" s="27"/>
      <c r="J136" s="26"/>
      <c r="K136" s="22"/>
    </row>
    <row r="137" spans="1:11" ht="12">
      <c r="A137" s="33" t="s">
        <v>231</v>
      </c>
      <c r="B137" s="22"/>
      <c r="C137" s="34"/>
      <c r="D137" s="35" t="s">
        <v>232</v>
      </c>
      <c r="E137" s="36" t="s">
        <v>233</v>
      </c>
      <c r="F137" s="33"/>
      <c r="G137" s="33"/>
      <c r="H137" s="22"/>
      <c r="I137" s="37" t="s">
        <v>101</v>
      </c>
      <c r="J137" s="38" t="s">
        <v>233</v>
      </c>
      <c r="K137" s="22"/>
    </row>
    <row r="138" spans="1:11" ht="12">
      <c r="A138" s="23"/>
      <c r="B138" s="22"/>
      <c r="C138" s="24"/>
      <c r="D138" s="25"/>
      <c r="E138" s="26"/>
      <c r="F138" s="23"/>
      <c r="G138" s="23"/>
      <c r="H138" s="22"/>
      <c r="I138" s="27"/>
      <c r="J138" s="26"/>
      <c r="K138" s="22"/>
    </row>
    <row r="139" spans="1:11" ht="12">
      <c r="A139" s="23"/>
      <c r="B139" s="22"/>
      <c r="C139" s="24" t="s">
        <v>102</v>
      </c>
      <c r="D139" s="25" t="s">
        <v>76</v>
      </c>
      <c r="E139" s="26"/>
      <c r="F139" s="23"/>
      <c r="G139" s="23" t="s">
        <v>77</v>
      </c>
      <c r="H139" s="22"/>
      <c r="I139" s="27" t="s">
        <v>78</v>
      </c>
      <c r="J139" s="26" t="s">
        <v>188</v>
      </c>
      <c r="K139" s="22"/>
    </row>
    <row r="140" spans="1:11" ht="12">
      <c r="A140" s="39" t="str">
        <f>DATA!A$12</f>
        <v>ETR</v>
      </c>
      <c r="B140" s="22"/>
      <c r="C140" s="34" t="s">
        <v>213</v>
      </c>
      <c r="D140" s="35" t="s">
        <v>214</v>
      </c>
      <c r="E140" s="36" t="s">
        <v>124</v>
      </c>
      <c r="F140" s="33"/>
      <c r="G140" s="33" t="s">
        <v>92</v>
      </c>
      <c r="H140" s="22"/>
      <c r="I140" s="40" t="s">
        <v>93</v>
      </c>
      <c r="J140" s="36" t="s">
        <v>233</v>
      </c>
      <c r="K140" s="22"/>
    </row>
    <row r="141" spans="1:11" ht="12">
      <c r="A141" s="23">
        <v>2002</v>
      </c>
      <c r="B141" s="22"/>
      <c r="C141" s="24">
        <f>1-DATA!N$12/DATA!F$12</f>
        <v>0.6358695652173914</v>
      </c>
      <c r="D141" s="25">
        <f>DATA!V$12</f>
        <v>0.109</v>
      </c>
      <c r="E141" s="26">
        <f>C141*D141</f>
        <v>0.06930978260869566</v>
      </c>
      <c r="F141" s="23"/>
      <c r="G141" s="27">
        <f>DATA!AD$12</f>
        <v>35.24</v>
      </c>
      <c r="H141" s="22"/>
      <c r="I141" s="27">
        <f>DATA!AL$12</f>
        <v>222.42</v>
      </c>
      <c r="J141" s="26"/>
      <c r="K141" s="22"/>
    </row>
    <row r="142" spans="1:11" ht="12">
      <c r="A142" s="23">
        <f>DATA!F$3</f>
        <v>2003</v>
      </c>
      <c r="B142" s="22"/>
      <c r="C142" s="24">
        <f>1-DATA!O$12/DATA!G$12</f>
        <v>0.5663956639566395</v>
      </c>
      <c r="D142" s="25">
        <f>DATA!W$12</f>
        <v>0.098</v>
      </c>
      <c r="E142" s="26">
        <f>C142*D142</f>
        <v>0.055506775067750674</v>
      </c>
      <c r="F142" s="23"/>
      <c r="G142" s="27">
        <f>DATA!AE$12</f>
        <v>38.02</v>
      </c>
      <c r="H142" s="22"/>
      <c r="I142" s="27">
        <f>DATA!AM$12</f>
        <v>228.9</v>
      </c>
      <c r="J142" s="26"/>
      <c r="K142" s="22"/>
    </row>
    <row r="143" spans="1:11" ht="12">
      <c r="A143" s="23">
        <f>DATA!G$3</f>
        <v>2004</v>
      </c>
      <c r="B143" s="22"/>
      <c r="C143" s="24">
        <f>1-DATA!P$12/DATA!H$12</f>
        <v>0.5190839694656488</v>
      </c>
      <c r="D143" s="25">
        <f>DATA!X$12</f>
        <v>0.11</v>
      </c>
      <c r="E143" s="26">
        <f>C143*D143</f>
        <v>0.05709923664122137</v>
      </c>
      <c r="F143" s="23"/>
      <c r="G143" s="27">
        <f>DATA!AF$12</f>
        <v>38.26</v>
      </c>
      <c r="H143" s="22"/>
      <c r="I143" s="27">
        <f>DATA!AN$12</f>
        <v>216.83</v>
      </c>
      <c r="J143" s="26"/>
      <c r="K143" s="22"/>
    </row>
    <row r="144" spans="1:11" ht="12">
      <c r="A144" s="23">
        <f>DATA!H$3</f>
        <v>2005</v>
      </c>
      <c r="B144" s="22"/>
      <c r="C144" s="24">
        <f>1-DATA!Q$12/DATA!I$12</f>
        <v>0.509090909090909</v>
      </c>
      <c r="D144" s="25">
        <f>DATA!Y$12</f>
        <v>0.119</v>
      </c>
      <c r="E144" s="26">
        <f>C144*D144</f>
        <v>0.060581818181818174</v>
      </c>
      <c r="F144" s="23"/>
      <c r="G144" s="27">
        <f>DATA!AG$12</f>
        <v>35.71</v>
      </c>
      <c r="H144" s="22"/>
      <c r="I144" s="27">
        <f>DATA!AO$12</f>
        <v>216.83</v>
      </c>
      <c r="J144" s="26"/>
      <c r="K144" s="22"/>
    </row>
    <row r="145" spans="1:11" ht="12">
      <c r="A145" s="23">
        <f>DATA!I$3</f>
        <v>2006</v>
      </c>
      <c r="B145" s="22"/>
      <c r="C145" s="24">
        <f>1-DATA!R$12/DATA!J$12</f>
        <v>0.5970149253731343</v>
      </c>
      <c r="D145" s="25">
        <f>DATA!Z$12</f>
        <v>0.135</v>
      </c>
      <c r="E145" s="41">
        <f>C145*D145</f>
        <v>0.08059701492537313</v>
      </c>
      <c r="F145" s="42"/>
      <c r="G145" s="43">
        <f>DATA!AH$12</f>
        <v>40.45</v>
      </c>
      <c r="H145" s="44"/>
      <c r="I145" s="43">
        <f>DATA!AP$12</f>
        <v>202.67</v>
      </c>
      <c r="J145" s="26"/>
      <c r="K145" s="22"/>
    </row>
    <row r="146" spans="1:12" ht="12">
      <c r="A146" s="45" t="s">
        <v>94</v>
      </c>
      <c r="B146" s="22"/>
      <c r="C146" s="24"/>
      <c r="D146" s="25"/>
      <c r="E146" s="26">
        <f>AVERAGE(E141:E145)</f>
        <v>0.0646189254849718</v>
      </c>
      <c r="F146" s="26"/>
      <c r="G146" s="26">
        <f>DATA!AX$12</f>
        <v>0.04</v>
      </c>
      <c r="H146" s="22"/>
      <c r="I146" s="27"/>
      <c r="J146" s="26">
        <f>(I145/I141)^0.25-1</f>
        <v>-0.022978979155291457</v>
      </c>
      <c r="K146" s="22"/>
      <c r="L146" s="28">
        <f>(I145/I143)^0.5-1</f>
        <v>-0.03320354599318809</v>
      </c>
    </row>
    <row r="147" spans="1:11" ht="12">
      <c r="A147" s="23">
        <v>2007</v>
      </c>
      <c r="B147" s="22"/>
      <c r="C147" s="24">
        <f>1-DATA!S$12/DATA!K$12</f>
        <v>0.5392857142857143</v>
      </c>
      <c r="D147" s="25">
        <f>DATA!AA$12</f>
        <v>0.14</v>
      </c>
      <c r="E147" s="26">
        <f>C147*D147</f>
        <v>0.0755</v>
      </c>
      <c r="F147" s="26"/>
      <c r="G147" s="26"/>
      <c r="H147" s="22"/>
      <c r="I147" s="27">
        <f>DATA!AQ$12</f>
        <v>194</v>
      </c>
      <c r="J147" s="26">
        <f>(I147/I145)-1</f>
        <v>-0.042778901662801516</v>
      </c>
      <c r="K147" s="22"/>
    </row>
    <row r="148" spans="1:11" ht="12">
      <c r="A148" s="23">
        <v>2008</v>
      </c>
      <c r="B148" s="23"/>
      <c r="C148" s="24">
        <f>1-DATA!T$12/DATA!L$12</f>
        <v>0.5303030303030303</v>
      </c>
      <c r="D148" s="25">
        <f>DATA!AB$12</f>
        <v>0.145</v>
      </c>
      <c r="E148" s="26">
        <f>C148*D148</f>
        <v>0.07689393939393939</v>
      </c>
      <c r="F148" s="23"/>
      <c r="G148" s="26"/>
      <c r="H148" s="23"/>
      <c r="I148" s="27">
        <f>DATA!AR$12</f>
        <v>188</v>
      </c>
      <c r="J148" s="26">
        <f>(I148/I145)^0.5-1</f>
        <v>-0.036871596255221295</v>
      </c>
      <c r="K148" s="23"/>
    </row>
    <row r="149" spans="1:11" ht="12">
      <c r="A149" s="23" t="s">
        <v>58</v>
      </c>
      <c r="B149" s="22"/>
      <c r="C149" s="24">
        <f>1-DATA!U$12/DATA!M$12</f>
        <v>0.5256410256410255</v>
      </c>
      <c r="D149" s="25">
        <f>DATA!AC$12</f>
        <v>0.14</v>
      </c>
      <c r="E149" s="26">
        <f>C149*D149</f>
        <v>0.07358974358974359</v>
      </c>
      <c r="F149" s="26"/>
      <c r="G149" s="26">
        <f>DATA!AY$12</f>
        <v>0.065</v>
      </c>
      <c r="H149" s="22"/>
      <c r="I149" s="27">
        <f>DATA!AS$12</f>
        <v>194</v>
      </c>
      <c r="J149" s="26">
        <f>(I149/I145)^0.2-1</f>
        <v>-0.008706057171740222</v>
      </c>
      <c r="K149" s="22"/>
    </row>
    <row r="150" spans="1:11" ht="12">
      <c r="A150" s="23"/>
      <c r="B150" s="22"/>
      <c r="C150" s="24"/>
      <c r="D150" s="25"/>
      <c r="E150" s="26"/>
      <c r="F150" s="23"/>
      <c r="G150" s="23"/>
      <c r="H150" s="22"/>
      <c r="I150" s="27"/>
      <c r="J150" s="26"/>
      <c r="K150" s="22"/>
    </row>
    <row r="151" spans="1:11" ht="12">
      <c r="A151" s="23"/>
      <c r="B151" s="22"/>
      <c r="C151" s="24"/>
      <c r="D151" s="25"/>
      <c r="E151" s="26"/>
      <c r="F151" s="23"/>
      <c r="G151" s="23"/>
      <c r="H151" s="22"/>
      <c r="I151" s="27"/>
      <c r="J151" s="26"/>
      <c r="K151" s="22"/>
    </row>
    <row r="152" spans="1:11" ht="12">
      <c r="A152" s="23"/>
      <c r="B152" s="22"/>
      <c r="C152" s="24"/>
      <c r="D152" s="25"/>
      <c r="E152" s="26"/>
      <c r="F152" s="23"/>
      <c r="G152" s="23"/>
      <c r="H152" s="22"/>
      <c r="I152" s="27"/>
      <c r="J152" s="26"/>
      <c r="K152" s="22"/>
    </row>
    <row r="153" spans="1:11" ht="12">
      <c r="A153" s="33" t="s">
        <v>231</v>
      </c>
      <c r="B153" s="22"/>
      <c r="C153" s="34"/>
      <c r="D153" s="35" t="s">
        <v>232</v>
      </c>
      <c r="E153" s="36" t="s">
        <v>233</v>
      </c>
      <c r="F153" s="33"/>
      <c r="G153" s="33"/>
      <c r="H153" s="22"/>
      <c r="I153" s="37" t="s">
        <v>101</v>
      </c>
      <c r="J153" s="38" t="s">
        <v>233</v>
      </c>
      <c r="K153" s="22"/>
    </row>
    <row r="154" spans="1:11" ht="12">
      <c r="A154" s="23"/>
      <c r="B154" s="22"/>
      <c r="C154" s="24"/>
      <c r="D154" s="25"/>
      <c r="E154" s="26"/>
      <c r="F154" s="23"/>
      <c r="G154" s="23"/>
      <c r="H154" s="22"/>
      <c r="I154" s="27"/>
      <c r="J154" s="26"/>
      <c r="K154" s="22"/>
    </row>
    <row r="155" spans="1:11" ht="12">
      <c r="A155" s="23"/>
      <c r="B155" s="22"/>
      <c r="C155" s="24" t="s">
        <v>102</v>
      </c>
      <c r="D155" s="25" t="s">
        <v>76</v>
      </c>
      <c r="E155" s="26"/>
      <c r="F155" s="23"/>
      <c r="G155" s="23" t="s">
        <v>77</v>
      </c>
      <c r="H155" s="22"/>
      <c r="I155" s="27" t="s">
        <v>78</v>
      </c>
      <c r="J155" s="26" t="s">
        <v>188</v>
      </c>
      <c r="K155" s="22"/>
    </row>
    <row r="156" spans="1:11" ht="12">
      <c r="A156" s="39" t="str">
        <f>DATA!A$13</f>
        <v>HE</v>
      </c>
      <c r="B156" s="22"/>
      <c r="C156" s="34" t="s">
        <v>213</v>
      </c>
      <c r="D156" s="35" t="s">
        <v>214</v>
      </c>
      <c r="E156" s="36" t="s">
        <v>124</v>
      </c>
      <c r="F156" s="33"/>
      <c r="G156" s="33" t="s">
        <v>92</v>
      </c>
      <c r="H156" s="22"/>
      <c r="I156" s="40" t="s">
        <v>93</v>
      </c>
      <c r="J156" s="36" t="s">
        <v>233</v>
      </c>
      <c r="K156" s="22"/>
    </row>
    <row r="157" spans="1:11" ht="12">
      <c r="A157" s="23">
        <v>2002</v>
      </c>
      <c r="B157" s="22"/>
      <c r="C157" s="24">
        <f>1-DATA!N$13/DATA!F$13</f>
        <v>0.23456790123456794</v>
      </c>
      <c r="D157" s="25">
        <f>DATA!V$13</f>
        <v>0.113</v>
      </c>
      <c r="E157" s="26">
        <f>C157*D157</f>
        <v>0.026506172839506178</v>
      </c>
      <c r="F157" s="23"/>
      <c r="G157" s="23">
        <f>DATA!AD$13</f>
        <v>14.21</v>
      </c>
      <c r="H157" s="22"/>
      <c r="I157" s="27">
        <f>DATA!AL$13</f>
        <v>73.62</v>
      </c>
      <c r="J157" s="26"/>
      <c r="K157" s="22"/>
    </row>
    <row r="158" spans="1:11" ht="12">
      <c r="A158" s="23">
        <f>DATA!F$3</f>
        <v>2003</v>
      </c>
      <c r="B158" s="22"/>
      <c r="C158" s="24">
        <f>1-DATA!O$13/DATA!G$13</f>
        <v>0.21518987341772156</v>
      </c>
      <c r="D158" s="25">
        <f>DATA!W$13</f>
        <v>0.108</v>
      </c>
      <c r="E158" s="26">
        <f>C158*D158</f>
        <v>0.023240506329113928</v>
      </c>
      <c r="F158" s="23"/>
      <c r="G158" s="23">
        <f>DATA!AE$13</f>
        <v>14.36</v>
      </c>
      <c r="H158" s="22"/>
      <c r="I158" s="27">
        <f>DATA!AM$13</f>
        <v>75.84</v>
      </c>
      <c r="J158" s="26"/>
      <c r="K158" s="22"/>
    </row>
    <row r="159" spans="1:11" ht="12">
      <c r="A159" s="23">
        <f>DATA!G$3</f>
        <v>2004</v>
      </c>
      <c r="B159" s="22"/>
      <c r="C159" s="24">
        <f>1-DATA!P$13/DATA!H$13</f>
        <v>0.08823529411764708</v>
      </c>
      <c r="D159" s="25">
        <f>DATA!X$13</f>
        <v>0.089</v>
      </c>
      <c r="E159" s="26">
        <f>C159*D159</f>
        <v>0.00785294117647059</v>
      </c>
      <c r="F159" s="23"/>
      <c r="G159" s="23">
        <f>DATA!AF$13</f>
        <v>15.01</v>
      </c>
      <c r="H159" s="22"/>
      <c r="I159" s="27">
        <f>DATA!AN$13</f>
        <v>80.69</v>
      </c>
      <c r="J159" s="26"/>
      <c r="K159" s="22"/>
    </row>
    <row r="160" spans="1:11" ht="12">
      <c r="A160" s="23">
        <f>DATA!H$3</f>
        <v>2005</v>
      </c>
      <c r="B160" s="22"/>
      <c r="C160" s="24">
        <f>1-DATA!Q$13/DATA!I$13</f>
        <v>0.15068493150684925</v>
      </c>
      <c r="D160" s="25">
        <f>DATA!Y$13</f>
        <v>0.097</v>
      </c>
      <c r="E160" s="26">
        <f>C160*D160</f>
        <v>0.014616438356164378</v>
      </c>
      <c r="F160" s="23"/>
      <c r="G160" s="23">
        <f>DATA!AG$13</f>
        <v>15.02</v>
      </c>
      <c r="H160" s="22"/>
      <c r="I160" s="27">
        <f>DATA!AO$13</f>
        <v>80.98</v>
      </c>
      <c r="J160" s="26"/>
      <c r="K160" s="22"/>
    </row>
    <row r="161" spans="1:11" ht="12">
      <c r="A161" s="23">
        <f>DATA!I$3</f>
        <v>2006</v>
      </c>
      <c r="B161" s="22"/>
      <c r="C161" s="24">
        <f>1-DATA!R$13/DATA!J$13</f>
        <v>0.06766917293233088</v>
      </c>
      <c r="D161" s="25">
        <f>DATA!Z$13</f>
        <v>0.099</v>
      </c>
      <c r="E161" s="41">
        <f>C161*D161</f>
        <v>0.006699248120300758</v>
      </c>
      <c r="F161" s="42"/>
      <c r="G161" s="42">
        <f>DATA!AH$13</f>
        <v>13.44</v>
      </c>
      <c r="H161" s="44"/>
      <c r="I161" s="43">
        <f>DATA!AP$13</f>
        <v>81.46</v>
      </c>
      <c r="J161" s="26"/>
      <c r="K161" s="22"/>
    </row>
    <row r="162" spans="1:11" ht="12">
      <c r="A162" s="45" t="s">
        <v>94</v>
      </c>
      <c r="B162" s="22"/>
      <c r="C162" s="24"/>
      <c r="D162" s="25"/>
      <c r="E162" s="26">
        <f>AVERAGE(E157:E161)</f>
        <v>0.01578306136431117</v>
      </c>
      <c r="F162" s="26"/>
      <c r="G162" s="26">
        <f>DATA!AX$13</f>
        <v>0.02</v>
      </c>
      <c r="H162" s="22"/>
      <c r="I162" s="27"/>
      <c r="J162" s="26">
        <f>(I161/I157)^0.25-1</f>
        <v>0.02562157514141683</v>
      </c>
      <c r="K162" s="22"/>
    </row>
    <row r="163" spans="1:11" ht="12">
      <c r="A163" s="23">
        <v>2007</v>
      </c>
      <c r="B163" s="22"/>
      <c r="C163" s="24">
        <f>1-DATA!S$13/DATA!K$13</f>
        <v>-0.37777777777777777</v>
      </c>
      <c r="D163" s="25">
        <f>DATA!AA$13</f>
        <v>0.065</v>
      </c>
      <c r="E163" s="26">
        <f>C163*D163</f>
        <v>-0.024555555555555556</v>
      </c>
      <c r="F163" s="26"/>
      <c r="G163" s="26"/>
      <c r="H163" s="22"/>
      <c r="I163" s="27">
        <f>DATA!AQ$13</f>
        <v>83.5</v>
      </c>
      <c r="J163" s="26">
        <f>(I163/I161)-1</f>
        <v>0.025042965872821066</v>
      </c>
      <c r="K163" s="22"/>
    </row>
    <row r="164" spans="1:11" ht="12">
      <c r="A164" s="23">
        <v>2008</v>
      </c>
      <c r="B164" s="23"/>
      <c r="C164" s="24">
        <f>1-DATA!T$13/DATA!L$13</f>
        <v>0.008000000000000007</v>
      </c>
      <c r="D164" s="25">
        <f>DATA!AB$13</f>
        <v>0.09</v>
      </c>
      <c r="E164" s="26">
        <f>C164*D164</f>
        <v>0.0007200000000000006</v>
      </c>
      <c r="F164" s="23"/>
      <c r="G164" s="26"/>
      <c r="H164" s="23"/>
      <c r="I164" s="27">
        <f>DATA!AR$13</f>
        <v>85.5</v>
      </c>
      <c r="J164" s="26">
        <f>(I164/I161)^0.5-1</f>
        <v>0.024497385647770376</v>
      </c>
      <c r="K164" s="23"/>
    </row>
    <row r="165" spans="1:11" ht="12">
      <c r="A165" s="23" t="s">
        <v>58</v>
      </c>
      <c r="B165" s="22"/>
      <c r="C165" s="24">
        <f>1-DATA!U$13/DATA!M$13</f>
        <v>0.17333333333333334</v>
      </c>
      <c r="D165" s="25">
        <f>DATA!AC$13</f>
        <v>0.11</v>
      </c>
      <c r="E165" s="26">
        <f>C165*D165</f>
        <v>0.019066666666666666</v>
      </c>
      <c r="F165" s="26"/>
      <c r="G165" s="26">
        <f>DATA!AY$13</f>
        <v>-0.005</v>
      </c>
      <c r="H165" s="22"/>
      <c r="I165" s="27">
        <f>DATA!AS$13</f>
        <v>87</v>
      </c>
      <c r="J165" s="26">
        <f>(I165/I161)^0.2-1</f>
        <v>0.013246166639911516</v>
      </c>
      <c r="K165" s="22"/>
    </row>
    <row r="166" spans="1:10" ht="12">
      <c r="A166" s="23"/>
      <c r="B166" s="22"/>
      <c r="C166" s="24"/>
      <c r="D166" s="25"/>
      <c r="E166" s="26"/>
      <c r="F166" s="23"/>
      <c r="G166" s="23"/>
      <c r="H166" s="22"/>
      <c r="I166" s="27"/>
      <c r="J166" s="62" t="s">
        <v>25</v>
      </c>
    </row>
    <row r="167" spans="1:11" ht="12">
      <c r="A167" s="23"/>
      <c r="B167" s="22"/>
      <c r="C167" s="24"/>
      <c r="D167" s="25"/>
      <c r="E167" s="26"/>
      <c r="F167" s="23"/>
      <c r="G167" s="23"/>
      <c r="H167" s="22"/>
      <c r="I167" s="27"/>
      <c r="J167" s="29" t="s">
        <v>26</v>
      </c>
      <c r="K167" s="22"/>
    </row>
    <row r="168" spans="1:11" ht="12">
      <c r="A168" s="23"/>
      <c r="B168" s="22"/>
      <c r="C168" s="24"/>
      <c r="D168" s="25"/>
      <c r="E168" s="26"/>
      <c r="F168" s="23"/>
      <c r="G168" s="23"/>
      <c r="H168" s="22"/>
      <c r="I168" s="27"/>
      <c r="J168" s="30" t="s">
        <v>62</v>
      </c>
      <c r="K168" s="22"/>
    </row>
    <row r="169" spans="1:11" ht="12">
      <c r="A169" s="23"/>
      <c r="B169" s="22"/>
      <c r="C169" s="24"/>
      <c r="D169" s="25"/>
      <c r="E169" s="26"/>
      <c r="F169" s="23"/>
      <c r="G169" s="23"/>
      <c r="H169" s="22"/>
      <c r="I169" s="27"/>
      <c r="J169" s="26"/>
      <c r="K169" s="22"/>
    </row>
    <row r="170" spans="1:11" ht="12">
      <c r="A170" s="23"/>
      <c r="B170" s="22"/>
      <c r="C170" s="24"/>
      <c r="D170" s="25"/>
      <c r="E170" s="26"/>
      <c r="F170" s="23"/>
      <c r="G170" s="23"/>
      <c r="H170" s="22"/>
      <c r="I170" s="27"/>
      <c r="J170" s="26"/>
      <c r="K170" s="22"/>
    </row>
    <row r="171" spans="1:11" ht="12">
      <c r="A171" s="23"/>
      <c r="B171" s="22"/>
      <c r="C171" s="24"/>
      <c r="D171" s="25"/>
      <c r="E171" s="31"/>
      <c r="F171" s="32" t="str">
        <f>F$6</f>
        <v>PUGET SOUND ENERGY</v>
      </c>
      <c r="G171" s="22"/>
      <c r="H171" s="22"/>
      <c r="I171" s="27"/>
      <c r="J171" s="26"/>
      <c r="K171" s="22"/>
    </row>
    <row r="172" spans="1:11" ht="12">
      <c r="A172" s="23"/>
      <c r="B172" s="22"/>
      <c r="C172" s="24"/>
      <c r="D172" s="25"/>
      <c r="E172" s="31"/>
      <c r="F172" s="23" t="s">
        <v>230</v>
      </c>
      <c r="G172" s="22"/>
      <c r="H172" s="22"/>
      <c r="I172" s="27"/>
      <c r="J172" s="26"/>
      <c r="K172" s="22"/>
    </row>
    <row r="173" spans="1:11" ht="12">
      <c r="A173" s="23"/>
      <c r="B173" s="22"/>
      <c r="C173" s="24"/>
      <c r="D173" s="25"/>
      <c r="E173" s="26"/>
      <c r="F173" s="23"/>
      <c r="G173" s="23"/>
      <c r="H173" s="22"/>
      <c r="I173" s="27"/>
      <c r="J173" s="26"/>
      <c r="K173" s="22"/>
    </row>
    <row r="174" spans="1:11" ht="12">
      <c r="A174" s="23"/>
      <c r="B174" s="22"/>
      <c r="C174" s="24"/>
      <c r="D174" s="25"/>
      <c r="E174" s="26"/>
      <c r="F174" s="23"/>
      <c r="G174" s="23"/>
      <c r="H174" s="22"/>
      <c r="I174" s="27"/>
      <c r="J174" s="26"/>
      <c r="K174" s="22"/>
    </row>
    <row r="175" spans="1:11" ht="12">
      <c r="A175" s="23"/>
      <c r="B175" s="22"/>
      <c r="C175" s="24"/>
      <c r="D175" s="25"/>
      <c r="E175" s="26"/>
      <c r="F175" s="23"/>
      <c r="G175" s="23"/>
      <c r="H175" s="22"/>
      <c r="I175" s="27"/>
      <c r="J175" s="26"/>
      <c r="K175" s="22"/>
    </row>
    <row r="176" spans="1:11" ht="12">
      <c r="A176" s="33" t="s">
        <v>231</v>
      </c>
      <c r="B176" s="22"/>
      <c r="C176" s="34"/>
      <c r="D176" s="35" t="s">
        <v>232</v>
      </c>
      <c r="E176" s="36" t="s">
        <v>233</v>
      </c>
      <c r="F176" s="33"/>
      <c r="G176" s="33"/>
      <c r="H176" s="22"/>
      <c r="I176" s="37" t="s">
        <v>101</v>
      </c>
      <c r="J176" s="38" t="s">
        <v>233</v>
      </c>
      <c r="K176" s="22"/>
    </row>
    <row r="177" spans="1:11" ht="12">
      <c r="A177" s="23"/>
      <c r="B177" s="22"/>
      <c r="C177" s="24"/>
      <c r="D177" s="25"/>
      <c r="E177" s="26"/>
      <c r="F177" s="23"/>
      <c r="G177" s="23"/>
      <c r="H177" s="22"/>
      <c r="I177" s="27"/>
      <c r="J177" s="26"/>
      <c r="K177" s="22"/>
    </row>
    <row r="178" spans="1:11" ht="12">
      <c r="A178" s="23"/>
      <c r="B178" s="22"/>
      <c r="C178" s="24" t="s">
        <v>102</v>
      </c>
      <c r="D178" s="25" t="s">
        <v>76</v>
      </c>
      <c r="E178" s="26"/>
      <c r="F178" s="23"/>
      <c r="G178" s="23" t="s">
        <v>77</v>
      </c>
      <c r="H178" s="22"/>
      <c r="I178" s="27" t="s">
        <v>78</v>
      </c>
      <c r="J178" s="26" t="s">
        <v>188</v>
      </c>
      <c r="K178" s="22"/>
    </row>
    <row r="179" spans="1:11" ht="12">
      <c r="A179" s="39" t="str">
        <f>DATA!A$14</f>
        <v>PNM</v>
      </c>
      <c r="B179" s="22"/>
      <c r="C179" s="34" t="s">
        <v>213</v>
      </c>
      <c r="D179" s="35" t="s">
        <v>214</v>
      </c>
      <c r="E179" s="36" t="s">
        <v>124</v>
      </c>
      <c r="F179" s="33"/>
      <c r="G179" s="33" t="s">
        <v>92</v>
      </c>
      <c r="H179" s="22"/>
      <c r="I179" s="40" t="s">
        <v>93</v>
      </c>
      <c r="J179" s="36" t="s">
        <v>233</v>
      </c>
      <c r="K179" s="22"/>
    </row>
    <row r="180" spans="1:11" ht="12">
      <c r="A180" s="23">
        <v>2002</v>
      </c>
      <c r="B180" s="22"/>
      <c r="C180" s="24">
        <f>1-DATA!N$14/DATA!F$14</f>
        <v>0.4672897196261683</v>
      </c>
      <c r="D180" s="25">
        <f>DATA!V$14</f>
        <v>0.065</v>
      </c>
      <c r="E180" s="26">
        <f>C180*D180</f>
        <v>0.030373831775700938</v>
      </c>
      <c r="F180" s="23"/>
      <c r="G180" s="27">
        <f>DATA!AD$14</f>
        <v>16.6</v>
      </c>
      <c r="H180" s="22"/>
      <c r="I180" s="27">
        <f>DATA!AL$14</f>
        <v>58.68</v>
      </c>
      <c r="J180" s="26"/>
      <c r="K180" s="22"/>
    </row>
    <row r="181" spans="1:11" ht="12">
      <c r="A181" s="23">
        <f>DATA!F$3</f>
        <v>2003</v>
      </c>
      <c r="B181" s="22"/>
      <c r="C181" s="24">
        <f>1-DATA!O$14/DATA!G$14</f>
        <v>0.4695652173913043</v>
      </c>
      <c r="D181" s="25">
        <f>DATA!W$14</f>
        <v>0.063</v>
      </c>
      <c r="E181" s="26">
        <f>C181*D181</f>
        <v>0.02958260869565217</v>
      </c>
      <c r="F181" s="23"/>
      <c r="G181" s="27">
        <f>DATA!AE$14</f>
        <v>17.84</v>
      </c>
      <c r="H181" s="22"/>
      <c r="I181" s="27">
        <f>DATA!AM$14</f>
        <v>60.39</v>
      </c>
      <c r="J181" s="26"/>
      <c r="K181" s="22"/>
    </row>
    <row r="182" spans="1:11" ht="12">
      <c r="A182" s="23">
        <f>DATA!G$3</f>
        <v>2004</v>
      </c>
      <c r="B182" s="22"/>
      <c r="C182" s="24">
        <f>1-DATA!P$14/DATA!H$14</f>
        <v>0.5594405594405594</v>
      </c>
      <c r="D182" s="25">
        <f>DATA!X$14</f>
        <v>0.08</v>
      </c>
      <c r="E182" s="26">
        <f>C182*D182</f>
        <v>0.04475524475524475</v>
      </c>
      <c r="F182" s="23"/>
      <c r="G182" s="27">
        <f>DATA!AF$14</f>
        <v>18.19</v>
      </c>
      <c r="H182" s="22"/>
      <c r="I182" s="27">
        <f>DATA!AN$14</f>
        <v>60.46</v>
      </c>
      <c r="J182" s="26"/>
      <c r="K182" s="22"/>
    </row>
    <row r="183" spans="1:11" ht="12">
      <c r="A183" s="23">
        <f>DATA!H$3</f>
        <v>2005</v>
      </c>
      <c r="B183" s="22"/>
      <c r="C183" s="24">
        <f>1-DATA!Q$14/DATA!I$14</f>
        <v>0.5031446540880503</v>
      </c>
      <c r="D183" s="25">
        <f>DATA!Y$14</f>
        <v>0.082</v>
      </c>
      <c r="E183" s="26">
        <f>C183*D183</f>
        <v>0.041257861635220126</v>
      </c>
      <c r="F183" s="23"/>
      <c r="G183" s="27">
        <f>DATA!AG$14</f>
        <v>19.7</v>
      </c>
      <c r="H183" s="22"/>
      <c r="I183" s="27">
        <f>DATA!AO$14</f>
        <v>68.79</v>
      </c>
      <c r="J183" s="26"/>
      <c r="K183" s="22"/>
    </row>
    <row r="184" spans="1:11" ht="12">
      <c r="A184" s="23">
        <f>DATA!I$3</f>
        <v>2006</v>
      </c>
      <c r="B184" s="22"/>
      <c r="C184" s="24">
        <f>1-DATA!R$14/DATA!J$14</f>
        <v>0.5</v>
      </c>
      <c r="D184" s="25">
        <f>DATA!Z$14</f>
        <v>0.072</v>
      </c>
      <c r="E184" s="41">
        <f>C184*D184</f>
        <v>0.036</v>
      </c>
      <c r="F184" s="42"/>
      <c r="G184" s="43">
        <f>DATA!AH$14</f>
        <v>22.09</v>
      </c>
      <c r="H184" s="44"/>
      <c r="I184" s="43">
        <f>DATA!AP$14</f>
        <v>76.65</v>
      </c>
      <c r="J184" s="26"/>
      <c r="K184" s="22"/>
    </row>
    <row r="185" spans="1:11" ht="12">
      <c r="A185" s="45" t="s">
        <v>94</v>
      </c>
      <c r="B185" s="22"/>
      <c r="C185" s="24"/>
      <c r="D185" s="25"/>
      <c r="E185" s="26">
        <f>AVERAGE(E180:E184)</f>
        <v>0.0363939093723636</v>
      </c>
      <c r="F185" s="26"/>
      <c r="G185" s="26">
        <f>DATA!AX$14</f>
        <v>0.045</v>
      </c>
      <c r="H185" s="22"/>
      <c r="I185" s="27"/>
      <c r="J185" s="26">
        <f>(I184/I180)^0.25-1</f>
        <v>0.06906845129611217</v>
      </c>
      <c r="K185" s="22"/>
    </row>
    <row r="186" spans="1:11" ht="12">
      <c r="A186" s="23">
        <v>2007</v>
      </c>
      <c r="B186" s="22"/>
      <c r="C186" s="24">
        <f>1-DATA!S$14/DATA!K$14</f>
        <v>0.3111111111111111</v>
      </c>
      <c r="D186" s="25">
        <f>DATA!AA$14</f>
        <v>0.055</v>
      </c>
      <c r="E186" s="26">
        <f>C186*D186</f>
        <v>0.01711111111111111</v>
      </c>
      <c r="F186" s="26"/>
      <c r="G186" s="26"/>
      <c r="H186" s="22"/>
      <c r="I186" s="27">
        <f>DATA!AQ$14</f>
        <v>77</v>
      </c>
      <c r="J186" s="26">
        <f>(I186/I184)-1</f>
        <v>0.004566210045662045</v>
      </c>
      <c r="K186" s="22"/>
    </row>
    <row r="187" spans="1:11" ht="12">
      <c r="A187" s="23">
        <v>2008</v>
      </c>
      <c r="B187" s="23"/>
      <c r="C187" s="24">
        <f>1-DATA!T$14/DATA!L$14</f>
        <v>0.4121212121212121</v>
      </c>
      <c r="D187" s="25">
        <f>DATA!AB$14</f>
        <v>0.07</v>
      </c>
      <c r="E187" s="26">
        <f>C187*D187</f>
        <v>0.02884848484848485</v>
      </c>
      <c r="F187" s="23"/>
      <c r="G187" s="26"/>
      <c r="H187" s="23"/>
      <c r="I187" s="27">
        <f>DATA!AR$14</f>
        <v>80</v>
      </c>
      <c r="J187" s="26">
        <f>(I187/I184)^0.5-1</f>
        <v>0.021618888477593856</v>
      </c>
      <c r="K187" s="23"/>
    </row>
    <row r="188" spans="1:11" ht="12">
      <c r="A188" s="23" t="s">
        <v>58</v>
      </c>
      <c r="B188" s="22"/>
      <c r="C188" s="24">
        <f>1-DATA!U$14/DATA!M$14</f>
        <v>0.41081081081081083</v>
      </c>
      <c r="D188" s="25">
        <f>DATA!AC$14</f>
        <v>0.07</v>
      </c>
      <c r="E188" s="26">
        <f>C188*D188</f>
        <v>0.028756756756756763</v>
      </c>
      <c r="F188" s="26"/>
      <c r="G188" s="26">
        <f>DATA!AY$14</f>
        <v>0.045</v>
      </c>
      <c r="H188" s="22"/>
      <c r="I188" s="27">
        <f>DATA!AS$14</f>
        <v>80</v>
      </c>
      <c r="J188" s="26">
        <f>(I188/I184)^0.2-1</f>
        <v>0.008592107948412808</v>
      </c>
      <c r="K188" s="22"/>
    </row>
    <row r="189" spans="1:11" ht="12">
      <c r="A189" s="23"/>
      <c r="B189" s="22"/>
      <c r="C189" s="24"/>
      <c r="D189" s="25"/>
      <c r="E189" s="26"/>
      <c r="F189" s="23"/>
      <c r="G189" s="23"/>
      <c r="H189" s="22"/>
      <c r="I189" s="27"/>
      <c r="J189" s="26"/>
      <c r="K189" s="22"/>
    </row>
    <row r="190" spans="1:11" ht="12">
      <c r="A190" s="23"/>
      <c r="B190" s="22"/>
      <c r="C190" s="24"/>
      <c r="D190" s="25"/>
      <c r="E190" s="26"/>
      <c r="F190" s="23"/>
      <c r="G190" s="23"/>
      <c r="H190" s="22"/>
      <c r="I190" s="27"/>
      <c r="J190" s="26"/>
      <c r="K190" s="22"/>
    </row>
    <row r="191" spans="1:11" ht="12">
      <c r="A191" s="23"/>
      <c r="B191" s="22"/>
      <c r="C191" s="24"/>
      <c r="D191" s="25"/>
      <c r="E191" s="26"/>
      <c r="F191" s="23"/>
      <c r="G191" s="23"/>
      <c r="H191" s="22"/>
      <c r="I191" s="27"/>
      <c r="J191" s="26"/>
      <c r="K191" s="22"/>
    </row>
    <row r="192" spans="1:11" ht="12">
      <c r="A192" s="33" t="s">
        <v>231</v>
      </c>
      <c r="B192" s="22"/>
      <c r="C192" s="34"/>
      <c r="D192" s="35" t="s">
        <v>232</v>
      </c>
      <c r="E192" s="36" t="s">
        <v>233</v>
      </c>
      <c r="F192" s="33"/>
      <c r="G192" s="33"/>
      <c r="H192" s="22"/>
      <c r="I192" s="37" t="s">
        <v>101</v>
      </c>
      <c r="J192" s="38" t="s">
        <v>233</v>
      </c>
      <c r="K192" s="22"/>
    </row>
    <row r="193" spans="1:11" ht="12">
      <c r="A193" s="23"/>
      <c r="B193" s="22"/>
      <c r="C193" s="24"/>
      <c r="D193" s="25"/>
      <c r="E193" s="26"/>
      <c r="F193" s="23"/>
      <c r="G193" s="23"/>
      <c r="H193" s="22"/>
      <c r="I193" s="27"/>
      <c r="J193" s="26"/>
      <c r="K193" s="22"/>
    </row>
    <row r="194" spans="1:11" ht="12">
      <c r="A194" s="23"/>
      <c r="B194" s="22"/>
      <c r="C194" s="24" t="s">
        <v>102</v>
      </c>
      <c r="D194" s="25" t="s">
        <v>76</v>
      </c>
      <c r="E194" s="26"/>
      <c r="F194" s="23"/>
      <c r="G194" s="23" t="s">
        <v>77</v>
      </c>
      <c r="H194" s="22"/>
      <c r="I194" s="27" t="s">
        <v>78</v>
      </c>
      <c r="J194" s="26" t="s">
        <v>188</v>
      </c>
      <c r="K194" s="22"/>
    </row>
    <row r="195" spans="1:11" ht="12">
      <c r="A195" s="39" t="str">
        <f>DATA!A$15</f>
        <v>PNW</v>
      </c>
      <c r="B195" s="22"/>
      <c r="C195" s="34" t="s">
        <v>213</v>
      </c>
      <c r="D195" s="35" t="s">
        <v>214</v>
      </c>
      <c r="E195" s="36" t="s">
        <v>124</v>
      </c>
      <c r="F195" s="33"/>
      <c r="G195" s="33" t="s">
        <v>92</v>
      </c>
      <c r="H195" s="22"/>
      <c r="I195" s="40" t="s">
        <v>93</v>
      </c>
      <c r="J195" s="36" t="s">
        <v>233</v>
      </c>
      <c r="K195" s="22"/>
    </row>
    <row r="196" spans="1:11" ht="12">
      <c r="A196" s="23">
        <v>2002</v>
      </c>
      <c r="B196" s="22"/>
      <c r="C196" s="24">
        <f>1-DATA!N$15/DATA!F$15</f>
        <v>0.35573122529644263</v>
      </c>
      <c r="D196" s="25">
        <f>DATA!V$15</f>
        <v>0.08</v>
      </c>
      <c r="E196" s="26">
        <f>C196*D196</f>
        <v>0.02845849802371541</v>
      </c>
      <c r="F196" s="23"/>
      <c r="G196" s="27">
        <f>DATA!AD$15</f>
        <v>29.44</v>
      </c>
      <c r="H196" s="22"/>
      <c r="I196" s="27">
        <f>DATA!AL$15</f>
        <v>91.26</v>
      </c>
      <c r="J196" s="26"/>
      <c r="K196" s="22"/>
    </row>
    <row r="197" spans="1:11" ht="12">
      <c r="A197" s="23">
        <f>DATA!F$3</f>
        <v>2003</v>
      </c>
      <c r="B197" s="22"/>
      <c r="C197" s="24">
        <f>1-DATA!O$15/DATA!G$15</f>
        <v>0.3134920634920635</v>
      </c>
      <c r="D197" s="25">
        <f>DATA!W$15</f>
        <v>0.081</v>
      </c>
      <c r="E197" s="26">
        <f>C197*D197</f>
        <v>0.025392857142857144</v>
      </c>
      <c r="F197" s="23"/>
      <c r="G197" s="27">
        <f>DATA!AE$15</f>
        <v>31</v>
      </c>
      <c r="H197" s="22"/>
      <c r="I197" s="27">
        <f>DATA!AM$15</f>
        <v>91.29</v>
      </c>
      <c r="J197" s="26"/>
      <c r="K197" s="22"/>
    </row>
    <row r="198" spans="1:11" ht="12">
      <c r="A198" s="23">
        <f>DATA!G$3</f>
        <v>2004</v>
      </c>
      <c r="B198" s="22"/>
      <c r="C198" s="24">
        <f>1-DATA!P$15/DATA!H$15</f>
        <v>0.2906976744186046</v>
      </c>
      <c r="D198" s="25">
        <f>DATA!X$15</f>
        <v>0.08</v>
      </c>
      <c r="E198" s="26">
        <f>C198*D198</f>
        <v>0.02325581395348837</v>
      </c>
      <c r="F198" s="23"/>
      <c r="G198" s="27">
        <f>DATA!AF$15</f>
        <v>32.14</v>
      </c>
      <c r="H198" s="22"/>
      <c r="I198" s="27">
        <f>DATA!AN$15</f>
        <v>91.79</v>
      </c>
      <c r="J198" s="26"/>
      <c r="K198" s="22"/>
    </row>
    <row r="199" spans="1:11" ht="12">
      <c r="A199" s="23">
        <f>DATA!H$3</f>
        <v>2005</v>
      </c>
      <c r="B199" s="22"/>
      <c r="C199" s="24">
        <f>1-DATA!Q$15/DATA!I$15</f>
        <v>0.1383928571428572</v>
      </c>
      <c r="D199" s="25">
        <f>DATA!Y$15</f>
        <v>0.065</v>
      </c>
      <c r="E199" s="26">
        <f>C199*D199</f>
        <v>0.008995535714285718</v>
      </c>
      <c r="F199" s="23"/>
      <c r="G199" s="27">
        <f>DATA!AG$15</f>
        <v>34.57</v>
      </c>
      <c r="H199" s="22"/>
      <c r="I199" s="27">
        <f>DATA!AO$15</f>
        <v>99.08</v>
      </c>
      <c r="J199" s="26"/>
      <c r="K199" s="22"/>
    </row>
    <row r="200" spans="1:11" ht="12">
      <c r="A200" s="23">
        <f>DATA!I$3</f>
        <v>2006</v>
      </c>
      <c r="B200" s="22"/>
      <c r="C200" s="24">
        <f>1-DATA!R$15/DATA!J$15</f>
        <v>0.35962145110410104</v>
      </c>
      <c r="D200" s="25">
        <f>DATA!Z$15</f>
        <v>0.092</v>
      </c>
      <c r="E200" s="41">
        <f>C200*D200</f>
        <v>0.033085173501577296</v>
      </c>
      <c r="F200" s="42"/>
      <c r="G200" s="43">
        <f>DATA!AH$15</f>
        <v>34.47</v>
      </c>
      <c r="H200" s="44"/>
      <c r="I200" s="43">
        <f>DATA!AP$15</f>
        <v>99.96</v>
      </c>
      <c r="J200" s="26"/>
      <c r="K200" s="22"/>
    </row>
    <row r="201" spans="1:11" ht="12">
      <c r="A201" s="45" t="s">
        <v>94</v>
      </c>
      <c r="B201" s="22"/>
      <c r="C201" s="24"/>
      <c r="D201" s="25"/>
      <c r="E201" s="26">
        <f>AVERAGE(E196:E200)</f>
        <v>0.023837575667184786</v>
      </c>
      <c r="F201" s="26"/>
      <c r="G201" s="26">
        <f>DATA!AX$15</f>
        <v>0.04</v>
      </c>
      <c r="H201" s="22"/>
      <c r="I201" s="27"/>
      <c r="J201" s="26">
        <f>(I200/I196)^0.25-1</f>
        <v>0.023025468564300988</v>
      </c>
      <c r="K201" s="22"/>
    </row>
    <row r="202" spans="1:11" ht="12">
      <c r="A202" s="23">
        <v>2007</v>
      </c>
      <c r="B202" s="22"/>
      <c r="C202" s="24">
        <f>1-DATA!S$15/DATA!K$15</f>
        <v>0.2857142857142857</v>
      </c>
      <c r="D202" s="25">
        <f>DATA!AA$15</f>
        <v>0.085</v>
      </c>
      <c r="E202" s="26">
        <f>C202*D202</f>
        <v>0.024285714285714285</v>
      </c>
      <c r="F202" s="26"/>
      <c r="G202" s="26"/>
      <c r="H202" s="22"/>
      <c r="I202" s="27">
        <f>DATA!AQ$15</f>
        <v>100.4</v>
      </c>
      <c r="J202" s="26">
        <f>(I202/I200)-1</f>
        <v>0.004401760704281887</v>
      </c>
      <c r="K202" s="22"/>
    </row>
    <row r="203" spans="1:11" ht="12">
      <c r="A203" s="23">
        <v>2008</v>
      </c>
      <c r="B203" s="23"/>
      <c r="C203" s="24">
        <f>1-DATA!T$15/DATA!L$15</f>
        <v>0.168627450980392</v>
      </c>
      <c r="D203" s="25">
        <f>DATA!AB$15</f>
        <v>0.07</v>
      </c>
      <c r="E203" s="26">
        <f>C203*D203</f>
        <v>0.01180392156862744</v>
      </c>
      <c r="F203" s="23"/>
      <c r="G203" s="26"/>
      <c r="H203" s="23"/>
      <c r="I203" s="27">
        <f>DATA!AR$15</f>
        <v>100.5</v>
      </c>
      <c r="J203" s="26">
        <f>(I203/I200)^0.5-1</f>
        <v>0.0026974423345986764</v>
      </c>
      <c r="K203" s="23"/>
    </row>
    <row r="204" spans="1:11" ht="12">
      <c r="A204" s="23" t="s">
        <v>58</v>
      </c>
      <c r="B204" s="22"/>
      <c r="C204" s="24">
        <f>1-DATA!U$15/DATA!M$15</f>
        <v>0.2271186440677967</v>
      </c>
      <c r="D204" s="25">
        <f>DATA!AC$15</f>
        <v>0.08</v>
      </c>
      <c r="E204" s="26">
        <f>C204*D204</f>
        <v>0.018169491525423735</v>
      </c>
      <c r="F204" s="26"/>
      <c r="G204" s="26">
        <f>DATA!AY$15</f>
        <v>0.02</v>
      </c>
      <c r="H204" s="22"/>
      <c r="I204" s="27">
        <f>DATA!AS$15</f>
        <v>100.8</v>
      </c>
      <c r="J204" s="26">
        <f>(I204/I200)^0.2-1</f>
        <v>0.0016750512678258556</v>
      </c>
      <c r="K204" s="22"/>
    </row>
    <row r="205" spans="1:11" ht="12">
      <c r="A205" s="23"/>
      <c r="B205" s="22"/>
      <c r="C205" s="24"/>
      <c r="D205" s="25"/>
      <c r="E205" s="26"/>
      <c r="F205" s="23"/>
      <c r="G205" s="23"/>
      <c r="H205" s="22"/>
      <c r="I205" s="27"/>
      <c r="J205" s="26"/>
      <c r="K205" s="22"/>
    </row>
    <row r="206" spans="2:11" ht="12">
      <c r="B206" s="22"/>
      <c r="C206" s="24"/>
      <c r="D206" s="25"/>
      <c r="E206" s="26"/>
      <c r="F206" s="23"/>
      <c r="G206" s="23"/>
      <c r="H206" s="22"/>
      <c r="I206" s="27"/>
      <c r="J206" s="26"/>
      <c r="K206" s="22"/>
    </row>
    <row r="207" spans="1:11" ht="12">
      <c r="A207" s="23"/>
      <c r="B207" s="22"/>
      <c r="C207" s="24"/>
      <c r="D207" s="25"/>
      <c r="E207" s="26"/>
      <c r="F207" s="23"/>
      <c r="G207" s="23"/>
      <c r="H207" s="22"/>
      <c r="I207" s="27"/>
      <c r="J207" s="26"/>
      <c r="K207" s="22"/>
    </row>
    <row r="208" spans="1:11" ht="12">
      <c r="A208" s="33" t="s">
        <v>231</v>
      </c>
      <c r="B208" s="22"/>
      <c r="C208" s="34"/>
      <c r="D208" s="35" t="s">
        <v>232</v>
      </c>
      <c r="E208" s="36" t="s">
        <v>233</v>
      </c>
      <c r="F208" s="33"/>
      <c r="G208" s="33"/>
      <c r="H208" s="22"/>
      <c r="I208" s="37" t="s">
        <v>101</v>
      </c>
      <c r="J208" s="38" t="s">
        <v>233</v>
      </c>
      <c r="K208" s="22"/>
    </row>
    <row r="209" spans="1:11" ht="12">
      <c r="A209" s="23"/>
      <c r="B209" s="22"/>
      <c r="C209" s="24"/>
      <c r="D209" s="25"/>
      <c r="E209" s="26"/>
      <c r="F209" s="23"/>
      <c r="G209" s="23"/>
      <c r="H209" s="22"/>
      <c r="I209" s="27"/>
      <c r="J209" s="26"/>
      <c r="K209" s="22"/>
    </row>
    <row r="210" spans="1:11" ht="12">
      <c r="A210" s="23"/>
      <c r="B210" s="22"/>
      <c r="C210" s="24" t="s">
        <v>102</v>
      </c>
      <c r="D210" s="25" t="s">
        <v>76</v>
      </c>
      <c r="E210" s="26"/>
      <c r="F210" s="23"/>
      <c r="G210" s="23" t="s">
        <v>77</v>
      </c>
      <c r="H210" s="22"/>
      <c r="I210" s="27" t="s">
        <v>78</v>
      </c>
      <c r="J210" s="26" t="s">
        <v>188</v>
      </c>
      <c r="K210" s="22"/>
    </row>
    <row r="211" spans="1:11" ht="12">
      <c r="A211" s="39" t="str">
        <f>DATA!A$16</f>
        <v>PSD</v>
      </c>
      <c r="B211" s="22"/>
      <c r="C211" s="34" t="s">
        <v>213</v>
      </c>
      <c r="D211" s="35" t="s">
        <v>214</v>
      </c>
      <c r="E211" s="36" t="s">
        <v>124</v>
      </c>
      <c r="F211" s="33"/>
      <c r="G211" s="33" t="s">
        <v>92</v>
      </c>
      <c r="H211" s="22"/>
      <c r="I211" s="40" t="s">
        <v>93</v>
      </c>
      <c r="J211" s="36" t="s">
        <v>233</v>
      </c>
      <c r="K211" s="22"/>
    </row>
    <row r="212" spans="1:11" ht="12">
      <c r="A212" s="23">
        <v>2002</v>
      </c>
      <c r="B212" s="22"/>
      <c r="C212" s="24">
        <f>1-DATA!N$16/DATA!F$16</f>
        <v>0.19354838709677413</v>
      </c>
      <c r="D212" s="25">
        <f>DATA!V$16</f>
        <v>0.072</v>
      </c>
      <c r="E212" s="26">
        <f>C212*D212</f>
        <v>0.013935483870967736</v>
      </c>
      <c r="F212" s="23"/>
      <c r="G212" s="27">
        <f>DATA!AD$16</f>
        <v>16.27</v>
      </c>
      <c r="H212" s="22"/>
      <c r="I212" s="27">
        <f>DATA!AL$16</f>
        <v>93.64</v>
      </c>
      <c r="J212" s="26"/>
      <c r="K212" s="22"/>
    </row>
    <row r="213" spans="1:11" ht="12">
      <c r="A213" s="23">
        <f>DATA!F$3</f>
        <v>2003</v>
      </c>
      <c r="B213" s="22"/>
      <c r="C213" s="24">
        <f>1-DATA!O$16/DATA!G$16</f>
        <v>0.180327868852459</v>
      </c>
      <c r="D213" s="25">
        <f>DATA!W$16</f>
        <v>0.07</v>
      </c>
      <c r="E213" s="26">
        <f>C213*D213</f>
        <v>0.012622950819672131</v>
      </c>
      <c r="F213" s="23"/>
      <c r="G213" s="27">
        <f>DATA!AE$16</f>
        <v>16.71</v>
      </c>
      <c r="H213" s="22"/>
      <c r="I213" s="27">
        <f>DATA!AM$16</f>
        <v>99.07</v>
      </c>
      <c r="J213" s="26"/>
      <c r="K213" s="22"/>
    </row>
    <row r="214" spans="1:11" ht="12">
      <c r="A214" s="23">
        <f>DATA!G$3</f>
        <v>2004</v>
      </c>
      <c r="B214" s="22"/>
      <c r="C214" s="24">
        <f>1-DATA!P$16/DATA!H$16</f>
        <v>0.24242424242424243</v>
      </c>
      <c r="D214" s="25">
        <f>DATA!X$16</f>
        <v>0.081</v>
      </c>
      <c r="E214" s="26">
        <f>C214*D214</f>
        <v>0.019636363636363636</v>
      </c>
      <c r="F214" s="23"/>
      <c r="G214" s="27">
        <f>DATA!AF$16</f>
        <v>16.24</v>
      </c>
      <c r="H214" s="22"/>
      <c r="I214" s="27">
        <f>DATA!AN$16</f>
        <v>99.87</v>
      </c>
      <c r="J214" s="26"/>
      <c r="K214" s="22"/>
    </row>
    <row r="215" spans="1:11" ht="12">
      <c r="A215" s="23">
        <f>DATA!H$3</f>
        <v>2005</v>
      </c>
      <c r="B215" s="22"/>
      <c r="C215" s="24">
        <f>1-DATA!Q$16/DATA!I$16</f>
        <v>0.2957746478873239</v>
      </c>
      <c r="D215" s="25">
        <f>DATA!Y$16</f>
        <v>0.072</v>
      </c>
      <c r="E215" s="26">
        <f>C215*D215</f>
        <v>0.021295774647887317</v>
      </c>
      <c r="F215" s="23"/>
      <c r="G215" s="27">
        <f>DATA!AG$16</f>
        <v>17.52</v>
      </c>
      <c r="H215" s="22"/>
      <c r="I215" s="27">
        <f>DATA!AO$16</f>
        <v>115.7</v>
      </c>
      <c r="J215" s="26"/>
      <c r="K215" s="22"/>
    </row>
    <row r="216" spans="1:11" ht="12">
      <c r="A216" s="23">
        <f>DATA!I$3</f>
        <v>2006</v>
      </c>
      <c r="B216" s="22"/>
      <c r="C216" s="24">
        <f>1-DATA!R$16/DATA!J$16</f>
        <v>0.3055555555555556</v>
      </c>
      <c r="D216" s="25">
        <f>DATA!Z$16</f>
        <v>0.079</v>
      </c>
      <c r="E216" s="41">
        <f>C216*D216</f>
        <v>0.02413888888888889</v>
      </c>
      <c r="F216" s="42"/>
      <c r="G216" s="43">
        <f>DATA!AH$16</f>
        <v>18.15</v>
      </c>
      <c r="H216" s="44"/>
      <c r="I216" s="43">
        <f>DATA!AP$16</f>
        <v>116.58</v>
      </c>
      <c r="J216" s="26"/>
      <c r="K216" s="22"/>
    </row>
    <row r="217" spans="1:11" ht="12">
      <c r="A217" s="45" t="s">
        <v>94</v>
      </c>
      <c r="B217" s="22"/>
      <c r="C217" s="24"/>
      <c r="D217" s="25"/>
      <c r="E217" s="26">
        <f>AVERAGE(E212:E216)</f>
        <v>0.01832589237275594</v>
      </c>
      <c r="F217" s="26"/>
      <c r="G217" s="26">
        <f>DATA!AX$16</f>
        <v>0.015</v>
      </c>
      <c r="H217" s="22"/>
      <c r="I217" s="27"/>
      <c r="J217" s="26">
        <f>(I216/I212)^0.25-1</f>
        <v>0.05630822507220712</v>
      </c>
      <c r="K217" s="22"/>
    </row>
    <row r="218" spans="1:11" ht="12">
      <c r="A218" s="23">
        <v>2007</v>
      </c>
      <c r="B218" s="22"/>
      <c r="C218" s="24">
        <f>1-DATA!S$16/DATA!K$16</f>
        <v>0.375</v>
      </c>
      <c r="D218" s="25">
        <f>DATA!AA$16</f>
        <v>0.075</v>
      </c>
      <c r="E218" s="26">
        <f>C218*D218</f>
        <v>0.028124999999999997</v>
      </c>
      <c r="F218" s="26"/>
      <c r="G218" s="26"/>
      <c r="H218" s="22"/>
      <c r="I218" s="27">
        <f>DATA!AQ$16</f>
        <v>130</v>
      </c>
      <c r="J218" s="26">
        <f>(I218/I216)-1</f>
        <v>0.11511408474867046</v>
      </c>
      <c r="K218" s="22"/>
    </row>
    <row r="219" spans="1:11" ht="12">
      <c r="A219" s="23">
        <v>2008</v>
      </c>
      <c r="B219" s="23"/>
      <c r="C219" s="24">
        <f>1-DATA!T$16/DATA!L$16</f>
        <v>0.375</v>
      </c>
      <c r="D219" s="25">
        <f>DATA!AB$16</f>
        <v>0.08</v>
      </c>
      <c r="E219" s="26">
        <f>C219*D219</f>
        <v>0.03</v>
      </c>
      <c r="F219" s="23"/>
      <c r="G219" s="26"/>
      <c r="H219" s="23"/>
      <c r="I219" s="27">
        <f>DATA!AR$16</f>
        <v>131</v>
      </c>
      <c r="J219" s="26">
        <f>(I219/I216)^0.5-1</f>
        <v>0.060043341284017115</v>
      </c>
      <c r="K219" s="23"/>
    </row>
    <row r="220" spans="1:11" ht="12">
      <c r="A220" s="23" t="s">
        <v>58</v>
      </c>
      <c r="B220" s="22"/>
      <c r="C220" s="24">
        <f>1-DATA!U$16/DATA!M$16</f>
        <v>0.4</v>
      </c>
      <c r="D220" s="25">
        <f>DATA!AC$16</f>
        <v>0.09</v>
      </c>
      <c r="E220" s="26">
        <f>C220*D220</f>
        <v>0.036</v>
      </c>
      <c r="F220" s="26"/>
      <c r="G220" s="26">
        <f>DATA!AY$16</f>
        <v>0.04</v>
      </c>
      <c r="H220" s="22"/>
      <c r="I220" s="27">
        <f>DATA!AS$16</f>
        <v>134</v>
      </c>
      <c r="J220" s="26">
        <f>(I220/I216)^0.2-1</f>
        <v>0.028243918267097934</v>
      </c>
      <c r="K220" s="22"/>
    </row>
    <row r="221" spans="2:10" ht="12">
      <c r="B221" s="22"/>
      <c r="C221" s="24"/>
      <c r="D221" s="25"/>
      <c r="E221" s="26"/>
      <c r="F221" s="23"/>
      <c r="G221" s="23"/>
      <c r="H221" s="22"/>
      <c r="I221" s="27"/>
      <c r="J221" s="62" t="s">
        <v>25</v>
      </c>
    </row>
    <row r="222" spans="1:11" ht="12">
      <c r="A222" s="23"/>
      <c r="B222" s="22"/>
      <c r="C222" s="24"/>
      <c r="D222" s="25"/>
      <c r="E222" s="26"/>
      <c r="F222" s="23"/>
      <c r="G222" s="23"/>
      <c r="H222" s="22"/>
      <c r="I222" s="27"/>
      <c r="J222" s="29" t="s">
        <v>27</v>
      </c>
      <c r="K222" s="22"/>
    </row>
    <row r="223" spans="1:11" ht="12">
      <c r="A223" s="23"/>
      <c r="B223" s="22"/>
      <c r="C223" s="24"/>
      <c r="D223" s="25"/>
      <c r="E223" s="26"/>
      <c r="F223" s="23"/>
      <c r="G223" s="23"/>
      <c r="H223" s="22"/>
      <c r="I223" s="27"/>
      <c r="J223" s="30" t="s">
        <v>63</v>
      </c>
      <c r="K223" s="22"/>
    </row>
    <row r="224" spans="1:11" ht="12">
      <c r="A224" s="23"/>
      <c r="B224" s="22"/>
      <c r="C224" s="24"/>
      <c r="D224" s="25"/>
      <c r="E224" s="26"/>
      <c r="F224" s="23"/>
      <c r="G224" s="23"/>
      <c r="H224" s="22"/>
      <c r="I224" s="27"/>
      <c r="J224" s="26"/>
      <c r="K224" s="22"/>
    </row>
    <row r="225" spans="1:11" ht="12">
      <c r="A225" s="23"/>
      <c r="B225" s="22"/>
      <c r="C225" s="24"/>
      <c r="D225" s="25"/>
      <c r="E225" s="26"/>
      <c r="F225" s="23"/>
      <c r="G225" s="23"/>
      <c r="H225" s="22"/>
      <c r="I225" s="27"/>
      <c r="J225" s="26"/>
      <c r="K225" s="22"/>
    </row>
    <row r="226" spans="1:11" ht="12">
      <c r="A226" s="23"/>
      <c r="B226" s="22"/>
      <c r="C226" s="24"/>
      <c r="D226" s="25"/>
      <c r="E226" s="31"/>
      <c r="F226" s="32" t="str">
        <f>F$6</f>
        <v>PUGET SOUND ENERGY</v>
      </c>
      <c r="G226" s="22"/>
      <c r="H226" s="22"/>
      <c r="I226" s="27"/>
      <c r="J226" s="26"/>
      <c r="K226" s="22"/>
    </row>
    <row r="227" spans="1:11" ht="12">
      <c r="A227" s="23"/>
      <c r="B227" s="22"/>
      <c r="C227" s="24"/>
      <c r="D227" s="25"/>
      <c r="E227" s="31"/>
      <c r="F227" s="23" t="s">
        <v>230</v>
      </c>
      <c r="G227" s="22"/>
      <c r="H227" s="22"/>
      <c r="I227" s="27"/>
      <c r="J227" s="26"/>
      <c r="K227" s="22"/>
    </row>
    <row r="228" spans="1:11" ht="12">
      <c r="A228" s="23"/>
      <c r="B228" s="22"/>
      <c r="C228" s="24"/>
      <c r="D228" s="25"/>
      <c r="E228" s="26"/>
      <c r="F228" s="23"/>
      <c r="G228" s="23"/>
      <c r="H228" s="22"/>
      <c r="I228" s="27"/>
      <c r="J228" s="26"/>
      <c r="K228" s="22"/>
    </row>
    <row r="229" spans="1:11" ht="12">
      <c r="A229" s="23"/>
      <c r="B229" s="22"/>
      <c r="C229" s="24"/>
      <c r="D229" s="25"/>
      <c r="E229" s="26"/>
      <c r="F229" s="23"/>
      <c r="G229" s="23"/>
      <c r="H229" s="22"/>
      <c r="I229" s="27"/>
      <c r="J229" s="26"/>
      <c r="K229" s="22"/>
    </row>
    <row r="230" spans="1:11" ht="12">
      <c r="A230" s="23"/>
      <c r="B230" s="22"/>
      <c r="C230" s="24"/>
      <c r="D230" s="25"/>
      <c r="E230" s="26"/>
      <c r="F230" s="23"/>
      <c r="G230" s="23"/>
      <c r="H230" s="22"/>
      <c r="I230" s="27"/>
      <c r="J230" s="26"/>
      <c r="K230" s="22"/>
    </row>
    <row r="231" spans="1:11" ht="12">
      <c r="A231" s="33" t="s">
        <v>231</v>
      </c>
      <c r="B231" s="22"/>
      <c r="C231" s="34"/>
      <c r="D231" s="35" t="s">
        <v>232</v>
      </c>
      <c r="E231" s="36" t="s">
        <v>233</v>
      </c>
      <c r="F231" s="33"/>
      <c r="G231" s="33"/>
      <c r="H231" s="22"/>
      <c r="I231" s="37" t="s">
        <v>101</v>
      </c>
      <c r="J231" s="38" t="s">
        <v>233</v>
      </c>
      <c r="K231" s="22"/>
    </row>
    <row r="232" spans="1:11" ht="12">
      <c r="A232" s="23"/>
      <c r="B232" s="22"/>
      <c r="C232" s="24"/>
      <c r="D232" s="25"/>
      <c r="E232" s="26"/>
      <c r="F232" s="23"/>
      <c r="G232" s="23"/>
      <c r="H232" s="22"/>
      <c r="I232" s="27"/>
      <c r="J232" s="26"/>
      <c r="K232" s="22"/>
    </row>
    <row r="233" spans="1:11" ht="12">
      <c r="A233" s="23"/>
      <c r="B233" s="22"/>
      <c r="C233" s="24" t="s">
        <v>102</v>
      </c>
      <c r="D233" s="25" t="s">
        <v>76</v>
      </c>
      <c r="E233" s="26"/>
      <c r="F233" s="23"/>
      <c r="G233" s="23" t="s">
        <v>77</v>
      </c>
      <c r="H233" s="22"/>
      <c r="I233" s="27" t="s">
        <v>78</v>
      </c>
      <c r="J233" s="26" t="s">
        <v>188</v>
      </c>
      <c r="K233" s="22"/>
    </row>
    <row r="234" spans="1:11" ht="12">
      <c r="A234" s="39" t="str">
        <f>DATA!A$17</f>
        <v>UNS</v>
      </c>
      <c r="B234" s="22"/>
      <c r="C234" s="34" t="s">
        <v>213</v>
      </c>
      <c r="D234" s="35" t="s">
        <v>214</v>
      </c>
      <c r="E234" s="36" t="s">
        <v>124</v>
      </c>
      <c r="F234" s="33"/>
      <c r="G234" s="33" t="s">
        <v>92</v>
      </c>
      <c r="H234" s="22"/>
      <c r="I234" s="40" t="s">
        <v>93</v>
      </c>
      <c r="J234" s="36" t="s">
        <v>233</v>
      </c>
      <c r="K234" s="22"/>
    </row>
    <row r="235" spans="1:11" ht="12">
      <c r="A235" s="23">
        <v>2002</v>
      </c>
      <c r="B235" s="22"/>
      <c r="C235" s="24">
        <f>1-DATA!N$17/DATA!F$17</f>
        <v>0.48453608247422675</v>
      </c>
      <c r="D235" s="25">
        <f>DATA!V$17</f>
        <v>0.076</v>
      </c>
      <c r="E235" s="26">
        <f>C235*D235</f>
        <v>0.03682474226804123</v>
      </c>
      <c r="F235" s="23"/>
      <c r="G235" s="27">
        <f>DATA!AD$17</f>
        <v>13.05</v>
      </c>
      <c r="H235" s="22"/>
      <c r="I235" s="27">
        <f>DATA!AL$17</f>
        <v>33.58</v>
      </c>
      <c r="J235" s="26"/>
      <c r="K235" s="22"/>
    </row>
    <row r="236" spans="1:11" ht="12">
      <c r="A236" s="23">
        <f>DATA!F$3</f>
        <v>2003</v>
      </c>
      <c r="B236" s="22"/>
      <c r="C236" s="24">
        <f>1-DATA!O$17/DATA!G$17</f>
        <v>0.5384615384615385</v>
      </c>
      <c r="D236" s="25">
        <f>DATA!W$17</f>
        <v>0.084</v>
      </c>
      <c r="E236" s="26">
        <f>C236*D236</f>
        <v>0.04523076923076924</v>
      </c>
      <c r="F236" s="23"/>
      <c r="G236" s="27">
        <f>DATA!AE$17</f>
        <v>15.97</v>
      </c>
      <c r="H236" s="22"/>
      <c r="I236" s="27">
        <f>DATA!AM$17</f>
        <v>33.79</v>
      </c>
      <c r="J236" s="26"/>
      <c r="K236" s="22"/>
    </row>
    <row r="237" spans="1:11" ht="12">
      <c r="A237" s="23">
        <f>DATA!G$3</f>
        <v>2004</v>
      </c>
      <c r="B237" s="22"/>
      <c r="C237" s="24">
        <f>1-DATA!P$17/DATA!H$17</f>
        <v>0.5114503816793894</v>
      </c>
      <c r="D237" s="25">
        <f>DATA!X$17</f>
        <v>0.079</v>
      </c>
      <c r="E237" s="26">
        <f>C237*D237</f>
        <v>0.04040458015267176</v>
      </c>
      <c r="F237" s="23"/>
      <c r="G237" s="27">
        <f>DATA!AF$17</f>
        <v>16.95</v>
      </c>
      <c r="H237" s="22"/>
      <c r="I237" s="27">
        <f>DATA!AN$17</f>
        <v>34.26</v>
      </c>
      <c r="J237" s="26"/>
      <c r="K237" s="22"/>
    </row>
    <row r="238" spans="1:11" ht="12">
      <c r="A238" s="23">
        <f>DATA!H$3</f>
        <v>2005</v>
      </c>
      <c r="B238" s="22"/>
      <c r="C238" s="24">
        <f>1-DATA!Q$17/DATA!I$17</f>
        <v>0.41538461538461535</v>
      </c>
      <c r="D238" s="25">
        <f>DATA!Y$17</f>
        <v>0.075</v>
      </c>
      <c r="E238" s="26">
        <f>C238*D238</f>
        <v>0.03115384615384615</v>
      </c>
      <c r="F238" s="23"/>
      <c r="G238" s="27">
        <f>DATA!AG$17</f>
        <v>17.68</v>
      </c>
      <c r="H238" s="22"/>
      <c r="I238" s="27">
        <f>DATA!AO$17</f>
        <v>34.87</v>
      </c>
      <c r="J238" s="26"/>
      <c r="K238" s="22"/>
    </row>
    <row r="239" spans="1:11" ht="12">
      <c r="A239" s="23">
        <f>DATA!I$3</f>
        <v>2006</v>
      </c>
      <c r="B239" s="22"/>
      <c r="C239" s="24">
        <f>1-DATA!R$17/DATA!J$17</f>
        <v>0.5459459459459459</v>
      </c>
      <c r="D239" s="25">
        <f>DATA!Z$17</f>
        <v>0.106</v>
      </c>
      <c r="E239" s="41">
        <f>C239*D239</f>
        <v>0.057870270270270266</v>
      </c>
      <c r="F239" s="42"/>
      <c r="G239" s="43">
        <f>DATA!AH$17</f>
        <v>18.59</v>
      </c>
      <c r="H239" s="44"/>
      <c r="I239" s="43">
        <f>DATA!AP$17</f>
        <v>35.19</v>
      </c>
      <c r="J239" s="26"/>
      <c r="K239" s="22"/>
    </row>
    <row r="240" spans="1:11" ht="12">
      <c r="A240" s="45" t="s">
        <v>94</v>
      </c>
      <c r="B240" s="22"/>
      <c r="C240" s="24"/>
      <c r="D240" s="25"/>
      <c r="E240" s="26">
        <f>AVERAGE(E235:E239)</f>
        <v>0.04229684161511973</v>
      </c>
      <c r="F240" s="26"/>
      <c r="G240" s="26">
        <f>DATA!AX$17</f>
        <v>0.095</v>
      </c>
      <c r="H240" s="22"/>
      <c r="I240" s="27"/>
      <c r="J240" s="26">
        <f>(I239/I235)^0.25-1</f>
        <v>0.011776629759364443</v>
      </c>
      <c r="K240" s="22"/>
    </row>
    <row r="241" spans="1:11" ht="12">
      <c r="A241" s="23">
        <v>2007</v>
      </c>
      <c r="B241" s="22"/>
      <c r="C241" s="24">
        <f>1-DATA!S$17/DATA!K$17</f>
        <v>0.4375</v>
      </c>
      <c r="D241" s="25">
        <f>DATA!AA$17</f>
        <v>0.08</v>
      </c>
      <c r="E241" s="26">
        <f>C241*D241</f>
        <v>0.035</v>
      </c>
      <c r="F241" s="26"/>
      <c r="G241" s="26"/>
      <c r="H241" s="22"/>
      <c r="I241" s="27">
        <f>DATA!AQ$17</f>
        <v>35.7</v>
      </c>
      <c r="J241" s="26">
        <f>(I241/I239)-1</f>
        <v>0.01449275362318847</v>
      </c>
      <c r="K241" s="22"/>
    </row>
    <row r="242" spans="1:11" ht="12">
      <c r="A242" s="23">
        <v>2008</v>
      </c>
      <c r="B242" s="23"/>
      <c r="C242" s="24">
        <f>1-DATA!T$17/DATA!L$17</f>
        <v>0.4514285714285714</v>
      </c>
      <c r="D242" s="25">
        <f>DATA!AB$17</f>
        <v>0.085</v>
      </c>
      <c r="E242" s="26">
        <f>C242*D242</f>
        <v>0.03837142857142857</v>
      </c>
      <c r="F242" s="23"/>
      <c r="G242" s="26"/>
      <c r="H242" s="23"/>
      <c r="I242" s="27">
        <f>DATA!AR$17</f>
        <v>36.2</v>
      </c>
      <c r="J242" s="26">
        <f>(I242/I239)^0.5-1</f>
        <v>0.014249148684240431</v>
      </c>
      <c r="K242" s="23"/>
    </row>
    <row r="243" spans="1:11" ht="12">
      <c r="A243" s="23" t="s">
        <v>58</v>
      </c>
      <c r="B243" s="22"/>
      <c r="C243" s="24">
        <f>1-DATA!U$17/DATA!M$17</f>
        <v>0.4</v>
      </c>
      <c r="D243" s="25">
        <f>DATA!AC$17</f>
        <v>0.085</v>
      </c>
      <c r="E243" s="26">
        <f>C243*D243</f>
        <v>0.034</v>
      </c>
      <c r="F243" s="26"/>
      <c r="G243" s="26">
        <f>DATA!AY$17</f>
        <v>0.04</v>
      </c>
      <c r="H243" s="22"/>
      <c r="I243" s="27">
        <f>DATA!AS$17</f>
        <v>37.7</v>
      </c>
      <c r="J243" s="26">
        <f>(I243/I239)^0.2-1</f>
        <v>0.013875005288090714</v>
      </c>
      <c r="K243" s="22"/>
    </row>
    <row r="244" spans="1:11" ht="12">
      <c r="A244" s="23"/>
      <c r="B244" s="22"/>
      <c r="C244" s="24"/>
      <c r="D244" s="25"/>
      <c r="E244" s="26"/>
      <c r="F244" s="23"/>
      <c r="G244" s="23"/>
      <c r="H244" s="22"/>
      <c r="I244" s="27"/>
      <c r="J244" s="26"/>
      <c r="K244" s="22"/>
    </row>
    <row r="245" spans="2:11" ht="12">
      <c r="B245" s="22"/>
      <c r="C245" s="24"/>
      <c r="D245" s="25"/>
      <c r="E245" s="26"/>
      <c r="F245" s="23"/>
      <c r="G245" s="23"/>
      <c r="H245" s="22"/>
      <c r="I245" s="27"/>
      <c r="J245" s="26"/>
      <c r="K245" s="22"/>
    </row>
    <row r="246" spans="1:11" ht="12">
      <c r="A246" s="23"/>
      <c r="B246" s="22"/>
      <c r="C246" s="24"/>
      <c r="D246" s="25"/>
      <c r="E246" s="26"/>
      <c r="F246" s="23"/>
      <c r="G246" s="23"/>
      <c r="H246" s="22"/>
      <c r="I246" s="27"/>
      <c r="J246" s="26"/>
      <c r="K246" s="22"/>
    </row>
    <row r="247" spans="1:11" ht="12">
      <c r="A247" s="33" t="s">
        <v>231</v>
      </c>
      <c r="B247" s="22"/>
      <c r="C247" s="34"/>
      <c r="D247" s="35" t="s">
        <v>232</v>
      </c>
      <c r="E247" s="36" t="s">
        <v>233</v>
      </c>
      <c r="F247" s="33"/>
      <c r="G247" s="33"/>
      <c r="H247" s="22"/>
      <c r="I247" s="37" t="s">
        <v>101</v>
      </c>
      <c r="J247" s="38" t="s">
        <v>233</v>
      </c>
      <c r="K247" s="22"/>
    </row>
    <row r="248" spans="1:11" ht="12">
      <c r="A248" s="23"/>
      <c r="B248" s="22"/>
      <c r="C248" s="24"/>
      <c r="D248" s="25"/>
      <c r="E248" s="26"/>
      <c r="F248" s="23"/>
      <c r="G248" s="23"/>
      <c r="H248" s="22"/>
      <c r="I248" s="27"/>
      <c r="J248" s="26"/>
      <c r="K248" s="22"/>
    </row>
    <row r="249" spans="1:11" ht="12">
      <c r="A249" s="23"/>
      <c r="B249" s="22"/>
      <c r="C249" s="24" t="s">
        <v>102</v>
      </c>
      <c r="D249" s="25" t="s">
        <v>76</v>
      </c>
      <c r="E249" s="26"/>
      <c r="F249" s="23"/>
      <c r="G249" s="23" t="s">
        <v>77</v>
      </c>
      <c r="H249" s="22"/>
      <c r="I249" s="27" t="s">
        <v>78</v>
      </c>
      <c r="J249" s="26" t="s">
        <v>188</v>
      </c>
      <c r="K249" s="22"/>
    </row>
    <row r="250" spans="1:11" ht="12">
      <c r="A250" s="39" t="str">
        <f>DATA!A$18</f>
        <v>XEL</v>
      </c>
      <c r="B250" s="22"/>
      <c r="C250" s="34" t="s">
        <v>213</v>
      </c>
      <c r="D250" s="35" t="s">
        <v>214</v>
      </c>
      <c r="E250" s="36" t="s">
        <v>124</v>
      </c>
      <c r="F250" s="33"/>
      <c r="G250" s="33" t="s">
        <v>92</v>
      </c>
      <c r="H250" s="22"/>
      <c r="I250" s="40" t="s">
        <v>93</v>
      </c>
      <c r="J250" s="36" t="s">
        <v>233</v>
      </c>
      <c r="K250" s="22"/>
    </row>
    <row r="251" spans="1:11" ht="12">
      <c r="A251" s="23">
        <v>2002</v>
      </c>
      <c r="B251" s="22"/>
      <c r="C251" s="24">
        <f>1-DATA!N$18/DATA!F$18</f>
        <v>-1.6904761904761902</v>
      </c>
      <c r="D251" s="25">
        <f>DATA!V$18</f>
        <v>0.037</v>
      </c>
      <c r="E251" s="26">
        <f>C251*D251</f>
        <v>-0.06254761904761903</v>
      </c>
      <c r="F251" s="23"/>
      <c r="G251" s="27">
        <f>DATA!AD$18</f>
        <v>11.7</v>
      </c>
      <c r="H251" s="22"/>
      <c r="I251" s="27">
        <f>DATA!AL$18</f>
        <v>398.71</v>
      </c>
      <c r="J251" s="26"/>
      <c r="K251" s="22"/>
    </row>
    <row r="252" spans="1:11" ht="12">
      <c r="A252" s="23">
        <f>DATA!F$3</f>
        <v>2003</v>
      </c>
      <c r="B252" s="22"/>
      <c r="C252" s="24">
        <f>1-DATA!O$18/DATA!G$18</f>
        <v>0.3902439024390244</v>
      </c>
      <c r="D252" s="25">
        <f>DATA!W$18</f>
        <v>0.098</v>
      </c>
      <c r="E252" s="26">
        <f>C252*D252</f>
        <v>0.038243902439024396</v>
      </c>
      <c r="F252" s="23"/>
      <c r="G252" s="27">
        <f>DATA!AE$18</f>
        <v>12.95</v>
      </c>
      <c r="H252" s="22"/>
      <c r="I252" s="27">
        <f>DATA!AM$18</f>
        <v>398.96</v>
      </c>
      <c r="J252" s="26"/>
      <c r="K252" s="22"/>
    </row>
    <row r="253" spans="1:11" ht="12">
      <c r="A253" s="23">
        <f>DATA!G$3</f>
        <v>2004</v>
      </c>
      <c r="B253" s="22"/>
      <c r="C253" s="24">
        <f>1-DATA!P$18/DATA!H$18</f>
        <v>0.36220472440944873</v>
      </c>
      <c r="D253" s="25">
        <f>DATA!X$18</f>
        <v>0.1</v>
      </c>
      <c r="E253" s="26">
        <f>C253*D253</f>
        <v>0.036220472440944874</v>
      </c>
      <c r="F253" s="23"/>
      <c r="G253" s="27">
        <f>DATA!AF$18</f>
        <v>12.99</v>
      </c>
      <c r="H253" s="22"/>
      <c r="I253" s="27">
        <f>DATA!AN$18</f>
        <v>400.46</v>
      </c>
      <c r="J253" s="26"/>
      <c r="K253" s="22"/>
    </row>
    <row r="254" spans="1:11" ht="12">
      <c r="A254" s="23">
        <f>DATA!H$3</f>
        <v>2005</v>
      </c>
      <c r="B254" s="22"/>
      <c r="C254" s="24">
        <f>1-DATA!Q$18/DATA!I$18</f>
        <v>0.29166666666666663</v>
      </c>
      <c r="D254" s="25">
        <f>DATA!Y$18</f>
        <v>0.092</v>
      </c>
      <c r="E254" s="26">
        <f>C254*D254</f>
        <v>0.02683333333333333</v>
      </c>
      <c r="F254" s="23"/>
      <c r="G254" s="27">
        <f>DATA!AG$18</f>
        <v>13.37</v>
      </c>
      <c r="H254" s="22"/>
      <c r="I254" s="27">
        <f>DATA!AO$18</f>
        <v>403.39</v>
      </c>
      <c r="J254" s="26"/>
      <c r="K254" s="22"/>
    </row>
    <row r="255" spans="1:11" ht="12">
      <c r="A255" s="23">
        <f>DATA!I$3</f>
        <v>2006</v>
      </c>
      <c r="B255" s="22"/>
      <c r="C255" s="24">
        <f>1-DATA!R$18/DATA!J$18</f>
        <v>0.3481481481481482</v>
      </c>
      <c r="D255" s="25">
        <f>DATA!Z$18</f>
        <v>0.097</v>
      </c>
      <c r="E255" s="41">
        <f>C255*D255</f>
        <v>0.033770370370370374</v>
      </c>
      <c r="F255" s="42"/>
      <c r="G255" s="43">
        <f>DATA!AH$18</f>
        <v>14.28</v>
      </c>
      <c r="H255" s="44"/>
      <c r="I255" s="43">
        <f>DATA!AP$18</f>
        <v>407.3</v>
      </c>
      <c r="J255" s="26"/>
      <c r="K255" s="22"/>
    </row>
    <row r="256" spans="1:11" ht="12">
      <c r="A256" s="45" t="s">
        <v>94</v>
      </c>
      <c r="B256" s="22"/>
      <c r="C256" s="24"/>
      <c r="D256" s="25"/>
      <c r="E256" s="26">
        <f>AVERAGE(E251:E255)</f>
        <v>0.014504091907210786</v>
      </c>
      <c r="F256" s="26"/>
      <c r="G256" s="26">
        <f>DATA!AX$18</f>
        <v>-0.045</v>
      </c>
      <c r="H256" s="22"/>
      <c r="I256" s="27"/>
      <c r="J256" s="26">
        <f>(I255/I251)^0.25-1</f>
        <v>0.005343143714475529</v>
      </c>
      <c r="K256" s="22"/>
    </row>
    <row r="257" spans="1:12" ht="12">
      <c r="A257" s="23">
        <v>2007</v>
      </c>
      <c r="B257" s="22"/>
      <c r="C257" s="24">
        <f>1-DATA!S$18/DATA!K$18</f>
        <v>0.32592592592592595</v>
      </c>
      <c r="D257" s="25">
        <f>DATA!AA$18</f>
        <v>0.09</v>
      </c>
      <c r="E257" s="26">
        <f>C257*D257</f>
        <v>0.029333333333333336</v>
      </c>
      <c r="F257" s="26"/>
      <c r="G257" s="26"/>
      <c r="H257" s="22"/>
      <c r="I257" s="27">
        <f>DATA!AQ$18</f>
        <v>427</v>
      </c>
      <c r="J257" s="26">
        <f>(I257/I255)-1</f>
        <v>0.048367296832801276</v>
      </c>
      <c r="K257" s="22"/>
      <c r="L257" s="28">
        <f>(I259/I257)^0.25</f>
        <v>1.0046512882801881</v>
      </c>
    </row>
    <row r="258" spans="1:11" ht="12">
      <c r="A258" s="23">
        <v>2008</v>
      </c>
      <c r="B258" s="23"/>
      <c r="C258" s="24">
        <f>1-DATA!T$18/DATA!L$18</f>
        <v>0.3666666666666667</v>
      </c>
      <c r="D258" s="25">
        <f>DATA!AB$18</f>
        <v>0.1</v>
      </c>
      <c r="E258" s="26">
        <f>C258*D258</f>
        <v>0.036666666666666674</v>
      </c>
      <c r="F258" s="23"/>
      <c r="G258" s="26"/>
      <c r="H258" s="23"/>
      <c r="I258" s="27">
        <f>DATA!AR$18</f>
        <v>429</v>
      </c>
      <c r="J258" s="26">
        <f>(I258/I255)^0.5-1</f>
        <v>0.026293175607272623</v>
      </c>
      <c r="K258" s="23"/>
    </row>
    <row r="259" spans="1:11" ht="12">
      <c r="A259" s="23" t="s">
        <v>58</v>
      </c>
      <c r="B259" s="22"/>
      <c r="C259" s="24">
        <f>1-DATA!U$18/DATA!M$18</f>
        <v>0.37142857142857133</v>
      </c>
      <c r="D259" s="25">
        <f>DATA!AC$18</f>
        <v>0.1</v>
      </c>
      <c r="E259" s="26">
        <f>C259*D259</f>
        <v>0.03714285714285714</v>
      </c>
      <c r="F259" s="26"/>
      <c r="G259" s="26">
        <f>DATA!AY$18</f>
        <v>0.04</v>
      </c>
      <c r="H259" s="22"/>
      <c r="I259" s="27">
        <f>DATA!AS$18</f>
        <v>435</v>
      </c>
      <c r="J259" s="26">
        <f>(I259/I255)^0.2-1</f>
        <v>0.013246166639911516</v>
      </c>
      <c r="K259" s="22"/>
    </row>
    <row r="260" spans="1:11" ht="12">
      <c r="A260" s="23"/>
      <c r="B260" s="22"/>
      <c r="C260" s="24"/>
      <c r="D260" s="25"/>
      <c r="E260" s="26"/>
      <c r="F260" s="26"/>
      <c r="G260" s="26"/>
      <c r="H260" s="22"/>
      <c r="I260" s="27"/>
      <c r="J260" s="26"/>
      <c r="K260" s="22"/>
    </row>
    <row r="261" spans="1:11" ht="12">
      <c r="A261" s="45" t="s">
        <v>65</v>
      </c>
      <c r="B261" s="22"/>
      <c r="C261" s="24"/>
      <c r="D261" s="25"/>
      <c r="E261" s="26"/>
      <c r="F261" s="23"/>
      <c r="G261" s="23"/>
      <c r="H261" s="22"/>
      <c r="I261" s="27"/>
      <c r="J261" s="26"/>
      <c r="K261" s="22"/>
    </row>
    <row r="262" spans="1:11" ht="12">
      <c r="A262" s="23"/>
      <c r="B262" s="22"/>
      <c r="C262" s="24"/>
      <c r="D262" s="25"/>
      <c r="E262" s="26"/>
      <c r="F262" s="23"/>
      <c r="G262" s="23"/>
      <c r="H262" s="22"/>
      <c r="I262" s="27"/>
      <c r="J262" s="26" t="s">
        <v>216</v>
      </c>
      <c r="K262" s="22"/>
    </row>
    <row r="263" spans="1:11" ht="12">
      <c r="A263" s="23"/>
      <c r="B263" s="22"/>
      <c r="C263" s="24"/>
      <c r="D263" s="25"/>
      <c r="E263" s="26"/>
      <c r="F263" s="23"/>
      <c r="G263" s="23"/>
      <c r="H263" s="22"/>
      <c r="I263" s="27"/>
      <c r="J263" s="26" t="s">
        <v>238</v>
      </c>
      <c r="K263" s="22"/>
    </row>
    <row r="264" spans="1:11" ht="12">
      <c r="A264" s="23"/>
      <c r="B264" s="22"/>
      <c r="C264" s="24"/>
      <c r="D264" s="25"/>
      <c r="E264" s="26"/>
      <c r="F264" s="23"/>
      <c r="G264" s="23"/>
      <c r="H264" s="22"/>
      <c r="I264" s="27"/>
      <c r="J264" s="26"/>
      <c r="K264" s="22"/>
    </row>
    <row r="265" spans="1:11" ht="12">
      <c r="A265" s="23"/>
      <c r="B265" s="22"/>
      <c r="C265" s="24"/>
      <c r="D265" s="25"/>
      <c r="E265" s="26"/>
      <c r="F265" s="23"/>
      <c r="G265" s="23"/>
      <c r="H265" s="22"/>
      <c r="I265" s="27"/>
      <c r="J265" s="26"/>
      <c r="K265" s="22"/>
    </row>
    <row r="266" spans="1:11" ht="12">
      <c r="A266" s="23"/>
      <c r="B266" s="22"/>
      <c r="C266" s="24"/>
      <c r="D266" s="25"/>
      <c r="E266" s="31"/>
      <c r="F266" s="32" t="str">
        <f>F$6</f>
        <v>PUGET SOUND ENERGY</v>
      </c>
      <c r="G266" s="22"/>
      <c r="H266" s="22"/>
      <c r="I266" s="27"/>
      <c r="J266" s="26"/>
      <c r="K266" s="22"/>
    </row>
    <row r="267" spans="1:11" ht="12">
      <c r="A267" s="23"/>
      <c r="B267" s="22"/>
      <c r="C267" s="24"/>
      <c r="D267" s="25"/>
      <c r="E267" s="31"/>
      <c r="F267" s="32" t="s">
        <v>230</v>
      </c>
      <c r="G267" s="22"/>
      <c r="H267" s="22"/>
      <c r="I267" s="27"/>
      <c r="J267" s="26"/>
      <c r="K267" s="22"/>
    </row>
    <row r="268" spans="1:11" ht="12">
      <c r="A268" s="23"/>
      <c r="B268" s="22"/>
      <c r="C268" s="24"/>
      <c r="D268" s="25"/>
      <c r="E268" s="26"/>
      <c r="F268" s="23"/>
      <c r="G268" s="23"/>
      <c r="H268" s="22"/>
      <c r="I268" s="27"/>
      <c r="J268" s="26"/>
      <c r="K268" s="22"/>
    </row>
    <row r="269" spans="1:11" ht="12">
      <c r="A269" s="23"/>
      <c r="B269" s="22"/>
      <c r="C269" s="24"/>
      <c r="D269" s="25"/>
      <c r="E269" s="26"/>
      <c r="F269" s="23"/>
      <c r="G269" s="23"/>
      <c r="H269" s="22"/>
      <c r="I269" s="27"/>
      <c r="J269" s="26"/>
      <c r="K269" s="22"/>
    </row>
    <row r="270" spans="1:11" ht="12">
      <c r="A270" s="23"/>
      <c r="B270" s="22"/>
      <c r="C270" s="24"/>
      <c r="D270" s="25"/>
      <c r="E270" s="26"/>
      <c r="F270" s="23"/>
      <c r="G270" s="23"/>
      <c r="H270" s="22"/>
      <c r="I270" s="27"/>
      <c r="J270" s="26"/>
      <c r="K270" s="22"/>
    </row>
    <row r="271" spans="1:11" ht="12">
      <c r="A271" s="33" t="s">
        <v>231</v>
      </c>
      <c r="B271" s="22"/>
      <c r="C271" s="34"/>
      <c r="D271" s="35" t="s">
        <v>232</v>
      </c>
      <c r="E271" s="36" t="s">
        <v>233</v>
      </c>
      <c r="F271" s="33"/>
      <c r="G271" s="33"/>
      <c r="H271" s="22"/>
      <c r="I271" s="37" t="s">
        <v>101</v>
      </c>
      <c r="J271" s="38" t="s">
        <v>233</v>
      </c>
      <c r="K271" s="22"/>
    </row>
    <row r="272" spans="1:11" ht="12">
      <c r="A272" s="23"/>
      <c r="B272" s="22"/>
      <c r="C272" s="24"/>
      <c r="D272" s="25"/>
      <c r="E272" s="26"/>
      <c r="F272" s="23"/>
      <c r="G272" s="23"/>
      <c r="H272" s="22"/>
      <c r="I272" s="27"/>
      <c r="J272" s="26"/>
      <c r="K272" s="22"/>
    </row>
    <row r="273" spans="1:11" ht="12">
      <c r="A273" s="23"/>
      <c r="B273" s="22"/>
      <c r="C273" s="24" t="s">
        <v>102</v>
      </c>
      <c r="D273" s="25" t="s">
        <v>76</v>
      </c>
      <c r="E273" s="26"/>
      <c r="F273" s="23"/>
      <c r="G273" s="23" t="s">
        <v>77</v>
      </c>
      <c r="H273" s="22"/>
      <c r="I273" s="27" t="s">
        <v>78</v>
      </c>
      <c r="J273" s="26" t="s">
        <v>188</v>
      </c>
      <c r="K273" s="22"/>
    </row>
    <row r="274" spans="1:11" ht="12">
      <c r="A274" s="39">
        <f>DATA!A$20</f>
        <v>0</v>
      </c>
      <c r="B274" s="22"/>
      <c r="C274" s="34" t="s">
        <v>213</v>
      </c>
      <c r="D274" s="35" t="s">
        <v>214</v>
      </c>
      <c r="E274" s="36" t="s">
        <v>124</v>
      </c>
      <c r="F274" s="33"/>
      <c r="G274" s="33" t="s">
        <v>92</v>
      </c>
      <c r="H274" s="22"/>
      <c r="I274" s="40" t="s">
        <v>93</v>
      </c>
      <c r="J274" s="36" t="s">
        <v>233</v>
      </c>
      <c r="K274" s="22"/>
    </row>
    <row r="275" spans="1:11" ht="12">
      <c r="A275" s="23">
        <v>1996</v>
      </c>
      <c r="B275" s="22"/>
      <c r="C275" s="24" t="e">
        <f>1-DATA!N$20/DATA!F$20</f>
        <v>#DIV/0!</v>
      </c>
      <c r="D275" s="25">
        <f>DATA!V$20</f>
        <v>0</v>
      </c>
      <c r="E275" s="26" t="e">
        <f>C275*D275</f>
        <v>#DIV/0!</v>
      </c>
      <c r="F275" s="23"/>
      <c r="G275" s="23">
        <f>DATA!AD$20</f>
        <v>0</v>
      </c>
      <c r="H275" s="22"/>
      <c r="I275" s="27">
        <f>DATA!AL$20</f>
        <v>0</v>
      </c>
      <c r="J275" s="26"/>
      <c r="K275" s="22"/>
    </row>
    <row r="276" spans="1:11" ht="12">
      <c r="A276" s="23">
        <v>1997</v>
      </c>
      <c r="B276" s="22"/>
      <c r="C276" s="24" t="e">
        <f>1-DATA!O$20/DATA!G$20</f>
        <v>#DIV/0!</v>
      </c>
      <c r="D276" s="25">
        <f>DATA!W$20</f>
        <v>0</v>
      </c>
      <c r="E276" s="26" t="e">
        <f>C276*D276</f>
        <v>#DIV/0!</v>
      </c>
      <c r="F276" s="23"/>
      <c r="G276" s="23">
        <f>DATA!AE$20</f>
        <v>0</v>
      </c>
      <c r="H276" s="22"/>
      <c r="I276" s="27">
        <f>DATA!AM$20</f>
        <v>0</v>
      </c>
      <c r="J276" s="26"/>
      <c r="K276" s="22"/>
    </row>
    <row r="277" spans="1:11" ht="12">
      <c r="A277" s="23">
        <v>1998</v>
      </c>
      <c r="B277" s="22"/>
      <c r="C277" s="24" t="e">
        <f>1-DATA!P$20/DATA!H$20</f>
        <v>#DIV/0!</v>
      </c>
      <c r="D277" s="25">
        <f>DATA!X$20</f>
        <v>0</v>
      </c>
      <c r="E277" s="26" t="e">
        <f>C277*D277</f>
        <v>#DIV/0!</v>
      </c>
      <c r="F277" s="23"/>
      <c r="G277" s="23">
        <f>DATA!AF$20</f>
        <v>0</v>
      </c>
      <c r="H277" s="22"/>
      <c r="I277" s="27">
        <f>DATA!AN$20</f>
        <v>0</v>
      </c>
      <c r="J277" s="26"/>
      <c r="K277" s="22"/>
    </row>
    <row r="278" spans="1:11" ht="12">
      <c r="A278" s="23">
        <v>1999</v>
      </c>
      <c r="B278" s="22"/>
      <c r="C278" s="24" t="e">
        <f>1-DATA!Q$20/DATA!I$20</f>
        <v>#DIV/0!</v>
      </c>
      <c r="D278" s="25">
        <f>DATA!Y$20</f>
        <v>0</v>
      </c>
      <c r="E278" s="26" t="e">
        <f>C278*D278</f>
        <v>#DIV/0!</v>
      </c>
      <c r="F278" s="23"/>
      <c r="G278" s="23">
        <f>DATA!AG$20</f>
        <v>0</v>
      </c>
      <c r="H278" s="22"/>
      <c r="I278" s="27">
        <f>DATA!AO$20</f>
        <v>0</v>
      </c>
      <c r="J278" s="26"/>
      <c r="K278" s="22"/>
    </row>
    <row r="279" spans="1:11" ht="12">
      <c r="A279" s="23">
        <v>2000</v>
      </c>
      <c r="B279" s="22"/>
      <c r="C279" s="24" t="e">
        <f>1-DATA!R$20/DATA!J$20</f>
        <v>#DIV/0!</v>
      </c>
      <c r="D279" s="25">
        <f>DATA!Z$20</f>
        <v>0</v>
      </c>
      <c r="E279" s="41" t="e">
        <f>C279*D279</f>
        <v>#DIV/0!</v>
      </c>
      <c r="F279" s="42"/>
      <c r="G279" s="42">
        <f>DATA!AH$20</f>
        <v>0</v>
      </c>
      <c r="H279" s="44"/>
      <c r="I279" s="43">
        <f>DATA!AP$20</f>
        <v>0</v>
      </c>
      <c r="J279" s="26"/>
      <c r="K279" s="22"/>
    </row>
    <row r="280" spans="1:11" ht="12">
      <c r="A280" s="45" t="s">
        <v>94</v>
      </c>
      <c r="B280" s="22"/>
      <c r="C280" s="24"/>
      <c r="D280" s="25"/>
      <c r="E280" s="26" t="e">
        <f>AVERAGE(E275:E279)</f>
        <v>#DIV/0!</v>
      </c>
      <c r="F280" s="26"/>
      <c r="G280" s="26">
        <f>DATA!AX$20</f>
        <v>0</v>
      </c>
      <c r="H280" s="22"/>
      <c r="I280" s="27"/>
      <c r="J280" s="26" t="e">
        <f>(I279/I275)^0.25-1</f>
        <v>#DIV/0!</v>
      </c>
      <c r="K280" s="22"/>
    </row>
    <row r="281" spans="1:11" ht="12">
      <c r="A281" s="23">
        <v>2001</v>
      </c>
      <c r="B281" s="22"/>
      <c r="C281" s="24" t="e">
        <f>1-DATA!S$20/DATA!K$20</f>
        <v>#DIV/0!</v>
      </c>
      <c r="D281" s="25">
        <f>DATA!AA$20</f>
        <v>0</v>
      </c>
      <c r="E281" s="26" t="e">
        <f>C281*D281</f>
        <v>#DIV/0!</v>
      </c>
      <c r="F281" s="26"/>
      <c r="G281" s="26"/>
      <c r="H281" s="22"/>
      <c r="I281" s="27">
        <f>DATA!AQ$20</f>
        <v>0</v>
      </c>
      <c r="J281" s="26" t="e">
        <f>(I281/I279)-1</f>
        <v>#DIV/0!</v>
      </c>
      <c r="K281" s="22"/>
    </row>
    <row r="282" spans="1:11" ht="12">
      <c r="A282" s="23">
        <v>2002</v>
      </c>
      <c r="B282" s="23"/>
      <c r="C282" s="24" t="e">
        <f>1-DATA!T$20/DATA!L$20</f>
        <v>#DIV/0!</v>
      </c>
      <c r="D282" s="25">
        <f>DATA!AB$20</f>
        <v>0</v>
      </c>
      <c r="E282" s="26" t="e">
        <f>C282*D282</f>
        <v>#DIV/0!</v>
      </c>
      <c r="F282" s="23"/>
      <c r="G282" s="26"/>
      <c r="H282" s="23"/>
      <c r="I282" s="27">
        <f>DATA!AR$20</f>
        <v>0</v>
      </c>
      <c r="J282" s="26" t="e">
        <f>(I282/I279)^0.5-1</f>
        <v>#DIV/0!</v>
      </c>
      <c r="K282" s="23"/>
    </row>
    <row r="283" spans="1:11" ht="12">
      <c r="A283" s="23" t="s">
        <v>117</v>
      </c>
      <c r="B283" s="22"/>
      <c r="C283" s="24" t="e">
        <f>1-DATA!U$20/DATA!M$20</f>
        <v>#DIV/0!</v>
      </c>
      <c r="D283" s="25">
        <f>DATA!AC$20</f>
        <v>0</v>
      </c>
      <c r="E283" s="26" t="e">
        <f>C283*D283</f>
        <v>#DIV/0!</v>
      </c>
      <c r="F283" s="26"/>
      <c r="G283" s="26">
        <f>DATA!AY$20</f>
        <v>0</v>
      </c>
      <c r="H283" s="22"/>
      <c r="I283" s="27">
        <f>DATA!AS$20</f>
        <v>0</v>
      </c>
      <c r="J283" s="26" t="e">
        <f>(I283/I279)^0.2-1</f>
        <v>#DIV/0!</v>
      </c>
      <c r="K283" s="22"/>
    </row>
    <row r="284" spans="1:11" ht="12">
      <c r="A284" s="23"/>
      <c r="B284" s="22"/>
      <c r="C284" s="24"/>
      <c r="D284" s="25"/>
      <c r="E284" s="26"/>
      <c r="F284" s="23"/>
      <c r="G284" s="23"/>
      <c r="H284" s="22"/>
      <c r="I284" s="27"/>
      <c r="J284" s="26"/>
      <c r="K284" s="22"/>
    </row>
    <row r="285" spans="2:11" ht="12">
      <c r="B285" s="22"/>
      <c r="C285" s="24"/>
      <c r="D285" s="25"/>
      <c r="E285" s="26"/>
      <c r="F285" s="23"/>
      <c r="G285" s="23"/>
      <c r="H285" s="22"/>
      <c r="I285" s="27"/>
      <c r="J285" s="26"/>
      <c r="K285" s="22"/>
    </row>
    <row r="286" spans="1:11" ht="12">
      <c r="A286" s="23"/>
      <c r="B286" s="22"/>
      <c r="C286" s="24"/>
      <c r="D286" s="25"/>
      <c r="E286" s="26"/>
      <c r="F286" s="23"/>
      <c r="G286" s="23"/>
      <c r="H286" s="22"/>
      <c r="I286" s="27"/>
      <c r="J286" s="26"/>
      <c r="K286" s="22"/>
    </row>
    <row r="287" spans="1:11" ht="12">
      <c r="A287" s="33" t="s">
        <v>231</v>
      </c>
      <c r="B287" s="22"/>
      <c r="C287" s="34"/>
      <c r="D287" s="35" t="s">
        <v>232</v>
      </c>
      <c r="E287" s="36" t="s">
        <v>233</v>
      </c>
      <c r="F287" s="33"/>
      <c r="G287" s="33"/>
      <c r="H287" s="22"/>
      <c r="I287" s="37" t="s">
        <v>101</v>
      </c>
      <c r="J287" s="38" t="s">
        <v>233</v>
      </c>
      <c r="K287" s="22"/>
    </row>
    <row r="288" spans="1:11" ht="12">
      <c r="A288" s="23"/>
      <c r="B288" s="22"/>
      <c r="C288" s="24"/>
      <c r="D288" s="25"/>
      <c r="E288" s="26"/>
      <c r="F288" s="23"/>
      <c r="G288" s="23"/>
      <c r="H288" s="22"/>
      <c r="I288" s="27"/>
      <c r="J288" s="26"/>
      <c r="K288" s="22"/>
    </row>
    <row r="289" spans="1:11" ht="12">
      <c r="A289" s="23"/>
      <c r="B289" s="22"/>
      <c r="C289" s="24" t="s">
        <v>102</v>
      </c>
      <c r="D289" s="25" t="s">
        <v>76</v>
      </c>
      <c r="E289" s="26"/>
      <c r="F289" s="23"/>
      <c r="G289" s="23" t="s">
        <v>77</v>
      </c>
      <c r="H289" s="22"/>
      <c r="I289" s="27" t="s">
        <v>78</v>
      </c>
      <c r="J289" s="26" t="s">
        <v>188</v>
      </c>
      <c r="K289" s="22"/>
    </row>
    <row r="290" spans="1:11" ht="12">
      <c r="A290" s="39">
        <f>DATA!A$21</f>
        <v>0</v>
      </c>
      <c r="B290" s="22"/>
      <c r="C290" s="34" t="s">
        <v>213</v>
      </c>
      <c r="D290" s="35" t="s">
        <v>214</v>
      </c>
      <c r="E290" s="36" t="s">
        <v>124</v>
      </c>
      <c r="F290" s="33"/>
      <c r="G290" s="33" t="s">
        <v>92</v>
      </c>
      <c r="H290" s="22"/>
      <c r="I290" s="40" t="s">
        <v>93</v>
      </c>
      <c r="J290" s="36" t="s">
        <v>233</v>
      </c>
      <c r="K290" s="22"/>
    </row>
    <row r="291" spans="1:11" ht="12">
      <c r="A291" s="23">
        <v>1996</v>
      </c>
      <c r="B291" s="22"/>
      <c r="C291" s="24" t="e">
        <f>1-DATA!N$21/DATA!F$21</f>
        <v>#DIV/0!</v>
      </c>
      <c r="D291" s="25">
        <f>DATA!V$21</f>
        <v>0</v>
      </c>
      <c r="E291" s="26" t="e">
        <f>C291*D291</f>
        <v>#DIV/0!</v>
      </c>
      <c r="F291" s="23"/>
      <c r="G291" s="27">
        <f>DATA!AD$21</f>
        <v>0</v>
      </c>
      <c r="H291" s="22"/>
      <c r="I291" s="27">
        <f>DATA!AL$21</f>
        <v>0</v>
      </c>
      <c r="J291" s="26"/>
      <c r="K291" s="22"/>
    </row>
    <row r="292" spans="1:11" ht="12">
      <c r="A292" s="23">
        <v>1997</v>
      </c>
      <c r="B292" s="22"/>
      <c r="C292" s="24" t="e">
        <f>1-DATA!O$21/DATA!G$21</f>
        <v>#DIV/0!</v>
      </c>
      <c r="D292" s="25">
        <f>DATA!W$21</f>
        <v>0</v>
      </c>
      <c r="E292" s="26" t="e">
        <f>C292*D292</f>
        <v>#DIV/0!</v>
      </c>
      <c r="F292" s="23"/>
      <c r="G292" s="27">
        <f>DATA!AE$21</f>
        <v>0</v>
      </c>
      <c r="H292" s="22"/>
      <c r="I292" s="27">
        <f>DATA!AM$21</f>
        <v>0</v>
      </c>
      <c r="J292" s="26"/>
      <c r="K292" s="22"/>
    </row>
    <row r="293" spans="1:11" ht="12">
      <c r="A293" s="23">
        <v>1998</v>
      </c>
      <c r="B293" s="22"/>
      <c r="C293" s="24" t="e">
        <f>1-DATA!P$21/DATA!H$21</f>
        <v>#DIV/0!</v>
      </c>
      <c r="D293" s="25">
        <f>DATA!X$21</f>
        <v>0</v>
      </c>
      <c r="E293" s="26" t="e">
        <f>C293*D293</f>
        <v>#DIV/0!</v>
      </c>
      <c r="F293" s="23"/>
      <c r="G293" s="27">
        <f>DATA!AF$21</f>
        <v>0</v>
      </c>
      <c r="H293" s="22"/>
      <c r="I293" s="27">
        <f>DATA!AN$21</f>
        <v>0</v>
      </c>
      <c r="J293" s="26"/>
      <c r="K293" s="22"/>
    </row>
    <row r="294" spans="1:11" ht="12">
      <c r="A294" s="23">
        <v>1999</v>
      </c>
      <c r="B294" s="22"/>
      <c r="C294" s="24" t="e">
        <f>1-DATA!Q$21/DATA!I$21</f>
        <v>#DIV/0!</v>
      </c>
      <c r="D294" s="25">
        <f>DATA!Y$21</f>
        <v>0</v>
      </c>
      <c r="E294" s="26" t="e">
        <f>C294*D294</f>
        <v>#DIV/0!</v>
      </c>
      <c r="F294" s="23"/>
      <c r="G294" s="27">
        <f>DATA!AG$21</f>
        <v>0</v>
      </c>
      <c r="H294" s="22"/>
      <c r="I294" s="27">
        <f>DATA!AO$21</f>
        <v>0</v>
      </c>
      <c r="J294" s="26"/>
      <c r="K294" s="22"/>
    </row>
    <row r="295" spans="1:11" ht="12">
      <c r="A295" s="23">
        <v>2000</v>
      </c>
      <c r="B295" s="22"/>
      <c r="C295" s="24" t="e">
        <f>1-DATA!R$21/DATA!J$21</f>
        <v>#DIV/0!</v>
      </c>
      <c r="D295" s="25">
        <f>DATA!Z$21</f>
        <v>0</v>
      </c>
      <c r="E295" s="41" t="e">
        <f>C295*D295</f>
        <v>#DIV/0!</v>
      </c>
      <c r="F295" s="42"/>
      <c r="G295" s="43">
        <f>DATA!AH$21</f>
        <v>0</v>
      </c>
      <c r="H295" s="44"/>
      <c r="I295" s="43">
        <f>DATA!AP$21</f>
        <v>0</v>
      </c>
      <c r="J295" s="26"/>
      <c r="K295" s="22"/>
    </row>
    <row r="296" spans="1:11" ht="12">
      <c r="A296" s="45" t="s">
        <v>94</v>
      </c>
      <c r="B296" s="22"/>
      <c r="C296" s="24"/>
      <c r="D296" s="25"/>
      <c r="E296" s="26" t="e">
        <f>AVERAGE(E291:E295)</f>
        <v>#DIV/0!</v>
      </c>
      <c r="F296" s="26"/>
      <c r="G296" s="26">
        <f>DATA!AX$21</f>
        <v>0</v>
      </c>
      <c r="H296" s="22"/>
      <c r="I296" s="27"/>
      <c r="J296" s="26" t="e">
        <f>(I295/I291)^0.25-1</f>
        <v>#DIV/0!</v>
      </c>
      <c r="K296" s="22"/>
    </row>
    <row r="297" spans="1:11" ht="12">
      <c r="A297" s="23">
        <v>2001</v>
      </c>
      <c r="B297" s="22"/>
      <c r="C297" s="24" t="e">
        <f>1-DATA!S$21/DATA!K$21</f>
        <v>#DIV/0!</v>
      </c>
      <c r="D297" s="25">
        <f>DATA!AA$21</f>
        <v>0</v>
      </c>
      <c r="E297" s="26" t="e">
        <f>C297*D297</f>
        <v>#DIV/0!</v>
      </c>
      <c r="F297" s="26"/>
      <c r="G297" s="26"/>
      <c r="H297" s="22"/>
      <c r="I297" s="27">
        <f>DATA!AQ$21</f>
        <v>0</v>
      </c>
      <c r="J297" s="26" t="e">
        <f>(I297/I295)-1</f>
        <v>#DIV/0!</v>
      </c>
      <c r="K297" s="22"/>
    </row>
    <row r="298" spans="1:11" ht="12">
      <c r="A298" s="23">
        <v>2002</v>
      </c>
      <c r="B298" s="23"/>
      <c r="C298" s="24" t="e">
        <f>1-DATA!T$21/DATA!L$21</f>
        <v>#DIV/0!</v>
      </c>
      <c r="D298" s="25">
        <f>DATA!AB$21</f>
        <v>0</v>
      </c>
      <c r="E298" s="26" t="e">
        <f>C298*D298</f>
        <v>#DIV/0!</v>
      </c>
      <c r="F298" s="23"/>
      <c r="G298" s="26"/>
      <c r="H298" s="23"/>
      <c r="I298" s="27">
        <f>DATA!AR$21</f>
        <v>0</v>
      </c>
      <c r="J298" s="26" t="e">
        <f>(I298/I295)^0.5-1</f>
        <v>#DIV/0!</v>
      </c>
      <c r="K298" s="23"/>
    </row>
    <row r="299" spans="1:11" ht="12">
      <c r="A299" s="23" t="s">
        <v>117</v>
      </c>
      <c r="B299" s="22"/>
      <c r="C299" s="24" t="e">
        <f>1-DATA!U$21/DATA!M$21</f>
        <v>#DIV/0!</v>
      </c>
      <c r="D299" s="25">
        <f>DATA!AC$21</f>
        <v>0</v>
      </c>
      <c r="E299" s="26" t="e">
        <f>C299*D299</f>
        <v>#DIV/0!</v>
      </c>
      <c r="F299" s="26"/>
      <c r="G299" s="26">
        <f>DATA!AY$21</f>
        <v>0</v>
      </c>
      <c r="H299" s="22"/>
      <c r="I299" s="27">
        <f>DATA!AS$21</f>
        <v>0</v>
      </c>
      <c r="J299" s="26" t="e">
        <f>(I299/I295)^0.2-1</f>
        <v>#DIV/0!</v>
      </c>
      <c r="K299" s="22"/>
    </row>
    <row r="300" spans="1:11" ht="12">
      <c r="A300" s="23"/>
      <c r="B300" s="22"/>
      <c r="C300" s="24"/>
      <c r="D300" s="25"/>
      <c r="E300" s="26"/>
      <c r="F300" s="23"/>
      <c r="G300" s="23"/>
      <c r="H300" s="22"/>
      <c r="I300" s="27"/>
      <c r="J300" s="26"/>
      <c r="K300" s="22"/>
    </row>
    <row r="301" spans="1:11" ht="12">
      <c r="A301" s="45" t="s">
        <v>23</v>
      </c>
      <c r="B301" s="22"/>
      <c r="C301" s="24"/>
      <c r="D301" s="25"/>
      <c r="E301" s="26"/>
      <c r="F301" s="23"/>
      <c r="G301" s="23"/>
      <c r="H301" s="22"/>
      <c r="I301" s="27"/>
      <c r="J301" s="26"/>
      <c r="K301" s="22"/>
    </row>
    <row r="302" spans="1:11" ht="12">
      <c r="A302" s="23"/>
      <c r="B302" s="22"/>
      <c r="C302" s="24"/>
      <c r="D302" s="25"/>
      <c r="E302" s="26"/>
      <c r="F302" s="23"/>
      <c r="G302" s="23"/>
      <c r="H302" s="22"/>
      <c r="I302" s="27"/>
      <c r="J302" s="26"/>
      <c r="K302" s="22"/>
    </row>
    <row r="303" spans="1:11" ht="12">
      <c r="A303" s="33" t="s">
        <v>231</v>
      </c>
      <c r="B303" s="22"/>
      <c r="C303" s="34"/>
      <c r="D303" s="35" t="s">
        <v>232</v>
      </c>
      <c r="E303" s="36" t="s">
        <v>233</v>
      </c>
      <c r="F303" s="33"/>
      <c r="G303" s="33"/>
      <c r="H303" s="22"/>
      <c r="I303" s="37" t="s">
        <v>101</v>
      </c>
      <c r="J303" s="38" t="s">
        <v>233</v>
      </c>
      <c r="K303" s="22"/>
    </row>
    <row r="304" spans="1:11" ht="12">
      <c r="A304" s="23"/>
      <c r="B304" s="22"/>
      <c r="C304" s="24"/>
      <c r="D304" s="25"/>
      <c r="E304" s="26"/>
      <c r="F304" s="23"/>
      <c r="G304" s="23"/>
      <c r="H304" s="22"/>
      <c r="I304" s="27"/>
      <c r="J304" s="26"/>
      <c r="K304" s="22"/>
    </row>
    <row r="305" spans="1:11" ht="12">
      <c r="A305" s="23"/>
      <c r="B305" s="22"/>
      <c r="C305" s="24" t="s">
        <v>102</v>
      </c>
      <c r="D305" s="25" t="s">
        <v>76</v>
      </c>
      <c r="E305" s="26"/>
      <c r="F305" s="23"/>
      <c r="G305" s="23" t="s">
        <v>77</v>
      </c>
      <c r="H305" s="22"/>
      <c r="I305" s="27" t="s">
        <v>78</v>
      </c>
      <c r="J305" s="26" t="s">
        <v>188</v>
      </c>
      <c r="K305" s="22"/>
    </row>
    <row r="306" spans="1:11" ht="12">
      <c r="A306" s="39">
        <f>DATA!A$22</f>
        <v>0</v>
      </c>
      <c r="B306" s="22"/>
      <c r="C306" s="34" t="s">
        <v>213</v>
      </c>
      <c r="D306" s="35" t="s">
        <v>214</v>
      </c>
      <c r="E306" s="36" t="s">
        <v>124</v>
      </c>
      <c r="F306" s="33"/>
      <c r="G306" s="33" t="s">
        <v>92</v>
      </c>
      <c r="H306" s="22"/>
      <c r="I306" s="40" t="s">
        <v>93</v>
      </c>
      <c r="J306" s="36" t="s">
        <v>233</v>
      </c>
      <c r="K306" s="22"/>
    </row>
    <row r="307" spans="1:11" ht="12">
      <c r="A307" s="23">
        <f>DATA!F$3</f>
        <v>2003</v>
      </c>
      <c r="B307" s="22"/>
      <c r="C307" s="24" t="e">
        <f>1-DATA!N$22/DATA!F$22</f>
        <v>#VALUE!</v>
      </c>
      <c r="D307" s="25">
        <f>DATA!V$22</f>
        <v>0</v>
      </c>
      <c r="E307" s="26" t="e">
        <f>C307*D307</f>
        <v>#VALUE!</v>
      </c>
      <c r="F307" s="23"/>
      <c r="G307" s="27">
        <f>DATA!AD$22</f>
        <v>0</v>
      </c>
      <c r="H307" s="22"/>
      <c r="I307" s="27">
        <f>DATA!AL$22</f>
        <v>0</v>
      </c>
      <c r="J307" s="26"/>
      <c r="K307" s="22"/>
    </row>
    <row r="308" spans="1:11" ht="12">
      <c r="A308" s="23">
        <f>DATA!G$3</f>
        <v>2004</v>
      </c>
      <c r="B308" s="22"/>
      <c r="C308" s="24" t="e">
        <f>1-DATA!O$22/DATA!G$22</f>
        <v>#DIV/0!</v>
      </c>
      <c r="D308" s="25">
        <f>DATA!W$22</f>
        <v>0</v>
      </c>
      <c r="E308" s="26" t="e">
        <f>C308*D308</f>
        <v>#DIV/0!</v>
      </c>
      <c r="F308" s="23"/>
      <c r="G308" s="27">
        <f>DATA!AE$22</f>
        <v>0</v>
      </c>
      <c r="H308" s="22"/>
      <c r="I308" s="27">
        <f>DATA!AM$22</f>
        <v>0</v>
      </c>
      <c r="J308" s="26"/>
      <c r="K308" s="22"/>
    </row>
    <row r="309" spans="1:11" ht="12">
      <c r="A309" s="23">
        <f>DATA!H$3</f>
        <v>2005</v>
      </c>
      <c r="B309" s="22"/>
      <c r="C309" s="24" t="e">
        <f>1-DATA!P$22/DATA!H$22</f>
        <v>#DIV/0!</v>
      </c>
      <c r="D309" s="25">
        <f>DATA!X$22</f>
        <v>0</v>
      </c>
      <c r="E309" s="26" t="e">
        <f>C309*D309</f>
        <v>#DIV/0!</v>
      </c>
      <c r="F309" s="23"/>
      <c r="G309" s="27">
        <f>DATA!AF$22</f>
        <v>0</v>
      </c>
      <c r="H309" s="22"/>
      <c r="I309" s="27">
        <f>DATA!AN$22</f>
        <v>0</v>
      </c>
      <c r="J309" s="26"/>
      <c r="K309" s="22"/>
    </row>
    <row r="310" spans="1:11" ht="12">
      <c r="A310" s="23">
        <f>DATA!I$3</f>
        <v>2006</v>
      </c>
      <c r="B310" s="22"/>
      <c r="C310" s="24" t="e">
        <f>1-DATA!Q$22/DATA!I$22</f>
        <v>#DIV/0!</v>
      </c>
      <c r="D310" s="25">
        <f>DATA!Y$22</f>
        <v>0</v>
      </c>
      <c r="E310" s="26" t="e">
        <f>C310*D310</f>
        <v>#DIV/0!</v>
      </c>
      <c r="F310" s="23"/>
      <c r="G310" s="27">
        <f>DATA!AG$22</f>
        <v>0</v>
      </c>
      <c r="H310" s="22"/>
      <c r="I310" s="27">
        <f>DATA!AO$22</f>
        <v>0</v>
      </c>
      <c r="J310" s="26"/>
      <c r="K310" s="22"/>
    </row>
    <row r="311" spans="1:11" ht="12">
      <c r="A311" s="23">
        <f>DATA!J$3</f>
        <v>2007</v>
      </c>
      <c r="B311" s="22"/>
      <c r="C311" s="24" t="e">
        <f>1-DATA!R$22/DATA!J$22</f>
        <v>#VALUE!</v>
      </c>
      <c r="D311" s="25">
        <f>DATA!Z$22</f>
        <v>0</v>
      </c>
      <c r="E311" s="41" t="e">
        <f>C311*D311</f>
        <v>#VALUE!</v>
      </c>
      <c r="F311" s="42"/>
      <c r="G311" s="43">
        <f>DATA!AH$22</f>
        <v>0</v>
      </c>
      <c r="H311" s="44"/>
      <c r="I311" s="43">
        <f>DATA!AP$22</f>
        <v>0</v>
      </c>
      <c r="J311" s="26"/>
      <c r="K311" s="22"/>
    </row>
    <row r="312" spans="1:11" ht="12">
      <c r="A312" s="45" t="s">
        <v>94</v>
      </c>
      <c r="B312" s="22"/>
      <c r="C312" s="24"/>
      <c r="D312" s="25"/>
      <c r="E312" s="26" t="e">
        <f>AVERAGE(E307:E311)</f>
        <v>#VALUE!</v>
      </c>
      <c r="F312" s="26"/>
      <c r="G312" s="26">
        <f>DATA!AX$22</f>
        <v>0</v>
      </c>
      <c r="H312" s="22"/>
      <c r="I312" s="27"/>
      <c r="J312" s="26" t="e">
        <f>(I311/I307)^0.25-1</f>
        <v>#DIV/0!</v>
      </c>
      <c r="K312" s="22"/>
    </row>
    <row r="313" spans="1:11" ht="12">
      <c r="A313" s="23">
        <f>DATA!K$3</f>
        <v>2008</v>
      </c>
      <c r="B313" s="22"/>
      <c r="C313" s="24" t="e">
        <f>1-DATA!S$22/DATA!K$22</f>
        <v>#DIV/0!</v>
      </c>
      <c r="D313" s="25">
        <f>DATA!AA$22</f>
        <v>0</v>
      </c>
      <c r="E313" s="26" t="e">
        <f>C313*D313</f>
        <v>#DIV/0!</v>
      </c>
      <c r="F313" s="26"/>
      <c r="G313" s="26"/>
      <c r="H313" s="22"/>
      <c r="I313" s="27">
        <f>DATA!AQ$22</f>
        <v>0</v>
      </c>
      <c r="J313" s="26" t="e">
        <f>(I313/I311)-1</f>
        <v>#DIV/0!</v>
      </c>
      <c r="K313" s="22"/>
    </row>
    <row r="314" spans="1:11" ht="12">
      <c r="A314" s="23">
        <f>DATA!L$3</f>
        <v>2009</v>
      </c>
      <c r="B314" s="23"/>
      <c r="C314" s="24" t="e">
        <f>1-DATA!T$22/DATA!L$22</f>
        <v>#VALUE!</v>
      </c>
      <c r="D314" s="25">
        <f>DATA!AB$22</f>
        <v>0</v>
      </c>
      <c r="E314" s="26" t="e">
        <f>C314*D314</f>
        <v>#VALUE!</v>
      </c>
      <c r="F314" s="23"/>
      <c r="G314" s="26"/>
      <c r="H314" s="23"/>
      <c r="I314" s="27">
        <f>DATA!AR$22</f>
        <v>0</v>
      </c>
      <c r="J314" s="26" t="e">
        <f>(I314/I311)^0.5-1</f>
        <v>#DIV/0!</v>
      </c>
      <c r="K314" s="23"/>
    </row>
    <row r="315" spans="1:11" ht="12">
      <c r="A315" s="23" t="str">
        <f>DATA!M$3</f>
        <v>2011-2013</v>
      </c>
      <c r="B315" s="22"/>
      <c r="C315" s="24" t="e">
        <f>1-DATA!U$22/DATA!M$22</f>
        <v>#DIV/0!</v>
      </c>
      <c r="D315" s="25">
        <f>DATA!AC$22</f>
        <v>0</v>
      </c>
      <c r="E315" s="26" t="e">
        <f>C315*D315</f>
        <v>#DIV/0!</v>
      </c>
      <c r="F315" s="26"/>
      <c r="G315" s="26">
        <f>DATA!AY$22</f>
        <v>0</v>
      </c>
      <c r="H315" s="22"/>
      <c r="I315" s="27">
        <f>DATA!AS$22</f>
        <v>0</v>
      </c>
      <c r="J315" s="26" t="e">
        <f>(I315/I311)^0.2-1</f>
        <v>#DIV/0!</v>
      </c>
      <c r="K315" s="22"/>
    </row>
  </sheetData>
  <sheetProtection/>
  <printOptions/>
  <pageMargins left="1.1" right="0.75" top="0.5" bottom="0.73" header="0.5" footer="0.5"/>
  <pageSetup orientation="portrait" scale="95"/>
  <rowBreaks count="4" manualBreakCount="4">
    <brk id="55" max="255" man="1"/>
    <brk id="110" max="255" man="1"/>
    <brk id="165" max="255" man="1"/>
    <brk id="22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D18" sqref="D18"/>
    </sheetView>
  </sheetViews>
  <sheetFormatPr defaultColWidth="10.875" defaultRowHeight="12"/>
  <cols>
    <col min="1" max="1" width="14.00390625" style="28" customWidth="1"/>
    <col min="2" max="2" width="10.875" style="28" customWidth="1"/>
    <col min="3" max="3" width="11.50390625" style="28" customWidth="1"/>
    <col min="4" max="4" width="10.375" style="28" customWidth="1"/>
    <col min="5" max="5" width="1.37890625" style="28" customWidth="1"/>
    <col min="6" max="6" width="1.875" style="28" customWidth="1"/>
    <col min="7" max="7" width="3.375" style="28" customWidth="1"/>
    <col min="8" max="8" width="2.625" style="28" customWidth="1"/>
    <col min="9" max="9" width="8.875" style="28" customWidth="1"/>
    <col min="10" max="10" width="6.125" style="28" customWidth="1"/>
    <col min="11" max="11" width="12.375" style="28" customWidth="1"/>
    <col min="12" max="12" width="13.50390625" style="28" customWidth="1"/>
    <col min="13" max="16384" width="10.875" style="28" customWidth="1"/>
  </cols>
  <sheetData>
    <row r="1" spans="1:12" ht="12">
      <c r="A1" s="23"/>
      <c r="B1" s="26"/>
      <c r="C1" s="23"/>
      <c r="D1" s="26"/>
      <c r="E1" s="26"/>
      <c r="F1" s="23"/>
      <c r="G1" s="23"/>
      <c r="H1" s="23"/>
      <c r="I1" s="23"/>
      <c r="J1" s="23"/>
      <c r="K1" s="23"/>
      <c r="L1" s="62" t="s">
        <v>25</v>
      </c>
    </row>
    <row r="2" spans="1:12" ht="12">
      <c r="A2" s="23"/>
      <c r="B2" s="26"/>
      <c r="C2" s="23"/>
      <c r="D2" s="30"/>
      <c r="E2" s="30"/>
      <c r="F2" s="45"/>
      <c r="G2" s="45"/>
      <c r="H2" s="45"/>
      <c r="I2" s="45"/>
      <c r="J2" s="45"/>
      <c r="K2" s="23"/>
      <c r="L2" s="29" t="s">
        <v>28</v>
      </c>
    </row>
    <row r="3" spans="1:12" ht="12">
      <c r="A3" s="23"/>
      <c r="B3" s="26"/>
      <c r="C3" s="23"/>
      <c r="D3" s="30"/>
      <c r="E3" s="30"/>
      <c r="F3" s="45"/>
      <c r="G3" s="45"/>
      <c r="H3" s="45"/>
      <c r="I3" s="45"/>
      <c r="J3" s="45"/>
      <c r="K3" s="23"/>
      <c r="L3" s="26" t="s">
        <v>96</v>
      </c>
    </row>
    <row r="4" spans="1:12" ht="12">
      <c r="A4" s="23"/>
      <c r="B4" s="26"/>
      <c r="C4" s="23"/>
      <c r="D4" s="47"/>
      <c r="E4" s="47"/>
      <c r="F4" s="32" t="str">
        <f>DATA!A1</f>
        <v>PUGET SOUND ENERGY</v>
      </c>
      <c r="G4" s="48"/>
      <c r="H4" s="22"/>
      <c r="I4" s="22"/>
      <c r="J4" s="22"/>
      <c r="K4" s="23"/>
      <c r="L4" s="26"/>
    </row>
    <row r="5" spans="1:12" ht="12">
      <c r="A5" s="23"/>
      <c r="B5" s="26"/>
      <c r="C5" s="23"/>
      <c r="D5" s="47"/>
      <c r="E5" s="47"/>
      <c r="F5" s="32"/>
      <c r="G5" s="48"/>
      <c r="H5" s="22"/>
      <c r="I5" s="22"/>
      <c r="J5" s="22"/>
      <c r="K5" s="23"/>
      <c r="L5" s="26"/>
    </row>
    <row r="6" spans="1:12" ht="12">
      <c r="A6" s="23"/>
      <c r="B6" s="26"/>
      <c r="C6" s="23"/>
      <c r="D6" s="47"/>
      <c r="E6" s="47"/>
      <c r="F6" s="32" t="s">
        <v>97</v>
      </c>
      <c r="G6" s="48"/>
      <c r="H6" s="22"/>
      <c r="I6" s="22"/>
      <c r="J6" s="22"/>
      <c r="K6" s="23"/>
      <c r="L6" s="26"/>
    </row>
    <row r="7" spans="1:12" ht="12">
      <c r="A7" s="23"/>
      <c r="B7" s="26"/>
      <c r="C7" s="23"/>
      <c r="D7" s="30"/>
      <c r="E7" s="30"/>
      <c r="F7" s="23"/>
      <c r="G7" s="45"/>
      <c r="H7" s="45"/>
      <c r="I7" s="45"/>
      <c r="J7" s="45"/>
      <c r="K7" s="23"/>
      <c r="L7" s="26"/>
    </row>
    <row r="8" spans="1:12" ht="12">
      <c r="A8" s="23"/>
      <c r="B8" s="26"/>
      <c r="C8" s="23"/>
      <c r="D8" s="30"/>
      <c r="E8" s="30"/>
      <c r="F8" s="45"/>
      <c r="G8" s="45"/>
      <c r="H8" s="45"/>
      <c r="I8" s="45"/>
      <c r="J8" s="45"/>
      <c r="K8" s="23"/>
      <c r="L8" s="26"/>
    </row>
    <row r="9" spans="1:12" ht="12">
      <c r="A9" s="42" t="s">
        <v>231</v>
      </c>
      <c r="B9" s="41" t="s">
        <v>98</v>
      </c>
      <c r="C9" s="23" t="s">
        <v>99</v>
      </c>
      <c r="D9" s="49"/>
      <c r="E9" s="49"/>
      <c r="F9" s="41" t="s">
        <v>145</v>
      </c>
      <c r="G9" s="45"/>
      <c r="H9" s="45"/>
      <c r="I9" s="45"/>
      <c r="J9" s="45"/>
      <c r="K9" s="23" t="s">
        <v>176</v>
      </c>
      <c r="L9" s="41" t="s">
        <v>246</v>
      </c>
    </row>
    <row r="10" spans="1:12" ht="12">
      <c r="A10" s="23"/>
      <c r="B10" s="26"/>
      <c r="C10" s="23"/>
      <c r="D10" s="30"/>
      <c r="E10" s="30"/>
      <c r="F10" s="45"/>
      <c r="G10" s="45"/>
      <c r="H10" s="45"/>
      <c r="I10" s="45"/>
      <c r="J10" s="45"/>
      <c r="K10" s="23"/>
      <c r="L10" s="26"/>
    </row>
    <row r="11" spans="1:12" ht="19.5" customHeight="1">
      <c r="A11" s="23" t="str">
        <f>DATA!A5</f>
        <v>CV</v>
      </c>
      <c r="B11" s="26">
        <v>0.0475</v>
      </c>
      <c r="C11" s="23" t="s">
        <v>99</v>
      </c>
      <c r="D11" s="30">
        <v>0.0025</v>
      </c>
      <c r="E11" s="30" t="s">
        <v>146</v>
      </c>
      <c r="F11" s="50">
        <v>1</v>
      </c>
      <c r="G11" s="23" t="s">
        <v>95</v>
      </c>
      <c r="H11" s="45" t="s">
        <v>147</v>
      </c>
      <c r="I11" s="51">
        <f>DATA!B5/DATA!AI5</f>
        <v>1.4169999999999998</v>
      </c>
      <c r="J11" s="51" t="s">
        <v>148</v>
      </c>
      <c r="K11" s="23" t="s">
        <v>176</v>
      </c>
      <c r="L11" s="26">
        <f>B11+D11*(1-(1/I11))</f>
        <v>0.04823570924488356</v>
      </c>
    </row>
    <row r="12" spans="1:12" ht="19.5" customHeight="1">
      <c r="A12" s="23" t="str">
        <f>DATA!A6</f>
        <v>FE</v>
      </c>
      <c r="B12" s="26">
        <v>0.065</v>
      </c>
      <c r="C12" s="23" t="s">
        <v>99</v>
      </c>
      <c r="D12" s="30">
        <v>0</v>
      </c>
      <c r="E12" s="30" t="s">
        <v>146</v>
      </c>
      <c r="F12" s="50">
        <v>1</v>
      </c>
      <c r="G12" s="23" t="s">
        <v>95</v>
      </c>
      <c r="H12" s="45" t="s">
        <v>147</v>
      </c>
      <c r="I12" s="51">
        <f>DATA!B6/DATA!AI6</f>
        <v>2.2689283791060855</v>
      </c>
      <c r="J12" s="51" t="s">
        <v>148</v>
      </c>
      <c r="K12" s="23" t="s">
        <v>176</v>
      </c>
      <c r="L12" s="26">
        <f aca="true" t="shared" si="0" ref="L12:L23">B12+D12*(1-(1/I12))</f>
        <v>0.065</v>
      </c>
    </row>
    <row r="13" spans="1:12" ht="19.5" customHeight="1">
      <c r="A13" s="23" t="str">
        <f>DATA!A7</f>
        <v>NU</v>
      </c>
      <c r="B13" s="26">
        <v>0.055</v>
      </c>
      <c r="C13" s="23" t="s">
        <v>99</v>
      </c>
      <c r="D13" s="30">
        <v>0.03</v>
      </c>
      <c r="E13" s="30" t="s">
        <v>146</v>
      </c>
      <c r="F13" s="50">
        <v>1</v>
      </c>
      <c r="G13" s="23" t="s">
        <v>95</v>
      </c>
      <c r="H13" s="45" t="s">
        <v>147</v>
      </c>
      <c r="I13" s="51">
        <f>DATA!B7/DATA!AI7</f>
        <v>1.3250454921422663</v>
      </c>
      <c r="J13" s="51" t="s">
        <v>148</v>
      </c>
      <c r="K13" s="23" t="s">
        <v>176</v>
      </c>
      <c r="L13" s="26">
        <f t="shared" si="0"/>
        <v>0.06235926790596637</v>
      </c>
    </row>
    <row r="14" spans="1:12" ht="19.5" customHeight="1">
      <c r="A14" s="23" t="str">
        <f>DATA!A8</f>
        <v>AEE</v>
      </c>
      <c r="B14" s="26">
        <v>0.035</v>
      </c>
      <c r="C14" s="23" t="s">
        <v>99</v>
      </c>
      <c r="D14" s="30">
        <v>0.02</v>
      </c>
      <c r="E14" s="30" t="s">
        <v>146</v>
      </c>
      <c r="F14" s="50">
        <v>1</v>
      </c>
      <c r="G14" s="23" t="s">
        <v>95</v>
      </c>
      <c r="H14" s="45" t="s">
        <v>147</v>
      </c>
      <c r="I14" s="51">
        <f>DATA!B8/DATA!AI8</f>
        <v>1.336289500509684</v>
      </c>
      <c r="J14" s="51" t="s">
        <v>148</v>
      </c>
      <c r="K14" s="23" t="s">
        <v>176</v>
      </c>
      <c r="L14" s="26">
        <f t="shared" si="0"/>
        <v>0.040033183309176906</v>
      </c>
    </row>
    <row r="15" spans="1:12" ht="19.5" customHeight="1">
      <c r="A15" s="23" t="str">
        <f>DATA!A9</f>
        <v>AEP</v>
      </c>
      <c r="B15" s="26">
        <v>0.055</v>
      </c>
      <c r="C15" s="23" t="s">
        <v>99</v>
      </c>
      <c r="D15" s="30">
        <v>0.0175</v>
      </c>
      <c r="E15" s="30" t="s">
        <v>146</v>
      </c>
      <c r="F15" s="50">
        <v>1</v>
      </c>
      <c r="G15" s="23" t="s">
        <v>95</v>
      </c>
      <c r="H15" s="45" t="s">
        <v>147</v>
      </c>
      <c r="I15" s="51">
        <f>DATA!B9/DATA!AI9</f>
        <v>1.708942436412316</v>
      </c>
      <c r="J15" s="51" t="s">
        <v>148</v>
      </c>
      <c r="K15" s="23" t="s">
        <v>176</v>
      </c>
      <c r="L15" s="26">
        <f t="shared" si="0"/>
        <v>0.06225974870356735</v>
      </c>
    </row>
    <row r="16" spans="1:12" ht="19.5" customHeight="1">
      <c r="A16" s="23" t="str">
        <f>DATA!A10</f>
        <v>CNL</v>
      </c>
      <c r="B16" s="26">
        <v>0.055</v>
      </c>
      <c r="C16" s="23" t="s">
        <v>99</v>
      </c>
      <c r="D16" s="30">
        <v>0.025</v>
      </c>
      <c r="E16" s="30" t="s">
        <v>146</v>
      </c>
      <c r="F16" s="50">
        <v>1</v>
      </c>
      <c r="G16" s="23" t="s">
        <v>95</v>
      </c>
      <c r="H16" s="45" t="s">
        <v>147</v>
      </c>
      <c r="I16" s="51">
        <f>DATA!B10/DATA!AI10</f>
        <v>1.4984205128205128</v>
      </c>
      <c r="J16" s="51" t="s">
        <v>148</v>
      </c>
      <c r="K16" s="23" t="s">
        <v>176</v>
      </c>
      <c r="L16" s="26">
        <f t="shared" si="0"/>
        <v>0.06331576497645383</v>
      </c>
    </row>
    <row r="17" spans="1:12" ht="19.5" customHeight="1">
      <c r="A17" s="23" t="str">
        <f>DATA!A11</f>
        <v>EDE</v>
      </c>
      <c r="B17" s="26">
        <v>0.035</v>
      </c>
      <c r="C17" s="23" t="s">
        <v>99</v>
      </c>
      <c r="D17" s="30">
        <v>0.04</v>
      </c>
      <c r="E17" s="30" t="s">
        <v>146</v>
      </c>
      <c r="F17" s="50">
        <v>1</v>
      </c>
      <c r="G17" s="23" t="s">
        <v>95</v>
      </c>
      <c r="H17" s="45" t="s">
        <v>147</v>
      </c>
      <c r="I17" s="51">
        <f>DATA!B11/DATA!AI11</f>
        <v>1.331925465838509</v>
      </c>
      <c r="J17" s="51" t="s">
        <v>148</v>
      </c>
      <c r="K17" s="23" t="s">
        <v>176</v>
      </c>
      <c r="L17" s="26">
        <f t="shared" si="0"/>
        <v>0.04496828949822793</v>
      </c>
    </row>
    <row r="18" spans="1:12" ht="19.5" customHeight="1">
      <c r="A18" s="23" t="str">
        <f>DATA!A12</f>
        <v>ETR</v>
      </c>
      <c r="B18" s="26">
        <v>0.08</v>
      </c>
      <c r="C18" s="23" t="s">
        <v>99</v>
      </c>
      <c r="D18" s="30">
        <v>-0.01</v>
      </c>
      <c r="E18" s="30" t="s">
        <v>146</v>
      </c>
      <c r="F18" s="50">
        <v>1</v>
      </c>
      <c r="G18" s="23" t="s">
        <v>95</v>
      </c>
      <c r="H18" s="45" t="s">
        <v>147</v>
      </c>
      <c r="I18" s="51">
        <f>DATA!B12/DATA!AI12</f>
        <v>2.610917280917281</v>
      </c>
      <c r="J18" s="51" t="s">
        <v>148</v>
      </c>
      <c r="K18" s="23" t="s">
        <v>176</v>
      </c>
      <c r="L18" s="26">
        <f t="shared" si="0"/>
        <v>0.07383007155113193</v>
      </c>
    </row>
    <row r="19" spans="1:12" ht="19.5" customHeight="1">
      <c r="A19" s="23" t="str">
        <f>DATA!A13</f>
        <v>HE</v>
      </c>
      <c r="B19" s="26">
        <v>0.03</v>
      </c>
      <c r="C19" s="23" t="s">
        <v>99</v>
      </c>
      <c r="D19" s="30">
        <v>0.015</v>
      </c>
      <c r="E19" s="30" t="s">
        <v>146</v>
      </c>
      <c r="F19" s="50">
        <v>1</v>
      </c>
      <c r="G19" s="23" t="s">
        <v>95</v>
      </c>
      <c r="H19" s="45" t="s">
        <v>147</v>
      </c>
      <c r="I19" s="51">
        <f>DATA!B13/DATA!AI13</f>
        <v>1.6679411764705887</v>
      </c>
      <c r="J19" s="51" t="s">
        <v>148</v>
      </c>
      <c r="K19" s="23" t="s">
        <v>176</v>
      </c>
      <c r="L19" s="26">
        <f t="shared" si="0"/>
        <v>0.03600687709398695</v>
      </c>
    </row>
    <row r="20" spans="1:12" ht="19.5" customHeight="1">
      <c r="A20" s="23" t="str">
        <f>DATA!A14</f>
        <v>PNM</v>
      </c>
      <c r="B20" s="26">
        <v>0.0475</v>
      </c>
      <c r="C20" s="23" t="s">
        <v>99</v>
      </c>
      <c r="D20" s="30">
        <v>0.03</v>
      </c>
      <c r="E20" s="30" t="s">
        <v>146</v>
      </c>
      <c r="F20" s="50">
        <v>1</v>
      </c>
      <c r="G20" s="23" t="s">
        <v>95</v>
      </c>
      <c r="H20" s="45" t="s">
        <v>147</v>
      </c>
      <c r="I20" s="51">
        <f>DATA!B14/DATA!AI14</f>
        <v>0.6446919079435782</v>
      </c>
      <c r="J20" s="51" t="s">
        <v>148</v>
      </c>
      <c r="K20" s="23" t="s">
        <v>176</v>
      </c>
      <c r="L20" s="26">
        <f t="shared" si="0"/>
        <v>0.030966144633809298</v>
      </c>
    </row>
    <row r="21" spans="1:12" ht="19.5" customHeight="1">
      <c r="A21" s="23" t="str">
        <f>DATA!A15</f>
        <v>PNW</v>
      </c>
      <c r="B21" s="26">
        <v>0.035</v>
      </c>
      <c r="C21" s="23" t="s">
        <v>99</v>
      </c>
      <c r="D21" s="30">
        <v>0.005</v>
      </c>
      <c r="E21" s="30" t="s">
        <v>146</v>
      </c>
      <c r="F21" s="50">
        <v>1</v>
      </c>
      <c r="G21" s="23" t="s">
        <v>95</v>
      </c>
      <c r="H21" s="45" t="s">
        <v>147</v>
      </c>
      <c r="I21" s="51">
        <f>DATA!B15/DATA!AI15</f>
        <v>1.0439660056657223</v>
      </c>
      <c r="J21" s="51" t="s">
        <v>148</v>
      </c>
      <c r="K21" s="23" t="s">
        <v>176</v>
      </c>
      <c r="L21" s="26">
        <f t="shared" si="0"/>
        <v>0.03521057201780094</v>
      </c>
    </row>
    <row r="22" spans="1:12" ht="19.5" customHeight="1">
      <c r="A22" s="23" t="str">
        <f>DATA!A16</f>
        <v>PSD</v>
      </c>
      <c r="B22" s="26">
        <v>0.045</v>
      </c>
      <c r="C22" s="23" t="s">
        <v>99</v>
      </c>
      <c r="D22" s="30">
        <v>0.03</v>
      </c>
      <c r="E22" s="30" t="s">
        <v>146</v>
      </c>
      <c r="F22" s="50">
        <v>1</v>
      </c>
      <c r="G22" s="23" t="s">
        <v>95</v>
      </c>
      <c r="H22" s="45" t="s">
        <v>147</v>
      </c>
      <c r="I22" s="51">
        <f>DATA!B16/DATA!AI16</f>
        <v>1.3832027850304616</v>
      </c>
      <c r="J22" s="51" t="s">
        <v>148</v>
      </c>
      <c r="K22" s="23" t="s">
        <v>176</v>
      </c>
      <c r="L22" s="26">
        <f t="shared" si="0"/>
        <v>0.053311206191405024</v>
      </c>
    </row>
    <row r="23" spans="1:12" ht="19.5" customHeight="1">
      <c r="A23" s="23" t="str">
        <f>DATA!A17</f>
        <v>UNS</v>
      </c>
      <c r="B23" s="26">
        <v>0.045</v>
      </c>
      <c r="C23" s="23" t="s">
        <v>99</v>
      </c>
      <c r="D23" s="30">
        <v>0.0125</v>
      </c>
      <c r="E23" s="30" t="s">
        <v>146</v>
      </c>
      <c r="F23" s="50">
        <v>1</v>
      </c>
      <c r="G23" s="23" t="s">
        <v>95</v>
      </c>
      <c r="H23" s="45" t="s">
        <v>147</v>
      </c>
      <c r="I23" s="51">
        <f>DATA!B17/DATA!AI17</f>
        <v>1.3756862745098037</v>
      </c>
      <c r="J23" s="51" t="s">
        <v>148</v>
      </c>
      <c r="K23" s="23" t="s">
        <v>176</v>
      </c>
      <c r="L23" s="26">
        <f t="shared" si="0"/>
        <v>0.04841362599771949</v>
      </c>
    </row>
    <row r="24" spans="1:12" ht="19.5" customHeight="1">
      <c r="A24" s="23" t="str">
        <f>DATA!A18</f>
        <v>XEL</v>
      </c>
      <c r="B24" s="26">
        <v>0.0425</v>
      </c>
      <c r="C24" s="23" t="s">
        <v>99</v>
      </c>
      <c r="D24" s="30">
        <v>0.01</v>
      </c>
      <c r="E24" s="30" t="s">
        <v>146</v>
      </c>
      <c r="F24" s="50">
        <v>1</v>
      </c>
      <c r="G24" s="23" t="s">
        <v>95</v>
      </c>
      <c r="H24" s="45" t="s">
        <v>147</v>
      </c>
      <c r="I24" s="51">
        <f>DATA!B18/DATA!AI18</f>
        <v>1.3940589569160997</v>
      </c>
      <c r="J24" s="51" t="s">
        <v>148</v>
      </c>
      <c r="K24" s="23" t="s">
        <v>176</v>
      </c>
      <c r="L24" s="26">
        <f>B24+D24*(1-(1/I24))</f>
        <v>0.04532670223494584</v>
      </c>
    </row>
    <row r="25" spans="1:12" ht="19.5" customHeight="1">
      <c r="A25" s="23"/>
      <c r="B25" s="26"/>
      <c r="C25" s="23"/>
      <c r="D25" s="30"/>
      <c r="E25" s="30"/>
      <c r="F25" s="50"/>
      <c r="G25" s="23"/>
      <c r="H25" s="45"/>
      <c r="I25" s="51"/>
      <c r="J25" s="51"/>
      <c r="K25" s="23"/>
      <c r="L25" s="26"/>
    </row>
    <row r="26" spans="1:12" ht="12">
      <c r="A26" s="23"/>
      <c r="C26" s="23"/>
      <c r="G26" s="29" t="s">
        <v>189</v>
      </c>
      <c r="H26" s="30" t="s">
        <v>176</v>
      </c>
      <c r="I26" s="51">
        <f>AVERAGE(I11:I23)</f>
        <v>1.5086890167205238</v>
      </c>
      <c r="J26" s="45"/>
      <c r="K26" s="23"/>
      <c r="L26" s="26"/>
    </row>
    <row r="27" spans="1:12" ht="12">
      <c r="A27" s="23"/>
      <c r="C27" s="23"/>
      <c r="D27" s="30"/>
      <c r="E27" s="30"/>
      <c r="F27" s="45"/>
      <c r="G27" s="45"/>
      <c r="H27" s="45"/>
      <c r="I27" s="45"/>
      <c r="J27" s="45"/>
      <c r="K27" s="23"/>
      <c r="L27" s="26"/>
    </row>
    <row r="28" spans="1:12" ht="12">
      <c r="A28" s="23"/>
      <c r="C28" s="29" t="str">
        <f aca="true" t="shared" si="1" ref="C28:C38">A11</f>
        <v>CV</v>
      </c>
      <c r="D28" s="23" t="s">
        <v>176</v>
      </c>
      <c r="E28" s="45" t="str">
        <f>DATA!A24</f>
        <v>Central Vermont P. S.</v>
      </c>
      <c r="F28" s="45"/>
      <c r="G28" s="45"/>
      <c r="H28" s="45"/>
      <c r="I28" s="45"/>
      <c r="J28" s="45"/>
      <c r="K28" s="23"/>
      <c r="L28" s="26"/>
    </row>
    <row r="29" spans="1:12" ht="12">
      <c r="A29" s="23"/>
      <c r="C29" s="29" t="str">
        <f t="shared" si="1"/>
        <v>FE</v>
      </c>
      <c r="D29" s="23" t="s">
        <v>176</v>
      </c>
      <c r="E29" s="45" t="str">
        <f>DATA!A25</f>
        <v>FirstEnergy Corp.</v>
      </c>
      <c r="F29" s="45"/>
      <c r="G29" s="45"/>
      <c r="H29" s="45"/>
      <c r="I29" s="45"/>
      <c r="J29" s="45"/>
      <c r="K29" s="23"/>
      <c r="L29" s="26"/>
    </row>
    <row r="30" spans="1:12" ht="12">
      <c r="A30" s="23"/>
      <c r="C30" s="29" t="str">
        <f t="shared" si="1"/>
        <v>NU</v>
      </c>
      <c r="D30" s="23" t="s">
        <v>176</v>
      </c>
      <c r="E30" s="45" t="str">
        <f>DATA!A26</f>
        <v>Northeast Utilities</v>
      </c>
      <c r="F30" s="45"/>
      <c r="G30" s="45"/>
      <c r="H30" s="45"/>
      <c r="I30" s="45"/>
      <c r="J30" s="45"/>
      <c r="K30" s="23"/>
      <c r="L30" s="26"/>
    </row>
    <row r="31" spans="1:12" ht="12">
      <c r="A31" s="23"/>
      <c r="C31" s="29" t="str">
        <f t="shared" si="1"/>
        <v>AEE</v>
      </c>
      <c r="D31" s="23" t="s">
        <v>176</v>
      </c>
      <c r="E31" s="45" t="str">
        <f>DATA!A27</f>
        <v>Ameren</v>
      </c>
      <c r="F31" s="45"/>
      <c r="G31" s="45"/>
      <c r="H31" s="45"/>
      <c r="I31" s="45"/>
      <c r="J31" s="45"/>
      <c r="K31" s="23"/>
      <c r="L31" s="26"/>
    </row>
    <row r="32" spans="1:12" ht="12">
      <c r="A32" s="23"/>
      <c r="C32" s="29" t="str">
        <f t="shared" si="1"/>
        <v>AEP</v>
      </c>
      <c r="D32" s="23" t="s">
        <v>176</v>
      </c>
      <c r="E32" s="45" t="str">
        <f>DATA!A28</f>
        <v>American Electric Power</v>
      </c>
      <c r="F32" s="45"/>
      <c r="G32" s="45"/>
      <c r="H32" s="45"/>
      <c r="I32" s="45"/>
      <c r="J32" s="45"/>
      <c r="K32" s="23"/>
      <c r="L32" s="26"/>
    </row>
    <row r="33" spans="1:12" ht="12">
      <c r="A33" s="23"/>
      <c r="C33" s="29" t="str">
        <f t="shared" si="1"/>
        <v>CNL</v>
      </c>
      <c r="D33" s="23" t="s">
        <v>176</v>
      </c>
      <c r="E33" s="45" t="str">
        <f>DATA!A29</f>
        <v>Cleco  Corporation</v>
      </c>
      <c r="F33" s="45"/>
      <c r="G33" s="45"/>
      <c r="H33" s="45"/>
      <c r="I33" s="45"/>
      <c r="J33" s="45"/>
      <c r="K33" s="23"/>
      <c r="L33" s="26"/>
    </row>
    <row r="34" spans="1:12" ht="12">
      <c r="A34" s="23"/>
      <c r="C34" s="29" t="str">
        <f t="shared" si="1"/>
        <v>EDE</v>
      </c>
      <c r="D34" s="23" t="s">
        <v>176</v>
      </c>
      <c r="E34" s="45" t="str">
        <f>DATA!A30</f>
        <v>Empire District Electric</v>
      </c>
      <c r="F34" s="45"/>
      <c r="G34" s="45"/>
      <c r="H34" s="45"/>
      <c r="I34" s="45"/>
      <c r="J34" s="45"/>
      <c r="K34" s="23"/>
      <c r="L34" s="26"/>
    </row>
    <row r="35" spans="1:12" ht="12">
      <c r="A35" s="23"/>
      <c r="C35" s="29" t="str">
        <f t="shared" si="1"/>
        <v>ETR</v>
      </c>
      <c r="D35" s="23" t="s">
        <v>176</v>
      </c>
      <c r="E35" s="45" t="str">
        <f>DATA!A31</f>
        <v>Entergy</v>
      </c>
      <c r="F35" s="45"/>
      <c r="G35" s="45"/>
      <c r="H35" s="45"/>
      <c r="I35" s="45"/>
      <c r="J35" s="45"/>
      <c r="K35" s="23"/>
      <c r="L35" s="26"/>
    </row>
    <row r="36" spans="1:12" ht="12">
      <c r="A36" s="23"/>
      <c r="C36" s="29" t="str">
        <f t="shared" si="1"/>
        <v>HE</v>
      </c>
      <c r="D36" s="23" t="s">
        <v>176</v>
      </c>
      <c r="E36" s="45" t="str">
        <f>DATA!A32</f>
        <v>Hawaiian Electric</v>
      </c>
      <c r="F36" s="45"/>
      <c r="G36" s="45"/>
      <c r="H36" s="45"/>
      <c r="I36" s="45"/>
      <c r="J36" s="45"/>
      <c r="K36" s="23"/>
      <c r="L36" s="26"/>
    </row>
    <row r="37" spans="1:12" ht="12">
      <c r="A37" s="23"/>
      <c r="C37" s="29" t="str">
        <f t="shared" si="1"/>
        <v>PNM</v>
      </c>
      <c r="D37" s="23" t="s">
        <v>176</v>
      </c>
      <c r="E37" s="45" t="str">
        <f>DATA!A33</f>
        <v>PNM Resources</v>
      </c>
      <c r="F37" s="45"/>
      <c r="G37" s="45"/>
      <c r="H37" s="45"/>
      <c r="I37" s="45"/>
      <c r="J37" s="45"/>
      <c r="K37" s="23"/>
      <c r="L37" s="26"/>
    </row>
    <row r="38" spans="1:12" ht="12">
      <c r="A38" s="23"/>
      <c r="C38" s="29" t="str">
        <f t="shared" si="1"/>
        <v>PNW</v>
      </c>
      <c r="D38" s="23" t="s">
        <v>176</v>
      </c>
      <c r="E38" s="45" t="str">
        <f>DATA!A34</f>
        <v>Pinnacle West Capital</v>
      </c>
      <c r="F38" s="45"/>
      <c r="G38" s="45"/>
      <c r="H38" s="45"/>
      <c r="I38" s="45"/>
      <c r="J38" s="45"/>
      <c r="K38" s="23"/>
      <c r="L38" s="26"/>
    </row>
    <row r="39" spans="1:12" ht="12">
      <c r="A39" s="22"/>
      <c r="C39" s="29" t="str">
        <f>A22</f>
        <v>PSD</v>
      </c>
      <c r="D39" s="23" t="s">
        <v>176</v>
      </c>
      <c r="E39" s="45" t="str">
        <f>DATA!A35</f>
        <v>Puget Energy, Inc.</v>
      </c>
      <c r="F39" s="45"/>
      <c r="G39" s="45"/>
      <c r="H39" s="45"/>
      <c r="I39" s="45"/>
      <c r="J39" s="45"/>
      <c r="K39" s="26"/>
      <c r="L39" s="22"/>
    </row>
    <row r="40" spans="1:12" ht="12">
      <c r="A40" s="22"/>
      <c r="C40" s="29" t="str">
        <f>A23</f>
        <v>UNS</v>
      </c>
      <c r="D40" s="23" t="s">
        <v>176</v>
      </c>
      <c r="E40" s="45" t="str">
        <f>DATA!A36</f>
        <v>Unisource Energy</v>
      </c>
      <c r="F40" s="45"/>
      <c r="G40" s="45"/>
      <c r="H40" s="45"/>
      <c r="I40" s="45"/>
      <c r="J40" s="45"/>
      <c r="K40" s="26"/>
      <c r="L40" s="22"/>
    </row>
    <row r="41" spans="2:12" ht="12">
      <c r="B41" s="26"/>
      <c r="C41" s="29" t="str">
        <f>A24</f>
        <v>XEL</v>
      </c>
      <c r="D41" s="23" t="s">
        <v>176</v>
      </c>
      <c r="E41" s="45" t="str">
        <f>DATA!A37</f>
        <v>Xcel Energy, Inc.</v>
      </c>
      <c r="F41" s="45"/>
      <c r="G41" s="45"/>
      <c r="H41" s="45"/>
      <c r="I41" s="45"/>
      <c r="J41" s="45"/>
      <c r="K41" s="23"/>
      <c r="L41" s="26"/>
    </row>
    <row r="42" spans="1:12" ht="12">
      <c r="A42" s="45" t="s">
        <v>110</v>
      </c>
      <c r="B42" s="26"/>
      <c r="C42" s="29"/>
      <c r="D42" s="23"/>
      <c r="E42" s="45"/>
      <c r="F42" s="45"/>
      <c r="G42" s="45"/>
      <c r="H42" s="45"/>
      <c r="I42" s="45"/>
      <c r="J42" s="45"/>
      <c r="K42" s="23"/>
      <c r="L42" s="26"/>
    </row>
    <row r="43" spans="2:12" ht="12">
      <c r="B43" s="26"/>
      <c r="C43" s="29"/>
      <c r="D43" s="23"/>
      <c r="E43" s="45"/>
      <c r="F43" s="45"/>
      <c r="G43" s="45"/>
      <c r="H43" s="45"/>
      <c r="I43" s="45"/>
      <c r="J43" s="45"/>
      <c r="K43" s="23"/>
      <c r="L43" s="26"/>
    </row>
    <row r="44" spans="1:12" ht="12">
      <c r="A44" s="23"/>
      <c r="B44" s="26"/>
      <c r="C44" s="23"/>
      <c r="D44" s="30"/>
      <c r="E44" s="30"/>
      <c r="F44" s="45"/>
      <c r="G44" s="45"/>
      <c r="H44" s="45"/>
      <c r="I44" s="45"/>
      <c r="J44" s="45"/>
      <c r="K44" s="23"/>
      <c r="L44" s="26"/>
    </row>
    <row r="45" spans="2:12" ht="12">
      <c r="B45" s="26"/>
      <c r="C45" s="23"/>
      <c r="D45" s="30"/>
      <c r="E45" s="30"/>
      <c r="F45" s="45"/>
      <c r="G45" s="45"/>
      <c r="H45" s="45"/>
      <c r="I45" s="45"/>
      <c r="J45" s="45"/>
      <c r="K45" s="23"/>
      <c r="L45" s="26"/>
    </row>
  </sheetData>
  <sheetProtection/>
  <printOptions/>
  <pageMargins left="0.96" right="0.75" top="1" bottom="1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5">
      <selection activeCell="C29" sqref="C29"/>
    </sheetView>
  </sheetViews>
  <sheetFormatPr defaultColWidth="10.875" defaultRowHeight="12"/>
  <cols>
    <col min="1" max="1" width="10.875" style="28" customWidth="1"/>
    <col min="2" max="2" width="7.375" style="28" customWidth="1"/>
    <col min="3" max="3" width="7.875" style="28" customWidth="1"/>
    <col min="4" max="4" width="8.625" style="28" customWidth="1"/>
    <col min="5" max="5" width="7.50390625" style="28" customWidth="1"/>
    <col min="6" max="6" width="8.375" style="28" customWidth="1"/>
    <col min="7" max="7" width="8.875" style="28" customWidth="1"/>
    <col min="8" max="8" width="8.50390625" style="28" customWidth="1"/>
    <col min="9" max="9" width="7.625" style="28" customWidth="1"/>
    <col min="10" max="10" width="7.875" style="28" customWidth="1"/>
    <col min="11" max="11" width="9.125" style="28" customWidth="1"/>
    <col min="12" max="13" width="7.625" style="28" customWidth="1"/>
    <col min="14" max="16384" width="10.875" style="28" customWidth="1"/>
  </cols>
  <sheetData>
    <row r="1" spans="1:14" ht="12">
      <c r="A1" s="23"/>
      <c r="B1" s="26"/>
      <c r="C1" s="26"/>
      <c r="D1" s="26"/>
      <c r="E1" s="26"/>
      <c r="F1" s="26"/>
      <c r="G1" s="26"/>
      <c r="H1" s="26"/>
      <c r="I1" s="26"/>
      <c r="J1" s="26"/>
      <c r="K1" s="26"/>
      <c r="M1" s="29" t="s">
        <v>25</v>
      </c>
      <c r="N1" s="31"/>
    </row>
    <row r="2" spans="1:14" ht="12">
      <c r="A2" s="23"/>
      <c r="B2" s="26"/>
      <c r="C2" s="26"/>
      <c r="D2" s="26"/>
      <c r="E2" s="26"/>
      <c r="F2" s="26"/>
      <c r="G2" s="26"/>
      <c r="H2" s="26"/>
      <c r="I2" s="26"/>
      <c r="J2" s="26"/>
      <c r="K2" s="26"/>
      <c r="M2" s="29" t="s">
        <v>29</v>
      </c>
      <c r="N2" s="31"/>
    </row>
    <row r="3" spans="1:14" ht="12">
      <c r="A3" s="23"/>
      <c r="B3" s="26"/>
      <c r="C3" s="26"/>
      <c r="D3" s="26"/>
      <c r="E3" s="26"/>
      <c r="F3" s="26"/>
      <c r="G3" s="26"/>
      <c r="H3" s="26"/>
      <c r="I3" s="26"/>
      <c r="J3" s="26"/>
      <c r="K3" s="26"/>
      <c r="M3" s="29" t="s">
        <v>66</v>
      </c>
      <c r="N3" s="31"/>
    </row>
    <row r="4" spans="1:14" ht="12">
      <c r="A4" s="23"/>
      <c r="B4" s="26"/>
      <c r="C4" s="31"/>
      <c r="D4" s="22"/>
      <c r="E4" s="26"/>
      <c r="F4" s="26"/>
      <c r="G4" s="52" t="str">
        <f>DATA!A1</f>
        <v>PUGET SOUND ENERGY</v>
      </c>
      <c r="I4" s="22"/>
      <c r="J4" s="26"/>
      <c r="K4" s="26"/>
      <c r="L4" s="26"/>
      <c r="M4" s="31"/>
      <c r="N4" s="31"/>
    </row>
    <row r="5" spans="1:14" ht="12">
      <c r="A5" s="23"/>
      <c r="B5" s="26"/>
      <c r="C5" s="31"/>
      <c r="D5" s="22"/>
      <c r="E5" s="26"/>
      <c r="F5" s="26"/>
      <c r="G5" s="52"/>
      <c r="I5" s="22"/>
      <c r="J5" s="26"/>
      <c r="K5" s="26"/>
      <c r="L5" s="26"/>
      <c r="M5" s="31"/>
      <c r="N5" s="31"/>
    </row>
    <row r="6" spans="1:14" ht="12">
      <c r="A6" s="23"/>
      <c r="B6" s="26"/>
      <c r="C6" s="31"/>
      <c r="D6" s="22"/>
      <c r="E6" s="26"/>
      <c r="F6" s="26"/>
      <c r="G6" s="52" t="s">
        <v>180</v>
      </c>
      <c r="I6" s="22"/>
      <c r="J6" s="26"/>
      <c r="K6" s="26"/>
      <c r="L6" s="26"/>
      <c r="M6" s="31"/>
      <c r="N6" s="31"/>
    </row>
    <row r="7" spans="1:14" ht="12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31"/>
      <c r="N7" s="31"/>
    </row>
    <row r="8" spans="1:14" ht="12">
      <c r="A8" s="23"/>
      <c r="B8" s="26"/>
      <c r="C8" s="26"/>
      <c r="D8" s="26"/>
      <c r="E8" s="26"/>
      <c r="F8" s="26"/>
      <c r="G8" s="26"/>
      <c r="H8" s="26"/>
      <c r="I8" s="26"/>
      <c r="J8" s="26" t="s">
        <v>103</v>
      </c>
      <c r="K8" s="26"/>
      <c r="L8" s="26"/>
      <c r="M8" s="31"/>
      <c r="N8" s="31"/>
    </row>
    <row r="9" spans="1:14" ht="12">
      <c r="A9" s="23"/>
      <c r="B9" s="26" t="s">
        <v>129</v>
      </c>
      <c r="C9" s="36"/>
      <c r="D9" s="36" t="s">
        <v>111</v>
      </c>
      <c r="E9" s="36"/>
      <c r="F9" s="26" t="s">
        <v>103</v>
      </c>
      <c r="G9" s="36"/>
      <c r="H9" s="36" t="s">
        <v>112</v>
      </c>
      <c r="I9" s="36"/>
      <c r="J9" s="26" t="s">
        <v>178</v>
      </c>
      <c r="K9" s="36"/>
      <c r="L9" s="36" t="s">
        <v>149</v>
      </c>
      <c r="M9" s="53"/>
      <c r="N9" s="22"/>
    </row>
    <row r="10" spans="1:14" ht="12">
      <c r="A10" s="42" t="s">
        <v>231</v>
      </c>
      <c r="B10" s="41" t="s">
        <v>130</v>
      </c>
      <c r="C10" s="41" t="s">
        <v>115</v>
      </c>
      <c r="D10" s="41" t="s">
        <v>116</v>
      </c>
      <c r="E10" s="41" t="s">
        <v>132</v>
      </c>
      <c r="F10" s="41" t="s">
        <v>115</v>
      </c>
      <c r="G10" s="41" t="s">
        <v>115</v>
      </c>
      <c r="H10" s="41" t="s">
        <v>116</v>
      </c>
      <c r="I10" s="41" t="s">
        <v>132</v>
      </c>
      <c r="J10" s="41" t="s">
        <v>179</v>
      </c>
      <c r="K10" s="41" t="s">
        <v>115</v>
      </c>
      <c r="L10" s="41" t="s">
        <v>116</v>
      </c>
      <c r="M10" s="41" t="s">
        <v>132</v>
      </c>
      <c r="N10" s="22"/>
    </row>
    <row r="11" spans="1:17" ht="19.5" customHeight="1">
      <c r="A11" s="23" t="str">
        <f>DATA!A5</f>
        <v>CV</v>
      </c>
      <c r="B11" s="54">
        <f>'Ex10,p1'!L11</f>
        <v>0.04823570924488356</v>
      </c>
      <c r="C11" s="26">
        <f>DATA!AU5</f>
        <v>0.075</v>
      </c>
      <c r="D11" s="26">
        <f>DATA!AW5</f>
        <v>0</v>
      </c>
      <c r="E11" s="26">
        <f>DATA!AY5</f>
        <v>0.03</v>
      </c>
      <c r="F11" s="54" t="str">
        <f>Earnings!I6</f>
        <v>n/a</v>
      </c>
      <c r="G11" s="26">
        <f>DATA!AT5</f>
        <v>-0.025</v>
      </c>
      <c r="H11" s="26">
        <f>DATA!AV5</f>
        <v>0.01</v>
      </c>
      <c r="I11" s="26">
        <f>DATA!AX5</f>
        <v>0.02</v>
      </c>
      <c r="J11" s="54">
        <f aca="true" t="shared" si="0" ref="J11:J21">AVERAGE(C11,D11,E11,G11,H11,I11,F11)</f>
        <v>0.01833333333333333</v>
      </c>
      <c r="K11" s="26" t="s">
        <v>1</v>
      </c>
      <c r="L11" s="26">
        <f>(DATA!$S5/DATA!$N5)^0.2-1</f>
        <v>0.00892998907199627</v>
      </c>
      <c r="M11" s="26">
        <f>(DATA!$AI5/DATA!$AD5)^0.2-1</f>
        <v>0.012112181826763768</v>
      </c>
      <c r="N11" s="22"/>
      <c r="Q11" s="55"/>
    </row>
    <row r="12" spans="1:17" ht="19.5" customHeight="1">
      <c r="A12" s="23" t="str">
        <f>DATA!A6</f>
        <v>FE</v>
      </c>
      <c r="B12" s="56">
        <f>'Ex10,p1'!L12</f>
        <v>0.065</v>
      </c>
      <c r="C12" s="26">
        <f>DATA!AU6</f>
        <v>0.085</v>
      </c>
      <c r="D12" s="26">
        <f>DATA!AW6</f>
        <v>0.075</v>
      </c>
      <c r="E12" s="26">
        <f>DATA!AY6</f>
        <v>0.055</v>
      </c>
      <c r="F12" s="56">
        <f>DATA!BA6</f>
        <v>0.1125</v>
      </c>
      <c r="G12" s="26">
        <f>DATA!AT6</f>
        <v>0.035</v>
      </c>
      <c r="H12" s="26">
        <f>DATA!AV6</f>
        <v>0.04</v>
      </c>
      <c r="I12" s="26">
        <f>DATA!AX6</f>
        <v>0.045</v>
      </c>
      <c r="J12" s="56">
        <f t="shared" si="0"/>
        <v>0.06392857142857142</v>
      </c>
      <c r="K12" s="26">
        <f>(DATA!$K6/DATA!$F6)^0.2-1</f>
        <v>0.23945345998975198</v>
      </c>
      <c r="L12" s="26">
        <f>(DATA!$S6/DATA!$N6)^0.2-1</f>
        <v>0.08447177119769855</v>
      </c>
      <c r="M12" s="26">
        <f>(DATA!$AI6/DATA!$AD6)^0.2-1</f>
        <v>0.042542175007315386</v>
      </c>
      <c r="N12" s="22"/>
      <c r="Q12" s="55"/>
    </row>
    <row r="13" spans="1:17" ht="19.5" customHeight="1">
      <c r="A13" s="23" t="str">
        <f>DATA!A7</f>
        <v>NU</v>
      </c>
      <c r="B13" s="56">
        <f>'Ex10,p1'!L13</f>
        <v>0.06235926790596637</v>
      </c>
      <c r="C13" s="26">
        <f>DATA!AU7</f>
        <v>0.15</v>
      </c>
      <c r="D13" s="26">
        <f>DATA!AW7</f>
        <v>0.06</v>
      </c>
      <c r="E13" s="26">
        <f>DATA!AY7</f>
        <v>0.055</v>
      </c>
      <c r="F13" s="56">
        <f>DATA!BA7</f>
        <v>0.0824</v>
      </c>
      <c r="G13" s="26" t="str">
        <f>DATA!AT7</f>
        <v>nmf</v>
      </c>
      <c r="H13" s="26">
        <f>DATA!AV7</f>
        <v>0.165</v>
      </c>
      <c r="I13" s="26">
        <f>DATA!AX7</f>
        <v>0.03</v>
      </c>
      <c r="J13" s="56">
        <f t="shared" si="0"/>
        <v>0.09040000000000002</v>
      </c>
      <c r="K13" s="26">
        <f>(DATA!$K7/DATA!$F7)^0.2-1</f>
        <v>0.07738311274144394</v>
      </c>
      <c r="L13" s="26">
        <f>(DATA!$S7/DATA!$N7)^0.2-1</f>
        <v>0.0743109931099648</v>
      </c>
      <c r="M13" s="26">
        <f>(DATA!$AI7/DATA!$AD7)^0.2-1</f>
        <v>0.02591944873467411</v>
      </c>
      <c r="N13" s="22"/>
      <c r="Q13" s="55"/>
    </row>
    <row r="14" spans="1:17" ht="19.5" customHeight="1">
      <c r="A14" s="23" t="str">
        <f>DATA!A8</f>
        <v>AEE</v>
      </c>
      <c r="B14" s="56">
        <f>'Ex10,p1'!L14</f>
        <v>0.040033183309176906</v>
      </c>
      <c r="C14" s="26">
        <f>DATA!AU8</f>
        <v>0.03</v>
      </c>
      <c r="D14" s="26">
        <f>DATA!AW8</f>
        <v>0</v>
      </c>
      <c r="E14" s="26">
        <f>DATA!AY8</f>
        <v>0.03</v>
      </c>
      <c r="F14" s="56">
        <f>DATA!BA8</f>
        <v>0.07</v>
      </c>
      <c r="G14" s="26">
        <f>DATA!AT8</f>
        <v>-0.02</v>
      </c>
      <c r="H14" s="26">
        <f>DATA!AV8</f>
        <v>0</v>
      </c>
      <c r="I14" s="26">
        <f>DATA!AX8</f>
        <v>0.055</v>
      </c>
      <c r="J14" s="56">
        <f t="shared" si="0"/>
        <v>0.023571428571428573</v>
      </c>
      <c r="K14" s="26">
        <f>(DATA!$K8/DATA!$F8)^0.2-1</f>
        <v>0.04087923547030292</v>
      </c>
      <c r="L14" s="26">
        <f>(DATA!$S8/DATA!$N8)^0.2-1</f>
        <v>0</v>
      </c>
      <c r="M14" s="26">
        <f>(DATA!$AI8/DATA!$AD8)^0.2-1</f>
        <v>0.055759735370739305</v>
      </c>
      <c r="N14" s="22"/>
      <c r="Q14" s="55"/>
    </row>
    <row r="15" spans="1:17" ht="19.5" customHeight="1">
      <c r="A15" s="23" t="str">
        <f>DATA!A9</f>
        <v>AEP</v>
      </c>
      <c r="B15" s="56">
        <f>'Ex10,p1'!L15</f>
        <v>0.06225974870356735</v>
      </c>
      <c r="C15" s="26">
        <f>DATA!AU9</f>
        <v>0.065</v>
      </c>
      <c r="D15" s="26">
        <f>DATA!AW9</f>
        <v>0.075</v>
      </c>
      <c r="E15" s="26">
        <f>DATA!AY9</f>
        <v>0.06</v>
      </c>
      <c r="F15" s="56">
        <f>DATA!BA9</f>
        <v>0.0578</v>
      </c>
      <c r="G15" s="26">
        <f>DATA!AT9</f>
        <v>0.03</v>
      </c>
      <c r="H15" s="26">
        <f>DATA!AV9</f>
        <v>-0.095</v>
      </c>
      <c r="I15" s="26">
        <f>DATA!AX9</f>
        <v>-0.025</v>
      </c>
      <c r="J15" s="56">
        <f t="shared" si="0"/>
        <v>0.02397142857142857</v>
      </c>
      <c r="K15" s="26">
        <f>(DATA!$K9/DATA!$F9)^0.2-1</f>
        <v>-0.004231463552614723</v>
      </c>
      <c r="L15" s="26">
        <f>(DATA!$S9/DATA!$N9)^0.2-1</f>
        <v>-0.08020897185716191</v>
      </c>
      <c r="M15" s="26">
        <f>(DATA!$AI9/DATA!$AD9)^0.2-1</f>
        <v>0.03614051931626849</v>
      </c>
      <c r="N15" s="22"/>
      <c r="Q15" s="55"/>
    </row>
    <row r="16" spans="1:17" ht="19.5" customHeight="1">
      <c r="A16" s="23" t="str">
        <f>DATA!A10</f>
        <v>CNL</v>
      </c>
      <c r="B16" s="56">
        <f>'Ex10,p1'!L16</f>
        <v>0.06331576497645383</v>
      </c>
      <c r="C16" s="26">
        <f>DATA!AU10</f>
        <v>0.065</v>
      </c>
      <c r="D16" s="26">
        <f>DATA!AW10</f>
        <v>0.065</v>
      </c>
      <c r="E16" s="26">
        <f>DATA!AY10</f>
        <v>0.065</v>
      </c>
      <c r="F16" s="56">
        <f>DATA!BA10</f>
        <v>0.155</v>
      </c>
      <c r="G16" s="26">
        <f>DATA!AT10</f>
        <v>0</v>
      </c>
      <c r="H16" s="26">
        <f>DATA!AV10</f>
        <v>0.01</v>
      </c>
      <c r="I16" s="26">
        <f>DATA!AX10</f>
        <v>0.055</v>
      </c>
      <c r="J16" s="56">
        <f t="shared" si="0"/>
        <v>0.05928571428571429</v>
      </c>
      <c r="K16" s="26">
        <f>(DATA!$K10/DATA!$F10)^0.2-1</f>
        <v>-0.030785388267847824</v>
      </c>
      <c r="L16" s="26">
        <f>(DATA!$S10/DATA!$N10)^0.2-1</f>
        <v>0</v>
      </c>
      <c r="M16" s="26">
        <f>(DATA!$AI10/DATA!$AD10)^0.2-1</f>
        <v>0.06663389529078101</v>
      </c>
      <c r="N16" s="22"/>
      <c r="Q16" s="55"/>
    </row>
    <row r="17" spans="1:17" ht="19.5" customHeight="1">
      <c r="A17" s="23" t="str">
        <f>DATA!A11</f>
        <v>EDE</v>
      </c>
      <c r="B17" s="56">
        <f>'Ex10,p1'!L17</f>
        <v>0.04496828949822793</v>
      </c>
      <c r="C17" s="26">
        <f>DATA!AU11</f>
        <v>0.085</v>
      </c>
      <c r="D17" s="26">
        <f>DATA!AW11</f>
        <v>0.01</v>
      </c>
      <c r="E17" s="26">
        <f>DATA!AY11</f>
        <v>0.03</v>
      </c>
      <c r="F17" s="56">
        <f>DATA!BA11</f>
        <v>0.06</v>
      </c>
      <c r="G17" s="26">
        <f>DATA!AT11</f>
        <v>0.01</v>
      </c>
      <c r="H17" s="26">
        <f>DATA!AV11</f>
        <v>0</v>
      </c>
      <c r="I17" s="26">
        <f>DATA!AX11</f>
        <v>0.02</v>
      </c>
      <c r="J17" s="56">
        <f t="shared" si="0"/>
        <v>0.030714285714285715</v>
      </c>
      <c r="K17" s="26">
        <f>(DATA!$K11/DATA!$F11)^0.2-1</f>
        <v>0.009886601531259531</v>
      </c>
      <c r="L17" s="26">
        <f>(DATA!$S11/DATA!$N11)^0.2-1</f>
        <v>0</v>
      </c>
      <c r="M17" s="26">
        <f>(DATA!$AI11/DATA!$AD11)^0.2-1</f>
        <v>0.019891839421931623</v>
      </c>
      <c r="N17" s="22"/>
      <c r="Q17" s="55"/>
    </row>
    <row r="18" spans="1:17" ht="19.5" customHeight="1">
      <c r="A18" s="23" t="str">
        <f>DATA!A12</f>
        <v>ETR</v>
      </c>
      <c r="B18" s="56">
        <f>'Ex10,p1'!L18</f>
        <v>0.07383007155113193</v>
      </c>
      <c r="C18" s="26">
        <f>DATA!AU12</f>
        <v>0.095</v>
      </c>
      <c r="D18" s="26">
        <f>DATA!AW12</f>
        <v>0.1</v>
      </c>
      <c r="E18" s="26">
        <f>DATA!AY12</f>
        <v>0.065</v>
      </c>
      <c r="F18" s="56">
        <f>DATA!BA12</f>
        <v>0.0988</v>
      </c>
      <c r="G18" s="26">
        <f>DATA!AT12</f>
        <v>0.105</v>
      </c>
      <c r="H18" s="26">
        <f>DATA!AV12</f>
        <v>0.11</v>
      </c>
      <c r="I18" s="26">
        <f>DATA!AX12</f>
        <v>0.04</v>
      </c>
      <c r="J18" s="56">
        <f t="shared" si="0"/>
        <v>0.08768571428571428</v>
      </c>
      <c r="K18" s="26">
        <f>(DATA!$K12/DATA!$F12)^0.2-1</f>
        <v>0.08759710191515802</v>
      </c>
      <c r="L18" s="26">
        <f>(DATA!$S12/DATA!$N12)^0.2-1</f>
        <v>0.13999509184058612</v>
      </c>
      <c r="M18" s="26">
        <f>(DATA!$AI12/DATA!$AD12)^0.2-1</f>
        <v>0.029228258978651</v>
      </c>
      <c r="N18" s="22"/>
      <c r="Q18" s="55"/>
    </row>
    <row r="19" spans="1:17" ht="19.5" customHeight="1">
      <c r="A19" s="23" t="str">
        <f>DATA!A13</f>
        <v>HE</v>
      </c>
      <c r="B19" s="56">
        <f>'Ex10,p1'!L19</f>
        <v>0.03600687709398695</v>
      </c>
      <c r="C19" s="26">
        <f>DATA!AU13</f>
        <v>0.015</v>
      </c>
      <c r="D19" s="26">
        <f>DATA!AW13</f>
        <v>0</v>
      </c>
      <c r="E19" s="26">
        <f>DATA!AY13</f>
        <v>-0.005</v>
      </c>
      <c r="F19" s="56">
        <f>DATA!BA13</f>
        <v>0.036</v>
      </c>
      <c r="G19" s="26">
        <f>DATA!AT13</f>
        <v>-0.01</v>
      </c>
      <c r="H19" s="26">
        <f>DATA!AV13</f>
        <v>0</v>
      </c>
      <c r="I19" s="26">
        <f>DATA!AX13</f>
        <v>0.02</v>
      </c>
      <c r="J19" s="56">
        <f t="shared" si="0"/>
        <v>0.007999999999999998</v>
      </c>
      <c r="K19" s="26">
        <f>(DATA!$K13/DATA!$F13)^0.2-1</f>
        <v>-0.11091046386780001</v>
      </c>
      <c r="L19" s="26">
        <f>(DATA!$S13/DATA!$N13)^0.2-1</f>
        <v>0</v>
      </c>
      <c r="M19" s="26">
        <f>(DATA!$AI13/DATA!$AD13)^0.2-1</f>
        <v>-0.008736839919361028</v>
      </c>
      <c r="N19" s="22"/>
      <c r="Q19" s="55"/>
    </row>
    <row r="20" spans="1:17" ht="19.5" customHeight="1">
      <c r="A20" s="23" t="str">
        <f>DATA!A14</f>
        <v>PNM</v>
      </c>
      <c r="B20" s="56">
        <f>'Ex10,p1'!L20</f>
        <v>0.030966144633809298</v>
      </c>
      <c r="C20" s="26">
        <f>DATA!AU14</f>
        <v>0.025</v>
      </c>
      <c r="D20" s="26">
        <f>DATA!AW14</f>
        <v>0.06</v>
      </c>
      <c r="E20" s="26">
        <f>DATA!AY14</f>
        <v>0.045</v>
      </c>
      <c r="F20" s="56">
        <f>DATA!BA14</f>
        <v>0.1225</v>
      </c>
      <c r="G20" s="26">
        <f>DATA!AT14</f>
        <v>-0.025</v>
      </c>
      <c r="H20" s="26">
        <f>DATA!AV14</f>
        <v>0.075</v>
      </c>
      <c r="I20" s="26">
        <f>DATA!AX14</f>
        <v>0.045</v>
      </c>
      <c r="J20" s="56">
        <f t="shared" si="0"/>
        <v>0.04964285714285714</v>
      </c>
      <c r="K20" s="26">
        <f>(DATA!$K14/DATA!$F14)^0.2-1</f>
        <v>0.04758675333248519</v>
      </c>
      <c r="L20" s="26">
        <f>(DATA!$S14/DATA!$N14)^0.2-1</f>
        <v>0.10286313147852999</v>
      </c>
      <c r="M20" s="26">
        <f>(DATA!$AI14/DATA!$AD14)^0.2-1</f>
        <v>0.06223755448886181</v>
      </c>
      <c r="N20" s="22"/>
      <c r="Q20" s="55"/>
    </row>
    <row r="21" spans="1:17" ht="19.5" customHeight="1">
      <c r="A21" s="23" t="str">
        <f>DATA!A15</f>
        <v>PNW</v>
      </c>
      <c r="B21" s="56">
        <f>'Ex10,p1'!L21</f>
        <v>0.03521057201780094</v>
      </c>
      <c r="C21" s="26">
        <f>DATA!AU15</f>
        <v>0.015</v>
      </c>
      <c r="D21" s="26">
        <f>DATA!AW15</f>
        <v>0.03</v>
      </c>
      <c r="E21" s="26">
        <f>DATA!AY15</f>
        <v>0.02</v>
      </c>
      <c r="F21" s="56">
        <f>DATA!BA15</f>
        <v>0.0558</v>
      </c>
      <c r="G21" s="26">
        <f>DATA!AT15</f>
        <v>-0.05</v>
      </c>
      <c r="H21" s="26">
        <f>DATA!AV15</f>
        <v>0.06</v>
      </c>
      <c r="I21" s="26">
        <f>DATA!AX15</f>
        <v>0.04</v>
      </c>
      <c r="J21" s="56">
        <f t="shared" si="0"/>
        <v>0.0244</v>
      </c>
      <c r="K21" s="26">
        <f>(DATA!$K15/DATA!$F15)^0.2-1</f>
        <v>0.030493749391215186</v>
      </c>
      <c r="L21" s="26">
        <f>(DATA!$S15/DATA!$N15)^0.2-1</f>
        <v>0.051977226199795945</v>
      </c>
      <c r="M21" s="26">
        <f>(DATA!$AI15/DATA!$AD15)^0.2-1</f>
        <v>0.036972835900539236</v>
      </c>
      <c r="N21" s="22"/>
      <c r="Q21" s="55"/>
    </row>
    <row r="22" spans="1:17" ht="19.5" customHeight="1">
      <c r="A22" s="23" t="str">
        <f>DATA!A16</f>
        <v>PSD</v>
      </c>
      <c r="B22" s="56">
        <f>'Ex10,p1'!L22</f>
        <v>0.053311206191405024</v>
      </c>
      <c r="C22" s="26">
        <f>DATA!AU16</f>
        <v>0.06</v>
      </c>
      <c r="D22" s="26">
        <f>DATA!AW16</f>
        <v>0.03</v>
      </c>
      <c r="E22" s="26">
        <f>DATA!AY16</f>
        <v>0.04</v>
      </c>
      <c r="F22" s="56">
        <f>DATA!BA16</f>
        <v>0.0567</v>
      </c>
      <c r="G22" s="26">
        <f>DATA!AT16</f>
        <v>-0.045</v>
      </c>
      <c r="H22" s="26">
        <f>DATA!AV16</f>
        <v>-0.115</v>
      </c>
      <c r="I22" s="26">
        <f>DATA!AX16</f>
        <v>0.015</v>
      </c>
      <c r="J22" s="56">
        <f>AVERAGE(C22,D22,E22,G22,H22,I22,F22)</f>
        <v>0.005957142857142857</v>
      </c>
      <c r="K22" s="26">
        <f>(DATA!$K16/DATA!$F16)^0.2-1</f>
        <v>0.052300215891077695</v>
      </c>
      <c r="L22" s="26">
        <f>(DATA!$S16/DATA!$N16)^0.2-1</f>
        <v>0</v>
      </c>
      <c r="M22" s="26">
        <f>(DATA!$AI16/DATA!$AD16)^0.2-1</f>
        <v>0.03313302667476936</v>
      </c>
      <c r="N22" s="22"/>
      <c r="Q22" s="55"/>
    </row>
    <row r="23" spans="1:17" ht="19.5" customHeight="1">
      <c r="A23" s="23" t="str">
        <f>DATA!A17</f>
        <v>UNS</v>
      </c>
      <c r="B23" s="56">
        <f>'Ex10,p1'!L23</f>
        <v>0.04841362599771949</v>
      </c>
      <c r="C23" s="26">
        <f>DATA!AU17</f>
        <v>0.04</v>
      </c>
      <c r="D23" s="26">
        <f>DATA!AW17</f>
        <v>0.07</v>
      </c>
      <c r="E23" s="26">
        <f>DATA!AY17</f>
        <v>0.04</v>
      </c>
      <c r="F23" s="56" t="str">
        <f>DATA!BA17</f>
        <v>n/a</v>
      </c>
      <c r="G23" s="26">
        <f>DATA!AT17</f>
        <v>0.015</v>
      </c>
      <c r="H23" s="26" t="str">
        <f>DATA!AV17</f>
        <v>nmf</v>
      </c>
      <c r="I23" s="26">
        <f>DATA!AX17</f>
        <v>0.095</v>
      </c>
      <c r="J23" s="56">
        <f>AVERAGE(C23,D23,E23,G23,H23,I23,F23)</f>
        <v>0.052000000000000005</v>
      </c>
      <c r="K23" s="26">
        <f>(DATA!$K17/DATA!$F17)^0.2-1</f>
        <v>0.10527322554960117</v>
      </c>
      <c r="L23" s="26">
        <f>(DATA!$S17/DATA!$N17)^0.2-1</f>
        <v>0.12474611314209483</v>
      </c>
      <c r="M23" s="26">
        <f>(DATA!$AI17/DATA!$AD17)^0.2-1</f>
        <v>0.08419462529612187</v>
      </c>
      <c r="N23" s="22"/>
      <c r="Q23" s="55"/>
    </row>
    <row r="24" spans="1:17" ht="19.5" customHeight="1">
      <c r="A24" s="23" t="str">
        <f>DATA!A18</f>
        <v>XEL</v>
      </c>
      <c r="B24" s="57">
        <f>'Ex10,p1'!L24</f>
        <v>0.04532670223494584</v>
      </c>
      <c r="C24" s="41">
        <f>DATA!AU18</f>
        <v>0.055</v>
      </c>
      <c r="D24" s="41">
        <f>DATA!AW18</f>
        <v>0.045</v>
      </c>
      <c r="E24" s="41">
        <f>DATA!AY18</f>
        <v>0.04</v>
      </c>
      <c r="F24" s="57">
        <f>DATA!BA18</f>
        <v>0.0612</v>
      </c>
      <c r="G24" s="41">
        <f>DATA!AT18</f>
        <v>-0.065</v>
      </c>
      <c r="H24" s="41">
        <f>DATA!AV18</f>
        <v>-0.105</v>
      </c>
      <c r="I24" s="41">
        <f>DATA!AX18</f>
        <v>-0.045</v>
      </c>
      <c r="J24" s="57">
        <f>AVERAGE(C24,D24,E24,G24,H24,I24,F24)</f>
        <v>-0.0019714285714285693</v>
      </c>
      <c r="K24" s="41">
        <f>(DATA!$K18/DATA!$F18)^0.2-1</f>
        <v>0.2630393918952243</v>
      </c>
      <c r="L24" s="41">
        <f>(DATA!$S18/DATA!$N18)^0.2-1</f>
        <v>-0.042381362720852134</v>
      </c>
      <c r="M24" s="41">
        <f>(DATA!$AI18/DATA!$AD18)^0.2-1</f>
        <v>0.0467098102600354</v>
      </c>
      <c r="N24" s="22"/>
      <c r="Q24" s="55"/>
    </row>
    <row r="25" spans="1:13" ht="19.5" customHeight="1">
      <c r="A25" s="22"/>
      <c r="B25" s="58"/>
      <c r="C25" s="59">
        <f>AVERAGE(C11:C24)</f>
        <v>0.06142857142857143</v>
      </c>
      <c r="D25" s="36">
        <f>AVERAGE(D11:D24)</f>
        <v>0.04428571428571428</v>
      </c>
      <c r="E25" s="60">
        <f>AVERAGE(E11:E24)</f>
        <v>0.04071428571428571</v>
      </c>
      <c r="F25" s="58"/>
      <c r="G25" s="59">
        <f>AVERAGE(G11:G24)</f>
        <v>-0.003461538461538461</v>
      </c>
      <c r="H25" s="36">
        <f>AVERAGE(H11:H24)</f>
        <v>0.011923076923076929</v>
      </c>
      <c r="I25" s="60">
        <f>AVERAGE(I11:I24)</f>
        <v>0.029285714285714283</v>
      </c>
      <c r="J25" s="56"/>
      <c r="K25" s="59">
        <f>AVERAGE(K11:K24)</f>
        <v>0.062151194770712105</v>
      </c>
      <c r="L25" s="36">
        <f>AVERAGE(L11:L24)</f>
        <v>0.0331931415330466</v>
      </c>
      <c r="M25" s="36">
        <f>AVERAGE(M11:M24)</f>
        <v>0.03876707618914938</v>
      </c>
    </row>
    <row r="26" spans="1:13" ht="19.5" customHeight="1">
      <c r="A26" s="23" t="s">
        <v>177</v>
      </c>
      <c r="B26" s="61">
        <f>AVERAGE(B11:B24)</f>
        <v>0.050659797382791104</v>
      </c>
      <c r="C26" s="22"/>
      <c r="D26" s="26">
        <f>(C25+D25+E25)/3</f>
        <v>0.0488095238095238</v>
      </c>
      <c r="E26" s="22"/>
      <c r="F26" s="61">
        <f>AVERAGE(F11:F24)</f>
        <v>0.080725</v>
      </c>
      <c r="G26" s="22"/>
      <c r="H26" s="26">
        <f>(G25+H25+I25)/3</f>
        <v>0.012582417582417585</v>
      </c>
      <c r="I26" s="22"/>
      <c r="J26" s="61">
        <f>AVERAGE(J11:J24)</f>
        <v>0.03827993197278911</v>
      </c>
      <c r="K26" s="22"/>
      <c r="L26" s="26">
        <f>(K25+L25+M25)/3</f>
        <v>0.044703804164302696</v>
      </c>
      <c r="M26" s="22"/>
    </row>
    <row r="29" spans="1:9" ht="12">
      <c r="A29" s="22"/>
      <c r="C29" s="62" t="s">
        <v>37</v>
      </c>
      <c r="D29" s="22" t="s">
        <v>75</v>
      </c>
      <c r="G29" s="55"/>
      <c r="H29" s="55"/>
      <c r="I29" s="55"/>
    </row>
    <row r="30" ht="12">
      <c r="D30" s="22" t="s">
        <v>38</v>
      </c>
    </row>
    <row r="31" ht="12">
      <c r="D31" s="22" t="s">
        <v>39</v>
      </c>
    </row>
    <row r="33" spans="16:18" s="31" customFormat="1" ht="12">
      <c r="P33" s="28"/>
      <c r="Q33" s="28"/>
      <c r="R33" s="28"/>
    </row>
    <row r="34" spans="3:18" s="22" customFormat="1" ht="12">
      <c r="C34" s="28"/>
      <c r="D34" s="31"/>
      <c r="H34" s="31"/>
      <c r="L34" s="31"/>
      <c r="P34" s="28"/>
      <c r="Q34" s="28"/>
      <c r="R34" s="28"/>
    </row>
    <row r="35" spans="16:18" ht="12.75">
      <c r="P35"/>
      <c r="Q35"/>
      <c r="R35"/>
    </row>
    <row r="36" spans="16:18" ht="12.75">
      <c r="P36"/>
      <c r="Q36"/>
      <c r="R36"/>
    </row>
    <row r="37" spans="16:18" ht="12.75">
      <c r="P37"/>
      <c r="Q37"/>
      <c r="R37"/>
    </row>
    <row r="38" spans="16:18" ht="12.75">
      <c r="P38"/>
      <c r="Q38"/>
      <c r="R38"/>
    </row>
    <row r="39" spans="16:18" ht="12.75">
      <c r="P39"/>
      <c r="Q39"/>
      <c r="R39"/>
    </row>
    <row r="40" spans="16:18" ht="12.75">
      <c r="P40"/>
      <c r="Q40"/>
      <c r="R40"/>
    </row>
    <row r="41" spans="16:18" ht="12.75">
      <c r="P41"/>
      <c r="Q41"/>
      <c r="R41"/>
    </row>
    <row r="42" spans="16:18" ht="12.75">
      <c r="P42"/>
      <c r="Q42"/>
      <c r="R42"/>
    </row>
    <row r="43" spans="16:18" ht="12.75">
      <c r="P43"/>
      <c r="Q43"/>
      <c r="R43"/>
    </row>
    <row r="44" spans="16:18" ht="12.75">
      <c r="P44"/>
      <c r="Q44"/>
      <c r="R44"/>
    </row>
    <row r="45" spans="16:18" ht="12.75">
      <c r="P45"/>
      <c r="Q45"/>
      <c r="R45"/>
    </row>
    <row r="46" spans="16:18" ht="12.75">
      <c r="P46"/>
      <c r="Q46"/>
      <c r="R46"/>
    </row>
    <row r="47" spans="16:18" ht="12.75">
      <c r="P47"/>
      <c r="Q47"/>
      <c r="R47"/>
    </row>
    <row r="48" spans="16:18" ht="12.75">
      <c r="P48"/>
      <c r="Q48"/>
      <c r="R48"/>
    </row>
  </sheetData>
  <sheetProtection/>
  <printOptions/>
  <pageMargins left="0.76" right="0.75" top="1" bottom="1" header="0.5" footer="0.5"/>
  <pageSetup fitToHeight="1" fitToWidth="1" orientation="portrait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E4" sqref="E4"/>
    </sheetView>
  </sheetViews>
  <sheetFormatPr defaultColWidth="10.875" defaultRowHeight="12"/>
  <cols>
    <col min="1" max="1" width="16.875" style="28" customWidth="1"/>
    <col min="2" max="2" width="19.875" style="28" customWidth="1"/>
    <col min="3" max="3" width="6.50390625" style="28" customWidth="1"/>
    <col min="4" max="4" width="19.50390625" style="28" customWidth="1"/>
    <col min="5" max="5" width="26.00390625" style="28" customWidth="1"/>
    <col min="6" max="16384" width="10.875" style="28" customWidth="1"/>
  </cols>
  <sheetData>
    <row r="1" spans="1:5" ht="12">
      <c r="A1" s="23"/>
      <c r="B1" s="23"/>
      <c r="C1" s="23"/>
      <c r="D1" s="23"/>
      <c r="E1" s="62" t="s">
        <v>32</v>
      </c>
    </row>
    <row r="2" spans="1:5" ht="12">
      <c r="A2" s="23"/>
      <c r="B2" s="23"/>
      <c r="C2" s="23"/>
      <c r="D2" s="23"/>
      <c r="E2" s="62" t="s">
        <v>33</v>
      </c>
    </row>
    <row r="3" spans="1:5" ht="12">
      <c r="A3" s="23"/>
      <c r="B3" s="23"/>
      <c r="C3" s="23"/>
      <c r="D3" s="23"/>
      <c r="E3" s="62" t="s">
        <v>31</v>
      </c>
    </row>
    <row r="4" spans="1:5" ht="12">
      <c r="A4" s="23"/>
      <c r="B4" s="23"/>
      <c r="C4" s="23"/>
      <c r="D4" s="23"/>
      <c r="E4" s="23"/>
    </row>
    <row r="5" spans="1:5" ht="12">
      <c r="A5" s="23"/>
      <c r="B5" s="23"/>
      <c r="C5" s="32" t="str">
        <f>DATA!A1</f>
        <v>PUGET SOUND ENERGY</v>
      </c>
      <c r="D5" s="23"/>
      <c r="E5" s="23"/>
    </row>
    <row r="6" spans="1:5" ht="12">
      <c r="A6" s="23"/>
      <c r="B6" s="23"/>
      <c r="C6" s="32"/>
      <c r="D6" s="23"/>
      <c r="E6" s="23"/>
    </row>
    <row r="7" spans="1:5" ht="12">
      <c r="A7" s="23"/>
      <c r="B7" s="23"/>
      <c r="C7" s="32" t="s">
        <v>181</v>
      </c>
      <c r="D7" s="23"/>
      <c r="E7" s="23"/>
    </row>
    <row r="8" spans="1:5" ht="12">
      <c r="A8" s="23"/>
      <c r="B8" s="23"/>
      <c r="C8" s="23"/>
      <c r="D8" s="23"/>
      <c r="E8" s="23"/>
    </row>
    <row r="9" spans="1:5" ht="12">
      <c r="A9" s="23"/>
      <c r="B9" s="23"/>
      <c r="C9" s="23"/>
      <c r="D9" s="23"/>
      <c r="E9" s="23"/>
    </row>
    <row r="10" spans="1:8" ht="12">
      <c r="A10" s="23"/>
      <c r="B10" s="23" t="s">
        <v>182</v>
      </c>
      <c r="C10" s="23"/>
      <c r="D10" s="23" t="s">
        <v>183</v>
      </c>
      <c r="E10" s="23" t="s">
        <v>114</v>
      </c>
      <c r="H10" s="63">
        <v>38052</v>
      </c>
    </row>
    <row r="11" spans="1:8" ht="12">
      <c r="A11" s="42" t="s">
        <v>231</v>
      </c>
      <c r="B11" s="42">
        <f>DATA!B2</f>
        <v>2008</v>
      </c>
      <c r="C11" s="42"/>
      <c r="D11" s="42" t="s">
        <v>114</v>
      </c>
      <c r="E11" s="42" t="s">
        <v>184</v>
      </c>
      <c r="H11" s="28" t="s">
        <v>217</v>
      </c>
    </row>
    <row r="12" spans="1:8" ht="12">
      <c r="A12" s="23"/>
      <c r="B12" s="23" t="s">
        <v>185</v>
      </c>
      <c r="C12" s="23"/>
      <c r="D12" s="23" t="s">
        <v>185</v>
      </c>
      <c r="E12" s="23"/>
      <c r="H12" s="28" t="s">
        <v>218</v>
      </c>
    </row>
    <row r="13" spans="1:8" ht="12">
      <c r="A13" s="23"/>
      <c r="B13" s="23"/>
      <c r="C13" s="23"/>
      <c r="D13" s="23"/>
      <c r="E13" s="23"/>
      <c r="H13" s="28" t="s">
        <v>219</v>
      </c>
    </row>
    <row r="14" spans="1:8" ht="21.75" customHeight="1">
      <c r="A14" s="23" t="str">
        <f>DATA!A5</f>
        <v>CV</v>
      </c>
      <c r="B14" s="64">
        <f>DATA!B5</f>
        <v>26.923</v>
      </c>
      <c r="C14" s="23"/>
      <c r="D14" s="64">
        <f>DATA!$E5*4</f>
        <v>0.92</v>
      </c>
      <c r="E14" s="26">
        <f aca="true" t="shared" si="0" ref="E14:E24">D14/B14</f>
        <v>0.034171526204360585</v>
      </c>
      <c r="H14" s="28">
        <v>0.035</v>
      </c>
    </row>
    <row r="15" spans="1:8" ht="21.75" customHeight="1">
      <c r="A15" s="23" t="str">
        <f>DATA!A6</f>
        <v>FE</v>
      </c>
      <c r="B15" s="64">
        <f>DATA!B6</f>
        <v>70.22333333333334</v>
      </c>
      <c r="C15" s="23"/>
      <c r="D15" s="64">
        <f>DATA!$E6*4</f>
        <v>2.2</v>
      </c>
      <c r="E15" s="26">
        <f t="shared" si="0"/>
        <v>0.031328618218066165</v>
      </c>
      <c r="H15" s="28">
        <v>0.032</v>
      </c>
    </row>
    <row r="16" spans="1:8" ht="21.75" customHeight="1">
      <c r="A16" s="23" t="str">
        <f>DATA!A7</f>
        <v>NU</v>
      </c>
      <c r="B16" s="64">
        <f>DATA!B7</f>
        <v>26.699666666666666</v>
      </c>
      <c r="C16" s="23"/>
      <c r="D16" s="64">
        <f>DATA!$E7*4</f>
        <v>0.8</v>
      </c>
      <c r="E16" s="26">
        <f t="shared" si="0"/>
        <v>0.029962920885404316</v>
      </c>
      <c r="H16" s="28">
        <v>0.032</v>
      </c>
    </row>
    <row r="17" spans="1:8" ht="21.75" customHeight="1">
      <c r="A17" s="23" t="str">
        <f>DATA!A8</f>
        <v>AEE</v>
      </c>
      <c r="B17" s="64">
        <f>DATA!B8</f>
        <v>43.69666666666667</v>
      </c>
      <c r="C17" s="23"/>
      <c r="D17" s="64">
        <f>DATA!$E8*4</f>
        <v>2.54</v>
      </c>
      <c r="E17" s="26">
        <f t="shared" si="0"/>
        <v>0.058128003661606524</v>
      </c>
      <c r="H17" s="28">
        <v>0.058</v>
      </c>
    </row>
    <row r="18" spans="1:8" ht="21.75" customHeight="1">
      <c r="A18" s="23" t="str">
        <f>DATA!A9</f>
        <v>AEP</v>
      </c>
      <c r="B18" s="64">
        <f>DATA!B9</f>
        <v>42.55266666666667</v>
      </c>
      <c r="C18" s="23"/>
      <c r="D18" s="64">
        <f>DATA!$E9*4</f>
        <v>1.64</v>
      </c>
      <c r="E18" s="26">
        <f t="shared" si="0"/>
        <v>0.0385404753325291</v>
      </c>
      <c r="H18" s="28">
        <v>0.039</v>
      </c>
    </row>
    <row r="19" spans="1:8" ht="21.75" customHeight="1">
      <c r="A19" s="23" t="str">
        <f>DATA!A10</f>
        <v>CNL</v>
      </c>
      <c r="B19" s="64">
        <f>DATA!B10</f>
        <v>24.349333333333334</v>
      </c>
      <c r="C19" s="23"/>
      <c r="D19" s="64">
        <f>DATA!$E10*4</f>
        <v>0.9</v>
      </c>
      <c r="E19" s="26">
        <f t="shared" si="0"/>
        <v>0.036961997590625344</v>
      </c>
      <c r="H19" s="28">
        <v>0.037</v>
      </c>
    </row>
    <row r="20" spans="1:8" ht="21.75" customHeight="1">
      <c r="A20" s="23" t="str">
        <f>DATA!A11</f>
        <v>EDE</v>
      </c>
      <c r="B20" s="64">
        <f>DATA!B11</f>
        <v>21.443999999999996</v>
      </c>
      <c r="C20" s="23"/>
      <c r="D20" s="64">
        <f>DATA!$E11*4</f>
        <v>1.28</v>
      </c>
      <c r="E20" s="26">
        <f t="shared" si="0"/>
        <v>0.059690356276814044</v>
      </c>
      <c r="H20" s="28">
        <v>0.058</v>
      </c>
    </row>
    <row r="21" spans="1:8" ht="21.75" customHeight="1">
      <c r="A21" s="23" t="str">
        <f>DATA!A12</f>
        <v>ETR</v>
      </c>
      <c r="B21" s="64">
        <f>DATA!B12</f>
        <v>106.26433333333335</v>
      </c>
      <c r="C21" s="23"/>
      <c r="D21" s="64">
        <f>DATA!$E12*4</f>
        <v>3</v>
      </c>
      <c r="E21" s="26">
        <f t="shared" si="0"/>
        <v>0.028231485634879053</v>
      </c>
      <c r="H21" s="28">
        <v>0.029</v>
      </c>
    </row>
    <row r="22" spans="1:8" ht="21.75" customHeight="1">
      <c r="A22" s="23" t="str">
        <f>DATA!A13</f>
        <v>HE</v>
      </c>
      <c r="B22" s="64">
        <f>DATA!B13</f>
        <v>22.684000000000005</v>
      </c>
      <c r="C22" s="23"/>
      <c r="D22" s="64">
        <f>DATA!$E13*4</f>
        <v>1.24</v>
      </c>
      <c r="E22" s="26">
        <f t="shared" si="0"/>
        <v>0.05466408040909891</v>
      </c>
      <c r="H22" s="28">
        <v>0.053</v>
      </c>
    </row>
    <row r="23" spans="1:8" ht="21.75" customHeight="1">
      <c r="A23" s="23" t="str">
        <f>DATA!A14</f>
        <v>PNM</v>
      </c>
      <c r="B23" s="64">
        <f>DATA!B14</f>
        <v>14.473333333333331</v>
      </c>
      <c r="C23" s="23"/>
      <c r="D23" s="64">
        <f>DATA!$E14*4</f>
        <v>0.92</v>
      </c>
      <c r="E23" s="26">
        <f t="shared" si="0"/>
        <v>0.06356517733763244</v>
      </c>
      <c r="H23" s="28">
        <v>0.076</v>
      </c>
    </row>
    <row r="24" spans="1:8" ht="21.75" customHeight="1">
      <c r="A24" s="23" t="str">
        <f>DATA!A15</f>
        <v>PNW</v>
      </c>
      <c r="B24" s="64">
        <f>DATA!B15</f>
        <v>36.852</v>
      </c>
      <c r="C24" s="23" t="s">
        <v>67</v>
      </c>
      <c r="D24" s="64">
        <f>DATA!$E15*4*(1+'Ex10,p1'!L21)</f>
        <v>2.173942201237382</v>
      </c>
      <c r="E24" s="26">
        <f t="shared" si="0"/>
        <v>0.05899115926509775</v>
      </c>
      <c r="H24" s="28">
        <v>0.057</v>
      </c>
    </row>
    <row r="25" spans="1:8" ht="21.75" customHeight="1">
      <c r="A25" s="23" t="str">
        <f>DATA!A16</f>
        <v>PSD</v>
      </c>
      <c r="B25" s="64">
        <f>DATA!B16</f>
        <v>26.488333333333337</v>
      </c>
      <c r="C25" s="23"/>
      <c r="D25" s="64">
        <f>DATA!$E16*4</f>
        <v>1</v>
      </c>
      <c r="E25" s="26">
        <f>D25/B25</f>
        <v>0.037752469640722326</v>
      </c>
      <c r="H25" s="28">
        <v>0.037</v>
      </c>
    </row>
    <row r="26" spans="1:8" ht="21.75" customHeight="1">
      <c r="A26" s="23" t="str">
        <f>DATA!A17</f>
        <v>UNS</v>
      </c>
      <c r="B26" s="64">
        <f>DATA!B17</f>
        <v>26.894666666666662</v>
      </c>
      <c r="C26" s="23" t="s">
        <v>67</v>
      </c>
      <c r="D26" s="64">
        <f>DATA!$E17*4*(1+'Ex10,p1'!L24)</f>
        <v>0.9407940320114514</v>
      </c>
      <c r="E26" s="26">
        <f>D26/B26</f>
        <v>0.03498069128990078</v>
      </c>
      <c r="H26" s="28">
        <v>0.035</v>
      </c>
    </row>
    <row r="27" spans="1:8" ht="21.75" customHeight="1">
      <c r="A27" s="23" t="str">
        <f>DATA!A18</f>
        <v>XEL</v>
      </c>
      <c r="B27" s="64">
        <f>DATA!B18</f>
        <v>20.492666666666665</v>
      </c>
      <c r="C27" s="23"/>
      <c r="D27" s="64">
        <f>DATA!$E18*4</f>
        <v>0.92</v>
      </c>
      <c r="E27" s="41">
        <f>D27/B27</f>
        <v>0.04489410846156349</v>
      </c>
      <c r="H27" s="28">
        <v>0.046</v>
      </c>
    </row>
    <row r="28" spans="1:5" ht="15" customHeight="1">
      <c r="A28" s="23"/>
      <c r="B28" s="64"/>
      <c r="C28" s="23"/>
      <c r="D28" s="64"/>
      <c r="E28" s="41"/>
    </row>
    <row r="29" spans="1:9" ht="12">
      <c r="A29" s="23"/>
      <c r="B29" s="64"/>
      <c r="C29" s="23"/>
      <c r="D29" s="62" t="s">
        <v>186</v>
      </c>
      <c r="E29" s="52">
        <f>AVERAGE(E14:E27)</f>
        <v>0.04370450501487864</v>
      </c>
      <c r="H29" s="28">
        <f>AVERAGE(H14:H27)</f>
        <v>0.04457142857142859</v>
      </c>
      <c r="I29" s="55">
        <f>H29-E29</f>
        <v>0.0008669235565499506</v>
      </c>
    </row>
    <row r="30" spans="1:5" ht="12">
      <c r="A30" s="23"/>
      <c r="B30" s="23"/>
      <c r="C30" s="23"/>
      <c r="D30" s="23"/>
      <c r="E30" s="23"/>
    </row>
    <row r="31" spans="1:5" ht="12">
      <c r="A31" s="23"/>
      <c r="B31" s="23"/>
      <c r="C31" s="23"/>
      <c r="D31" s="23"/>
      <c r="E31" s="23"/>
    </row>
    <row r="32" spans="1:3" ht="12">
      <c r="A32" s="23"/>
      <c r="B32" s="23"/>
      <c r="C32" s="23"/>
    </row>
    <row r="33" spans="1:5" ht="12">
      <c r="A33" s="45" t="s">
        <v>30</v>
      </c>
      <c r="B33" s="23"/>
      <c r="C33" s="23"/>
      <c r="D33" s="23"/>
      <c r="E33" s="23"/>
    </row>
    <row r="34" spans="1:5" ht="12">
      <c r="A34" s="23"/>
      <c r="B34" s="23"/>
      <c r="C34" s="23"/>
      <c r="D34" s="23"/>
      <c r="E34" s="23"/>
    </row>
    <row r="35" spans="1:5" ht="12">
      <c r="A35" s="65"/>
      <c r="B35" s="66"/>
      <c r="C35" s="66"/>
      <c r="D35" s="66"/>
      <c r="E35" s="66"/>
    </row>
  </sheetData>
  <sheetProtection/>
  <printOptions/>
  <pageMargins left="1.29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">
      <selection activeCell="E4" sqref="E4"/>
    </sheetView>
  </sheetViews>
  <sheetFormatPr defaultColWidth="10.875" defaultRowHeight="12"/>
  <cols>
    <col min="1" max="1" width="19.625" style="28" customWidth="1"/>
    <col min="2" max="2" width="20.875" style="28" customWidth="1"/>
    <col min="3" max="3" width="3.50390625" style="28" customWidth="1"/>
    <col min="4" max="4" width="21.00390625" style="28" customWidth="1"/>
    <col min="5" max="5" width="24.375" style="28" customWidth="1"/>
    <col min="6" max="16384" width="10.875" style="28" customWidth="1"/>
  </cols>
  <sheetData>
    <row r="1" spans="1:5" ht="12">
      <c r="A1" s="23"/>
      <c r="B1" s="26"/>
      <c r="C1" s="26"/>
      <c r="D1" s="26"/>
      <c r="E1" s="62" t="s">
        <v>25</v>
      </c>
    </row>
    <row r="2" spans="1:5" ht="12">
      <c r="A2" s="23"/>
      <c r="B2" s="26"/>
      <c r="C2" s="26"/>
      <c r="D2" s="26"/>
      <c r="E2" s="29" t="s">
        <v>34</v>
      </c>
    </row>
    <row r="3" spans="1:5" ht="12">
      <c r="A3" s="23"/>
      <c r="B3" s="26"/>
      <c r="C3" s="26"/>
      <c r="D3" s="26"/>
      <c r="E3" s="62" t="s">
        <v>31</v>
      </c>
    </row>
    <row r="4" spans="1:5" ht="12">
      <c r="A4" s="23"/>
      <c r="B4" s="26"/>
      <c r="C4" s="26"/>
      <c r="D4" s="26"/>
      <c r="E4" s="26"/>
    </row>
    <row r="5" spans="1:5" ht="12">
      <c r="A5" s="23"/>
      <c r="B5" s="26"/>
      <c r="C5" s="52" t="str">
        <f>DATA!A1</f>
        <v>PUGET SOUND ENERGY</v>
      </c>
      <c r="D5" s="26"/>
      <c r="E5" s="26"/>
    </row>
    <row r="6" spans="1:5" ht="12">
      <c r="A6" s="23"/>
      <c r="B6" s="26"/>
      <c r="C6" s="52"/>
      <c r="D6" s="26"/>
      <c r="E6" s="26"/>
    </row>
    <row r="7" spans="1:5" ht="12">
      <c r="A7" s="23"/>
      <c r="B7" s="26"/>
      <c r="C7" s="52" t="s">
        <v>187</v>
      </c>
      <c r="D7" s="26"/>
      <c r="E7" s="26"/>
    </row>
    <row r="8" spans="1:5" ht="12">
      <c r="A8" s="23"/>
      <c r="B8" s="26"/>
      <c r="C8" s="26"/>
      <c r="D8" s="26"/>
      <c r="E8" s="26"/>
    </row>
    <row r="9" spans="1:5" ht="12">
      <c r="A9" s="23"/>
      <c r="B9" s="26"/>
      <c r="C9" s="26"/>
      <c r="D9" s="26"/>
      <c r="E9" s="26"/>
    </row>
    <row r="10" spans="1:5" ht="12">
      <c r="A10" s="23"/>
      <c r="B10" s="26" t="s">
        <v>191</v>
      </c>
      <c r="C10" s="26"/>
      <c r="D10" s="26" t="s">
        <v>192</v>
      </c>
      <c r="E10" s="26" t="s">
        <v>193</v>
      </c>
    </row>
    <row r="11" spans="1:5" ht="12">
      <c r="A11" s="42" t="s">
        <v>231</v>
      </c>
      <c r="B11" s="41" t="s">
        <v>212</v>
      </c>
      <c r="C11" s="41"/>
      <c r="D11" s="41" t="s">
        <v>150</v>
      </c>
      <c r="E11" s="41" t="s">
        <v>12</v>
      </c>
    </row>
    <row r="12" spans="1:5" ht="12">
      <c r="A12" s="23"/>
      <c r="B12" s="26"/>
      <c r="C12" s="26"/>
      <c r="D12" s="26"/>
      <c r="E12" s="26"/>
    </row>
    <row r="13" spans="1:5" ht="12">
      <c r="A13" s="23"/>
      <c r="B13" s="26"/>
      <c r="C13" s="26"/>
      <c r="D13" s="26"/>
      <c r="E13" s="26"/>
    </row>
    <row r="14" spans="1:5" ht="21.75" customHeight="1">
      <c r="A14" s="23" t="str">
        <f>DATA!A5</f>
        <v>CV</v>
      </c>
      <c r="B14" s="26">
        <f>'Ex11'!E14</f>
        <v>0.034171526204360585</v>
      </c>
      <c r="C14" s="26"/>
      <c r="D14" s="26">
        <f>'Ex10,p1'!L11</f>
        <v>0.04823570924488356</v>
      </c>
      <c r="E14" s="26">
        <f aca="true" t="shared" si="0" ref="E14:E24">B14+D14</f>
        <v>0.08240723544924414</v>
      </c>
    </row>
    <row r="15" spans="1:5" ht="21.75" customHeight="1">
      <c r="A15" s="23" t="str">
        <f>DATA!A6</f>
        <v>FE</v>
      </c>
      <c r="B15" s="26">
        <f>'Ex11'!E15</f>
        <v>0.031328618218066165</v>
      </c>
      <c r="C15" s="26"/>
      <c r="D15" s="26">
        <f>'Ex10,p1'!L12</f>
        <v>0.065</v>
      </c>
      <c r="E15" s="26">
        <f t="shared" si="0"/>
        <v>0.09632861821806617</v>
      </c>
    </row>
    <row r="16" spans="1:5" ht="21.75" customHeight="1">
      <c r="A16" s="23" t="str">
        <f>DATA!A7</f>
        <v>NU</v>
      </c>
      <c r="B16" s="26">
        <f>'Ex11'!E16</f>
        <v>0.029962920885404316</v>
      </c>
      <c r="C16" s="26"/>
      <c r="D16" s="26">
        <f>'Ex10,p1'!L13</f>
        <v>0.06235926790596637</v>
      </c>
      <c r="E16" s="26">
        <f t="shared" si="0"/>
        <v>0.09232218879137069</v>
      </c>
    </row>
    <row r="17" spans="1:5" ht="21.75" customHeight="1">
      <c r="A17" s="23" t="str">
        <f>DATA!A8</f>
        <v>AEE</v>
      </c>
      <c r="B17" s="26">
        <f>'Ex11'!E17</f>
        <v>0.058128003661606524</v>
      </c>
      <c r="C17" s="26"/>
      <c r="D17" s="26">
        <f>'Ex10,p1'!L14</f>
        <v>0.040033183309176906</v>
      </c>
      <c r="E17" s="26">
        <f t="shared" si="0"/>
        <v>0.09816118697078344</v>
      </c>
    </row>
    <row r="18" spans="1:5" ht="21.75" customHeight="1">
      <c r="A18" s="23" t="str">
        <f>DATA!A9</f>
        <v>AEP</v>
      </c>
      <c r="B18" s="26">
        <f>'Ex11'!E18</f>
        <v>0.0385404753325291</v>
      </c>
      <c r="C18" s="26"/>
      <c r="D18" s="26">
        <f>'Ex10,p1'!L15</f>
        <v>0.06225974870356735</v>
      </c>
      <c r="E18" s="26">
        <f t="shared" si="0"/>
        <v>0.10080022403609645</v>
      </c>
    </row>
    <row r="19" spans="1:5" ht="21.75" customHeight="1">
      <c r="A19" s="23" t="str">
        <f>DATA!A10</f>
        <v>CNL</v>
      </c>
      <c r="B19" s="26">
        <f>'Ex11'!E19</f>
        <v>0.036961997590625344</v>
      </c>
      <c r="C19" s="26"/>
      <c r="D19" s="26">
        <f>'Ex10,p1'!L16</f>
        <v>0.06331576497645383</v>
      </c>
      <c r="E19" s="26">
        <f t="shared" si="0"/>
        <v>0.10027776256707918</v>
      </c>
    </row>
    <row r="20" spans="1:5" ht="21.75" customHeight="1">
      <c r="A20" s="23" t="str">
        <f>DATA!A11</f>
        <v>EDE</v>
      </c>
      <c r="B20" s="26">
        <f>'Ex11'!E20</f>
        <v>0.059690356276814044</v>
      </c>
      <c r="C20" s="26"/>
      <c r="D20" s="26">
        <f>'Ex10,p1'!L17</f>
        <v>0.04496828949822793</v>
      </c>
      <c r="E20" s="26">
        <f t="shared" si="0"/>
        <v>0.10465864577504197</v>
      </c>
    </row>
    <row r="21" spans="1:5" ht="21.75" customHeight="1">
      <c r="A21" s="23" t="str">
        <f>DATA!A12</f>
        <v>ETR</v>
      </c>
      <c r="B21" s="26">
        <f>'Ex11'!E21</f>
        <v>0.028231485634879053</v>
      </c>
      <c r="C21" s="26"/>
      <c r="D21" s="26">
        <f>'Ex10,p1'!L18</f>
        <v>0.07383007155113193</v>
      </c>
      <c r="E21" s="26">
        <f t="shared" si="0"/>
        <v>0.10206155718601098</v>
      </c>
    </row>
    <row r="22" spans="1:5" ht="21.75" customHeight="1">
      <c r="A22" s="23" t="str">
        <f>DATA!A13</f>
        <v>HE</v>
      </c>
      <c r="B22" s="26">
        <f>'Ex11'!E22</f>
        <v>0.05466408040909891</v>
      </c>
      <c r="C22" s="26"/>
      <c r="D22" s="26">
        <f>'Ex10,p1'!L19</f>
        <v>0.03600687709398695</v>
      </c>
      <c r="E22" s="26">
        <f t="shared" si="0"/>
        <v>0.09067095750308586</v>
      </c>
    </row>
    <row r="23" spans="1:5" ht="21.75" customHeight="1">
      <c r="A23" s="23" t="str">
        <f>DATA!A14</f>
        <v>PNM</v>
      </c>
      <c r="B23" s="26">
        <f>'Ex11'!E23</f>
        <v>0.06356517733763244</v>
      </c>
      <c r="C23" s="26"/>
      <c r="D23" s="26">
        <f>'Ex10,p1'!L20</f>
        <v>0.030966144633809298</v>
      </c>
      <c r="E23" s="26">
        <f t="shared" si="0"/>
        <v>0.09453132197144173</v>
      </c>
    </row>
    <row r="24" spans="1:5" ht="21.75" customHeight="1">
      <c r="A24" s="23" t="str">
        <f>DATA!A15</f>
        <v>PNW</v>
      </c>
      <c r="B24" s="26">
        <f>'Ex11'!E24</f>
        <v>0.05899115926509775</v>
      </c>
      <c r="C24" s="26"/>
      <c r="D24" s="26">
        <f>'Ex10,p1'!L21</f>
        <v>0.03521057201780094</v>
      </c>
      <c r="E24" s="26">
        <f t="shared" si="0"/>
        <v>0.09420173128289869</v>
      </c>
    </row>
    <row r="25" spans="1:5" ht="21.75" customHeight="1">
      <c r="A25" s="23" t="str">
        <f>DATA!A16</f>
        <v>PSD</v>
      </c>
      <c r="B25" s="26">
        <f>'Ex11'!E25</f>
        <v>0.037752469640722326</v>
      </c>
      <c r="C25" s="26"/>
      <c r="D25" s="26">
        <f>'Ex10,p1'!L22</f>
        <v>0.053311206191405024</v>
      </c>
      <c r="E25" s="26">
        <f>B25+D25</f>
        <v>0.09106367583212735</v>
      </c>
    </row>
    <row r="26" spans="1:5" ht="21.75" customHeight="1">
      <c r="A26" s="23" t="str">
        <f>DATA!A17</f>
        <v>UNS</v>
      </c>
      <c r="B26" s="26">
        <f>'Ex11'!E26</f>
        <v>0.03498069128990078</v>
      </c>
      <c r="C26" s="26"/>
      <c r="D26" s="26">
        <f>'Ex10,p1'!L23</f>
        <v>0.04841362599771949</v>
      </c>
      <c r="E26" s="26">
        <f>B26+D26</f>
        <v>0.08339431728762027</v>
      </c>
    </row>
    <row r="27" spans="1:5" ht="21.75" customHeight="1">
      <c r="A27" s="23" t="str">
        <f>DATA!A18</f>
        <v>XEL</v>
      </c>
      <c r="B27" s="26">
        <f>'Ex11'!E27</f>
        <v>0.04489410846156349</v>
      </c>
      <c r="C27" s="26"/>
      <c r="D27" s="26">
        <f>'Ex10,p1'!L24</f>
        <v>0.04532670223494584</v>
      </c>
      <c r="E27" s="41">
        <f>B27+D27</f>
        <v>0.09022081069650933</v>
      </c>
    </row>
    <row r="28" spans="1:5" ht="12">
      <c r="A28" s="23"/>
      <c r="B28" s="26"/>
      <c r="C28" s="26"/>
      <c r="D28" s="26"/>
      <c r="E28" s="26"/>
    </row>
    <row r="29" spans="1:7" ht="12">
      <c r="A29" s="23"/>
      <c r="B29" s="26"/>
      <c r="C29" s="26"/>
      <c r="D29" s="29" t="s">
        <v>186</v>
      </c>
      <c r="E29" s="52">
        <f>AVERAGE(E14:E27)</f>
        <v>0.09436430239766976</v>
      </c>
      <c r="G29" s="55"/>
    </row>
    <row r="30" spans="1:5" ht="12">
      <c r="A30" s="23"/>
      <c r="B30" s="26"/>
      <c r="C30" s="26"/>
      <c r="D30" s="26"/>
      <c r="E30" s="52"/>
    </row>
    <row r="31" spans="1:5" ht="12">
      <c r="A31" s="23"/>
      <c r="B31" s="26"/>
      <c r="C31" s="26"/>
      <c r="D31" s="29" t="s">
        <v>220</v>
      </c>
      <c r="E31" s="52">
        <f>STDEV(E14:E27)</f>
        <v>0.006616565669625817</v>
      </c>
    </row>
    <row r="33" spans="4:5" ht="12">
      <c r="D33" s="62" t="s">
        <v>196</v>
      </c>
      <c r="E33" s="52">
        <f>AVERAGE(E14:E24,E26:E27)</f>
        <v>0.09461819674886532</v>
      </c>
    </row>
  </sheetData>
  <sheetProtection/>
  <printOptions/>
  <pageMargins left="0.97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E4" sqref="E4"/>
    </sheetView>
  </sheetViews>
  <sheetFormatPr defaultColWidth="10.875" defaultRowHeight="12"/>
  <cols>
    <col min="1" max="1" width="24.50390625" style="28" customWidth="1"/>
    <col min="2" max="2" width="10.875" style="28" customWidth="1"/>
    <col min="3" max="3" width="1.875" style="28" customWidth="1"/>
    <col min="4" max="4" width="24.125" style="28" customWidth="1"/>
    <col min="5" max="5" width="27.875" style="28" customWidth="1"/>
    <col min="6" max="16384" width="10.875" style="28" customWidth="1"/>
  </cols>
  <sheetData>
    <row r="1" spans="1:5" ht="12">
      <c r="A1" s="22"/>
      <c r="B1" s="31"/>
      <c r="C1" s="22"/>
      <c r="D1" s="22"/>
      <c r="E1" s="62" t="s">
        <v>25</v>
      </c>
    </row>
    <row r="2" spans="1:5" ht="12">
      <c r="A2" s="22"/>
      <c r="B2" s="31"/>
      <c r="C2" s="22"/>
      <c r="D2" s="22"/>
      <c r="E2" s="62" t="s">
        <v>91</v>
      </c>
    </row>
    <row r="3" spans="1:5" ht="12">
      <c r="A3" s="22"/>
      <c r="B3" s="31"/>
      <c r="C3" s="22"/>
      <c r="D3" s="22"/>
      <c r="E3" s="62" t="s">
        <v>31</v>
      </c>
    </row>
    <row r="4" spans="1:5" ht="12">
      <c r="A4" s="22"/>
      <c r="B4" s="22"/>
      <c r="C4" s="22"/>
      <c r="D4" s="22"/>
      <c r="E4" s="22"/>
    </row>
    <row r="5" spans="1:5" ht="12">
      <c r="A5" s="22"/>
      <c r="B5" s="22"/>
      <c r="D5" s="22"/>
      <c r="E5" s="22"/>
    </row>
    <row r="6" spans="1:5" ht="12">
      <c r="A6" s="22"/>
      <c r="B6" s="22"/>
      <c r="D6" s="22"/>
      <c r="E6" s="22"/>
    </row>
    <row r="7" spans="1:5" ht="12">
      <c r="A7" s="22"/>
      <c r="B7" s="22"/>
      <c r="C7" s="32" t="str">
        <f>DATA!A1</f>
        <v>PUGET SOUND ENERGY</v>
      </c>
      <c r="D7" s="22"/>
      <c r="E7" s="22"/>
    </row>
    <row r="8" spans="1:5" ht="12">
      <c r="A8" s="22"/>
      <c r="B8" s="22"/>
      <c r="C8" s="32"/>
      <c r="D8" s="22"/>
      <c r="E8" s="22"/>
    </row>
    <row r="9" spans="1:5" ht="12">
      <c r="A9" s="22"/>
      <c r="C9" s="32" t="s">
        <v>123</v>
      </c>
      <c r="E9" s="22"/>
    </row>
    <row r="10" spans="1:5" ht="12">
      <c r="A10" s="22"/>
      <c r="C10" s="23"/>
      <c r="E10" s="22"/>
    </row>
    <row r="11" spans="1:5" ht="12">
      <c r="A11" s="22"/>
      <c r="C11" s="23"/>
      <c r="E11" s="22"/>
    </row>
    <row r="12" spans="1:11" ht="12.75">
      <c r="A12" s="22"/>
      <c r="E12" s="22"/>
      <c r="G12"/>
      <c r="H12"/>
      <c r="I12"/>
      <c r="K12" s="28" t="s">
        <v>236</v>
      </c>
    </row>
    <row r="13" spans="1:9" ht="12.75">
      <c r="A13" s="22"/>
      <c r="E13" s="22"/>
      <c r="G13"/>
      <c r="H13"/>
      <c r="I13"/>
    </row>
    <row r="14" spans="1:13" ht="12.75">
      <c r="A14" s="22"/>
      <c r="E14" s="22"/>
      <c r="G14"/>
      <c r="H14"/>
      <c r="I14"/>
      <c r="K14" s="28" t="s">
        <v>127</v>
      </c>
      <c r="M14" s="28" t="s">
        <v>128</v>
      </c>
    </row>
    <row r="15" spans="1:13" ht="12.75">
      <c r="A15" s="22"/>
      <c r="B15" s="22"/>
      <c r="C15" s="32" t="s">
        <v>73</v>
      </c>
      <c r="D15" s="22"/>
      <c r="E15" s="22"/>
      <c r="G15"/>
      <c r="H15"/>
      <c r="I15"/>
      <c r="K15" s="28" t="s">
        <v>240</v>
      </c>
      <c r="L15" s="28" t="s">
        <v>241</v>
      </c>
      <c r="M15" s="28" t="s">
        <v>242</v>
      </c>
    </row>
    <row r="16" spans="1:13" ht="12.75">
      <c r="A16" s="22"/>
      <c r="B16" s="22"/>
      <c r="C16" s="22"/>
      <c r="D16" s="22"/>
      <c r="E16" s="22"/>
      <c r="G16"/>
      <c r="H16"/>
      <c r="I16"/>
      <c r="K16" s="69">
        <v>37345</v>
      </c>
      <c r="L16" s="55">
        <v>0.0466</v>
      </c>
      <c r="M16" s="55">
        <v>0.0475</v>
      </c>
    </row>
    <row r="17" spans="1:13" ht="12.75">
      <c r="A17" s="22"/>
      <c r="B17" s="70" t="s">
        <v>171</v>
      </c>
      <c r="D17" s="22"/>
      <c r="E17" s="22"/>
      <c r="G17"/>
      <c r="H17"/>
      <c r="I17"/>
      <c r="K17" s="69">
        <v>37352</v>
      </c>
      <c r="L17" s="55">
        <v>0.046</v>
      </c>
      <c r="M17" s="55">
        <v>0.0475</v>
      </c>
    </row>
    <row r="18" spans="2:13" ht="12.75">
      <c r="B18" s="22"/>
      <c r="C18" s="22"/>
      <c r="D18" s="22"/>
      <c r="E18" s="22"/>
      <c r="G18"/>
      <c r="H18"/>
      <c r="I18"/>
      <c r="K18" s="69">
        <v>37359</v>
      </c>
      <c r="L18" s="55">
        <v>0.0467</v>
      </c>
      <c r="M18" s="55">
        <v>0.0497</v>
      </c>
    </row>
    <row r="19" spans="1:13" ht="12.75">
      <c r="A19" s="22"/>
      <c r="B19" s="62" t="s">
        <v>172</v>
      </c>
      <c r="C19" s="22" t="s">
        <v>176</v>
      </c>
      <c r="D19" s="30">
        <f>L43</f>
        <v>0.021500000000000002</v>
      </c>
      <c r="E19" s="22"/>
      <c r="H19"/>
      <c r="I19"/>
      <c r="K19" s="69">
        <v>37366</v>
      </c>
      <c r="L19" s="55">
        <v>0.047</v>
      </c>
      <c r="M19" s="55">
        <v>0.0506</v>
      </c>
    </row>
    <row r="20" spans="1:13" ht="12.75">
      <c r="A20" s="22"/>
      <c r="B20" s="62" t="s">
        <v>173</v>
      </c>
      <c r="C20" s="22" t="s">
        <v>176</v>
      </c>
      <c r="D20" s="30" t="s">
        <v>174</v>
      </c>
      <c r="E20" s="22"/>
      <c r="H20"/>
      <c r="I20"/>
      <c r="K20" s="69">
        <v>37373</v>
      </c>
      <c r="L20" s="55">
        <v>0.0472</v>
      </c>
      <c r="M20" s="55">
        <v>0.0514</v>
      </c>
    </row>
    <row r="21" spans="1:13" ht="12.75">
      <c r="A21" s="22"/>
      <c r="B21" s="62" t="s">
        <v>173</v>
      </c>
      <c r="C21" s="22" t="s">
        <v>176</v>
      </c>
      <c r="D21" s="30" t="s">
        <v>203</v>
      </c>
      <c r="E21" s="22"/>
      <c r="H21"/>
      <c r="I21"/>
      <c r="K21" s="69">
        <v>37380</v>
      </c>
      <c r="L21" s="55">
        <v>0.0477</v>
      </c>
      <c r="M21" s="55">
        <v>0.0517</v>
      </c>
    </row>
    <row r="22" spans="1:13" ht="12.75">
      <c r="A22" s="22"/>
      <c r="B22" s="62" t="s">
        <v>205</v>
      </c>
      <c r="C22" s="22"/>
      <c r="D22" s="30">
        <v>0.065</v>
      </c>
      <c r="E22" s="22"/>
      <c r="G22"/>
      <c r="H22"/>
      <c r="I22"/>
      <c r="L22" s="55"/>
      <c r="M22" s="55"/>
    </row>
    <row r="23" spans="1:13" ht="12.75">
      <c r="A23" s="22"/>
      <c r="B23" s="62" t="s">
        <v>107</v>
      </c>
      <c r="C23" s="22" t="s">
        <v>176</v>
      </c>
      <c r="D23" s="51">
        <f>DATA!C20</f>
        <v>0.8230769230769232</v>
      </c>
      <c r="E23" s="22"/>
      <c r="G23"/>
      <c r="H23"/>
      <c r="I23"/>
      <c r="K23" s="28" t="s">
        <v>190</v>
      </c>
      <c r="L23" s="55">
        <f>AVERAGE(L16:L21)</f>
        <v>0.04686666666666667</v>
      </c>
      <c r="M23" s="55">
        <f>AVERAGE(M16:M21)</f>
        <v>0.04973333333333333</v>
      </c>
    </row>
    <row r="24" spans="2:9" ht="12.75">
      <c r="B24" s="62"/>
      <c r="C24" s="22"/>
      <c r="D24" s="45"/>
      <c r="E24" s="22"/>
      <c r="G24"/>
      <c r="H24"/>
      <c r="I24"/>
    </row>
    <row r="25" spans="2:9" ht="12.75">
      <c r="B25" s="62"/>
      <c r="C25" s="22"/>
      <c r="D25" s="45"/>
      <c r="E25" s="22"/>
      <c r="G25"/>
      <c r="H25"/>
      <c r="I25"/>
    </row>
    <row r="26" spans="2:13" ht="12.75">
      <c r="B26" s="62" t="s">
        <v>108</v>
      </c>
      <c r="C26" s="22" t="s">
        <v>176</v>
      </c>
      <c r="D26" s="45" t="s">
        <v>207</v>
      </c>
      <c r="E26" s="22"/>
      <c r="G26">
        <f>D23*0.065</f>
        <v>0.053500000000000006</v>
      </c>
      <c r="H26" s="81">
        <f>G26+D19</f>
        <v>0.07500000000000001</v>
      </c>
      <c r="I26"/>
      <c r="M26" s="55"/>
    </row>
    <row r="27" spans="2:13" ht="12.75">
      <c r="B27" s="62" t="s">
        <v>108</v>
      </c>
      <c r="C27" s="22" t="s">
        <v>176</v>
      </c>
      <c r="D27" s="45" t="s">
        <v>210</v>
      </c>
      <c r="E27" s="22"/>
      <c r="G27">
        <f>D23*0.067</f>
        <v>0.05514615384615385</v>
      </c>
      <c r="H27" s="81">
        <f>G27+D19</f>
        <v>0.07664615384615385</v>
      </c>
      <c r="I27"/>
      <c r="M27" s="55"/>
    </row>
    <row r="28" spans="2:13" ht="12.75">
      <c r="B28" s="62" t="s">
        <v>108</v>
      </c>
      <c r="C28" s="22" t="s">
        <v>176</v>
      </c>
      <c r="D28" s="30" t="s">
        <v>208</v>
      </c>
      <c r="E28" s="22"/>
      <c r="G28">
        <f>D23*0.085</f>
        <v>0.06996153846153848</v>
      </c>
      <c r="H28" s="55">
        <f>G28+D19</f>
        <v>0.09146153846153848</v>
      </c>
      <c r="M28" s="55"/>
    </row>
    <row r="29" spans="2:4" ht="12">
      <c r="B29" s="62"/>
      <c r="C29" s="22"/>
      <c r="D29" s="30"/>
    </row>
    <row r="30" spans="2:5" ht="12">
      <c r="B30" s="70" t="s">
        <v>109</v>
      </c>
      <c r="D30" s="22"/>
      <c r="E30" s="22"/>
    </row>
    <row r="31" spans="2:5" ht="12">
      <c r="B31" s="22"/>
      <c r="C31" s="22"/>
      <c r="D31" s="22"/>
      <c r="E31" s="22"/>
    </row>
    <row r="32" spans="2:5" ht="12">
      <c r="B32" s="62" t="s">
        <v>172</v>
      </c>
      <c r="C32" s="22" t="s">
        <v>176</v>
      </c>
      <c r="D32" s="30">
        <f>M43</f>
        <v>0.044750000000000005</v>
      </c>
      <c r="E32" s="22"/>
    </row>
    <row r="33" spans="2:5" ht="12">
      <c r="B33" s="62" t="s">
        <v>173</v>
      </c>
      <c r="C33" s="22" t="s">
        <v>176</v>
      </c>
      <c r="D33" s="30" t="s">
        <v>202</v>
      </c>
      <c r="E33" s="22"/>
    </row>
    <row r="34" spans="2:13" ht="12">
      <c r="B34" s="62" t="s">
        <v>173</v>
      </c>
      <c r="C34" s="22" t="s">
        <v>176</v>
      </c>
      <c r="D34" s="30" t="s">
        <v>142</v>
      </c>
      <c r="E34" s="44"/>
      <c r="K34" s="28" t="s">
        <v>127</v>
      </c>
      <c r="M34" s="28" t="s">
        <v>128</v>
      </c>
    </row>
    <row r="35" spans="2:13" ht="12">
      <c r="B35" s="62" t="s">
        <v>205</v>
      </c>
      <c r="C35" s="22"/>
      <c r="D35" s="30">
        <v>0.053</v>
      </c>
      <c r="E35" s="22"/>
      <c r="K35" s="28" t="s">
        <v>240</v>
      </c>
      <c r="L35" s="28" t="s">
        <v>241</v>
      </c>
      <c r="M35" s="28" t="s">
        <v>242</v>
      </c>
    </row>
    <row r="36" spans="2:13" ht="12">
      <c r="B36" s="62" t="s">
        <v>107</v>
      </c>
      <c r="C36" s="22" t="s">
        <v>176</v>
      </c>
      <c r="D36" s="51">
        <f>D23</f>
        <v>0.8230769230769232</v>
      </c>
      <c r="E36" s="22"/>
      <c r="K36" s="69">
        <v>38017</v>
      </c>
      <c r="L36" s="55">
        <v>0.0222</v>
      </c>
      <c r="M36" s="55">
        <v>0.0431</v>
      </c>
    </row>
    <row r="37" spans="2:13" ht="12">
      <c r="B37" s="62"/>
      <c r="C37" s="22"/>
      <c r="D37" s="45"/>
      <c r="E37" s="22"/>
      <c r="K37" s="69">
        <v>38024</v>
      </c>
      <c r="L37" s="55">
        <v>0.0215</v>
      </c>
      <c r="M37" s="55">
        <v>0.0438</v>
      </c>
    </row>
    <row r="38" spans="2:13" ht="12">
      <c r="B38" s="62"/>
      <c r="C38" s="22"/>
      <c r="D38" s="45"/>
      <c r="E38" s="22"/>
      <c r="G38" s="28">
        <f>D36*0.05</f>
        <v>0.04115384615384616</v>
      </c>
      <c r="H38" s="55">
        <f>G38+D32</f>
        <v>0.08590384615384616</v>
      </c>
      <c r="K38" s="69">
        <v>38031</v>
      </c>
      <c r="L38" s="55">
        <v>0.0209</v>
      </c>
      <c r="M38" s="55">
        <v>0.0436</v>
      </c>
    </row>
    <row r="39" spans="2:13" ht="12">
      <c r="B39" s="62" t="s">
        <v>108</v>
      </c>
      <c r="C39" s="22" t="s">
        <v>176</v>
      </c>
      <c r="D39" s="45" t="s">
        <v>209</v>
      </c>
      <c r="E39" s="22"/>
      <c r="G39" s="28">
        <f>D36*D35</f>
        <v>0.043623076923076924</v>
      </c>
      <c r="H39" s="55">
        <f>G39+D32</f>
        <v>0.08837307692307693</v>
      </c>
      <c r="K39" s="69">
        <v>38038</v>
      </c>
      <c r="L39" s="55">
        <v>0.0226</v>
      </c>
      <c r="M39" s="55">
        <v>0.0454</v>
      </c>
    </row>
    <row r="40" spans="2:13" ht="12">
      <c r="B40" s="62" t="s">
        <v>108</v>
      </c>
      <c r="C40" s="22" t="s">
        <v>176</v>
      </c>
      <c r="D40" s="45" t="s">
        <v>211</v>
      </c>
      <c r="E40" s="22"/>
      <c r="G40" s="28">
        <f>D36*0.065</f>
        <v>0.053500000000000006</v>
      </c>
      <c r="H40" s="55">
        <f>G40+D32</f>
        <v>0.09825</v>
      </c>
      <c r="K40" s="69">
        <v>38045</v>
      </c>
      <c r="L40" s="55">
        <v>0.0222</v>
      </c>
      <c r="M40" s="55">
        <v>0.0461</v>
      </c>
    </row>
    <row r="41" spans="2:13" ht="12">
      <c r="B41" s="62" t="s">
        <v>108</v>
      </c>
      <c r="C41" s="22" t="s">
        <v>176</v>
      </c>
      <c r="D41" s="47" t="s">
        <v>71</v>
      </c>
      <c r="E41" s="22"/>
      <c r="K41" s="69">
        <v>38052</v>
      </c>
      <c r="L41" s="55">
        <v>0.0196</v>
      </c>
      <c r="M41" s="55">
        <v>0.0465</v>
      </c>
    </row>
    <row r="42" spans="12:13" ht="10.5">
      <c r="L42" s="55"/>
      <c r="M42" s="55"/>
    </row>
    <row r="43" spans="1:13" ht="12">
      <c r="A43" s="72"/>
      <c r="B43" s="71" t="s">
        <v>74</v>
      </c>
      <c r="C43" s="70" t="s">
        <v>176</v>
      </c>
      <c r="D43" s="47">
        <v>0.0921</v>
      </c>
      <c r="K43" s="28" t="s">
        <v>190</v>
      </c>
      <c r="L43" s="55">
        <f>AVERAGE(L36:L41)</f>
        <v>0.021500000000000002</v>
      </c>
      <c r="M43" s="55">
        <f>AVERAGE(M36:M41)</f>
        <v>0.044750000000000005</v>
      </c>
    </row>
    <row r="44" ht="12">
      <c r="A44" s="72"/>
    </row>
    <row r="45" spans="1:13" ht="12">
      <c r="A45" s="72"/>
      <c r="L45" s="55">
        <f>L23-L43</f>
        <v>0.025366666666666666</v>
      </c>
      <c r="M45" s="55">
        <f>M23-M43</f>
        <v>0.004983333333333326</v>
      </c>
    </row>
    <row r="46" ht="12">
      <c r="A46" s="72"/>
    </row>
    <row r="47" ht="12">
      <c r="A47" s="22"/>
    </row>
    <row r="48" ht="12">
      <c r="A48" s="22" t="s">
        <v>204</v>
      </c>
    </row>
    <row r="49" ht="12">
      <c r="A49" s="72" t="s">
        <v>201</v>
      </c>
    </row>
    <row r="50" ht="12">
      <c r="A50" s="72" t="s">
        <v>206</v>
      </c>
    </row>
    <row r="51" ht="12">
      <c r="A51" s="82" t="s">
        <v>72</v>
      </c>
    </row>
    <row r="52" ht="12">
      <c r="A52" s="72" t="s">
        <v>200</v>
      </c>
    </row>
  </sheetData>
  <sheetProtection/>
  <printOptions/>
  <pageMargins left="1.05" right="0.75" top="1" bottom="1" header="0.42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Stephen Hill</cp:lastModifiedBy>
  <cp:lastPrinted>2008-05-08T20:49:44Z</cp:lastPrinted>
  <dcterms:created xsi:type="dcterms:W3CDTF">1999-05-05T16:36:35Z</dcterms:created>
  <dcterms:modified xsi:type="dcterms:W3CDTF">2008-05-08T21:18:04Z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